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35" activeTab="2"/>
  </bookViews>
  <sheets>
    <sheet name="HALE 052618 GENERIC" sheetId="1" r:id="rId1"/>
    <sheet name="JOHN JERIC CORP 052618 MILK ETC" sheetId="2" r:id="rId2"/>
    <sheet name="NORVIC " sheetId="3" r:id="rId3"/>
    <sheet name="06022018 HALE R8 JJ" sheetId="4" r:id="rId4"/>
    <sheet name="NORVIC 06022018" sheetId="5" r:id="rId5"/>
    <sheet name="JOHN JERIC 06092018" sheetId="6" r:id="rId6"/>
    <sheet name="NORVIC 06092018" sheetId="7" r:id="rId7"/>
    <sheet name="Sheet1" sheetId="8" r:id="rId8"/>
    <sheet name="FOR NORVIC INVENTORY" sheetId="9" r:id="rId9"/>
    <sheet name="FOR JJ INVENTORY" sheetId="10" r:id="rId10"/>
    <sheet name="Sheet3" sheetId="11" r:id="rId11"/>
  </sheets>
  <definedNames>
    <definedName name="_xlnm._FilterDatabase" localSheetId="1" hidden="1">'JOHN JERIC CORP 052618 MILK ETC'!$A$2:$AC$2</definedName>
    <definedName name="_xlnm._FilterDatabase" localSheetId="2" hidden="1">'NORVIC '!$A$1:$N$342</definedName>
    <definedName name="_xlnm._FilterDatabase" localSheetId="3" hidden="1">'06022018 HALE R8 JJ'!$A$1:$L$13</definedName>
    <definedName name="_xlnm._FilterDatabase" localSheetId="4" hidden="1">'NORVIC 06022018'!#REF!</definedName>
    <definedName name="_xlnm._FilterDatabase" localSheetId="8" hidden="1">'FOR NORVIC INVENTORY'!$A$1:$O$388</definedName>
    <definedName name="_xlnm._FilterDatabase" localSheetId="10" hidden="1">Sheet3!$A$3:$Q$3</definedName>
  </definedNames>
  <calcPr calcId="144525"/>
</workbook>
</file>

<file path=xl/sharedStrings.xml><?xml version="1.0" encoding="utf-8"?>
<sst xmlns="http://schemas.openxmlformats.org/spreadsheetml/2006/main" count="712">
  <si>
    <t>HALE GENERIC INVENTORY</t>
  </si>
  <si>
    <t>ITEM DESCRIPTION</t>
  </si>
  <si>
    <t>BEGINNING QTY</t>
  </si>
  <si>
    <t>UNIT PRICE</t>
  </si>
  <si>
    <t>UNIT PRICE/PC</t>
  </si>
  <si>
    <t>SELLING PRICE/PC</t>
  </si>
  <si>
    <t>TOTAL BEG. INVENTORY</t>
  </si>
  <si>
    <t>USAGE  (UNITS)</t>
  </si>
  <si>
    <t xml:space="preserve">ENDING QTY </t>
  </si>
  <si>
    <t>USAGE COST (USAGE * SP)</t>
  </si>
  <si>
    <t>ABDOMINAL BINDER</t>
  </si>
  <si>
    <t>2 PCS</t>
  </si>
  <si>
    <t xml:space="preserve">ACETYLCYSTEINE (FLUCYSTEINE 200) 200MG POWDER </t>
  </si>
  <si>
    <t>1 BOX (10'S)</t>
  </si>
  <si>
    <t xml:space="preserve">ACETYLCYSTEINE (FLUCYSTEINE 600) 600MG POWDER </t>
  </si>
  <si>
    <t>AMBROXOL HCL (MDBROX) 15MG/5ML 60ML SYRUP</t>
  </si>
  <si>
    <t>5 BOTTLES</t>
  </si>
  <si>
    <t>AMLODIPINE BESILATE (DIADIPINE) 10MG TABLET</t>
  </si>
  <si>
    <t>1 BOX (100'S)</t>
  </si>
  <si>
    <t>AMLODIPINE BESILATE (DIADIPINE) 5MG TABLET</t>
  </si>
  <si>
    <t>AMOXICILLIN (MOXYLOR) 100MG/ML 10ML DROPS</t>
  </si>
  <si>
    <t>AMOXICILLIN (MOXYLOR) 125MG/5ML 60ML SUSP</t>
  </si>
  <si>
    <t>AMOXICILLIN (MOXYLOR) 250MG/5ML 60ML SUSP</t>
  </si>
  <si>
    <t xml:space="preserve">AMOXICILLIN (NUEVAMOXIL) 500MG CAPSULE </t>
  </si>
  <si>
    <t>AMOXICILLIN TRIHYDRATE MYREX 125MG 60ML SUSP</t>
  </si>
  <si>
    <t>ASCORBIC ACID (VITCEE) 100MG/5ML 120ML SYR</t>
  </si>
  <si>
    <t>ASCORBIC ACID (VITCEE) 100MG/5ML 60ML SYR</t>
  </si>
  <si>
    <t>ASCORBIC ACID (VITCEE) 100MG/ML DROPS</t>
  </si>
  <si>
    <t xml:space="preserve">ASCORBIC ACID VONWELT- GEN 500MG TABLET </t>
  </si>
  <si>
    <t>AZITHROMYCIN (AZITHROM) 500MG FILM COATED TABLET</t>
  </si>
  <si>
    <t>1 BOX (30'S)</t>
  </si>
  <si>
    <t>BABY WIPES 80'S</t>
  </si>
  <si>
    <t>3 PACK</t>
  </si>
  <si>
    <t>CARBOCISTEINE (DIACOF) 250MG/5ML 60ML SYR</t>
  </si>
  <si>
    <t>CARBOCISTEINE (DIACOF) 500NG CAPSULE</t>
  </si>
  <si>
    <t>CARBOCISTEINE (DIACOF) 50MG/ML 15ML DROPS</t>
  </si>
  <si>
    <t>CARBOCISTEINE (VONCARTIN) VONWELT 500MG CAPSULE 1</t>
  </si>
  <si>
    <t>1 BOX (     'S)</t>
  </si>
  <si>
    <t>CEFALEXIN (DIACEF) 100MG/ML 10ML DROPS</t>
  </si>
  <si>
    <t>CEFALEXIN (DIACEF) 250MG/5ML 60ML SUSP</t>
  </si>
  <si>
    <t xml:space="preserve">CEFALEXIN VONWELT 500MG CAPSULE </t>
  </si>
  <si>
    <t>CEFUROXIME (UROXIME) 500MG TABLET</t>
  </si>
  <si>
    <t>CETIRIZINE (DIALIX) 10MG TABLET</t>
  </si>
  <si>
    <t>CETIRIZINE (DIALIX) 1MG/ML 60ML SYR</t>
  </si>
  <si>
    <t>CETIRIZINE (LERIF) 2.5MG/ML 15ML DROPS</t>
  </si>
  <si>
    <t xml:space="preserve">CLINDAMYCIN (CLINDAGOLD) 300MG CAPSULE </t>
  </si>
  <si>
    <t>CLOXACILLIN SODIUM (DIALOX) 125MG/5ML 60ML SUSP</t>
  </si>
  <si>
    <t xml:space="preserve">CO-AMOXICLAV (COMXICLA) SUHITAS 625MG TABLET </t>
  </si>
  <si>
    <t>1 BOX (20'S)</t>
  </si>
  <si>
    <t>COTRIMOXAZOLE (XOLFATRIM) 400MG/80MG/5ML 60ML SUSP</t>
  </si>
  <si>
    <t xml:space="preserve">COTTON BALLS (SURE CLEAN) 150'S </t>
  </si>
  <si>
    <t>DIAPER MEDIUM 9PRIMECARE)</t>
  </si>
  <si>
    <t>1 PACK</t>
  </si>
  <si>
    <t>DIGITAL THERMOMETE (CHINA)</t>
  </si>
  <si>
    <t>3 PCS</t>
  </si>
  <si>
    <t>DISPOSABLE GLOVES (INDOPLAS) MEDIUM</t>
  </si>
  <si>
    <t>1 BOX</t>
  </si>
  <si>
    <t xml:space="preserve">DISPOSABLE SYRINGE 1CC (CARDINAL) </t>
  </si>
  <si>
    <t xml:space="preserve">DISPOSABLE SYRINGE 5CC (INDOPLAS) </t>
  </si>
  <si>
    <t xml:space="preserve">ELASTIC BANDAGE 3X5 </t>
  </si>
  <si>
    <t>12 ROLLS</t>
  </si>
  <si>
    <t>ETHINYL ESTRADIOL + LEVONOR GESTREL (LADY) TABLET</t>
  </si>
  <si>
    <t>ETHINYL ESTRADIOL + LEVONOR GESTREL + FERROUS FUMARA</t>
  </si>
  <si>
    <t xml:space="preserve">FACEMASK (INDOPLAS) </t>
  </si>
  <si>
    <t>FERROUS SULFATE (PHARMATECH) 325MG TABLET</t>
  </si>
  <si>
    <t xml:space="preserve">HOT WATER BAG MEDIUM </t>
  </si>
  <si>
    <t>HYDROGEN PEROXIDE 120ML AGUA OXIGENADA</t>
  </si>
  <si>
    <t>12 PCS</t>
  </si>
  <si>
    <t>HYOSCINE N-BUTYL BROMIDE (HYOSAPH) 10MG TABLET</t>
  </si>
  <si>
    <t>LAGUNDI LEAF (NUTRACOUGH) 300MG/5ML 60ML SYRUP</t>
  </si>
  <si>
    <t xml:space="preserve">LAGUNDI LEAF (OFPLEMED) 300MG TABLET </t>
  </si>
  <si>
    <t xml:space="preserve">LOPERAMIDE (DIASTOP) 2MG CAPSULE </t>
  </si>
  <si>
    <t xml:space="preserve">LOSARTAN POTASSIUM (NATRAZOL) 100MG TABLET </t>
  </si>
  <si>
    <t xml:space="preserve">LOSARTAN POTASSIUM (NATRAZOL) 50MG TABLET </t>
  </si>
  <si>
    <t xml:space="preserve">MATERNITY PADS (SANITEX) </t>
  </si>
  <si>
    <t>3 PACKS (8'S)</t>
  </si>
  <si>
    <t xml:space="preserve">MEFENAMIC ACID (MECID) 500MG CAPSULE </t>
  </si>
  <si>
    <t xml:space="preserve">METFORMIN (SAPHORMIN) 500MG TABLET </t>
  </si>
  <si>
    <t>METOPROLOL TARTATE (METOCARD) EADRIEX 100MG TA</t>
  </si>
  <si>
    <t>METOPROLOL TARTATE (PROLOL) 50MG TA</t>
  </si>
  <si>
    <t>MULTIVITAMINS (MULTIEM) 120ML SYRUP</t>
  </si>
  <si>
    <t>MULTIVITAMINS (MULTIEM) 15ML DROPS</t>
  </si>
  <si>
    <t>MULTIVITAMINS (MULTIEM) CAPSULE</t>
  </si>
  <si>
    <t>MULTIVITAMINS (REGIVIT) 6OML SYRUP</t>
  </si>
  <si>
    <t>NASAL CANNULA PEDIA (INDOPLAS)</t>
  </si>
  <si>
    <t>NASAL OXYGEN CANNULA ADULT</t>
  </si>
  <si>
    <t>NEBKIT (INDOPLAS)</t>
  </si>
  <si>
    <t>NYSTATIN (ORASTAT) 100,000U/ML 30ML DROPS</t>
  </si>
  <si>
    <t>1 BOTTLE</t>
  </si>
  <si>
    <t>OMEPRAZOLE (HYCID-20) 20MG CAP</t>
  </si>
  <si>
    <t>ORAL REHYDRATION SALT 75 250ML (DEHYDROSOL) SACHET</t>
  </si>
  <si>
    <t>OXYGEN MASK PEDIA (PARTNERS)</t>
  </si>
  <si>
    <t>PARACETAMOL (BIOGIC) AZARIAS 100MG/ML 15ML DROPS</t>
  </si>
  <si>
    <t>PARACETAMOL (NAHALGESIC) 500MG TABLET</t>
  </si>
  <si>
    <t>PARACETAMOL (PARA250) 250MG/ML 60ML SYR</t>
  </si>
  <si>
    <t>PHENYLPROPANOLAMINE (SINUDRIN) 12.5MG/5ML 60ML SYR</t>
  </si>
  <si>
    <t>4 BOTTLES</t>
  </si>
  <si>
    <t>PHENYLPROPANOLAMINE (SINUDRIN) 6.26MG/ML 15ML DROPS</t>
  </si>
  <si>
    <t xml:space="preserve">POVIDINE IODINE 60ML (J CHEMIE) </t>
  </si>
  <si>
    <t>PREGNANCY TEST (RIGHTSIGN)</t>
  </si>
  <si>
    <t>1 BOX (25'S)</t>
  </si>
  <si>
    <t xml:space="preserve">SALBUTAMOL SULFATE (AEROVENT) 1MG/ML NEBULES </t>
  </si>
  <si>
    <t>TRUST NATURAL CONDOM</t>
  </si>
  <si>
    <t>1 BOX (24'S)</t>
  </si>
  <si>
    <t>VITAMIN B1+B6+B12 (BERNACIN) TABLET</t>
  </si>
  <si>
    <t>TOTAL</t>
  </si>
  <si>
    <t xml:space="preserve">JOHN JERIC MILK </t>
  </si>
  <si>
    <t>BEGINNING QTY (5/26)</t>
  </si>
  <si>
    <t>TOTAL PURCHASE AMOUNT</t>
  </si>
  <si>
    <t>ANLENE 300G</t>
  </si>
  <si>
    <t>ANLENE 990G</t>
  </si>
  <si>
    <t>BEAR BRAND FORTIFIED 1.2 KG</t>
  </si>
  <si>
    <t>BEAR BRAND FORTIFIED 1.6 KG</t>
  </si>
  <si>
    <t>BONAKID 180G</t>
  </si>
  <si>
    <t>BONAKID 3+ 1.6 KG</t>
  </si>
  <si>
    <t>BONAKID 3+ 1.6KG</t>
  </si>
  <si>
    <t>BONAKID 3+ 180G</t>
  </si>
  <si>
    <t>BONAKID 3+ 400G</t>
  </si>
  <si>
    <t>BONAKID 400G</t>
  </si>
  <si>
    <t>BONAMIL 180G</t>
  </si>
  <si>
    <t>BONAMIL 400G</t>
  </si>
  <si>
    <t>BONNA 180G</t>
  </si>
  <si>
    <t>BONNA 400</t>
  </si>
  <si>
    <t>BONNA 400G</t>
  </si>
  <si>
    <t>ENSURE GOLD 400G</t>
  </si>
  <si>
    <t>EQ DRY LARGE</t>
  </si>
  <si>
    <t>EQ DRY MEDIUM</t>
  </si>
  <si>
    <t>EQ DRY X-LARGE</t>
  </si>
  <si>
    <t>FEMME ROLL TISSUE</t>
  </si>
  <si>
    <t>GLUCERNA 900G</t>
  </si>
  <si>
    <t>LACTUM 1+ 150G</t>
  </si>
  <si>
    <t>LACTUM 3+ 1.6KG</t>
  </si>
  <si>
    <t>LACTUM 3+ 150G</t>
  </si>
  <si>
    <t>NESTOGEN 1 135G</t>
  </si>
  <si>
    <t>NESTOGEN 1 340G</t>
  </si>
  <si>
    <t>NIDO 3+ 1.6KG</t>
  </si>
  <si>
    <t>NIDO JR 160G</t>
  </si>
  <si>
    <t>NIDO JR 370G</t>
  </si>
  <si>
    <t>PEDIASURE PLUS VANILLA 3+ 1.7KG</t>
  </si>
  <si>
    <t>S-26 GOLD 2 1.8KG</t>
  </si>
  <si>
    <t>S-26 GOLD ONE 1.8KG</t>
  </si>
  <si>
    <t>S-26 PROMIL GOLD THREE 1.8KG</t>
  </si>
  <si>
    <t>NORVIC DRUG BRANDED INVENTORY</t>
  </si>
  <si>
    <t>ACIETE DE ALCAMPORADO 15ML (DANN'S AIS) 12'S</t>
  </si>
  <si>
    <t>1X12</t>
  </si>
  <si>
    <t>ACIETE DE ALCAMPORADO 30ML (DANN'S AIS) 12'S</t>
  </si>
  <si>
    <t>ACIETE DE MANZANILLA 15ML (DANN'S AID) 12'S</t>
  </si>
  <si>
    <t>ACIETE DE MANZANILLA 30ML (DANN'S AID) 12'S</t>
  </si>
  <si>
    <t>ADVIL LIQUIGEL CAP</t>
  </si>
  <si>
    <t>10 CAP</t>
  </si>
  <si>
    <t>10 CAPS</t>
  </si>
  <si>
    <t>30 CAPS</t>
  </si>
  <si>
    <t>40 CAPS</t>
  </si>
  <si>
    <t xml:space="preserve">ADVIL LIQUIGEL CAP </t>
  </si>
  <si>
    <t>ALAXAN FR CAP</t>
  </si>
  <si>
    <t>20CAP</t>
  </si>
  <si>
    <t>20 CAPS</t>
  </si>
  <si>
    <t xml:space="preserve"> </t>
  </si>
  <si>
    <t>ALLERKID DROP 10ML</t>
  </si>
  <si>
    <t>2 BOTTLES</t>
  </si>
  <si>
    <t>ALLERKID SYR 30ML</t>
  </si>
  <si>
    <t xml:space="preserve">1 BOTTLE </t>
  </si>
  <si>
    <t>3 BOTTLES</t>
  </si>
  <si>
    <t xml:space="preserve">ALLERTA TAB 10MG </t>
  </si>
  <si>
    <t>10 TAB</t>
  </si>
  <si>
    <t>10 TABS</t>
  </si>
  <si>
    <t>30 TABS</t>
  </si>
  <si>
    <t>40 TABS</t>
  </si>
  <si>
    <t>ALNIX 10MG TAB</t>
  </si>
  <si>
    <t>ALNIX DROPS 10ML</t>
  </si>
  <si>
    <t>ALNIX SYR 30ML</t>
  </si>
  <si>
    <t>ALNIX TAB PLUS TAB</t>
  </si>
  <si>
    <t>ALTHEA PILLS</t>
  </si>
  <si>
    <t>1 PC</t>
  </si>
  <si>
    <t>AMVASC BE 5MG TAB</t>
  </si>
  <si>
    <t>APPEBON KID SYR 60ML</t>
  </si>
  <si>
    <t>APPEBON W/IRON 60ML</t>
  </si>
  <si>
    <t>ARCOXIA TAB 120MG</t>
  </si>
  <si>
    <t>2X5</t>
  </si>
  <si>
    <t>ARCOXIA TAB 60MG</t>
  </si>
  <si>
    <t>ARCOXIA TAB 90MG</t>
  </si>
  <si>
    <t>ASMALIN SYR 60ML</t>
  </si>
  <si>
    <t>ASPILETS 80MG TAB</t>
  </si>
  <si>
    <t>40 TABLETS</t>
  </si>
  <si>
    <t>AUGMENTIN 228.5 5MG SYR 70ML</t>
  </si>
  <si>
    <t>AUGMENTIN TAB 375MG</t>
  </si>
  <si>
    <t xml:space="preserve">AUGMENTIN TAB 625MG </t>
  </si>
  <si>
    <t>BACTIDOL ORAL 120ML</t>
  </si>
  <si>
    <t>BACTIDOL ORAL 60ML</t>
  </si>
  <si>
    <t>BACTRIM FORTE 800MG TAB</t>
  </si>
  <si>
    <t>BAND AID 50'S (NEW PACK)</t>
  </si>
  <si>
    <t>1 PACK (50PCS)</t>
  </si>
  <si>
    <t>BENADRYL CAP 25MG</t>
  </si>
  <si>
    <t>BENADRYL CAP 50MG</t>
  </si>
  <si>
    <t>BETADINE ANTISEPTIC 60ML</t>
  </si>
  <si>
    <t>6 BOTTLES</t>
  </si>
  <si>
    <t>B-FLO PACIFIER</t>
  </si>
  <si>
    <t>24 PCS</t>
  </si>
  <si>
    <t>BIGUERLAI SLIMMING TEA 25'S</t>
  </si>
  <si>
    <t>2X25</t>
  </si>
  <si>
    <t>142.5/ BOX</t>
  </si>
  <si>
    <t>180/box ; 8/pc</t>
  </si>
  <si>
    <t>2 PACKS (25 PCS/ PACK)</t>
  </si>
  <si>
    <t>BIODERM SOAP COOLNESS 135G BLUE</t>
  </si>
  <si>
    <t>5 PACKS</t>
  </si>
  <si>
    <t>5 PCS</t>
  </si>
  <si>
    <t>BIODERM SOAP FRESHEN 135G GREEN</t>
  </si>
  <si>
    <t>BIODERM SOAP GLOW 135 YELLOW</t>
  </si>
  <si>
    <t>BIODERM SOAP PRISTINE 135G WHITE</t>
  </si>
  <si>
    <t>3 PACKS</t>
  </si>
  <si>
    <t>BIODERM SOAP TIMELESS 135G BEIGE</t>
  </si>
  <si>
    <t>BIOFIT TEA 30'S</t>
  </si>
  <si>
    <t>2 BOXES</t>
  </si>
  <si>
    <t>139.04/BOX</t>
  </si>
  <si>
    <t>160/box ; 7/pc</t>
  </si>
  <si>
    <t>2 BOXES (20 PCS/ BOX)</t>
  </si>
  <si>
    <t>BIOFLU TAB</t>
  </si>
  <si>
    <t>200 TABLETS</t>
  </si>
  <si>
    <t>200 TABS</t>
  </si>
  <si>
    <t>BIOGESIC TAB</t>
  </si>
  <si>
    <t>100 TABLETS</t>
  </si>
  <si>
    <t>100 TABS</t>
  </si>
  <si>
    <t>500 TABS</t>
  </si>
  <si>
    <t>600 TABS</t>
  </si>
  <si>
    <t>BIOGESIC TAB 500'S</t>
  </si>
  <si>
    <t>1X500</t>
  </si>
  <si>
    <t xml:space="preserve">BL CREAM </t>
  </si>
  <si>
    <t>BL SOAP 115G</t>
  </si>
  <si>
    <t>BONAMINE CHEW ADULT 240'S</t>
  </si>
  <si>
    <t>BONAMINE CHEW KIDS 120'S</t>
  </si>
  <si>
    <t>60 TABS</t>
  </si>
  <si>
    <t>70 TABS</t>
  </si>
  <si>
    <t xml:space="preserve">BUSCOPAN PLUS TAB </t>
  </si>
  <si>
    <t>20 TABS</t>
  </si>
  <si>
    <t>BUSCOPAN TAB (NEW) 12'S</t>
  </si>
  <si>
    <t>12 TAB</t>
  </si>
  <si>
    <t>12 TABS</t>
  </si>
  <si>
    <t>CALMOSEPTINE OINT 3.5G</t>
  </si>
  <si>
    <t>1X20</t>
  </si>
  <si>
    <t>20 PCS</t>
  </si>
  <si>
    <t>CALPOL 6PLUS 60ML (6-12 YRS OLD)</t>
  </si>
  <si>
    <t xml:space="preserve">CALPOL DROPS </t>
  </si>
  <si>
    <t>CALPOL SYR 60ML STRAW (2-6YRS OLD)</t>
  </si>
  <si>
    <t>CASINO ALCOHOL REG 150ML</t>
  </si>
  <si>
    <t>CASINO ALCOHOL REG 250ML</t>
  </si>
  <si>
    <t>CATAPRES TAB 150MCG</t>
  </si>
  <si>
    <t>CATAPRES TAB 75MCG</t>
  </si>
  <si>
    <t>CEBO DE MACHO 1/4 OZ</t>
  </si>
  <si>
    <t>CEELIN DROPS 30ML</t>
  </si>
  <si>
    <t>CEELIN DRP 15ML</t>
  </si>
  <si>
    <t>CEELIN PLUS DROPS 15ML</t>
  </si>
  <si>
    <t>CEELIN PLUS DROPS 30ML</t>
  </si>
  <si>
    <t>CEELIN PLUS SYR 120ML</t>
  </si>
  <si>
    <t>CEELIN PLUS SYR 60ML</t>
  </si>
  <si>
    <t>CEELIN SYR 120ML</t>
  </si>
  <si>
    <t>CEELIN SYR 60ML</t>
  </si>
  <si>
    <t>CELBREX 100MG CAP</t>
  </si>
  <si>
    <t>CELEBREX 200MG CAP</t>
  </si>
  <si>
    <t>COLGATE REG FLVR 25ML</t>
  </si>
  <si>
    <t>COLGATE REG FLVR 50ML</t>
  </si>
  <si>
    <t>5 TUBES</t>
  </si>
  <si>
    <t>COLGATE REG FLVR SACHET</t>
  </si>
  <si>
    <t>12 SACHETS</t>
  </si>
  <si>
    <t>COMBIVENT UDV 500MCG</t>
  </si>
  <si>
    <t>CRESTOR 20MG TAB</t>
  </si>
  <si>
    <t>15 TABS</t>
  </si>
  <si>
    <t>DALACIN C CAP 150MG</t>
  </si>
  <si>
    <t>DALACIN C CAP 300MG</t>
  </si>
  <si>
    <t>DECILONE FORTE TAB</t>
  </si>
  <si>
    <t>DECILONE TAB</t>
  </si>
  <si>
    <t>DIATABS (REF) CAP</t>
  </si>
  <si>
    <t>20 CAP</t>
  </si>
  <si>
    <t>100 CAPS</t>
  </si>
  <si>
    <t>120 CAPS</t>
  </si>
  <si>
    <t>DISUDRIN DRP 10ML</t>
  </si>
  <si>
    <t>DISUDRIN SYR 60ML</t>
  </si>
  <si>
    <t>DOLAN FP 100MG SUSP 60ML</t>
  </si>
  <si>
    <t>DOLAN FP FORTE 200MG SUSP 6OML</t>
  </si>
  <si>
    <t>DULCOLAX TAB</t>
  </si>
  <si>
    <t>EFFICASENT OIL 25ML</t>
  </si>
  <si>
    <t>EFFICASENT OIL 50ML</t>
  </si>
  <si>
    <t>EFFICASENT OIL EXTRA 25ML</t>
  </si>
  <si>
    <t>EFFICASENT OIL EXTRA 50ML</t>
  </si>
  <si>
    <t xml:space="preserve">ENERVON C (FLEX) TAB FOIL </t>
  </si>
  <si>
    <t>24TABS</t>
  </si>
  <si>
    <t>24 TABS</t>
  </si>
  <si>
    <t>ERCEFLORA ORAL SUSP</t>
  </si>
  <si>
    <t>1X10</t>
  </si>
  <si>
    <t>10 BOTTLES</t>
  </si>
  <si>
    <t xml:space="preserve">ESKINOL + CALAMANSI 75ML </t>
  </si>
  <si>
    <t>ESKINOL + CUCUMBER 135ML</t>
  </si>
  <si>
    <t>ESKINOL + ICE PORE MINIMIZING 75ML</t>
  </si>
  <si>
    <t>ESKINOL + LEMON OIL CTRL 135ML</t>
  </si>
  <si>
    <t>ESKINOL + LEMON OIL CTRL 75ML</t>
  </si>
  <si>
    <t>ESKINOL + PAPAYA 135ML</t>
  </si>
  <si>
    <t>ESKINOL + PAPAYA 75ML</t>
  </si>
  <si>
    <t>ESKINOL + PIMPLEFIGHT DERMNA - C FC 135ML</t>
  </si>
  <si>
    <t>ESKINOL + PIMPLEFIGHT DERMNA - C FC 75ML</t>
  </si>
  <si>
    <t>ESKINOL + WHITE CLEAR 135ML</t>
  </si>
  <si>
    <t>ESKINOL + WHITE CLEAR 75ML</t>
  </si>
  <si>
    <t>ESKINOL + WHITE W/ GRAINS 135ML</t>
  </si>
  <si>
    <t>ESKINOL + WHITE W/ GRAINS 75ML</t>
  </si>
  <si>
    <t>EUTHYROX 100MG TAB</t>
  </si>
  <si>
    <t>25 TABS</t>
  </si>
  <si>
    <t>EUTHYROX 150MG TAB</t>
  </si>
  <si>
    <t>EUTHYROX 25MG TAB</t>
  </si>
  <si>
    <t>EUTHYROX 50MG TAB</t>
  </si>
  <si>
    <t>FAMILY ALCOHOL SML 180 ML</t>
  </si>
  <si>
    <t>FISSAN DIAPER RASH POW 25G</t>
  </si>
  <si>
    <t>6 PCS</t>
  </si>
  <si>
    <t>FISSAN FOOT POW 25G</t>
  </si>
  <si>
    <t>FLAGYL FORTE 500MG</t>
  </si>
  <si>
    <t xml:space="preserve">FLUIMUCIL 200MG GRAN </t>
  </si>
  <si>
    <t>1X30</t>
  </si>
  <si>
    <t>30 GRANS</t>
  </si>
  <si>
    <t xml:space="preserve">FLUIMUCIL 600MG GRAN </t>
  </si>
  <si>
    <t>10 GRANS</t>
  </si>
  <si>
    <t>FLUMUCIL 100MG GRAN</t>
  </si>
  <si>
    <t>GALVUSMET 50MG/500MG TAB</t>
  </si>
  <si>
    <t>3O TABS</t>
  </si>
  <si>
    <t xml:space="preserve">GATORADE </t>
  </si>
  <si>
    <t>GILETTE RUBIE II 24'S</t>
  </si>
  <si>
    <t>GLUMET 500MG TAB</t>
  </si>
  <si>
    <t>GREEN CROSS 70% 150 ML</t>
  </si>
  <si>
    <t>GREEN CROSS 70% 250 ML</t>
  </si>
  <si>
    <t>GREEN CROSS 70% 75 ML</t>
  </si>
  <si>
    <t>HAPPY BUDS 108'S</t>
  </si>
  <si>
    <t>HAPPY BUDS 200'S</t>
  </si>
  <si>
    <t>6PACKS</t>
  </si>
  <si>
    <t>HAPPY BUDS 36'S</t>
  </si>
  <si>
    <t>1X24</t>
  </si>
  <si>
    <t>HAPPY BUDS 72'S</t>
  </si>
  <si>
    <t>HAPPY COTTON 12G</t>
  </si>
  <si>
    <t>24 ROLLS</t>
  </si>
  <si>
    <t>HAPPY DIAPER BLUE LARGE 4'S</t>
  </si>
  <si>
    <t>12 PACKS</t>
  </si>
  <si>
    <t>HAPPY DIAPER BLUE MEDIUM 4'S</t>
  </si>
  <si>
    <t>HAPPY DIAPER BLUE SML 4'S</t>
  </si>
  <si>
    <t>HIMOX CAP 500MG</t>
  </si>
  <si>
    <t>40 CAP</t>
  </si>
  <si>
    <t>HYDRITE GRANULES BANANA FLVR</t>
  </si>
  <si>
    <t>10SACHETS</t>
  </si>
  <si>
    <t>10 SACHETS</t>
  </si>
  <si>
    <t xml:space="preserve">IMODIUM CAP </t>
  </si>
  <si>
    <t>50 CAP</t>
  </si>
  <si>
    <t>50 CAPS</t>
  </si>
  <si>
    <t>ITERAX TAB 10MG</t>
  </si>
  <si>
    <t>25 TAB</t>
  </si>
  <si>
    <t>ITERAX TAB 25MG</t>
  </si>
  <si>
    <t>JB COL. HEAVEN 25ML (WHITE)</t>
  </si>
  <si>
    <t>JB COL. HEAVEN 50ML (WHITE)</t>
  </si>
  <si>
    <t>JB COL. REG 25ML (BLUE)</t>
  </si>
  <si>
    <t>JB COL. REG 50ML (BLUE)</t>
  </si>
  <si>
    <t>JB COL. SLIDE 25ML</t>
  </si>
  <si>
    <t>JB COL. SLIDE 50ML</t>
  </si>
  <si>
    <t>JB POWDER BEDTIME  25G (VIOLET)</t>
  </si>
  <si>
    <t>12 BOT</t>
  </si>
  <si>
    <t xml:space="preserve">JB POWDER CLASSIC 25G (WHITE) </t>
  </si>
  <si>
    <t>JB POWDER MILK + RICE 25G (BLUE)</t>
  </si>
  <si>
    <t xml:space="preserve">JB POWDER PINK BLOSSOM 25G (PINK) </t>
  </si>
  <si>
    <t xml:space="preserve">JOHNSON BABY MILK SOAP 100G </t>
  </si>
  <si>
    <t>JOHNSON BABY SHAMPOO SOFT AND SHINY 100ML</t>
  </si>
  <si>
    <t>JOHNSON BABY SOAP 100G</t>
  </si>
  <si>
    <t>JOHNSON B-OIL 25ML</t>
  </si>
  <si>
    <t>JOHNSON B-OIL 50ML</t>
  </si>
  <si>
    <t>JOHNSON B-OIL ALOE 25ML</t>
  </si>
  <si>
    <t>JOHNSON B-OIL ALOE 50ML</t>
  </si>
  <si>
    <t>KATIALIS SMALL 5G</t>
  </si>
  <si>
    <t>JOHNSON B-OIL LITE 25ML</t>
  </si>
  <si>
    <t>JOHNSON B-OIL LITE 50ML</t>
  </si>
  <si>
    <t>JUICY COL ICYLICIOUS BLUE 25ML</t>
  </si>
  <si>
    <t>JUICY COL ICYLICIOUS BLUE 50ML</t>
  </si>
  <si>
    <t>JUICY COL. ANGEL'S BLISS PINK 25ML</t>
  </si>
  <si>
    <t>KREMIL S TAB</t>
  </si>
  <si>
    <t>32 TABS</t>
  </si>
  <si>
    <t>JUICY COL. ANGEL'S BLISS PINK 50ML</t>
  </si>
  <si>
    <t>JUICY COL. S SPRINKLE GREEN 25ML</t>
  </si>
  <si>
    <t>JUICY COL. S SPRINKLE GREEN 50ML</t>
  </si>
  <si>
    <t>KASTAIR EZ 5MG TAB</t>
  </si>
  <si>
    <t>1X28</t>
  </si>
  <si>
    <t>28 TABS</t>
  </si>
  <si>
    <t>KATIALIS LARGE 30G</t>
  </si>
  <si>
    <t>3PCS</t>
  </si>
  <si>
    <t>KATIALIS MEDIUM 15G</t>
  </si>
  <si>
    <t>LIPITOR TAB 20 MG</t>
  </si>
  <si>
    <t>18 PCS</t>
  </si>
  <si>
    <t>LIPITOR TAB 20MG</t>
  </si>
  <si>
    <t>KATINKO BIG 30G 12'S</t>
  </si>
  <si>
    <t>3 JAR</t>
  </si>
  <si>
    <t>LIPITOR TAB 40MG</t>
  </si>
  <si>
    <t>KATINKO SML 10G 12'S</t>
  </si>
  <si>
    <t>KOOL FEVER ADULT 6'S</t>
  </si>
  <si>
    <t>1 PCK (6 STRIPS)</t>
  </si>
  <si>
    <t>KOOL FEVER BABY 6'S</t>
  </si>
  <si>
    <t>KOOL FEVER KIDS 6'S</t>
  </si>
  <si>
    <t>KREMIL- S TAB</t>
  </si>
  <si>
    <t>20 TAB</t>
  </si>
  <si>
    <t>52 TABS</t>
  </si>
  <si>
    <t>LACTACYD LIQ 60ML</t>
  </si>
  <si>
    <t>LANOXIN .25MG TAB</t>
  </si>
  <si>
    <t>LILAC SYR 120ML</t>
  </si>
  <si>
    <t>LILAC SYR 60ML</t>
  </si>
  <si>
    <t>LIPITOR TAB 10MG</t>
  </si>
  <si>
    <t>LISTERINE COOLMINT 80ML</t>
  </si>
  <si>
    <t>LISTERINE FRESHBURST 80ML</t>
  </si>
  <si>
    <t xml:space="preserve">LLANOL TAB 100MG </t>
  </si>
  <si>
    <t>LLANOL TAB 300MG</t>
  </si>
  <si>
    <t xml:space="preserve">LOMOTIL TAB </t>
  </si>
  <si>
    <t>LYRICA 75MG CAP</t>
  </si>
  <si>
    <t>28 CAPS</t>
  </si>
  <si>
    <t>MAALOX NO.1 TAB</t>
  </si>
  <si>
    <t xml:space="preserve">MAALOX PLUS TAB </t>
  </si>
  <si>
    <t>MANZANILLA 25ML (IPI)</t>
  </si>
  <si>
    <t>MANZANILLA 50ML (IPI)</t>
  </si>
  <si>
    <t>MAXI PEEL #1 15ML</t>
  </si>
  <si>
    <t>MAXI PEEL #1 30ML</t>
  </si>
  <si>
    <t>MAXI PEEL #1 60ML</t>
  </si>
  <si>
    <t>MAXI PEEL #2 15ML</t>
  </si>
  <si>
    <t>MAXI PEEL #2 30ML</t>
  </si>
  <si>
    <t>MAXI PEEL #2 60ML</t>
  </si>
  <si>
    <t>MAXI PEEL #3 15ML</t>
  </si>
  <si>
    <t>MAXI PEEL #3 30ML</t>
  </si>
  <si>
    <t>MAXI PEEL #3 60ML</t>
  </si>
  <si>
    <t xml:space="preserve">MEDICOL ADV 200MG SOFTGEL CAP </t>
  </si>
  <si>
    <t>MEDIPLAST BANTAM STRIP 100'S</t>
  </si>
  <si>
    <t>1 BOX ( 100 PCS)</t>
  </si>
  <si>
    <t>MENA CRM</t>
  </si>
  <si>
    <t>MICARDIS PLUS 40MG</t>
  </si>
  <si>
    <t xml:space="preserve">MICARDIS PLUS 80MG </t>
  </si>
  <si>
    <t>MICARDIS TAB 40MG</t>
  </si>
  <si>
    <t xml:space="preserve">MICARDIS TAB 80MG </t>
  </si>
  <si>
    <t>MODESS MATERNITY NO-WINGS</t>
  </si>
  <si>
    <t>6 PACK</t>
  </si>
  <si>
    <t>6 PACKS</t>
  </si>
  <si>
    <t>MODESS REG MAXI NW 8'S</t>
  </si>
  <si>
    <t>MODESS SINLES 12'S</t>
  </si>
  <si>
    <t>2 PACKS</t>
  </si>
  <si>
    <t>MODESS W WINGS COTTON 8'S</t>
  </si>
  <si>
    <t>MONTIGET 10MG TAB</t>
  </si>
  <si>
    <t>1X14</t>
  </si>
  <si>
    <t>14 TABS</t>
  </si>
  <si>
    <t xml:space="preserve">NEOZEP FORTE TAB </t>
  </si>
  <si>
    <t>MONTIGET 4MG CHEWABLE TAB</t>
  </si>
  <si>
    <t xml:space="preserve">MONTIGET 4MG GRANULES </t>
  </si>
  <si>
    <t>NEOZEP ORAL DROPS 10ML</t>
  </si>
  <si>
    <t>MONTIGET 5MG CHEWABLE TAB</t>
  </si>
  <si>
    <t>MUCOSOLVAN RETARD 75MG</t>
  </si>
  <si>
    <t>MUCOSOLVAN TAB</t>
  </si>
  <si>
    <t>MX3 500MG CAP</t>
  </si>
  <si>
    <t>MX3 COFFEE</t>
  </si>
  <si>
    <t xml:space="preserve">MYRA 400 E CAP </t>
  </si>
  <si>
    <t>32 CAPS</t>
  </si>
  <si>
    <t>NORVASC TAB 10MG</t>
  </si>
  <si>
    <t xml:space="preserve">NAIL POLISH REMOVER 30ML </t>
  </si>
  <si>
    <t>NORVASC TAB 5MG</t>
  </si>
  <si>
    <t xml:space="preserve">NORVASC TAB 5MG </t>
  </si>
  <si>
    <t>NEOBLOC TAB 100MG</t>
  </si>
  <si>
    <t>30 TAB</t>
  </si>
  <si>
    <t>NEOBLOC TAB 50MG</t>
  </si>
  <si>
    <t>50 TAB</t>
  </si>
  <si>
    <t xml:space="preserve">50 TABS </t>
  </si>
  <si>
    <t>NEOZEP FORTE TAB</t>
  </si>
  <si>
    <t>NEOZEP NON DROWSY TAB</t>
  </si>
  <si>
    <t>NEOZEP SYR 60ML</t>
  </si>
  <si>
    <t>NEUROBION TAB</t>
  </si>
  <si>
    <t>NEUROGEN E TAB</t>
  </si>
  <si>
    <t>32 TABS @10.50 R8</t>
  </si>
  <si>
    <t>2O TABS</t>
  </si>
  <si>
    <t>NEXIUM 40MG TAB</t>
  </si>
  <si>
    <t>NORGESIC TAB</t>
  </si>
  <si>
    <t>NUTRILIN PEDTECH DRP 15ML</t>
  </si>
  <si>
    <t>NUTRILIN PEDTECH DRP 30ML</t>
  </si>
  <si>
    <t>NUTRILIN PEDTECH SYR 120ML</t>
  </si>
  <si>
    <t>OFF LOTION KIDS 100ML</t>
  </si>
  <si>
    <t xml:space="preserve">3 TUBES </t>
  </si>
  <si>
    <t>OFF OVERTIME LOTION 100ML</t>
  </si>
  <si>
    <t>OMEGA 120ML</t>
  </si>
  <si>
    <t>OMEGA 15ML</t>
  </si>
  <si>
    <t>OMEGA 30ML</t>
  </si>
  <si>
    <t>OMEGA 60ML</t>
  </si>
  <si>
    <t>PAU LINIMENT 10ML PAULITO (ALDRTZ)</t>
  </si>
  <si>
    <t>2PCS</t>
  </si>
  <si>
    <t xml:space="preserve">PAU LINIMENT 30ML </t>
  </si>
  <si>
    <t xml:space="preserve">PAU LINIMENT 60ML </t>
  </si>
  <si>
    <t>PH CARE COOL WIND 50ML</t>
  </si>
  <si>
    <t xml:space="preserve">PH CARE COOL WIND SACHET </t>
  </si>
  <si>
    <t>PH CARE FRESH BLOSSOMS FEW 50ML</t>
  </si>
  <si>
    <t>PH CARE NATURAL GUAVA 50ML</t>
  </si>
  <si>
    <t>PH CARE PASSIONATE BLOOM 50ML</t>
  </si>
  <si>
    <t xml:space="preserve">PLAVIX 75MG TAB </t>
  </si>
  <si>
    <t>PLEMEX FOR KIDS 60ML</t>
  </si>
  <si>
    <t>PLEMEX FORTE 60ML</t>
  </si>
  <si>
    <t>PLEMEX FORTE CAP</t>
  </si>
  <si>
    <t>POLYNERV 1000MG TAB</t>
  </si>
  <si>
    <t>16 TAB</t>
  </si>
  <si>
    <t>16 TABS</t>
  </si>
  <si>
    <t>POLYNERV TAB 500MG</t>
  </si>
  <si>
    <t>PONDS BLACK FACIAL FOAM 4G</t>
  </si>
  <si>
    <t>PONDS CLR SOLUTIONS F SCRUB SAC 10G 12'S</t>
  </si>
  <si>
    <t>PONDS PERFECT CARE F. WASH 10G 12'S</t>
  </si>
  <si>
    <t>PONSTAN SF CAP 500MG</t>
  </si>
  <si>
    <t xml:space="preserve">POTEN CEE FORTE TAB </t>
  </si>
  <si>
    <t>RISEK 20 MG CAP</t>
  </si>
  <si>
    <t>POTEN CEE SUGAR FREE TAB</t>
  </si>
  <si>
    <t xml:space="preserve">POTEN CEE TAB </t>
  </si>
  <si>
    <t xml:space="preserve">PRED 10 TAB 10MG </t>
  </si>
  <si>
    <t>PROPAN TLC DROPS 15ML</t>
  </si>
  <si>
    <t>PROPAN TLC SYR 120 ML</t>
  </si>
  <si>
    <t>PROPAN TLC SYR 60ML</t>
  </si>
  <si>
    <t>RELEAF FORTE 500MG</t>
  </si>
  <si>
    <t>REVICON (FLEX) FOIL TAB</t>
  </si>
  <si>
    <t>REXONA DEO LOT 3ML MEN 1CE COOL 12'S</t>
  </si>
  <si>
    <t>REXONA DEO LOT 3ML MEN QUANTUM 12'S</t>
  </si>
  <si>
    <t>REXONA DEO LOT 3ML WOMEN PASSION 12'S</t>
  </si>
  <si>
    <t>REXONA DEO LOT 3ML WOMEN POWDER DRY 12'S</t>
  </si>
  <si>
    <t>REXONA DEO LOT 3ML WOMEN SHOWER CLEAN 12'S</t>
  </si>
  <si>
    <t xml:space="preserve">SINECOD FORTE TAB </t>
  </si>
  <si>
    <t>REXONA MINI ROLL 0N MEN ICE COOL</t>
  </si>
  <si>
    <t>8 PCS</t>
  </si>
  <si>
    <t>REXONA MINI ROLL 0N MEN QUANTUM</t>
  </si>
  <si>
    <t>REXONA MINI ROLL 0N WOMEN PASSIOMN</t>
  </si>
  <si>
    <t>SOLMUX CAP 500MG</t>
  </si>
  <si>
    <t>REXONA MINI ROLL 0N WOMEN SHOWER CLEAN</t>
  </si>
  <si>
    <t>RISEK 20MG CAP</t>
  </si>
  <si>
    <t>14 CAPS</t>
  </si>
  <si>
    <t>RISEK 40MG CAP</t>
  </si>
  <si>
    <t>ROBITUSSIN DM 120ML</t>
  </si>
  <si>
    <t>SOLMUX SUSP 200MG 60ML</t>
  </si>
  <si>
    <t>ROBITUSSIN DM 60ML</t>
  </si>
  <si>
    <t>ROBITUSSIN L-GEL 200MG CAP</t>
  </si>
  <si>
    <t xml:space="preserve">SAFEGUARD WHITE 135G PURE </t>
  </si>
  <si>
    <t>SALONPASS PATCH 10'S</t>
  </si>
  <si>
    <t>3 PACKS( 10 PATCHES)</t>
  </si>
  <si>
    <t>SENOKOT 187MG TAB</t>
  </si>
  <si>
    <t>SERC TAB 16MG</t>
  </si>
  <si>
    <t>SERC TAB 8MG</t>
  </si>
  <si>
    <t>SILKA GRN PAPAYA SOAP 135G</t>
  </si>
  <si>
    <t>SILKA PAPAYA SOAP 135G</t>
  </si>
  <si>
    <t>SINECOD FORTE TAB</t>
  </si>
  <si>
    <t>SINUPRET TAB</t>
  </si>
  <si>
    <t xml:space="preserve">SKELAN 550MG </t>
  </si>
  <si>
    <t>SOLMUX DRP 15ML</t>
  </si>
  <si>
    <t>SOLMUX FORTE 60ML</t>
  </si>
  <si>
    <t>SOLMUX PEDIA 100MG 60ML</t>
  </si>
  <si>
    <t>STREPSILS COOL (MENTHOL) 36X8'S</t>
  </si>
  <si>
    <t>3 SACHETS</t>
  </si>
  <si>
    <t>STREPSILS H-LEMON 36X8'S</t>
  </si>
  <si>
    <t>STREPSILS ORANGE 36X8'S</t>
  </si>
  <si>
    <t>STREPSILS REGULAR 36X8'S</t>
  </si>
  <si>
    <t>TEMPRA DRP 15ML ORANGE</t>
  </si>
  <si>
    <t>TEMPRA FORTE SYR 60ML ORANGE</t>
  </si>
  <si>
    <t>TEMPRA SYR 60ML ORANGE</t>
  </si>
  <si>
    <t>TEMPRA SYR 60ML STRAW</t>
  </si>
  <si>
    <t xml:space="preserve">THOSE DAYS NON WING </t>
  </si>
  <si>
    <t>5CS</t>
  </si>
  <si>
    <t>TIKI TIKI DRP 15ML</t>
  </si>
  <si>
    <t>TIKI TIKI DRP 30ML</t>
  </si>
  <si>
    <t>TIKI TIKI STAR SYR 120ML</t>
  </si>
  <si>
    <t>TIKI TIKI STAR SYR 60ML</t>
  </si>
  <si>
    <t>TRAJENTA 5MG</t>
  </si>
  <si>
    <t xml:space="preserve">TUSERAN FORTE CAP </t>
  </si>
  <si>
    <t>TWYNSTA 40MG/5MG TAB</t>
  </si>
  <si>
    <t>VENTOLIN 2MG/5ML SYR 60ML ORANGE</t>
  </si>
  <si>
    <t>VENTOLIN NEBULES 2.5MG 20'S</t>
  </si>
  <si>
    <t>20 NEBS</t>
  </si>
  <si>
    <t>VICKS BABYRUB 50G</t>
  </si>
  <si>
    <t>VICKS FORMULA 44 100ML</t>
  </si>
  <si>
    <t>VICKS FORMULA 44 54ML</t>
  </si>
  <si>
    <t>VICKS INHALER KEY CHAIN 6'S</t>
  </si>
  <si>
    <t>1X6</t>
  </si>
  <si>
    <t>VICKS VAPORUB 10G</t>
  </si>
  <si>
    <t>VICKS VAPORUB 5G</t>
  </si>
  <si>
    <t>WHISPER COTTONY CLEAN WITH WING (PINK）8‘s</t>
  </si>
  <si>
    <t>3 pcs</t>
  </si>
  <si>
    <t>WHISPER SUPER CLEAN &amp; DRY NO WINGS 8'S (VIOLET)</t>
  </si>
  <si>
    <t>WHISPER SUPER CLEAN &amp; DRY WITH WINGS 8'S (VIOLET)</t>
  </si>
  <si>
    <t>WHITE FLOWER NO.5</t>
  </si>
  <si>
    <t>ZEGEN 500MG CAP</t>
  </si>
  <si>
    <t>12 CAPS</t>
  </si>
  <si>
    <t>ZINNAT 125MG SUSP 50ML</t>
  </si>
  <si>
    <t>ZINNAT 250MG SUSP 50ML</t>
  </si>
  <si>
    <t>ZINNAT 500MG TAB</t>
  </si>
  <si>
    <t>ZYKAST 10MG/5MG TAB</t>
  </si>
  <si>
    <t>BENADRYL COUGH SYR 60ML</t>
  </si>
  <si>
    <t>CHILLI PLASTER 1/4</t>
  </si>
  <si>
    <t>COLCHICINE 500MG TAB (RHEA)</t>
  </si>
  <si>
    <t>DIANE 35 TAB</t>
  </si>
  <si>
    <t>LACTACYD PROTECTING DAILY FEM WASH 60ML</t>
  </si>
  <si>
    <t>MEDIPLAST GAUZE PAD 4X4</t>
  </si>
  <si>
    <t>PETROLEUM JELLY 100G (APOLLO)</t>
  </si>
  <si>
    <t>PETROLEUM JELLY 25G (APOLLO)</t>
  </si>
  <si>
    <t>PETROLEUM JELLY 50G (APOLLO)</t>
  </si>
  <si>
    <t>PHAREX VIT B1+B6+B12</t>
  </si>
  <si>
    <t>PLACENTA SOAP CLASSIC 135G (PSALMSTRE)</t>
  </si>
  <si>
    <t>PLASIL TAB</t>
  </si>
  <si>
    <t xml:space="preserve">SANGOBION IRON PLUS CAP </t>
  </si>
  <si>
    <t>TAWAS POWDER 50G (HAILEYS)</t>
  </si>
  <si>
    <t>TRAJENTA DUO 2.5MG/500MG</t>
  </si>
  <si>
    <t>TWYNSTA 40MG/10MG TAB</t>
  </si>
  <si>
    <t>VENTOLIN 100MCG INHALER</t>
  </si>
  <si>
    <t xml:space="preserve">CEELIN PLUS CHEWABLES TAB </t>
  </si>
  <si>
    <t>CENTRUM SILVER ADVANCE TAB</t>
  </si>
  <si>
    <t>CHERIFER PGM10-22 CAP</t>
  </si>
  <si>
    <t>CHERIFER SYR 120ML</t>
  </si>
  <si>
    <t>CHERIFER SYR 240ML</t>
  </si>
  <si>
    <t>CHIN CHUN SU BLUE</t>
  </si>
  <si>
    <t>CHIN CHUN SU PINK</t>
  </si>
  <si>
    <t>DECOLGEN FORTE CAPLET</t>
  </si>
  <si>
    <t>GROWEE PEDTECH DRP 15ML</t>
  </si>
  <si>
    <t>GROWEE PEDTECH SYR 120ML</t>
  </si>
  <si>
    <t>MICROPORE 12MMx2.5M</t>
  </si>
  <si>
    <t>POLIDENT ADHESIVE CREAM 20G</t>
  </si>
  <si>
    <t>RDL BABYFACE #1 30ML</t>
  </si>
  <si>
    <t>RDL BABYFACE #1 60ML</t>
  </si>
  <si>
    <t>RDL BABYFACE #2 30ML</t>
  </si>
  <si>
    <t>RDL BABYFACE #2 60ML</t>
  </si>
  <si>
    <t>RDL BABYFACE #3 30ML</t>
  </si>
  <si>
    <t>RDL BABYFACE #3 60ML</t>
  </si>
  <si>
    <t>BUSCOPAN VENUS TAB 10MG/500MG TAB</t>
  </si>
  <si>
    <t>EQ DRY DIAPER MEDIUM</t>
  </si>
  <si>
    <t>EQ DRY DIAPER NEWBORN</t>
  </si>
  <si>
    <t>FERLIN DRP 15ML</t>
  </si>
  <si>
    <t>FERLIN SYR 120ML</t>
  </si>
  <si>
    <t>FLAGYL SYR 60ML</t>
  </si>
  <si>
    <t>HAPPY COTTON BALLS 150'S</t>
  </si>
  <si>
    <t>SOLOSA TAB 2MG</t>
  </si>
  <si>
    <t>TEMPRA FORTE TAB 500MG</t>
  </si>
  <si>
    <t>CENTRUM ADVANCE TAB</t>
  </si>
  <si>
    <t>DOLFENAL TAB 5OOMG</t>
  </si>
  <si>
    <t>JOHN JERIC: INVENTORY FOR JUNE 2 - JUNE 30, 2018</t>
  </si>
  <si>
    <t>JUNE 2 - JUNE 9</t>
  </si>
  <si>
    <t>JUNE 10 - JUNE 16</t>
  </si>
  <si>
    <t>JUNE 17 - JUNE 23</t>
  </si>
  <si>
    <t>JUNE 24 - JUNE 30</t>
  </si>
  <si>
    <t>OUT/IN/END</t>
  </si>
  <si>
    <t>1 PACK (12PCs）</t>
  </si>
  <si>
    <t>HALE: INVENTORY FOR JUNE 2 - JUNE 30, 2018</t>
  </si>
  <si>
    <t>DICLOFENAC (ARTISIN-S) 50MG TABLET 100'S</t>
  </si>
  <si>
    <t>1 BOX (1OO'S)</t>
  </si>
  <si>
    <t>ERYTHROMYCIN (PERTUSTAT-500) 500MG TAB</t>
  </si>
  <si>
    <t>MEDICINE CUP 30ML</t>
  </si>
  <si>
    <t>MEFENAMIC ACID (MEGYXAN) SAPPHIRE 500MG CAP</t>
  </si>
  <si>
    <t>1 BOX (       'S)</t>
  </si>
  <si>
    <t>R8: INVENTORY FOR JUNE 2 - JUNE 30, 2018</t>
  </si>
  <si>
    <t>ISOSORBIDE 30MG TAB NITROFIX (MICRO LABS)</t>
  </si>
  <si>
    <t>NEUROGEN E TABLET (B COMPLEX + VIT E)</t>
  </si>
  <si>
    <t>32 PCS</t>
  </si>
  <si>
    <t xml:space="preserve">TOTAL EXPENSES FOR JUNE 2, 2018 </t>
  </si>
  <si>
    <t>*NOTE: BABY WIPES WAS INCLUDED IN THE 1ST INVENTORY</t>
  </si>
  <si>
    <t>NORVIC: INVENTORY FOR JUNE 2 - JUNE 30, 2018</t>
  </si>
  <si>
    <t>180/BOX; 8/PC</t>
  </si>
  <si>
    <t>160/BOX; 7/PC</t>
  </si>
  <si>
    <t>KASTAIREZ 5MG TAB</t>
  </si>
  <si>
    <t>42/PACK; 6/PC</t>
  </si>
  <si>
    <t>47/PACK; 6.50/PC</t>
  </si>
  <si>
    <t>48/PACK; 7/PC</t>
  </si>
  <si>
    <t xml:space="preserve">TOTAL </t>
  </si>
  <si>
    <t>*with highlights (included in 1st inventory)</t>
  </si>
  <si>
    <t>JOHN JERIC: INVENTORY FOR JUNE 9 - JUNE 30, 2018</t>
  </si>
  <si>
    <t>JUNE 09 - JUNE 16</t>
  </si>
  <si>
    <t>*with highlights (included in 1st &amp; 2nd inventory)</t>
  </si>
  <si>
    <t>NORVIC: INVENTORY FOR JUNE 09 - JUNE 30, 2018</t>
  </si>
  <si>
    <t>BILI JAVEE</t>
  </si>
  <si>
    <t>SRP JAVEE</t>
  </si>
  <si>
    <t>BILI NORVIC</t>
  </si>
  <si>
    <t>SRP LANTING</t>
  </si>
  <si>
    <t>SRP FOR JAVEE</t>
  </si>
  <si>
    <t>KITA</t>
  </si>
  <si>
    <t>BIOGESIC</t>
  </si>
  <si>
    <t>NEOZEP</t>
  </si>
  <si>
    <t>BIOFLU</t>
  </si>
  <si>
    <t xml:space="preserve">ALAXAN FR </t>
  </si>
  <si>
    <t>MEDICOL</t>
  </si>
  <si>
    <t>SOLMUX</t>
  </si>
  <si>
    <t>DECOLGEN</t>
  </si>
  <si>
    <t>TUSERAN</t>
  </si>
  <si>
    <t xml:space="preserve">KREMILS </t>
  </si>
  <si>
    <t>DIATABS</t>
  </si>
  <si>
    <t>AMOX 500</t>
  </si>
  <si>
    <t>MEFENAMIC 500</t>
  </si>
  <si>
    <t>LOMOTIL</t>
  </si>
  <si>
    <t>IMODIUM</t>
  </si>
  <si>
    <t>PONSTAN 500</t>
  </si>
  <si>
    <t>DOLFENAL 500</t>
  </si>
  <si>
    <t>FLANAX 500</t>
  </si>
  <si>
    <t>GARDAN 500</t>
  </si>
  <si>
    <t>BUSCOPAN</t>
  </si>
  <si>
    <t>ADVIL</t>
  </si>
  <si>
    <t>BONAMINE</t>
  </si>
  <si>
    <t>MUCOBRON</t>
  </si>
  <si>
    <t>REXIDOL</t>
  </si>
  <si>
    <t>AEROVENT</t>
  </si>
  <si>
    <t>LOSARTAN</t>
  </si>
  <si>
    <t>NEO KIDDIELETS</t>
  </si>
  <si>
    <t>RITEMED MEFE</t>
  </si>
  <si>
    <t>RITEMED AMOX</t>
  </si>
  <si>
    <t>NORVIC DRUG BRANDED: MASTERLIST AS OF JULY 15</t>
  </si>
  <si>
    <t>DATE OF INVENTORY</t>
  </si>
  <si>
    <t>KATINKO BIG 30G 12'S (OLD PRICE)</t>
  </si>
  <si>
    <t>KATINKO BIG 30G 12'S (NEW PRICE)</t>
  </si>
  <si>
    <t>28/PC</t>
  </si>
  <si>
    <t>JOHN JERIC MILK: MASTERLIST AS OF JULY 15</t>
  </si>
  <si>
    <t>ENSURE GOLD CHOCO  850G</t>
  </si>
  <si>
    <t xml:space="preserve">95; </t>
  </si>
  <si>
    <t>ATORVASTATIN 20MG TAB RANVAST (STEINBACH) -R8</t>
  </si>
  <si>
    <t>CEFUROXIME (ZEFSUR-500) 500MG TABLET 100'S</t>
  </si>
  <si>
    <t xml:space="preserve">CLARITHROMYCIN (CLLISTANEX FORTE) 500MG TABLET </t>
  </si>
  <si>
    <t>CLONIDINE (ALPHARES)75MCG TAB 100'S</t>
  </si>
  <si>
    <t xml:space="preserve">DICLOFENAV (ARTISIN-S)500MG TABLET </t>
  </si>
  <si>
    <t>ERYTHROMYCIN (PERTUSTAT-500)500MG TAB</t>
  </si>
  <si>
    <t>SIMVASTATIN (DIASTATIN) 20MG TABLET</t>
  </si>
  <si>
    <t>SIMVASTATIN (DIASTATIN) 40MG TABLET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</si>
</sst>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3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7.5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3" borderId="63" applyNumberFormat="0" applyAlignment="0" applyProtection="0">
      <alignment vertical="center"/>
    </xf>
    <xf numFmtId="0" fontId="17" fillId="0" borderId="61" applyNumberFormat="0" applyFill="0" applyAlignment="0" applyProtection="0">
      <alignment vertical="center"/>
    </xf>
    <xf numFmtId="0" fontId="0" fillId="18" borderId="6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6" borderId="64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0" fillId="30" borderId="6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30" borderId="64" applyNumberFormat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18" fillId="0" borderId="62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38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6" fontId="2" fillId="0" borderId="3" xfId="2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76" fontId="2" fillId="0" borderId="10" xfId="2" applyFont="1" applyBorder="1" applyAlignment="1">
      <alignment horizontal="center" vertical="center" wrapText="1"/>
    </xf>
    <xf numFmtId="176" fontId="2" fillId="0" borderId="8" xfId="2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14" xfId="0" applyBorder="1">
      <alignment vertical="center"/>
    </xf>
    <xf numFmtId="176" fontId="3" fillId="0" borderId="14" xfId="2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0" fillId="0" borderId="16" xfId="0" applyBorder="1">
      <alignment vertical="center"/>
    </xf>
    <xf numFmtId="176" fontId="3" fillId="0" borderId="16" xfId="2" applyFont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0" fillId="2" borderId="16" xfId="0" applyFill="1" applyBorder="1">
      <alignment vertical="center"/>
    </xf>
    <xf numFmtId="176" fontId="3" fillId="2" borderId="16" xfId="2" applyFont="1" applyFill="1" applyBorder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0" fillId="0" borderId="22" xfId="0" applyBorder="1">
      <alignment vertical="center"/>
    </xf>
    <xf numFmtId="176" fontId="3" fillId="0" borderId="22" xfId="2" applyFont="1" applyBorder="1">
      <alignment vertical="center"/>
    </xf>
    <xf numFmtId="176" fontId="3" fillId="0" borderId="0" xfId="2" applyFont="1">
      <alignment vertical="center"/>
    </xf>
    <xf numFmtId="176" fontId="0" fillId="0" borderId="0" xfId="2">
      <alignment vertical="center"/>
    </xf>
    <xf numFmtId="0" fontId="3" fillId="0" borderId="23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5" xfId="0" applyFont="1" applyBorder="1">
      <alignment vertical="center"/>
    </xf>
    <xf numFmtId="176" fontId="4" fillId="0" borderId="3" xfId="2" applyFont="1" applyBorder="1">
      <alignment vertical="center"/>
    </xf>
    <xf numFmtId="176" fontId="4" fillId="0" borderId="6" xfId="2" applyFont="1" applyBorder="1">
      <alignment vertical="center"/>
    </xf>
    <xf numFmtId="176" fontId="4" fillId="0" borderId="4" xfId="2" applyFont="1" applyBorder="1">
      <alignment vertical="center"/>
    </xf>
    <xf numFmtId="176" fontId="4" fillId="0" borderId="14" xfId="2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24" xfId="0" applyFont="1" applyBorder="1">
      <alignment vertical="center"/>
    </xf>
    <xf numFmtId="176" fontId="4" fillId="0" borderId="25" xfId="2" applyFont="1" applyBorder="1">
      <alignment vertical="center"/>
    </xf>
    <xf numFmtId="176" fontId="4" fillId="0" borderId="26" xfId="2" applyFont="1" applyBorder="1">
      <alignment vertical="center"/>
    </xf>
    <xf numFmtId="176" fontId="4" fillId="0" borderId="27" xfId="2" applyFont="1" applyBorder="1">
      <alignment vertical="center"/>
    </xf>
    <xf numFmtId="176" fontId="4" fillId="0" borderId="16" xfId="2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8" xfId="0" applyFont="1" applyBorder="1">
      <alignment vertical="center"/>
    </xf>
    <xf numFmtId="176" fontId="4" fillId="0" borderId="29" xfId="2" applyFont="1" applyBorder="1">
      <alignment vertical="center"/>
    </xf>
    <xf numFmtId="176" fontId="4" fillId="0" borderId="30" xfId="2" applyFont="1" applyBorder="1">
      <alignment vertical="center"/>
    </xf>
    <xf numFmtId="176" fontId="4" fillId="0" borderId="31" xfId="2" applyFont="1" applyBorder="1">
      <alignment vertical="center"/>
    </xf>
    <xf numFmtId="176" fontId="4" fillId="0" borderId="22" xfId="2" applyFont="1" applyBorder="1">
      <alignment vertical="center"/>
    </xf>
    <xf numFmtId="0" fontId="4" fillId="0" borderId="0" xfId="0" applyFont="1">
      <alignment vertical="center"/>
    </xf>
    <xf numFmtId="176" fontId="4" fillId="0" borderId="0" xfId="2" applyFont="1">
      <alignment vertical="center"/>
    </xf>
    <xf numFmtId="176" fontId="4" fillId="0" borderId="19" xfId="2" applyFont="1" applyBorder="1">
      <alignment vertical="center"/>
    </xf>
    <xf numFmtId="176" fontId="4" fillId="0" borderId="20" xfId="2" applyFont="1" applyBorder="1">
      <alignment vertical="center"/>
    </xf>
    <xf numFmtId="176" fontId="4" fillId="0" borderId="23" xfId="2" applyFont="1" applyBorder="1">
      <alignment vertical="center"/>
    </xf>
    <xf numFmtId="0" fontId="5" fillId="0" borderId="0" xfId="0" applyFont="1">
      <alignment vertical="center"/>
    </xf>
    <xf numFmtId="0" fontId="2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76" fontId="2" fillId="0" borderId="32" xfId="2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76" fontId="2" fillId="0" borderId="28" xfId="2" applyFont="1" applyBorder="1" applyAlignment="1">
      <alignment horizontal="center" vertical="center" wrapText="1"/>
    </xf>
    <xf numFmtId="176" fontId="2" fillId="0" borderId="29" xfId="2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176" fontId="4" fillId="0" borderId="5" xfId="2" applyFont="1" applyBorder="1" applyAlignment="1">
      <alignment horizontal="center" vertical="center"/>
    </xf>
    <xf numFmtId="176" fontId="4" fillId="0" borderId="3" xfId="2" applyFont="1" applyBorder="1" applyAlignment="1">
      <alignment horizontal="center" vertical="center"/>
    </xf>
    <xf numFmtId="176" fontId="4" fillId="0" borderId="36" xfId="2" applyFont="1" applyBorder="1" applyAlignment="1">
      <alignment horizontal="center" vertical="center"/>
    </xf>
    <xf numFmtId="0" fontId="0" fillId="0" borderId="13" xfId="0" applyBorder="1">
      <alignment vertical="center"/>
    </xf>
    <xf numFmtId="0" fontId="5" fillId="0" borderId="25" xfId="0" applyFont="1" applyBorder="1">
      <alignment vertical="center"/>
    </xf>
    <xf numFmtId="0" fontId="4" fillId="2" borderId="27" xfId="0" applyFont="1" applyFill="1" applyBorder="1" applyAlignment="1">
      <alignment horizontal="center" vertical="center"/>
    </xf>
    <xf numFmtId="176" fontId="4" fillId="0" borderId="24" xfId="2" applyFont="1" applyBorder="1" applyAlignment="1">
      <alignment horizontal="center" vertical="center"/>
    </xf>
    <xf numFmtId="176" fontId="4" fillId="0" borderId="25" xfId="2" applyFont="1" applyBorder="1" applyAlignment="1">
      <alignment horizontal="center" vertical="center"/>
    </xf>
    <xf numFmtId="176" fontId="4" fillId="0" borderId="37" xfId="2" applyFont="1" applyBorder="1" applyAlignment="1">
      <alignment horizontal="center" vertical="center"/>
    </xf>
    <xf numFmtId="0" fontId="0" fillId="0" borderId="15" xfId="0" applyBorder="1">
      <alignment vertical="center"/>
    </xf>
    <xf numFmtId="0" fontId="5" fillId="2" borderId="25" xfId="0" applyFont="1" applyFill="1" applyBorder="1">
      <alignment vertical="center"/>
    </xf>
    <xf numFmtId="176" fontId="4" fillId="2" borderId="24" xfId="2" applyFont="1" applyFill="1" applyBorder="1" applyAlignment="1">
      <alignment horizontal="center" vertical="center"/>
    </xf>
    <xf numFmtId="176" fontId="4" fillId="2" borderId="25" xfId="2" applyFont="1" applyFill="1" applyBorder="1" applyAlignment="1">
      <alignment horizontal="center" vertical="center"/>
    </xf>
    <xf numFmtId="176" fontId="4" fillId="2" borderId="37" xfId="2" applyFont="1" applyFill="1" applyBorder="1" applyAlignment="1">
      <alignment horizontal="center" vertical="center"/>
    </xf>
    <xf numFmtId="0" fontId="5" fillId="0" borderId="25" xfId="0" applyFont="1" applyFill="1" applyBorder="1">
      <alignment vertical="center"/>
    </xf>
    <xf numFmtId="0" fontId="4" fillId="0" borderId="27" xfId="0" applyFont="1" applyFill="1" applyBorder="1" applyAlignment="1">
      <alignment horizontal="center" vertical="center"/>
    </xf>
    <xf numFmtId="176" fontId="4" fillId="0" borderId="24" xfId="2" applyFont="1" applyFill="1" applyBorder="1" applyAlignment="1">
      <alignment horizontal="center" vertical="center"/>
    </xf>
    <xf numFmtId="176" fontId="4" fillId="0" borderId="25" xfId="2" applyFont="1" applyFill="1" applyBorder="1" applyAlignment="1">
      <alignment horizontal="center" vertical="center"/>
    </xf>
    <xf numFmtId="176" fontId="4" fillId="0" borderId="37" xfId="2" applyFont="1" applyFill="1" applyBorder="1" applyAlignment="1">
      <alignment horizontal="center" vertical="center"/>
    </xf>
    <xf numFmtId="176" fontId="4" fillId="0" borderId="37" xfId="2" applyFont="1" applyBorder="1" applyAlignment="1">
      <alignment horizontal="center" vertical="center" wrapText="1"/>
    </xf>
    <xf numFmtId="176" fontId="4" fillId="0" borderId="25" xfId="2" applyFont="1" applyBorder="1" applyAlignment="1">
      <alignment horizontal="center" vertical="center" wrapText="1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176" fontId="4" fillId="0" borderId="25" xfId="2" applyFont="1" applyFill="1" applyBorder="1">
      <alignment vertical="center"/>
    </xf>
    <xf numFmtId="176" fontId="4" fillId="0" borderId="37" xfId="2" applyFont="1" applyFill="1" applyBorder="1">
      <alignment vertical="center"/>
    </xf>
    <xf numFmtId="176" fontId="0" fillId="0" borderId="15" xfId="2" applyBorder="1">
      <alignment vertical="center"/>
    </xf>
    <xf numFmtId="176" fontId="0" fillId="0" borderId="16" xfId="2" applyBorder="1">
      <alignment vertical="center"/>
    </xf>
    <xf numFmtId="0" fontId="1" fillId="0" borderId="38" xfId="0" applyFont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3" borderId="25" xfId="0" applyFont="1" applyFill="1" applyBorder="1">
      <alignment vertical="center"/>
    </xf>
    <xf numFmtId="0" fontId="4" fillId="3" borderId="27" xfId="0" applyFont="1" applyFill="1" applyBorder="1" applyAlignment="1">
      <alignment horizontal="center" vertical="center"/>
    </xf>
    <xf numFmtId="176" fontId="4" fillId="3" borderId="24" xfId="2" applyFont="1" applyFill="1" applyBorder="1" applyAlignment="1">
      <alignment horizontal="center" vertical="center"/>
    </xf>
    <xf numFmtId="176" fontId="4" fillId="3" borderId="25" xfId="2" applyFont="1" applyFill="1" applyBorder="1" applyAlignment="1">
      <alignment horizontal="center" vertical="center"/>
    </xf>
    <xf numFmtId="176" fontId="4" fillId="3" borderId="37" xfId="2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4" xfId="0" applyFont="1" applyFill="1" applyBorder="1">
      <alignment vertical="center"/>
    </xf>
    <xf numFmtId="176" fontId="4" fillId="3" borderId="25" xfId="2" applyFont="1" applyFill="1" applyBorder="1">
      <alignment vertical="center"/>
    </xf>
    <xf numFmtId="176" fontId="4" fillId="3" borderId="37" xfId="2" applyFont="1" applyFill="1" applyBorder="1">
      <alignment vertical="center"/>
    </xf>
    <xf numFmtId="0" fontId="5" fillId="0" borderId="29" xfId="0" applyFont="1" applyBorder="1">
      <alignment vertical="center"/>
    </xf>
    <xf numFmtId="0" fontId="4" fillId="2" borderId="31" xfId="0" applyFont="1" applyFill="1" applyBorder="1" applyAlignment="1">
      <alignment horizontal="center" vertical="center"/>
    </xf>
    <xf numFmtId="176" fontId="4" fillId="0" borderId="28" xfId="2" applyFont="1" applyBorder="1" applyAlignment="1">
      <alignment horizontal="center" vertical="center"/>
    </xf>
    <xf numFmtId="176" fontId="4" fillId="0" borderId="29" xfId="2" applyFont="1" applyBorder="1" applyAlignment="1">
      <alignment horizontal="center" vertical="center"/>
    </xf>
    <xf numFmtId="176" fontId="4" fillId="0" borderId="39" xfId="2" applyFont="1" applyBorder="1" applyAlignment="1">
      <alignment horizontal="center" vertical="center"/>
    </xf>
    <xf numFmtId="0" fontId="0" fillId="0" borderId="21" xfId="0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4" fillId="0" borderId="0" xfId="2" applyFont="1" applyFill="1">
      <alignment vertical="center"/>
    </xf>
    <xf numFmtId="176" fontId="0" fillId="0" borderId="22" xfId="2" applyBorder="1">
      <alignment vertical="center"/>
    </xf>
    <xf numFmtId="0" fontId="0" fillId="0" borderId="23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7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76" fontId="2" fillId="0" borderId="43" xfId="2" applyFont="1" applyBorder="1" applyAlignment="1">
      <alignment horizontal="center" vertical="center" wrapText="1"/>
    </xf>
    <xf numFmtId="176" fontId="2" fillId="0" borderId="44" xfId="2" applyFont="1" applyBorder="1" applyAlignment="1">
      <alignment horizontal="center" vertical="center" wrapText="1"/>
    </xf>
    <xf numFmtId="176" fontId="2" fillId="0" borderId="7" xfId="2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176" fontId="2" fillId="0" borderId="46" xfId="2" applyFont="1" applyBorder="1" applyAlignment="1">
      <alignment horizontal="center" vertical="center" wrapText="1"/>
    </xf>
    <xf numFmtId="176" fontId="2" fillId="0" borderId="45" xfId="2" applyFont="1" applyBorder="1" applyAlignment="1">
      <alignment horizontal="center" vertical="center" wrapText="1"/>
    </xf>
    <xf numFmtId="176" fontId="2" fillId="0" borderId="0" xfId="2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2" borderId="3" xfId="0" applyFont="1" applyFill="1" applyBorder="1">
      <alignment vertical="center"/>
    </xf>
    <xf numFmtId="0" fontId="4" fillId="2" borderId="13" xfId="0" applyFont="1" applyFill="1" applyBorder="1" applyAlignment="1">
      <alignment horizontal="center" vertical="center"/>
    </xf>
    <xf numFmtId="176" fontId="4" fillId="2" borderId="14" xfId="2" applyFont="1" applyFill="1" applyBorder="1" applyAlignment="1">
      <alignment horizontal="center" vertical="center"/>
    </xf>
    <xf numFmtId="176" fontId="4" fillId="2" borderId="19" xfId="2" applyFont="1" applyFill="1" applyBorder="1" applyAlignment="1">
      <alignment horizontal="center" vertical="center"/>
    </xf>
    <xf numFmtId="176" fontId="4" fillId="2" borderId="4" xfId="2" applyFont="1" applyFill="1" applyBorder="1" applyAlignment="1">
      <alignment horizontal="center" vertical="center"/>
    </xf>
    <xf numFmtId="0" fontId="6" fillId="0" borderId="25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176" fontId="4" fillId="0" borderId="16" xfId="2" applyFont="1" applyBorder="1" applyAlignment="1">
      <alignment horizontal="center" vertical="center"/>
    </xf>
    <xf numFmtId="176" fontId="4" fillId="0" borderId="20" xfId="2" applyFont="1" applyBorder="1" applyAlignment="1">
      <alignment horizontal="center" vertical="center"/>
    </xf>
    <xf numFmtId="176" fontId="4" fillId="0" borderId="27" xfId="2" applyFont="1" applyBorder="1" applyAlignment="1">
      <alignment horizontal="center" vertical="center"/>
    </xf>
    <xf numFmtId="0" fontId="6" fillId="2" borderId="25" xfId="0" applyFont="1" applyFill="1" applyBorder="1">
      <alignment vertical="center"/>
    </xf>
    <xf numFmtId="0" fontId="4" fillId="2" borderId="15" xfId="0" applyFont="1" applyFill="1" applyBorder="1" applyAlignment="1">
      <alignment horizontal="center" vertical="center"/>
    </xf>
    <xf numFmtId="176" fontId="4" fillId="2" borderId="16" xfId="2" applyFont="1" applyFill="1" applyBorder="1" applyAlignment="1">
      <alignment horizontal="center" vertical="center"/>
    </xf>
    <xf numFmtId="176" fontId="4" fillId="2" borderId="20" xfId="2" applyFont="1" applyFill="1" applyBorder="1" applyAlignment="1">
      <alignment horizontal="center" vertical="center"/>
    </xf>
    <xf numFmtId="176" fontId="4" fillId="2" borderId="27" xfId="2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4" fillId="0" borderId="47" xfId="0" applyFont="1" applyBorder="1" applyAlignment="1">
      <alignment horizontal="center" vertical="center"/>
    </xf>
    <xf numFmtId="176" fontId="4" fillId="0" borderId="48" xfId="2" applyFont="1" applyBorder="1" applyAlignment="1">
      <alignment horizontal="center" vertical="center"/>
    </xf>
    <xf numFmtId="176" fontId="4" fillId="0" borderId="49" xfId="2" applyFont="1" applyBorder="1" applyAlignment="1">
      <alignment horizontal="center" vertical="center"/>
    </xf>
    <xf numFmtId="176" fontId="4" fillId="0" borderId="9" xfId="2" applyFont="1" applyBorder="1" applyAlignment="1">
      <alignment horizontal="center" vertical="center"/>
    </xf>
    <xf numFmtId="0" fontId="6" fillId="0" borderId="44" xfId="0" applyFont="1" applyBorder="1" applyAlignment="1">
      <alignment horizontal="right" vertical="center"/>
    </xf>
    <xf numFmtId="0" fontId="5" fillId="0" borderId="50" xfId="0" applyFont="1" applyBorder="1" applyAlignment="1">
      <alignment horizontal="center" vertical="center"/>
    </xf>
    <xf numFmtId="176" fontId="5" fillId="0" borderId="51" xfId="2" applyFont="1" applyBorder="1" applyAlignment="1">
      <alignment horizontal="center" vertical="center"/>
    </xf>
    <xf numFmtId="176" fontId="5" fillId="0" borderId="52" xfId="2" applyFont="1" applyBorder="1" applyAlignment="1">
      <alignment horizontal="center" vertical="center"/>
    </xf>
    <xf numFmtId="176" fontId="5" fillId="0" borderId="53" xfId="2" applyFont="1" applyBorder="1" applyAlignment="1">
      <alignment horizontal="center" vertical="center"/>
    </xf>
    <xf numFmtId="176" fontId="4" fillId="0" borderId="0" xfId="2" applyFont="1" applyAlignment="1">
      <alignment horizontal="center" vertical="center"/>
    </xf>
    <xf numFmtId="0" fontId="7" fillId="0" borderId="5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176" fontId="4" fillId="0" borderId="0" xfId="2" applyFont="1" applyFill="1" applyAlignment="1">
      <alignment horizontal="center" vertical="center"/>
    </xf>
    <xf numFmtId="176" fontId="5" fillId="0" borderId="0" xfId="2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176" fontId="3" fillId="2" borderId="13" xfId="2" applyFont="1" applyFill="1" applyBorder="1" applyAlignment="1">
      <alignment horizontal="center" vertical="center"/>
    </xf>
    <xf numFmtId="176" fontId="3" fillId="2" borderId="14" xfId="2" applyFont="1" applyFill="1" applyBorder="1" applyAlignment="1">
      <alignment horizontal="center" vertical="center"/>
    </xf>
    <xf numFmtId="176" fontId="3" fillId="2" borderId="19" xfId="2" applyFont="1" applyFill="1" applyBorder="1" applyAlignment="1">
      <alignment horizontal="center" vertical="center"/>
    </xf>
    <xf numFmtId="176" fontId="3" fillId="2" borderId="4" xfId="2" applyFont="1" applyFill="1" applyBorder="1" applyAlignment="1">
      <alignment horizontal="center" vertical="center"/>
    </xf>
    <xf numFmtId="176" fontId="3" fillId="2" borderId="15" xfId="2" applyFont="1" applyFill="1" applyBorder="1" applyAlignment="1">
      <alignment horizontal="center" vertical="center"/>
    </xf>
    <xf numFmtId="176" fontId="3" fillId="2" borderId="16" xfId="2" applyFont="1" applyFill="1" applyBorder="1" applyAlignment="1">
      <alignment horizontal="center" vertical="center"/>
    </xf>
    <xf numFmtId="176" fontId="3" fillId="2" borderId="20" xfId="2" applyFont="1" applyFill="1" applyBorder="1" applyAlignment="1">
      <alignment horizontal="center" vertical="center"/>
    </xf>
    <xf numFmtId="176" fontId="3" fillId="2" borderId="27" xfId="2" applyFont="1" applyFill="1" applyBorder="1" applyAlignment="1">
      <alignment horizontal="center" vertical="center"/>
    </xf>
    <xf numFmtId="176" fontId="3" fillId="0" borderId="15" xfId="2" applyFont="1" applyBorder="1" applyAlignment="1">
      <alignment horizontal="center" vertical="center"/>
    </xf>
    <xf numFmtId="176" fontId="3" fillId="0" borderId="16" xfId="2" applyFont="1" applyBorder="1" applyAlignment="1">
      <alignment horizontal="center" vertical="center"/>
    </xf>
    <xf numFmtId="176" fontId="3" fillId="0" borderId="20" xfId="2" applyFont="1" applyBorder="1" applyAlignment="1">
      <alignment horizontal="center" vertical="center"/>
    </xf>
    <xf numFmtId="176" fontId="3" fillId="0" borderId="27" xfId="2" applyFont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176" fontId="3" fillId="2" borderId="47" xfId="2" applyFont="1" applyFill="1" applyBorder="1" applyAlignment="1">
      <alignment horizontal="center" vertical="center"/>
    </xf>
    <xf numFmtId="176" fontId="3" fillId="2" borderId="48" xfId="2" applyFont="1" applyFill="1" applyBorder="1" applyAlignment="1">
      <alignment horizontal="center" vertical="center"/>
    </xf>
    <xf numFmtId="176" fontId="3" fillId="2" borderId="49" xfId="2" applyFont="1" applyFill="1" applyBorder="1" applyAlignment="1">
      <alignment horizontal="center" vertical="center"/>
    </xf>
    <xf numFmtId="176" fontId="3" fillId="2" borderId="9" xfId="2" applyFont="1" applyFill="1" applyBorder="1" applyAlignment="1">
      <alignment horizontal="center" vertical="center"/>
    </xf>
    <xf numFmtId="176" fontId="3" fillId="0" borderId="50" xfId="2" applyFont="1" applyBorder="1" applyAlignment="1">
      <alignment horizontal="center" vertical="center"/>
    </xf>
    <xf numFmtId="176" fontId="3" fillId="0" borderId="51" xfId="2" applyFont="1" applyBorder="1" applyAlignment="1">
      <alignment horizontal="center" vertical="center"/>
    </xf>
    <xf numFmtId="176" fontId="3" fillId="0" borderId="52" xfId="2" applyFont="1" applyBorder="1" applyAlignment="1">
      <alignment horizontal="center" vertical="center"/>
    </xf>
    <xf numFmtId="176" fontId="3" fillId="0" borderId="53" xfId="2" applyFont="1" applyBorder="1" applyAlignment="1">
      <alignment horizontal="center" vertical="center"/>
    </xf>
    <xf numFmtId="176" fontId="0" fillId="0" borderId="0" xfId="2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176" fontId="2" fillId="0" borderId="55" xfId="2" applyFont="1" applyBorder="1" applyAlignment="1">
      <alignment horizontal="center" vertical="center" wrapText="1"/>
    </xf>
    <xf numFmtId="176" fontId="2" fillId="0" borderId="56" xfId="2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2" fillId="0" borderId="57" xfId="0" applyFont="1" applyBorder="1">
      <alignment vertical="center"/>
    </xf>
    <xf numFmtId="0" fontId="3" fillId="0" borderId="58" xfId="0" applyFont="1" applyBorder="1" applyAlignment="1">
      <alignment horizontal="center" vertical="center"/>
    </xf>
    <xf numFmtId="176" fontId="3" fillId="0" borderId="58" xfId="2" applyFont="1" applyBorder="1" applyAlignment="1">
      <alignment horizontal="center" vertical="center"/>
    </xf>
    <xf numFmtId="0" fontId="3" fillId="0" borderId="58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176" fontId="9" fillId="0" borderId="16" xfId="2" applyFont="1" applyBorder="1" applyAlignment="1">
      <alignment horizontal="center" vertical="center"/>
    </xf>
    <xf numFmtId="176" fontId="4" fillId="0" borderId="16" xfId="2" applyFont="1" applyBorder="1" applyAlignment="1">
      <alignment horizontal="center" vertical="center" wrapText="1"/>
    </xf>
    <xf numFmtId="0" fontId="2" fillId="2" borderId="15" xfId="0" applyFont="1" applyFill="1" applyBorder="1">
      <alignment vertical="center"/>
    </xf>
    <xf numFmtId="0" fontId="3" fillId="2" borderId="16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3" fillId="0" borderId="60" xfId="0" applyFont="1" applyBorder="1">
      <alignment vertical="center"/>
    </xf>
    <xf numFmtId="0" fontId="3" fillId="2" borderId="20" xfId="0" applyFont="1" applyFill="1" applyBorder="1">
      <alignment vertical="center"/>
    </xf>
    <xf numFmtId="0" fontId="2" fillId="0" borderId="21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/>
    </xf>
    <xf numFmtId="176" fontId="10" fillId="0" borderId="22" xfId="2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2" applyFont="1" applyAlignment="1">
      <alignment horizontal="center" vertical="center"/>
    </xf>
    <xf numFmtId="176" fontId="3" fillId="0" borderId="0" xfId="2" applyNumberFormat="1" applyFont="1" applyAlignment="1">
      <alignment horizontal="center" vertical="center"/>
    </xf>
    <xf numFmtId="176" fontId="10" fillId="0" borderId="0" xfId="2" applyFont="1" applyAlignment="1">
      <alignment horizontal="center" vertical="center"/>
    </xf>
    <xf numFmtId="0" fontId="10" fillId="0" borderId="23" xfId="0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6" fontId="3" fillId="0" borderId="2" xfId="2" applyFont="1" applyBorder="1">
      <alignment vertical="center"/>
    </xf>
    <xf numFmtId="176" fontId="3" fillId="0" borderId="44" xfId="2" applyFont="1" applyBorder="1">
      <alignment vertical="center"/>
    </xf>
    <xf numFmtId="0" fontId="0" fillId="0" borderId="44" xfId="0" applyBorder="1">
      <alignment vertical="center"/>
    </xf>
    <xf numFmtId="0" fontId="0" fillId="0" borderId="2" xfId="0" applyBorder="1">
      <alignment vertical="center"/>
    </xf>
    <xf numFmtId="0" fontId="2" fillId="2" borderId="57" xfId="0" applyFont="1" applyFill="1" applyBorder="1" applyAlignment="1">
      <alignment horizontal="left" vertical="center"/>
    </xf>
    <xf numFmtId="0" fontId="3" fillId="2" borderId="58" xfId="0" applyFont="1" applyFill="1" applyBorder="1" applyAlignment="1">
      <alignment horizontal="center" vertical="center" wrapText="1"/>
    </xf>
    <xf numFmtId="176" fontId="3" fillId="2" borderId="58" xfId="2" applyFont="1" applyFill="1" applyBorder="1" applyAlignment="1">
      <alignment horizontal="center" vertical="center" wrapText="1"/>
    </xf>
    <xf numFmtId="0" fontId="10" fillId="2" borderId="58" xfId="0" applyFont="1" applyFill="1" applyBorder="1" applyAlignment="1">
      <alignment horizontal="center" vertical="center" wrapText="1"/>
    </xf>
    <xf numFmtId="176" fontId="3" fillId="0" borderId="58" xfId="2" applyFont="1" applyBorder="1">
      <alignment vertical="center"/>
    </xf>
    <xf numFmtId="176" fontId="11" fillId="0" borderId="2" xfId="2" applyFont="1" applyBorder="1" applyAlignment="1">
      <alignment horizontal="center" vertical="center"/>
    </xf>
    <xf numFmtId="176" fontId="11" fillId="0" borderId="2" xfId="2" applyFont="1" applyBorder="1">
      <alignment vertical="center"/>
    </xf>
    <xf numFmtId="176" fontId="11" fillId="0" borderId="44" xfId="2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44" xfId="0" applyFont="1" applyBorder="1">
      <alignment vertical="center"/>
    </xf>
    <xf numFmtId="176" fontId="6" fillId="0" borderId="0" xfId="2" applyFont="1" applyAlignment="1">
      <alignment horizontal="center" vertical="center"/>
    </xf>
    <xf numFmtId="0" fontId="1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17" xfId="0" applyBorder="1">
      <alignment vertical="center"/>
    </xf>
    <xf numFmtId="0" fontId="4" fillId="2" borderId="58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176" fontId="11" fillId="0" borderId="17" xfId="2" applyFont="1" applyBorder="1">
      <alignment vertical="center"/>
    </xf>
    <xf numFmtId="0" fontId="3" fillId="0" borderId="17" xfId="0" applyFont="1" applyBorder="1">
      <alignment vertical="center"/>
    </xf>
    <xf numFmtId="0" fontId="11" fillId="0" borderId="0" xfId="0" applyFont="1">
      <alignment vertical="center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1" fillId="4" borderId="51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176" fontId="2" fillId="0" borderId="12" xfId="2" applyFont="1" applyBorder="1" applyAlignment="1">
      <alignment horizontal="center" vertical="center" wrapText="1"/>
    </xf>
    <xf numFmtId="58" fontId="2" fillId="3" borderId="7" xfId="0" applyNumberFormat="1" applyFont="1" applyFill="1" applyBorder="1" applyAlignment="1">
      <alignment horizontal="center" vertical="center" wrapText="1"/>
    </xf>
    <xf numFmtId="58" fontId="2" fillId="4" borderId="12" xfId="0" applyNumberFormat="1" applyFont="1" applyFill="1" applyBorder="1" applyAlignment="1">
      <alignment horizontal="center" vertical="center" wrapText="1"/>
    </xf>
    <xf numFmtId="58" fontId="2" fillId="5" borderId="7" xfId="0" applyNumberFormat="1" applyFont="1" applyFill="1" applyBorder="1" applyAlignment="1">
      <alignment horizontal="center" vertical="center" wrapText="1"/>
    </xf>
    <xf numFmtId="0" fontId="5" fillId="0" borderId="13" xfId="0" applyFont="1" applyBorder="1">
      <alignment vertical="center"/>
    </xf>
    <xf numFmtId="0" fontId="4" fillId="2" borderId="14" xfId="0" applyFont="1" applyFill="1" applyBorder="1" applyAlignment="1">
      <alignment horizontal="center" vertical="center"/>
    </xf>
    <xf numFmtId="176" fontId="4" fillId="0" borderId="14" xfId="2" applyFont="1" applyBorder="1" applyAlignment="1">
      <alignment horizontal="center" vertical="center"/>
    </xf>
    <xf numFmtId="176" fontId="4" fillId="3" borderId="14" xfId="2" applyFont="1" applyFill="1" applyBorder="1" applyAlignment="1">
      <alignment horizontal="center" vertical="center"/>
    </xf>
    <xf numFmtId="176" fontId="4" fillId="4" borderId="14" xfId="2" applyFont="1" applyFill="1" applyBorder="1" applyAlignment="1">
      <alignment horizontal="center" vertical="center"/>
    </xf>
    <xf numFmtId="176" fontId="4" fillId="5" borderId="14" xfId="2" applyFont="1" applyFill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4" fillId="2" borderId="16" xfId="0" applyFont="1" applyFill="1" applyBorder="1" applyAlignment="1">
      <alignment horizontal="center" vertical="center"/>
    </xf>
    <xf numFmtId="176" fontId="4" fillId="3" borderId="16" xfId="2" applyFont="1" applyFill="1" applyBorder="1" applyAlignment="1">
      <alignment horizontal="center" vertical="center"/>
    </xf>
    <xf numFmtId="176" fontId="4" fillId="4" borderId="16" xfId="2" applyFont="1" applyFill="1" applyBorder="1" applyAlignment="1">
      <alignment horizontal="center" vertical="center"/>
    </xf>
    <xf numFmtId="176" fontId="4" fillId="5" borderId="16" xfId="2" applyFont="1" applyFill="1" applyBorder="1" applyAlignment="1">
      <alignment horizontal="center" vertical="center"/>
    </xf>
    <xf numFmtId="0" fontId="5" fillId="2" borderId="15" xfId="0" applyFont="1" applyFill="1" applyBorder="1">
      <alignment vertical="center"/>
    </xf>
    <xf numFmtId="176" fontId="4" fillId="4" borderId="16" xfId="2" applyFont="1" applyFill="1" applyBorder="1" applyAlignment="1">
      <alignment horizontal="center" vertical="center" wrapText="1"/>
    </xf>
    <xf numFmtId="0" fontId="1" fillId="6" borderId="51" xfId="0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58" fontId="2" fillId="6" borderId="12" xfId="0" applyNumberFormat="1" applyFont="1" applyFill="1" applyBorder="1" applyAlignment="1">
      <alignment horizontal="center" vertical="center" wrapText="1"/>
    </xf>
    <xf numFmtId="176" fontId="4" fillId="6" borderId="14" xfId="2" applyFont="1" applyFill="1" applyBorder="1" applyAlignment="1">
      <alignment horizontal="center" vertical="center"/>
    </xf>
    <xf numFmtId="176" fontId="5" fillId="0" borderId="14" xfId="2" applyFont="1" applyBorder="1" applyAlignment="1">
      <alignment horizontal="center" vertical="center"/>
    </xf>
    <xf numFmtId="176" fontId="4" fillId="6" borderId="16" xfId="2" applyFont="1" applyFill="1" applyBorder="1" applyAlignment="1">
      <alignment horizontal="center" vertical="center"/>
    </xf>
    <xf numFmtId="176" fontId="5" fillId="0" borderId="16" xfId="2" applyFont="1" applyBorder="1" applyAlignment="1">
      <alignment horizontal="center" vertical="center"/>
    </xf>
    <xf numFmtId="176" fontId="5" fillId="0" borderId="16" xfId="2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4" fillId="3" borderId="16" xfId="2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15" xfId="0" applyFont="1" applyFill="1" applyBorder="1">
      <alignment vertical="center"/>
    </xf>
    <xf numFmtId="176" fontId="4" fillId="0" borderId="16" xfId="2" applyFont="1" applyFill="1" applyBorder="1" applyAlignment="1">
      <alignment horizontal="center" vertical="center"/>
    </xf>
    <xf numFmtId="176" fontId="4" fillId="2" borderId="20" xfId="2" applyFont="1" applyFill="1" applyBorder="1">
      <alignment vertical="center"/>
    </xf>
    <xf numFmtId="176" fontId="4" fillId="0" borderId="20" xfId="2" applyFont="1" applyFill="1" applyBorder="1">
      <alignment vertical="center"/>
    </xf>
    <xf numFmtId="0" fontId="5" fillId="0" borderId="21" xfId="0" applyFont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176" fontId="4" fillId="0" borderId="22" xfId="2" applyFont="1" applyBorder="1" applyAlignment="1">
      <alignment horizontal="center" vertical="center"/>
    </xf>
    <xf numFmtId="176" fontId="4" fillId="3" borderId="22" xfId="2" applyFont="1" applyFill="1" applyBorder="1" applyAlignment="1">
      <alignment horizontal="center" vertical="center"/>
    </xf>
    <xf numFmtId="176" fontId="4" fillId="4" borderId="22" xfId="2" applyFont="1" applyFill="1" applyBorder="1" applyAlignment="1">
      <alignment horizontal="center" vertical="center"/>
    </xf>
    <xf numFmtId="176" fontId="4" fillId="5" borderId="22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6" borderId="22" xfId="2" applyFont="1" applyFill="1" applyBorder="1" applyAlignment="1">
      <alignment horizontal="center" vertical="center"/>
    </xf>
    <xf numFmtId="176" fontId="5" fillId="0" borderId="22" xfId="2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176" fontId="2" fillId="0" borderId="42" xfId="2" applyFont="1" applyBorder="1" applyAlignment="1">
      <alignment horizontal="center" vertical="center" wrapText="1"/>
    </xf>
    <xf numFmtId="58" fontId="2" fillId="3" borderId="42" xfId="0" applyNumberFormat="1" applyFont="1" applyFill="1" applyBorder="1" applyAlignment="1">
      <alignment horizontal="center" vertical="center" wrapText="1"/>
    </xf>
    <xf numFmtId="58" fontId="2" fillId="4" borderId="42" xfId="0" applyNumberFormat="1" applyFont="1" applyFill="1" applyBorder="1" applyAlignment="1">
      <alignment horizontal="center" vertical="center" wrapText="1"/>
    </xf>
    <xf numFmtId="58" fontId="2" fillId="5" borderId="42" xfId="0" applyNumberFormat="1" applyFont="1" applyFill="1" applyBorder="1" applyAlignment="1">
      <alignment horizontal="center" vertical="center" wrapText="1"/>
    </xf>
    <xf numFmtId="176" fontId="0" fillId="0" borderId="14" xfId="2" applyBorder="1" applyAlignment="1">
      <alignment horizontal="center" vertical="center"/>
    </xf>
    <xf numFmtId="176" fontId="0" fillId="0" borderId="16" xfId="2" applyBorder="1" applyAlignment="1">
      <alignment horizontal="center" vertical="center"/>
    </xf>
    <xf numFmtId="0" fontId="6" fillId="0" borderId="15" xfId="0" applyFont="1" applyBorder="1">
      <alignment vertical="center"/>
    </xf>
    <xf numFmtId="0" fontId="0" fillId="0" borderId="16" xfId="0" applyBorder="1" applyAlignment="1">
      <alignment horizontal="center" vertical="center"/>
    </xf>
    <xf numFmtId="0" fontId="6" fillId="2" borderId="15" xfId="0" applyFont="1" applyFill="1" applyBorder="1">
      <alignment vertical="center"/>
    </xf>
    <xf numFmtId="0" fontId="6" fillId="0" borderId="21" xfId="0" applyFont="1" applyBorder="1">
      <alignment vertical="center"/>
    </xf>
    <xf numFmtId="0" fontId="0" fillId="0" borderId="22" xfId="0" applyBorder="1" applyAlignment="1">
      <alignment horizontal="center" vertical="center"/>
    </xf>
    <xf numFmtId="176" fontId="3" fillId="0" borderId="22" xfId="2" applyFont="1" applyBorder="1" applyAlignment="1">
      <alignment horizontal="center" vertical="center"/>
    </xf>
    <xf numFmtId="58" fontId="2" fillId="6" borderId="42" xfId="0" applyNumberFormat="1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176" fontId="0" fillId="0" borderId="19" xfId="2" applyBorder="1">
      <alignment vertical="center"/>
    </xf>
    <xf numFmtId="176" fontId="0" fillId="0" borderId="20" xfId="2" applyBorder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176" fontId="3" fillId="0" borderId="0" xfId="2" applyFont="1" applyAlignment="1">
      <alignment vertical="center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58" fontId="2" fillId="3" borderId="2" xfId="0" applyNumberFormat="1" applyFont="1" applyFill="1" applyBorder="1" applyAlignment="1">
      <alignment horizontal="center" vertical="center" wrapText="1"/>
    </xf>
    <xf numFmtId="58" fontId="2" fillId="4" borderId="44" xfId="0" applyNumberFormat="1" applyFont="1" applyFill="1" applyBorder="1" applyAlignment="1">
      <alignment horizontal="center" vertical="center" wrapText="1"/>
    </xf>
    <xf numFmtId="58" fontId="2" fillId="5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11" fillId="0" borderId="13" xfId="0" applyFont="1" applyBorder="1" applyAlignment="1">
      <alignment horizontal="center" vertical="center"/>
    </xf>
    <xf numFmtId="176" fontId="11" fillId="0" borderId="14" xfId="2" applyFont="1" applyBorder="1" applyAlignment="1">
      <alignment vertical="center"/>
    </xf>
    <xf numFmtId="176" fontId="11" fillId="0" borderId="14" xfId="2" applyFont="1" applyBorder="1">
      <alignment vertical="center"/>
    </xf>
    <xf numFmtId="0" fontId="11" fillId="0" borderId="19" xfId="0" applyFont="1" applyBorder="1">
      <alignment vertical="center"/>
    </xf>
    <xf numFmtId="0" fontId="11" fillId="0" borderId="4" xfId="0" applyFont="1" applyBorder="1">
      <alignment vertical="center"/>
    </xf>
    <xf numFmtId="0" fontId="11" fillId="0" borderId="14" xfId="0" applyFont="1" applyBorder="1">
      <alignment vertical="center"/>
    </xf>
    <xf numFmtId="0" fontId="2" fillId="0" borderId="25" xfId="0" applyFont="1" applyBorder="1">
      <alignment vertical="center"/>
    </xf>
    <xf numFmtId="0" fontId="11" fillId="0" borderId="15" xfId="0" applyFont="1" applyBorder="1" applyAlignment="1">
      <alignment horizontal="center" vertical="center"/>
    </xf>
    <xf numFmtId="176" fontId="11" fillId="0" borderId="16" xfId="2" applyFont="1" applyBorder="1" applyAlignment="1">
      <alignment vertical="center"/>
    </xf>
    <xf numFmtId="176" fontId="11" fillId="0" borderId="16" xfId="2" applyFont="1" applyBorder="1">
      <alignment vertical="center"/>
    </xf>
    <xf numFmtId="0" fontId="11" fillId="0" borderId="20" xfId="0" applyFont="1" applyBorder="1">
      <alignment vertical="center"/>
    </xf>
    <xf numFmtId="0" fontId="11" fillId="0" borderId="27" xfId="0" applyFont="1" applyBorder="1">
      <alignment vertical="center"/>
    </xf>
    <xf numFmtId="0" fontId="11" fillId="0" borderId="16" xfId="0" applyFont="1" applyBorder="1">
      <alignment vertical="center"/>
    </xf>
    <xf numFmtId="0" fontId="8" fillId="0" borderId="52" xfId="0" applyFont="1" applyBorder="1" applyAlignment="1">
      <alignment horizontal="center" vertical="center" wrapText="1"/>
    </xf>
    <xf numFmtId="58" fontId="2" fillId="6" borderId="44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9" xfId="0" applyFont="1" applyBorder="1">
      <alignment vertical="center"/>
    </xf>
    <xf numFmtId="0" fontId="11" fillId="0" borderId="21" xfId="0" applyFont="1" applyBorder="1" applyAlignment="1">
      <alignment horizontal="center" vertical="center"/>
    </xf>
    <xf numFmtId="176" fontId="11" fillId="0" borderId="22" xfId="2" applyFont="1" applyBorder="1" applyAlignment="1">
      <alignment vertical="center"/>
    </xf>
    <xf numFmtId="176" fontId="11" fillId="0" borderId="22" xfId="2" applyFont="1" applyBorder="1">
      <alignment vertical="center"/>
    </xf>
    <xf numFmtId="0" fontId="11" fillId="0" borderId="23" xfId="0" applyFont="1" applyBorder="1">
      <alignment vertical="center"/>
    </xf>
    <xf numFmtId="0" fontId="11" fillId="0" borderId="31" xfId="0" applyFont="1" applyBorder="1">
      <alignment vertical="center"/>
    </xf>
    <xf numFmtId="0" fontId="11" fillId="0" borderId="22" xfId="0" applyFont="1" applyBorder="1">
      <alignment vertical="center"/>
    </xf>
    <xf numFmtId="0" fontId="2" fillId="0" borderId="4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44" xfId="2" applyFont="1" applyBorder="1" applyAlignment="1">
      <alignment vertical="center"/>
    </xf>
    <xf numFmtId="176" fontId="2" fillId="0" borderId="2" xfId="2" applyFont="1" applyBorder="1">
      <alignment vertical="center"/>
    </xf>
    <xf numFmtId="0" fontId="2" fillId="0" borderId="44" xfId="0" applyFont="1" applyBorder="1">
      <alignment vertical="center"/>
    </xf>
    <xf numFmtId="0" fontId="2" fillId="0" borderId="2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"/>
  <sheetViews>
    <sheetView workbookViewId="0">
      <selection activeCell="D3" sqref="D3:D64"/>
    </sheetView>
  </sheetViews>
  <sheetFormatPr defaultColWidth="9.14285714285714" defaultRowHeight="12"/>
  <cols>
    <col min="1" max="1" width="46.4285714285714" style="350" customWidth="1"/>
    <col min="2" max="2" width="12.7142857142857" style="244" customWidth="1"/>
    <col min="3" max="3" width="8" style="351" customWidth="1"/>
    <col min="4" max="4" width="8.28571428571429" style="39" customWidth="1"/>
    <col min="5" max="5" width="8.28571428571429" style="33" customWidth="1"/>
    <col min="6" max="6" width="12.1428571428571" style="33" customWidth="1"/>
    <col min="7" max="7" width="11.4285714285714" style="33" customWidth="1"/>
    <col min="8" max="9" width="9.85714285714286" style="33" customWidth="1"/>
    <col min="10" max="10" width="13.1428571428571" style="33" customWidth="1"/>
    <col min="11" max="11" width="8" style="33" customWidth="1"/>
    <col min="12" max="12" width="7.42857142857143" style="33" customWidth="1"/>
    <col min="13" max="13" width="11" style="33" customWidth="1"/>
    <col min="14" max="16384" width="9.14285714285714" style="33"/>
  </cols>
  <sheetData>
    <row r="1" s="349" customFormat="1" ht="19.5" spans="1:13">
      <c r="A1" s="352" t="s">
        <v>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71"/>
    </row>
    <row r="2" s="350" customFormat="1" ht="26.25" spans="1:13">
      <c r="A2" s="149" t="s">
        <v>1</v>
      </c>
      <c r="B2" s="194" t="s">
        <v>2</v>
      </c>
      <c r="C2" s="289" t="s">
        <v>3</v>
      </c>
      <c r="D2" s="148" t="s">
        <v>4</v>
      </c>
      <c r="E2" s="149" t="s">
        <v>5</v>
      </c>
      <c r="F2" s="354">
        <v>43246</v>
      </c>
      <c r="G2" s="355">
        <v>43253</v>
      </c>
      <c r="H2" s="356">
        <v>43260</v>
      </c>
      <c r="I2" s="372">
        <v>43265</v>
      </c>
      <c r="J2" s="150" t="s">
        <v>6</v>
      </c>
      <c r="K2" s="151" t="s">
        <v>7</v>
      </c>
      <c r="L2" s="151" t="s">
        <v>8</v>
      </c>
      <c r="M2" s="373" t="s">
        <v>9</v>
      </c>
    </row>
    <row r="3" ht="12.75" spans="1:13">
      <c r="A3" s="357" t="s">
        <v>10</v>
      </c>
      <c r="B3" s="358" t="s">
        <v>11</v>
      </c>
      <c r="C3" s="359">
        <f>2*110</f>
        <v>220</v>
      </c>
      <c r="D3" s="360">
        <f>C3/2</f>
        <v>110</v>
      </c>
      <c r="E3" s="361"/>
      <c r="F3" s="362"/>
      <c r="G3" s="363"/>
      <c r="H3" s="363"/>
      <c r="I3" s="363"/>
      <c r="J3" s="363"/>
      <c r="K3" s="363"/>
      <c r="L3" s="363"/>
      <c r="M3" s="361"/>
    </row>
    <row r="4" ht="12.75" spans="1:13">
      <c r="A4" s="364" t="s">
        <v>12</v>
      </c>
      <c r="B4" s="365" t="s">
        <v>13</v>
      </c>
      <c r="C4" s="366">
        <f>80*1</f>
        <v>80</v>
      </c>
      <c r="D4" s="367">
        <f>C4/10</f>
        <v>8</v>
      </c>
      <c r="E4" s="368"/>
      <c r="F4" s="369"/>
      <c r="G4" s="370"/>
      <c r="H4" s="370"/>
      <c r="I4" s="370"/>
      <c r="J4" s="370"/>
      <c r="K4" s="370"/>
      <c r="L4" s="370"/>
      <c r="M4" s="368"/>
    </row>
    <row r="5" ht="12.75" spans="1:13">
      <c r="A5" s="364" t="s">
        <v>14</v>
      </c>
      <c r="B5" s="365" t="s">
        <v>13</v>
      </c>
      <c r="C5" s="366">
        <f>125*1</f>
        <v>125</v>
      </c>
      <c r="D5" s="367">
        <f>C5/10</f>
        <v>12.5</v>
      </c>
      <c r="E5" s="368"/>
      <c r="F5" s="369"/>
      <c r="G5" s="370"/>
      <c r="H5" s="370"/>
      <c r="I5" s="370"/>
      <c r="J5" s="370"/>
      <c r="K5" s="370"/>
      <c r="L5" s="370"/>
      <c r="M5" s="368"/>
    </row>
    <row r="6" ht="12.75" spans="1:13">
      <c r="A6" s="364" t="s">
        <v>15</v>
      </c>
      <c r="B6" s="365" t="s">
        <v>16</v>
      </c>
      <c r="C6" s="366">
        <f>11*5</f>
        <v>55</v>
      </c>
      <c r="D6" s="367">
        <f>C6/5</f>
        <v>11</v>
      </c>
      <c r="E6" s="368"/>
      <c r="F6" s="369"/>
      <c r="G6" s="370"/>
      <c r="H6" s="370"/>
      <c r="I6" s="370"/>
      <c r="J6" s="370"/>
      <c r="K6" s="370"/>
      <c r="L6" s="370"/>
      <c r="M6" s="368"/>
    </row>
    <row r="7" ht="12.75" spans="1:13">
      <c r="A7" s="364" t="s">
        <v>17</v>
      </c>
      <c r="B7" s="365" t="s">
        <v>18</v>
      </c>
      <c r="C7" s="366">
        <f>55*1</f>
        <v>55</v>
      </c>
      <c r="D7" s="367">
        <f>C7/100</f>
        <v>0.55</v>
      </c>
      <c r="E7" s="368"/>
      <c r="F7" s="369"/>
      <c r="G7" s="370"/>
      <c r="H7" s="370"/>
      <c r="I7" s="370"/>
      <c r="J7" s="370"/>
      <c r="K7" s="370"/>
      <c r="L7" s="370"/>
      <c r="M7" s="368"/>
    </row>
    <row r="8" ht="12.75" spans="1:13">
      <c r="A8" s="364" t="s">
        <v>19</v>
      </c>
      <c r="B8" s="365" t="s">
        <v>18</v>
      </c>
      <c r="C8" s="366">
        <f>48*1</f>
        <v>48</v>
      </c>
      <c r="D8" s="367">
        <f>C8/100</f>
        <v>0.48</v>
      </c>
      <c r="E8" s="368"/>
      <c r="F8" s="369"/>
      <c r="G8" s="370"/>
      <c r="H8" s="370"/>
      <c r="I8" s="370"/>
      <c r="J8" s="370"/>
      <c r="K8" s="370"/>
      <c r="L8" s="370"/>
      <c r="M8" s="368"/>
    </row>
    <row r="9" ht="12.75" spans="1:13">
      <c r="A9" s="364" t="s">
        <v>20</v>
      </c>
      <c r="B9" s="365" t="s">
        <v>16</v>
      </c>
      <c r="C9" s="366">
        <f>12*5</f>
        <v>60</v>
      </c>
      <c r="D9" s="367">
        <f>C9/5</f>
        <v>12</v>
      </c>
      <c r="E9" s="368"/>
      <c r="F9" s="369"/>
      <c r="G9" s="370"/>
      <c r="H9" s="370"/>
      <c r="I9" s="370"/>
      <c r="J9" s="370"/>
      <c r="K9" s="370"/>
      <c r="L9" s="370"/>
      <c r="M9" s="368"/>
    </row>
    <row r="10" ht="12.75" spans="1:13">
      <c r="A10" s="364" t="s">
        <v>21</v>
      </c>
      <c r="B10" s="365" t="s">
        <v>16</v>
      </c>
      <c r="C10" s="366">
        <f>13*5</f>
        <v>65</v>
      </c>
      <c r="D10" s="367">
        <f>C10/5</f>
        <v>13</v>
      </c>
      <c r="E10" s="368"/>
      <c r="F10" s="369"/>
      <c r="G10" s="370"/>
      <c r="H10" s="370"/>
      <c r="I10" s="370"/>
      <c r="J10" s="370"/>
      <c r="K10" s="370"/>
      <c r="L10" s="370"/>
      <c r="M10" s="368"/>
    </row>
    <row r="11" ht="12.75" spans="1:13">
      <c r="A11" s="364" t="s">
        <v>22</v>
      </c>
      <c r="B11" s="365" t="s">
        <v>16</v>
      </c>
      <c r="C11" s="366">
        <f>16*5</f>
        <v>80</v>
      </c>
      <c r="D11" s="367">
        <f>C11/5</f>
        <v>16</v>
      </c>
      <c r="E11" s="368"/>
      <c r="F11" s="369"/>
      <c r="G11" s="370"/>
      <c r="H11" s="370"/>
      <c r="I11" s="370"/>
      <c r="J11" s="370"/>
      <c r="K11" s="370"/>
      <c r="L11" s="370"/>
      <c r="M11" s="368"/>
    </row>
    <row r="12" ht="12.75" spans="1:13">
      <c r="A12" s="364" t="s">
        <v>23</v>
      </c>
      <c r="B12" s="365" t="s">
        <v>18</v>
      </c>
      <c r="C12" s="366">
        <f>125*1</f>
        <v>125</v>
      </c>
      <c r="D12" s="367">
        <f>C12/100</f>
        <v>1.25</v>
      </c>
      <c r="E12" s="368"/>
      <c r="F12" s="369"/>
      <c r="G12" s="370"/>
      <c r="H12" s="370"/>
      <c r="I12" s="370"/>
      <c r="J12" s="370"/>
      <c r="K12" s="370"/>
      <c r="L12" s="370"/>
      <c r="M12" s="368"/>
    </row>
    <row r="13" ht="12.75" spans="1:13">
      <c r="A13" s="364" t="s">
        <v>24</v>
      </c>
      <c r="B13" s="365" t="s">
        <v>16</v>
      </c>
      <c r="C13" s="366">
        <f>12*5</f>
        <v>60</v>
      </c>
      <c r="D13" s="367">
        <f>C13/5</f>
        <v>12</v>
      </c>
      <c r="E13" s="368"/>
      <c r="F13" s="369"/>
      <c r="G13" s="370"/>
      <c r="H13" s="370"/>
      <c r="I13" s="370"/>
      <c r="J13" s="370"/>
      <c r="K13" s="370"/>
      <c r="L13" s="370"/>
      <c r="M13" s="368"/>
    </row>
    <row r="14" ht="12.75" spans="1:13">
      <c r="A14" s="364" t="s">
        <v>25</v>
      </c>
      <c r="B14" s="365" t="s">
        <v>16</v>
      </c>
      <c r="C14" s="366">
        <f>19*5</f>
        <v>95</v>
      </c>
      <c r="D14" s="367">
        <f>C14/5</f>
        <v>19</v>
      </c>
      <c r="E14" s="368"/>
      <c r="F14" s="369"/>
      <c r="G14" s="370"/>
      <c r="H14" s="370"/>
      <c r="I14" s="370"/>
      <c r="J14" s="370"/>
      <c r="K14" s="370"/>
      <c r="L14" s="370"/>
      <c r="M14" s="368"/>
    </row>
    <row r="15" ht="12.75" spans="1:13">
      <c r="A15" s="364" t="s">
        <v>26</v>
      </c>
      <c r="B15" s="365" t="s">
        <v>16</v>
      </c>
      <c r="C15" s="366">
        <f>11*5</f>
        <v>55</v>
      </c>
      <c r="D15" s="367">
        <f>C15/5</f>
        <v>11</v>
      </c>
      <c r="E15" s="368"/>
      <c r="F15" s="369"/>
      <c r="G15" s="370"/>
      <c r="H15" s="370"/>
      <c r="I15" s="370"/>
      <c r="J15" s="370"/>
      <c r="K15" s="370"/>
      <c r="L15" s="370"/>
      <c r="M15" s="368"/>
    </row>
    <row r="16" ht="12.75" spans="1:13">
      <c r="A16" s="364" t="s">
        <v>27</v>
      </c>
      <c r="B16" s="365" t="s">
        <v>16</v>
      </c>
      <c r="C16" s="366">
        <f>5*13</f>
        <v>65</v>
      </c>
      <c r="D16" s="367">
        <f>C16/5</f>
        <v>13</v>
      </c>
      <c r="E16" s="368"/>
      <c r="F16" s="369"/>
      <c r="G16" s="370"/>
      <c r="H16" s="370"/>
      <c r="I16" s="370"/>
      <c r="J16" s="370"/>
      <c r="K16" s="370"/>
      <c r="L16" s="370"/>
      <c r="M16" s="368"/>
    </row>
    <row r="17" ht="12.75" spans="1:13">
      <c r="A17" s="364" t="s">
        <v>28</v>
      </c>
      <c r="B17" s="365" t="s">
        <v>18</v>
      </c>
      <c r="C17" s="366">
        <f>1*70</f>
        <v>70</v>
      </c>
      <c r="D17" s="367">
        <f>C17/100</f>
        <v>0.7</v>
      </c>
      <c r="E17" s="368"/>
      <c r="F17" s="369"/>
      <c r="G17" s="370"/>
      <c r="H17" s="370"/>
      <c r="I17" s="370"/>
      <c r="J17" s="370"/>
      <c r="K17" s="370"/>
      <c r="L17" s="370"/>
      <c r="M17" s="368"/>
    </row>
    <row r="18" ht="12.75" spans="1:13">
      <c r="A18" s="364" t="s">
        <v>29</v>
      </c>
      <c r="B18" s="365" t="s">
        <v>30</v>
      </c>
      <c r="C18" s="366">
        <f>1*280</f>
        <v>280</v>
      </c>
      <c r="D18" s="367">
        <f>C18/30</f>
        <v>9.33333333333333</v>
      </c>
      <c r="E18" s="368"/>
      <c r="F18" s="369"/>
      <c r="G18" s="370"/>
      <c r="H18" s="370"/>
      <c r="I18" s="370"/>
      <c r="J18" s="370"/>
      <c r="K18" s="370"/>
      <c r="L18" s="370"/>
      <c r="M18" s="368"/>
    </row>
    <row r="19" ht="12.75" spans="1:13">
      <c r="A19" s="364" t="s">
        <v>31</v>
      </c>
      <c r="B19" s="365" t="s">
        <v>32</v>
      </c>
      <c r="C19" s="366">
        <f>3*18</f>
        <v>54</v>
      </c>
      <c r="D19" s="367">
        <f>C19/3</f>
        <v>18</v>
      </c>
      <c r="E19" s="368"/>
      <c r="F19" s="369"/>
      <c r="G19" s="370"/>
      <c r="H19" s="370"/>
      <c r="I19" s="370"/>
      <c r="J19" s="370"/>
      <c r="K19" s="370"/>
      <c r="L19" s="370"/>
      <c r="M19" s="368"/>
    </row>
    <row r="20" ht="12.75" spans="1:13">
      <c r="A20" s="364" t="s">
        <v>33</v>
      </c>
      <c r="B20" s="365" t="s">
        <v>16</v>
      </c>
      <c r="C20" s="366">
        <f>5*16</f>
        <v>80</v>
      </c>
      <c r="D20" s="367">
        <f>C20/5</f>
        <v>16</v>
      </c>
      <c r="E20" s="368"/>
      <c r="F20" s="369"/>
      <c r="G20" s="370"/>
      <c r="H20" s="370"/>
      <c r="I20" s="370"/>
      <c r="J20" s="370"/>
      <c r="K20" s="370"/>
      <c r="L20" s="370"/>
      <c r="M20" s="368"/>
    </row>
    <row r="21" ht="12.75" spans="1:13">
      <c r="A21" s="364" t="s">
        <v>34</v>
      </c>
      <c r="B21" s="365" t="s">
        <v>18</v>
      </c>
      <c r="C21" s="366">
        <f>105*1</f>
        <v>105</v>
      </c>
      <c r="D21" s="367">
        <f>C21/100</f>
        <v>1.05</v>
      </c>
      <c r="E21" s="368"/>
      <c r="F21" s="369"/>
      <c r="G21" s="370"/>
      <c r="H21" s="370"/>
      <c r="I21" s="370"/>
      <c r="J21" s="370"/>
      <c r="K21" s="370"/>
      <c r="L21" s="370"/>
      <c r="M21" s="368"/>
    </row>
    <row r="22" ht="12.75" spans="1:13">
      <c r="A22" s="364" t="s">
        <v>35</v>
      </c>
      <c r="B22" s="365" t="s">
        <v>16</v>
      </c>
      <c r="C22" s="366">
        <f>5*11</f>
        <v>55</v>
      </c>
      <c r="D22" s="367">
        <f>C22/5</f>
        <v>11</v>
      </c>
      <c r="E22" s="368"/>
      <c r="F22" s="369"/>
      <c r="G22" s="370"/>
      <c r="H22" s="370"/>
      <c r="I22" s="370"/>
      <c r="J22" s="370"/>
      <c r="K22" s="370"/>
      <c r="L22" s="370"/>
      <c r="M22" s="368"/>
    </row>
    <row r="23" ht="12.75" spans="1:13">
      <c r="A23" s="364" t="s">
        <v>36</v>
      </c>
      <c r="B23" s="365" t="s">
        <v>37</v>
      </c>
      <c r="C23" s="366">
        <f>1*73</f>
        <v>73</v>
      </c>
      <c r="D23" s="367"/>
      <c r="E23" s="368"/>
      <c r="F23" s="369"/>
      <c r="G23" s="370"/>
      <c r="H23" s="370"/>
      <c r="I23" s="370"/>
      <c r="J23" s="370"/>
      <c r="K23" s="370"/>
      <c r="L23" s="370"/>
      <c r="M23" s="368"/>
    </row>
    <row r="24" ht="12.75" spans="1:13">
      <c r="A24" s="364" t="s">
        <v>38</v>
      </c>
      <c r="B24" s="365" t="s">
        <v>16</v>
      </c>
      <c r="C24" s="366">
        <f>5*12</f>
        <v>60</v>
      </c>
      <c r="D24" s="367">
        <f>C24/5</f>
        <v>12</v>
      </c>
      <c r="E24" s="368"/>
      <c r="F24" s="369"/>
      <c r="G24" s="370"/>
      <c r="H24" s="370"/>
      <c r="I24" s="370"/>
      <c r="J24" s="370"/>
      <c r="K24" s="370"/>
      <c r="L24" s="370"/>
      <c r="M24" s="368"/>
    </row>
    <row r="25" ht="12.75" spans="1:13">
      <c r="A25" s="364" t="s">
        <v>39</v>
      </c>
      <c r="B25" s="365" t="s">
        <v>16</v>
      </c>
      <c r="C25" s="366">
        <f>5*17.5</f>
        <v>87.5</v>
      </c>
      <c r="D25" s="367">
        <f>C25/5</f>
        <v>17.5</v>
      </c>
      <c r="E25" s="368"/>
      <c r="F25" s="369"/>
      <c r="G25" s="370"/>
      <c r="H25" s="370"/>
      <c r="I25" s="370"/>
      <c r="J25" s="370"/>
      <c r="K25" s="370"/>
      <c r="L25" s="370"/>
      <c r="M25" s="368"/>
    </row>
    <row r="26" ht="12.75" spans="1:13">
      <c r="A26" s="364" t="s">
        <v>40</v>
      </c>
      <c r="B26" s="365" t="s">
        <v>18</v>
      </c>
      <c r="C26" s="366">
        <f>1*220</f>
        <v>220</v>
      </c>
      <c r="D26" s="367">
        <f>C26/100</f>
        <v>2.2</v>
      </c>
      <c r="E26" s="368"/>
      <c r="F26" s="369"/>
      <c r="G26" s="370"/>
      <c r="H26" s="370"/>
      <c r="I26" s="370"/>
      <c r="J26" s="370"/>
      <c r="K26" s="370"/>
      <c r="L26" s="370"/>
      <c r="M26" s="368"/>
    </row>
    <row r="27" ht="12.75" spans="1:13">
      <c r="A27" s="364" t="s">
        <v>41</v>
      </c>
      <c r="B27" s="365" t="s">
        <v>13</v>
      </c>
      <c r="C27" s="366">
        <f>1*180</f>
        <v>180</v>
      </c>
      <c r="D27" s="367">
        <f>C27/10</f>
        <v>18</v>
      </c>
      <c r="E27" s="368"/>
      <c r="F27" s="369"/>
      <c r="G27" s="370"/>
      <c r="H27" s="370"/>
      <c r="I27" s="370"/>
      <c r="J27" s="370"/>
      <c r="K27" s="370"/>
      <c r="L27" s="370"/>
      <c r="M27" s="368"/>
    </row>
    <row r="28" ht="12.75" spans="1:13">
      <c r="A28" s="364" t="s">
        <v>42</v>
      </c>
      <c r="B28" s="365" t="s">
        <v>18</v>
      </c>
      <c r="C28" s="366">
        <f>1*45</f>
        <v>45</v>
      </c>
      <c r="D28" s="367">
        <f>C28/100</f>
        <v>0.45</v>
      </c>
      <c r="E28" s="368"/>
      <c r="F28" s="369"/>
      <c r="G28" s="370"/>
      <c r="H28" s="370"/>
      <c r="I28" s="370"/>
      <c r="J28" s="370"/>
      <c r="K28" s="370"/>
      <c r="L28" s="370"/>
      <c r="M28" s="368"/>
    </row>
    <row r="29" ht="12.75" spans="1:13">
      <c r="A29" s="364" t="s">
        <v>43</v>
      </c>
      <c r="B29" s="365" t="s">
        <v>16</v>
      </c>
      <c r="C29" s="366">
        <f>5*21</f>
        <v>105</v>
      </c>
      <c r="D29" s="367">
        <f>C29/5</f>
        <v>21</v>
      </c>
      <c r="E29" s="368"/>
      <c r="F29" s="369"/>
      <c r="G29" s="370"/>
      <c r="H29" s="370"/>
      <c r="I29" s="370"/>
      <c r="J29" s="370"/>
      <c r="K29" s="370"/>
      <c r="L29" s="370"/>
      <c r="M29" s="368"/>
    </row>
    <row r="30" ht="12.75" spans="1:13">
      <c r="A30" s="364" t="s">
        <v>44</v>
      </c>
      <c r="B30" s="365" t="s">
        <v>16</v>
      </c>
      <c r="C30" s="366">
        <f>5*24</f>
        <v>120</v>
      </c>
      <c r="D30" s="367">
        <f>C30/5</f>
        <v>24</v>
      </c>
      <c r="E30" s="368"/>
      <c r="F30" s="369"/>
      <c r="G30" s="370"/>
      <c r="H30" s="370"/>
      <c r="I30" s="370"/>
      <c r="J30" s="370"/>
      <c r="K30" s="370"/>
      <c r="L30" s="370"/>
      <c r="M30" s="368"/>
    </row>
    <row r="31" ht="12.75" spans="1:13">
      <c r="A31" s="364" t="s">
        <v>45</v>
      </c>
      <c r="B31" s="365" t="s">
        <v>18</v>
      </c>
      <c r="C31" s="366">
        <f>1*375</f>
        <v>375</v>
      </c>
      <c r="D31" s="367">
        <f>C31/100</f>
        <v>3.75</v>
      </c>
      <c r="E31" s="368"/>
      <c r="F31" s="369"/>
      <c r="G31" s="370"/>
      <c r="H31" s="370"/>
      <c r="I31" s="370"/>
      <c r="J31" s="370"/>
      <c r="K31" s="370"/>
      <c r="L31" s="370"/>
      <c r="M31" s="368"/>
    </row>
    <row r="32" ht="12.75" spans="1:13">
      <c r="A32" s="364" t="s">
        <v>46</v>
      </c>
      <c r="B32" s="365" t="s">
        <v>16</v>
      </c>
      <c r="C32" s="366">
        <f>16*5</f>
        <v>80</v>
      </c>
      <c r="D32" s="367">
        <f>C32/5</f>
        <v>16</v>
      </c>
      <c r="E32" s="368"/>
      <c r="F32" s="369"/>
      <c r="G32" s="370"/>
      <c r="H32" s="370"/>
      <c r="I32" s="370"/>
      <c r="J32" s="370"/>
      <c r="K32" s="370"/>
      <c r="L32" s="370"/>
      <c r="M32" s="368"/>
    </row>
    <row r="33" ht="12.75" spans="1:13">
      <c r="A33" s="364" t="s">
        <v>47</v>
      </c>
      <c r="B33" s="365" t="s">
        <v>48</v>
      </c>
      <c r="C33" s="366">
        <f>160*1</f>
        <v>160</v>
      </c>
      <c r="D33" s="367">
        <f>C33/20</f>
        <v>8</v>
      </c>
      <c r="E33" s="368"/>
      <c r="F33" s="369"/>
      <c r="G33" s="370"/>
      <c r="H33" s="370"/>
      <c r="I33" s="370"/>
      <c r="J33" s="370"/>
      <c r="K33" s="370"/>
      <c r="L33" s="370"/>
      <c r="M33" s="368"/>
    </row>
    <row r="34" ht="12.75" spans="1:13">
      <c r="A34" s="364" t="s">
        <v>49</v>
      </c>
      <c r="B34" s="365" t="s">
        <v>16</v>
      </c>
      <c r="C34" s="366">
        <f>5*18</f>
        <v>90</v>
      </c>
      <c r="D34" s="367">
        <f>C34/5</f>
        <v>18</v>
      </c>
      <c r="E34" s="368"/>
      <c r="F34" s="369"/>
      <c r="G34" s="370"/>
      <c r="H34" s="370"/>
      <c r="I34" s="370"/>
      <c r="J34" s="370"/>
      <c r="K34" s="370"/>
      <c r="L34" s="370"/>
      <c r="M34" s="368"/>
    </row>
    <row r="35" ht="12.75" spans="1:13">
      <c r="A35" s="364" t="s">
        <v>50</v>
      </c>
      <c r="B35" s="365" t="s">
        <v>11</v>
      </c>
      <c r="C35" s="366">
        <f>25*2</f>
        <v>50</v>
      </c>
      <c r="D35" s="367">
        <f>C35/2</f>
        <v>25</v>
      </c>
      <c r="E35" s="368"/>
      <c r="F35" s="369"/>
      <c r="G35" s="370"/>
      <c r="H35" s="370"/>
      <c r="I35" s="370"/>
      <c r="J35" s="370"/>
      <c r="K35" s="370"/>
      <c r="L35" s="370"/>
      <c r="M35" s="368"/>
    </row>
    <row r="36" ht="12.75" spans="1:13">
      <c r="A36" s="364" t="s">
        <v>51</v>
      </c>
      <c r="B36" s="365" t="s">
        <v>52</v>
      </c>
      <c r="C36" s="366">
        <v>135</v>
      </c>
      <c r="D36" s="367">
        <v>135</v>
      </c>
      <c r="E36" s="368"/>
      <c r="F36" s="369"/>
      <c r="G36" s="370"/>
      <c r="H36" s="370"/>
      <c r="I36" s="370"/>
      <c r="J36" s="370"/>
      <c r="K36" s="370"/>
      <c r="L36" s="370"/>
      <c r="M36" s="368"/>
    </row>
    <row r="37" ht="12.75" spans="1:13">
      <c r="A37" s="364" t="s">
        <v>53</v>
      </c>
      <c r="B37" s="365" t="s">
        <v>54</v>
      </c>
      <c r="C37" s="366">
        <f>3*55</f>
        <v>165</v>
      </c>
      <c r="D37" s="367">
        <f>C37/3</f>
        <v>55</v>
      </c>
      <c r="E37" s="368"/>
      <c r="F37" s="369"/>
      <c r="G37" s="370"/>
      <c r="H37" s="370"/>
      <c r="I37" s="370"/>
      <c r="J37" s="370"/>
      <c r="K37" s="370"/>
      <c r="L37" s="370"/>
      <c r="M37" s="368"/>
    </row>
    <row r="38" ht="12.75" spans="1:13">
      <c r="A38" s="364" t="s">
        <v>55</v>
      </c>
      <c r="B38" s="365" t="s">
        <v>56</v>
      </c>
      <c r="C38" s="366">
        <v>125</v>
      </c>
      <c r="D38" s="367"/>
      <c r="E38" s="368"/>
      <c r="F38" s="369"/>
      <c r="G38" s="370"/>
      <c r="H38" s="370"/>
      <c r="I38" s="370"/>
      <c r="J38" s="370"/>
      <c r="K38" s="370"/>
      <c r="L38" s="370"/>
      <c r="M38" s="368"/>
    </row>
    <row r="39" ht="12.75" spans="1:13">
      <c r="A39" s="364" t="s">
        <v>57</v>
      </c>
      <c r="B39" s="365" t="s">
        <v>56</v>
      </c>
      <c r="C39" s="366">
        <v>135</v>
      </c>
      <c r="D39" s="367"/>
      <c r="E39" s="368"/>
      <c r="F39" s="369"/>
      <c r="G39" s="370"/>
      <c r="H39" s="370"/>
      <c r="I39" s="370"/>
      <c r="J39" s="370"/>
      <c r="K39" s="370"/>
      <c r="L39" s="370"/>
      <c r="M39" s="368"/>
    </row>
    <row r="40" ht="12.75" spans="1:13">
      <c r="A40" s="364" t="s">
        <v>58</v>
      </c>
      <c r="B40" s="365" t="s">
        <v>56</v>
      </c>
      <c r="C40" s="366">
        <v>145</v>
      </c>
      <c r="D40" s="367"/>
      <c r="E40" s="368"/>
      <c r="F40" s="369"/>
      <c r="G40" s="370"/>
      <c r="H40" s="370"/>
      <c r="I40" s="370"/>
      <c r="J40" s="370"/>
      <c r="K40" s="370"/>
      <c r="L40" s="370"/>
      <c r="M40" s="368"/>
    </row>
    <row r="41" ht="12.75" spans="1:13">
      <c r="A41" s="364" t="s">
        <v>59</v>
      </c>
      <c r="B41" s="365" t="s">
        <v>60</v>
      </c>
      <c r="C41" s="366">
        <f>16*12</f>
        <v>192</v>
      </c>
      <c r="D41" s="367">
        <f>C41/16</f>
        <v>12</v>
      </c>
      <c r="E41" s="368"/>
      <c r="F41" s="369"/>
      <c r="G41" s="370"/>
      <c r="H41" s="370"/>
      <c r="I41" s="370"/>
      <c r="J41" s="370"/>
      <c r="K41" s="370"/>
      <c r="L41" s="370"/>
      <c r="M41" s="368"/>
    </row>
    <row r="42" ht="12.75" spans="1:13">
      <c r="A42" s="364" t="s">
        <v>61</v>
      </c>
      <c r="B42" s="365" t="s">
        <v>13</v>
      </c>
      <c r="C42" s="366">
        <v>370</v>
      </c>
      <c r="D42" s="367">
        <f>370/10</f>
        <v>37</v>
      </c>
      <c r="E42" s="368"/>
      <c r="F42" s="369"/>
      <c r="G42" s="370"/>
      <c r="H42" s="370"/>
      <c r="I42" s="370"/>
      <c r="J42" s="370"/>
      <c r="K42" s="370"/>
      <c r="L42" s="370"/>
      <c r="M42" s="368"/>
    </row>
    <row r="43" ht="12.75" spans="1:13">
      <c r="A43" s="364" t="s">
        <v>62</v>
      </c>
      <c r="B43" s="365" t="s">
        <v>13</v>
      </c>
      <c r="C43" s="366">
        <v>370</v>
      </c>
      <c r="D43" s="367">
        <f>C43/10</f>
        <v>37</v>
      </c>
      <c r="E43" s="368"/>
      <c r="F43" s="369"/>
      <c r="G43" s="370"/>
      <c r="H43" s="370"/>
      <c r="I43" s="370"/>
      <c r="J43" s="370"/>
      <c r="K43" s="370"/>
      <c r="L43" s="370"/>
      <c r="M43" s="368"/>
    </row>
    <row r="44" ht="12.75" spans="1:13">
      <c r="A44" s="364" t="s">
        <v>63</v>
      </c>
      <c r="B44" s="365" t="s">
        <v>37</v>
      </c>
      <c r="C44" s="366">
        <v>50</v>
      </c>
      <c r="D44" s="367"/>
      <c r="E44" s="368"/>
      <c r="F44" s="369"/>
      <c r="G44" s="370"/>
      <c r="H44" s="370"/>
      <c r="I44" s="370"/>
      <c r="J44" s="370"/>
      <c r="K44" s="370"/>
      <c r="L44" s="370"/>
      <c r="M44" s="368"/>
    </row>
    <row r="45" ht="12.75" spans="1:13">
      <c r="A45" s="364" t="s">
        <v>64</v>
      </c>
      <c r="B45" s="365" t="s">
        <v>18</v>
      </c>
      <c r="C45" s="366">
        <v>65</v>
      </c>
      <c r="D45" s="367">
        <f>C45/100</f>
        <v>0.65</v>
      </c>
      <c r="E45" s="368"/>
      <c r="F45" s="369"/>
      <c r="G45" s="370"/>
      <c r="H45" s="370"/>
      <c r="I45" s="370"/>
      <c r="J45" s="370"/>
      <c r="K45" s="370"/>
      <c r="L45" s="370"/>
      <c r="M45" s="368"/>
    </row>
    <row r="46" ht="12.75" spans="1:13">
      <c r="A46" s="364" t="s">
        <v>65</v>
      </c>
      <c r="B46" s="365" t="s">
        <v>54</v>
      </c>
      <c r="C46" s="366">
        <f>48*3</f>
        <v>144</v>
      </c>
      <c r="D46" s="367">
        <f>C46/3</f>
        <v>48</v>
      </c>
      <c r="E46" s="368"/>
      <c r="F46" s="369"/>
      <c r="G46" s="370"/>
      <c r="H46" s="370"/>
      <c r="I46" s="370"/>
      <c r="J46" s="370"/>
      <c r="K46" s="370"/>
      <c r="L46" s="370"/>
      <c r="M46" s="368"/>
    </row>
    <row r="47" ht="12.75" spans="1:13">
      <c r="A47" s="364" t="s">
        <v>66</v>
      </c>
      <c r="B47" s="365" t="s">
        <v>67</v>
      </c>
      <c r="C47" s="366">
        <f>15.5*12</f>
        <v>186</v>
      </c>
      <c r="D47" s="367">
        <f>C47/12</f>
        <v>15.5</v>
      </c>
      <c r="E47" s="368"/>
      <c r="F47" s="369"/>
      <c r="G47" s="370"/>
      <c r="H47" s="370"/>
      <c r="I47" s="370"/>
      <c r="J47" s="370"/>
      <c r="K47" s="370"/>
      <c r="L47" s="370"/>
      <c r="M47" s="368"/>
    </row>
    <row r="48" ht="12.75" spans="1:13">
      <c r="A48" s="364" t="s">
        <v>68</v>
      </c>
      <c r="B48" s="365" t="s">
        <v>13</v>
      </c>
      <c r="C48" s="366">
        <v>395</v>
      </c>
      <c r="D48" s="367">
        <f>C48/10</f>
        <v>39.5</v>
      </c>
      <c r="E48" s="368"/>
      <c r="F48" s="369"/>
      <c r="G48" s="370"/>
      <c r="H48" s="370"/>
      <c r="I48" s="370"/>
      <c r="J48" s="370"/>
      <c r="K48" s="370"/>
      <c r="L48" s="370"/>
      <c r="M48" s="368"/>
    </row>
    <row r="49" ht="12.75" spans="1:13">
      <c r="A49" s="364" t="s">
        <v>69</v>
      </c>
      <c r="B49" s="365" t="s">
        <v>16</v>
      </c>
      <c r="C49" s="366">
        <f>28*5</f>
        <v>140</v>
      </c>
      <c r="D49" s="367">
        <f>C49/5</f>
        <v>28</v>
      </c>
      <c r="E49" s="368"/>
      <c r="F49" s="369"/>
      <c r="G49" s="370"/>
      <c r="H49" s="370"/>
      <c r="I49" s="370"/>
      <c r="J49" s="370"/>
      <c r="K49" s="370"/>
      <c r="L49" s="370"/>
      <c r="M49" s="368"/>
    </row>
    <row r="50" ht="12.75" spans="1:13">
      <c r="A50" s="364" t="s">
        <v>70</v>
      </c>
      <c r="B50" s="365" t="s">
        <v>18</v>
      </c>
      <c r="C50" s="366">
        <v>100</v>
      </c>
      <c r="D50" s="367">
        <f>C50/100</f>
        <v>1</v>
      </c>
      <c r="E50" s="368"/>
      <c r="F50" s="369"/>
      <c r="G50" s="370"/>
      <c r="H50" s="370"/>
      <c r="I50" s="370"/>
      <c r="J50" s="370"/>
      <c r="K50" s="370"/>
      <c r="L50" s="370"/>
      <c r="M50" s="368"/>
    </row>
    <row r="51" ht="12.75" spans="1:13">
      <c r="A51" s="364" t="s">
        <v>71</v>
      </c>
      <c r="B51" s="365" t="s">
        <v>18</v>
      </c>
      <c r="C51" s="366">
        <v>32</v>
      </c>
      <c r="D51" s="367">
        <f>C51/100</f>
        <v>0.32</v>
      </c>
      <c r="E51" s="368"/>
      <c r="F51" s="369"/>
      <c r="G51" s="370"/>
      <c r="H51" s="370"/>
      <c r="I51" s="370"/>
      <c r="J51" s="370"/>
      <c r="K51" s="370"/>
      <c r="L51" s="370"/>
      <c r="M51" s="368"/>
    </row>
    <row r="52" ht="12.75" spans="1:13">
      <c r="A52" s="364" t="s">
        <v>72</v>
      </c>
      <c r="B52" s="365" t="s">
        <v>18</v>
      </c>
      <c r="C52" s="366">
        <v>230</v>
      </c>
      <c r="D52" s="367">
        <f>C52/100</f>
        <v>2.3</v>
      </c>
      <c r="E52" s="368"/>
      <c r="F52" s="369"/>
      <c r="G52" s="370"/>
      <c r="H52" s="370"/>
      <c r="I52" s="370"/>
      <c r="J52" s="370"/>
      <c r="K52" s="370"/>
      <c r="L52" s="370"/>
      <c r="M52" s="368"/>
    </row>
    <row r="53" ht="12.75" spans="1:13">
      <c r="A53" s="364" t="s">
        <v>73</v>
      </c>
      <c r="B53" s="365" t="s">
        <v>18</v>
      </c>
      <c r="C53" s="366">
        <v>130</v>
      </c>
      <c r="D53" s="367">
        <f>C53/100</f>
        <v>1.3</v>
      </c>
      <c r="E53" s="368"/>
      <c r="F53" s="369"/>
      <c r="G53" s="370"/>
      <c r="H53" s="370"/>
      <c r="I53" s="370"/>
      <c r="J53" s="370"/>
      <c r="K53" s="370"/>
      <c r="L53" s="370"/>
      <c r="M53" s="368"/>
    </row>
    <row r="54" ht="12.75" spans="1:13">
      <c r="A54" s="364" t="s">
        <v>74</v>
      </c>
      <c r="B54" s="365" t="s">
        <v>75</v>
      </c>
      <c r="C54" s="366">
        <f>68*3</f>
        <v>204</v>
      </c>
      <c r="D54" s="367">
        <f>C54/3</f>
        <v>68</v>
      </c>
      <c r="E54" s="368"/>
      <c r="F54" s="369"/>
      <c r="G54" s="370"/>
      <c r="H54" s="370"/>
      <c r="I54" s="370"/>
      <c r="J54" s="370"/>
      <c r="K54" s="370"/>
      <c r="L54" s="370"/>
      <c r="M54" s="368"/>
    </row>
    <row r="55" ht="12.75" spans="1:13">
      <c r="A55" s="364" t="s">
        <v>76</v>
      </c>
      <c r="B55" s="365" t="s">
        <v>18</v>
      </c>
      <c r="C55" s="366">
        <v>85</v>
      </c>
      <c r="D55" s="367">
        <f>C55/100</f>
        <v>0.85</v>
      </c>
      <c r="E55" s="368"/>
      <c r="F55" s="369"/>
      <c r="G55" s="370"/>
      <c r="H55" s="370"/>
      <c r="I55" s="370"/>
      <c r="J55" s="370"/>
      <c r="K55" s="370"/>
      <c r="L55" s="370"/>
      <c r="M55" s="368"/>
    </row>
    <row r="56" ht="12.75" spans="1:13">
      <c r="A56" s="364" t="s">
        <v>77</v>
      </c>
      <c r="B56" s="365" t="s">
        <v>18</v>
      </c>
      <c r="C56" s="366">
        <v>37</v>
      </c>
      <c r="D56" s="367">
        <f>C56/100</f>
        <v>0.37</v>
      </c>
      <c r="E56" s="368"/>
      <c r="F56" s="369"/>
      <c r="G56" s="370"/>
      <c r="H56" s="370"/>
      <c r="I56" s="370"/>
      <c r="J56" s="370"/>
      <c r="K56" s="370"/>
      <c r="L56" s="370"/>
      <c r="M56" s="368"/>
    </row>
    <row r="57" ht="12.75" spans="1:13">
      <c r="A57" s="364" t="s">
        <v>78</v>
      </c>
      <c r="B57" s="365" t="s">
        <v>37</v>
      </c>
      <c r="C57" s="366">
        <v>125</v>
      </c>
      <c r="D57" s="367"/>
      <c r="E57" s="368"/>
      <c r="F57" s="369"/>
      <c r="G57" s="370"/>
      <c r="H57" s="370"/>
      <c r="I57" s="370"/>
      <c r="J57" s="370"/>
      <c r="K57" s="370"/>
      <c r="L57" s="370"/>
      <c r="M57" s="368"/>
    </row>
    <row r="58" ht="12.75" spans="1:13">
      <c r="A58" s="364" t="s">
        <v>79</v>
      </c>
      <c r="B58" s="365" t="s">
        <v>37</v>
      </c>
      <c r="C58" s="366">
        <v>58</v>
      </c>
      <c r="D58" s="367"/>
      <c r="E58" s="368"/>
      <c r="F58" s="369"/>
      <c r="G58" s="370"/>
      <c r="H58" s="370"/>
      <c r="I58" s="370"/>
      <c r="J58" s="370"/>
      <c r="K58" s="370"/>
      <c r="L58" s="370"/>
      <c r="M58" s="368"/>
    </row>
    <row r="59" ht="12.75" spans="1:13">
      <c r="A59" s="364" t="s">
        <v>80</v>
      </c>
      <c r="B59" s="365" t="s">
        <v>16</v>
      </c>
      <c r="C59" s="366">
        <f>22*5</f>
        <v>110</v>
      </c>
      <c r="D59" s="367">
        <f>C59/5</f>
        <v>22</v>
      </c>
      <c r="E59" s="368"/>
      <c r="F59" s="369"/>
      <c r="G59" s="370"/>
      <c r="H59" s="370"/>
      <c r="I59" s="370"/>
      <c r="J59" s="370"/>
      <c r="K59" s="370"/>
      <c r="L59" s="370"/>
      <c r="M59" s="368"/>
    </row>
    <row r="60" ht="12.75" spans="1:13">
      <c r="A60" s="364" t="s">
        <v>81</v>
      </c>
      <c r="B60" s="365" t="s">
        <v>16</v>
      </c>
      <c r="C60" s="366">
        <f>11.5*5</f>
        <v>57.5</v>
      </c>
      <c r="D60" s="367">
        <f>C60/5</f>
        <v>11.5</v>
      </c>
      <c r="E60" s="368"/>
      <c r="F60" s="369"/>
      <c r="G60" s="370"/>
      <c r="H60" s="370"/>
      <c r="I60" s="370"/>
      <c r="J60" s="370"/>
      <c r="K60" s="370"/>
      <c r="L60" s="370"/>
      <c r="M60" s="368"/>
    </row>
    <row r="61" ht="12.75" spans="1:13">
      <c r="A61" s="364" t="s">
        <v>82</v>
      </c>
      <c r="B61" s="365" t="s">
        <v>18</v>
      </c>
      <c r="C61" s="366">
        <v>65</v>
      </c>
      <c r="D61" s="367">
        <f>65/100</f>
        <v>0.65</v>
      </c>
      <c r="E61" s="368"/>
      <c r="F61" s="369"/>
      <c r="G61" s="370"/>
      <c r="H61" s="370"/>
      <c r="I61" s="370"/>
      <c r="J61" s="370"/>
      <c r="K61" s="370"/>
      <c r="L61" s="370"/>
      <c r="M61" s="368"/>
    </row>
    <row r="62" ht="12.75" spans="1:13">
      <c r="A62" s="364" t="s">
        <v>83</v>
      </c>
      <c r="B62" s="365" t="s">
        <v>16</v>
      </c>
      <c r="C62" s="366">
        <f>5*13</f>
        <v>65</v>
      </c>
      <c r="D62" s="367">
        <f>C62/5</f>
        <v>13</v>
      </c>
      <c r="E62" s="368"/>
      <c r="F62" s="369"/>
      <c r="G62" s="370"/>
      <c r="H62" s="370"/>
      <c r="I62" s="370"/>
      <c r="J62" s="370"/>
      <c r="K62" s="370"/>
      <c r="L62" s="370"/>
      <c r="M62" s="368"/>
    </row>
    <row r="63" ht="12.75" spans="1:13">
      <c r="A63" s="364" t="s">
        <v>84</v>
      </c>
      <c r="B63" s="365" t="s">
        <v>54</v>
      </c>
      <c r="C63" s="366">
        <f>15*3</f>
        <v>45</v>
      </c>
      <c r="D63" s="367">
        <f>C63/3</f>
        <v>15</v>
      </c>
      <c r="E63" s="368"/>
      <c r="F63" s="369"/>
      <c r="G63" s="370"/>
      <c r="H63" s="370"/>
      <c r="I63" s="370"/>
      <c r="J63" s="370"/>
      <c r="K63" s="370"/>
      <c r="L63" s="370"/>
      <c r="M63" s="368"/>
    </row>
    <row r="64" ht="12.75" spans="1:13">
      <c r="A64" s="364" t="s">
        <v>85</v>
      </c>
      <c r="B64" s="365" t="s">
        <v>54</v>
      </c>
      <c r="C64" s="366">
        <f>14*3</f>
        <v>42</v>
      </c>
      <c r="D64" s="367">
        <f>C64/3</f>
        <v>14</v>
      </c>
      <c r="E64" s="368"/>
      <c r="F64" s="369"/>
      <c r="G64" s="370"/>
      <c r="H64" s="370"/>
      <c r="I64" s="370"/>
      <c r="J64" s="370"/>
      <c r="K64" s="370"/>
      <c r="L64" s="370"/>
      <c r="M64" s="368"/>
    </row>
    <row r="65" ht="12.75" spans="1:13">
      <c r="A65" s="364" t="s">
        <v>86</v>
      </c>
      <c r="B65" s="365" t="s">
        <v>54</v>
      </c>
      <c r="C65" s="366">
        <f>28*3</f>
        <v>84</v>
      </c>
      <c r="D65" s="367">
        <f>C65/3</f>
        <v>28</v>
      </c>
      <c r="E65" s="368"/>
      <c r="F65" s="369"/>
      <c r="G65" s="370"/>
      <c r="H65" s="370"/>
      <c r="I65" s="370"/>
      <c r="J65" s="370"/>
      <c r="K65" s="370"/>
      <c r="L65" s="370"/>
      <c r="M65" s="368"/>
    </row>
    <row r="66" ht="12.75" spans="1:13">
      <c r="A66" s="364" t="s">
        <v>87</v>
      </c>
      <c r="B66" s="365" t="s">
        <v>88</v>
      </c>
      <c r="C66" s="366">
        <v>55</v>
      </c>
      <c r="D66" s="367">
        <v>55</v>
      </c>
      <c r="E66" s="368"/>
      <c r="F66" s="369"/>
      <c r="G66" s="370"/>
      <c r="H66" s="370"/>
      <c r="I66" s="370"/>
      <c r="J66" s="370"/>
      <c r="K66" s="370"/>
      <c r="L66" s="370"/>
      <c r="M66" s="368"/>
    </row>
    <row r="67" ht="12.75" spans="1:13">
      <c r="A67" s="364" t="s">
        <v>89</v>
      </c>
      <c r="B67" s="365" t="s">
        <v>30</v>
      </c>
      <c r="C67" s="366">
        <f>81</f>
        <v>81</v>
      </c>
      <c r="D67" s="367">
        <f>C67/30</f>
        <v>2.7</v>
      </c>
      <c r="E67" s="368"/>
      <c r="F67" s="369"/>
      <c r="G67" s="370"/>
      <c r="H67" s="370"/>
      <c r="I67" s="370"/>
      <c r="J67" s="370"/>
      <c r="K67" s="370"/>
      <c r="L67" s="370"/>
      <c r="M67" s="368"/>
    </row>
    <row r="68" ht="12.75" spans="1:13">
      <c r="A68" s="364" t="s">
        <v>90</v>
      </c>
      <c r="B68" s="365" t="s">
        <v>37</v>
      </c>
      <c r="C68" s="366">
        <v>58</v>
      </c>
      <c r="D68" s="367"/>
      <c r="E68" s="368"/>
      <c r="F68" s="369"/>
      <c r="G68" s="370"/>
      <c r="H68" s="370"/>
      <c r="I68" s="370"/>
      <c r="J68" s="370"/>
      <c r="K68" s="370"/>
      <c r="L68" s="370"/>
      <c r="M68" s="368"/>
    </row>
    <row r="69" ht="12.75" spans="1:13">
      <c r="A69" s="364" t="s">
        <v>91</v>
      </c>
      <c r="B69" s="365" t="s">
        <v>54</v>
      </c>
      <c r="C69" s="366">
        <f>3*35</f>
        <v>105</v>
      </c>
      <c r="D69" s="367">
        <f>C69/3</f>
        <v>35</v>
      </c>
      <c r="E69" s="368"/>
      <c r="F69" s="369"/>
      <c r="G69" s="370"/>
      <c r="H69" s="370"/>
      <c r="I69" s="370"/>
      <c r="J69" s="370"/>
      <c r="K69" s="370"/>
      <c r="L69" s="370"/>
      <c r="M69" s="368"/>
    </row>
    <row r="70" ht="12.75" spans="1:13">
      <c r="A70" s="364" t="s">
        <v>92</v>
      </c>
      <c r="B70" s="365" t="s">
        <v>16</v>
      </c>
      <c r="C70" s="366">
        <f>11.5*5</f>
        <v>57.5</v>
      </c>
      <c r="D70" s="367">
        <f>C70/5</f>
        <v>11.5</v>
      </c>
      <c r="E70" s="368"/>
      <c r="F70" s="369"/>
      <c r="G70" s="370"/>
      <c r="H70" s="370"/>
      <c r="I70" s="370"/>
      <c r="J70" s="370"/>
      <c r="K70" s="370"/>
      <c r="L70" s="370"/>
      <c r="M70" s="368"/>
    </row>
    <row r="71" ht="12.75" spans="1:13">
      <c r="A71" s="364" t="s">
        <v>93</v>
      </c>
      <c r="B71" s="365" t="s">
        <v>18</v>
      </c>
      <c r="C71" s="366">
        <v>32</v>
      </c>
      <c r="D71" s="367">
        <f>32/100</f>
        <v>0.32</v>
      </c>
      <c r="E71" s="368"/>
      <c r="F71" s="369"/>
      <c r="G71" s="370"/>
      <c r="H71" s="370"/>
      <c r="I71" s="370"/>
      <c r="J71" s="370"/>
      <c r="K71" s="370"/>
      <c r="L71" s="370"/>
      <c r="M71" s="368"/>
    </row>
    <row r="72" ht="12.75" spans="1:13">
      <c r="A72" s="364" t="s">
        <v>94</v>
      </c>
      <c r="B72" s="365" t="s">
        <v>16</v>
      </c>
      <c r="C72" s="366">
        <f>5*11</f>
        <v>55</v>
      </c>
      <c r="D72" s="367">
        <f>C72/5</f>
        <v>11</v>
      </c>
      <c r="E72" s="368"/>
      <c r="F72" s="369"/>
      <c r="G72" s="370"/>
      <c r="H72" s="370"/>
      <c r="I72" s="370"/>
      <c r="J72" s="370"/>
      <c r="K72" s="370"/>
      <c r="L72" s="370"/>
      <c r="M72" s="368"/>
    </row>
    <row r="73" ht="12.75" spans="1:13">
      <c r="A73" s="364" t="s">
        <v>95</v>
      </c>
      <c r="B73" s="365" t="s">
        <v>96</v>
      </c>
      <c r="C73" s="366">
        <f>4*11.5</f>
        <v>46</v>
      </c>
      <c r="D73" s="367">
        <f>C73/4</f>
        <v>11.5</v>
      </c>
      <c r="E73" s="368"/>
      <c r="F73" s="369"/>
      <c r="G73" s="370"/>
      <c r="H73" s="370"/>
      <c r="I73" s="370"/>
      <c r="J73" s="370"/>
      <c r="K73" s="370"/>
      <c r="L73" s="370"/>
      <c r="M73" s="368"/>
    </row>
    <row r="74" ht="12.75" spans="1:13">
      <c r="A74" s="364" t="s">
        <v>97</v>
      </c>
      <c r="B74" s="365" t="s">
        <v>16</v>
      </c>
      <c r="C74" s="366">
        <f>11.5*5</f>
        <v>57.5</v>
      </c>
      <c r="D74" s="367">
        <f>C74/5</f>
        <v>11.5</v>
      </c>
      <c r="E74" s="368"/>
      <c r="F74" s="369"/>
      <c r="G74" s="370"/>
      <c r="H74" s="370"/>
      <c r="I74" s="370"/>
      <c r="J74" s="370"/>
      <c r="K74" s="370"/>
      <c r="L74" s="370"/>
      <c r="M74" s="368"/>
    </row>
    <row r="75" ht="12.75" spans="1:13">
      <c r="A75" s="364" t="s">
        <v>98</v>
      </c>
      <c r="B75" s="365" t="s">
        <v>67</v>
      </c>
      <c r="C75" s="366">
        <f>30*12</f>
        <v>360</v>
      </c>
      <c r="D75" s="367">
        <f>C75/12</f>
        <v>30</v>
      </c>
      <c r="E75" s="368"/>
      <c r="F75" s="369"/>
      <c r="G75" s="370"/>
      <c r="H75" s="370"/>
      <c r="I75" s="370"/>
      <c r="J75" s="370"/>
      <c r="K75" s="370"/>
      <c r="L75" s="370"/>
      <c r="M75" s="368"/>
    </row>
    <row r="76" ht="12.75" spans="1:13">
      <c r="A76" s="364" t="s">
        <v>99</v>
      </c>
      <c r="B76" s="365" t="s">
        <v>100</v>
      </c>
      <c r="C76" s="366">
        <v>425</v>
      </c>
      <c r="D76" s="367">
        <f>C76/25</f>
        <v>17</v>
      </c>
      <c r="E76" s="368"/>
      <c r="F76" s="369"/>
      <c r="G76" s="370"/>
      <c r="H76" s="370"/>
      <c r="I76" s="370"/>
      <c r="J76" s="370"/>
      <c r="K76" s="370"/>
      <c r="L76" s="370"/>
      <c r="M76" s="368"/>
    </row>
    <row r="77" ht="12.75" spans="1:13">
      <c r="A77" s="364" t="s">
        <v>101</v>
      </c>
      <c r="B77" s="365" t="s">
        <v>30</v>
      </c>
      <c r="C77" s="366">
        <v>240</v>
      </c>
      <c r="D77" s="367">
        <f>240/30</f>
        <v>8</v>
      </c>
      <c r="E77" s="368"/>
      <c r="F77" s="369"/>
      <c r="G77" s="370"/>
      <c r="H77" s="370"/>
      <c r="I77" s="370"/>
      <c r="J77" s="370"/>
      <c r="K77" s="370"/>
      <c r="L77" s="370"/>
      <c r="M77" s="368"/>
    </row>
    <row r="78" ht="12.75" spans="1:13">
      <c r="A78" s="364" t="s">
        <v>102</v>
      </c>
      <c r="B78" s="365" t="s">
        <v>103</v>
      </c>
      <c r="C78" s="366">
        <v>460</v>
      </c>
      <c r="D78" s="367">
        <f>C78/24</f>
        <v>19.1666666666667</v>
      </c>
      <c r="E78" s="368"/>
      <c r="F78" s="369"/>
      <c r="G78" s="370"/>
      <c r="H78" s="370"/>
      <c r="I78" s="370"/>
      <c r="J78" s="370"/>
      <c r="K78" s="370"/>
      <c r="L78" s="370"/>
      <c r="M78" s="368"/>
    </row>
    <row r="79" ht="13.5" spans="1:13">
      <c r="A79" s="374" t="s">
        <v>104</v>
      </c>
      <c r="B79" s="375" t="s">
        <v>18</v>
      </c>
      <c r="C79" s="376">
        <v>102</v>
      </c>
      <c r="D79" s="377">
        <f>C79/100</f>
        <v>1.02</v>
      </c>
      <c r="E79" s="378"/>
      <c r="F79" s="379"/>
      <c r="G79" s="380"/>
      <c r="H79" s="380"/>
      <c r="I79" s="380"/>
      <c r="J79" s="380"/>
      <c r="K79" s="380"/>
      <c r="L79" s="380"/>
      <c r="M79" s="378"/>
    </row>
    <row r="80" s="350" customFormat="1" ht="13.5" spans="1:13">
      <c r="A80" s="381" t="s">
        <v>105</v>
      </c>
      <c r="B80" s="382">
        <v>223</v>
      </c>
      <c r="C80" s="383">
        <f>SUM(C3:C79)</f>
        <v>9698</v>
      </c>
      <c r="D80" s="384"/>
      <c r="E80" s="385"/>
      <c r="F80" s="386"/>
      <c r="G80" s="385"/>
      <c r="H80" s="386"/>
      <c r="I80" s="385"/>
      <c r="J80" s="386"/>
      <c r="K80" s="385"/>
      <c r="L80" s="386"/>
      <c r="M80" s="385"/>
    </row>
  </sheetData>
  <mergeCells count="1">
    <mergeCell ref="A1:M1"/>
  </mergeCells>
  <pageMargins left="0.707638888888889" right="0.313888888888889" top="0.471527777777778" bottom="0.471527777777778" header="0.354166666666667" footer="0.354166666666667"/>
  <pageSetup paperSize="14" orientation="landscape" horizont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5"/>
  <sheetViews>
    <sheetView workbookViewId="0">
      <selection activeCell="A1" sqref="A1:Q3"/>
    </sheetView>
  </sheetViews>
  <sheetFormatPr defaultColWidth="9.14285714285714" defaultRowHeight="15"/>
  <cols>
    <col min="1" max="1" width="29" customWidth="1"/>
    <col min="2" max="2" width="10.1428571428571" hidden="1" customWidth="1"/>
    <col min="3" max="3" width="7.2" hidden="1" customWidth="1"/>
    <col min="4" max="4" width="11.5714285714286" customWidth="1"/>
    <col min="5" max="5" width="8.85714285714286" customWidth="1"/>
    <col min="6" max="17" width="7.57142857142857" customWidth="1"/>
  </cols>
  <sheetData>
    <row r="1" ht="21.75" spans="1:17">
      <c r="A1" s="1" t="s">
        <v>701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8"/>
    </row>
    <row r="2" ht="21.75" spans="1:17">
      <c r="A2" s="3" t="s">
        <v>1</v>
      </c>
      <c r="B2" s="4"/>
      <c r="C2" s="5"/>
      <c r="D2" s="6" t="s">
        <v>4</v>
      </c>
      <c r="E2" s="7" t="s">
        <v>5</v>
      </c>
      <c r="F2" s="8" t="s">
        <v>697</v>
      </c>
      <c r="G2" s="8"/>
      <c r="H2" s="8"/>
      <c r="I2" s="8"/>
      <c r="J2" s="8"/>
      <c r="K2" s="8"/>
      <c r="L2" s="8"/>
      <c r="M2" s="8"/>
      <c r="N2" s="8"/>
      <c r="O2" s="8"/>
      <c r="P2" s="8"/>
      <c r="Q2" s="29"/>
    </row>
    <row r="3" ht="26.25" spans="1:17">
      <c r="A3" s="9"/>
      <c r="B3" s="10" t="s">
        <v>107</v>
      </c>
      <c r="C3" s="11" t="s">
        <v>3</v>
      </c>
      <c r="D3" s="12"/>
      <c r="E3" s="13"/>
      <c r="F3" s="14"/>
      <c r="G3" s="15"/>
      <c r="H3" s="14"/>
      <c r="I3" s="15"/>
      <c r="J3" s="14"/>
      <c r="K3" s="15"/>
      <c r="L3" s="14"/>
      <c r="M3" s="15"/>
      <c r="N3" s="14"/>
      <c r="O3" s="15"/>
      <c r="P3" s="15"/>
      <c r="Q3" s="30"/>
    </row>
    <row r="4" spans="1:23">
      <c r="A4" s="42" t="s">
        <v>109</v>
      </c>
      <c r="B4" s="43"/>
      <c r="C4" s="44"/>
      <c r="D4" s="45">
        <v>150</v>
      </c>
      <c r="E4" s="46">
        <v>165</v>
      </c>
      <c r="F4" s="47"/>
      <c r="G4" s="48"/>
      <c r="H4" s="48"/>
      <c r="I4" s="48"/>
      <c r="J4" s="48"/>
      <c r="K4" s="48"/>
      <c r="L4" s="48"/>
      <c r="M4" s="48"/>
      <c r="N4" s="48"/>
      <c r="O4" s="48"/>
      <c r="P4" s="48"/>
      <c r="Q4" s="65"/>
      <c r="R4" s="64"/>
      <c r="S4" s="64"/>
      <c r="T4" s="64"/>
      <c r="U4" s="64"/>
      <c r="V4" s="63"/>
      <c r="W4" s="63"/>
    </row>
    <row r="5" spans="1:23">
      <c r="A5" s="49" t="s">
        <v>110</v>
      </c>
      <c r="B5" s="50"/>
      <c r="C5" s="51"/>
      <c r="D5" s="52">
        <v>450</v>
      </c>
      <c r="E5" s="53">
        <v>472</v>
      </c>
      <c r="F5" s="54"/>
      <c r="G5" s="55"/>
      <c r="H5" s="55"/>
      <c r="I5" s="55"/>
      <c r="J5" s="55"/>
      <c r="K5" s="55"/>
      <c r="L5" s="55"/>
      <c r="M5" s="55"/>
      <c r="N5" s="55"/>
      <c r="O5" s="55"/>
      <c r="P5" s="55"/>
      <c r="Q5" s="66"/>
      <c r="R5" s="64"/>
      <c r="S5" s="64"/>
      <c r="T5" s="64"/>
      <c r="U5" s="64"/>
      <c r="V5" s="63"/>
      <c r="W5" s="63"/>
    </row>
    <row r="6" spans="1:23">
      <c r="A6" s="49" t="s">
        <v>111</v>
      </c>
      <c r="B6" s="50"/>
      <c r="C6" s="51"/>
      <c r="D6" s="52">
        <v>350</v>
      </c>
      <c r="E6" s="53">
        <v>375</v>
      </c>
      <c r="F6" s="54"/>
      <c r="G6" s="55"/>
      <c r="H6" s="55"/>
      <c r="I6" s="55"/>
      <c r="J6" s="55"/>
      <c r="K6" s="55"/>
      <c r="L6" s="55"/>
      <c r="M6" s="55"/>
      <c r="N6" s="55"/>
      <c r="O6" s="55"/>
      <c r="P6" s="55"/>
      <c r="Q6" s="66"/>
      <c r="R6" s="64"/>
      <c r="S6" s="64"/>
      <c r="T6" s="64"/>
      <c r="U6" s="64"/>
      <c r="V6" s="63"/>
      <c r="W6" s="63"/>
    </row>
    <row r="7" spans="1:23">
      <c r="A7" s="49" t="s">
        <v>112</v>
      </c>
      <c r="B7" s="50"/>
      <c r="C7" s="51"/>
      <c r="D7" s="52">
        <v>420</v>
      </c>
      <c r="E7" s="53">
        <v>445</v>
      </c>
      <c r="F7" s="54"/>
      <c r="G7" s="55"/>
      <c r="H7" s="55"/>
      <c r="I7" s="55"/>
      <c r="J7" s="55"/>
      <c r="K7" s="55"/>
      <c r="L7" s="55"/>
      <c r="M7" s="55"/>
      <c r="N7" s="55"/>
      <c r="O7" s="55"/>
      <c r="P7" s="55"/>
      <c r="Q7" s="66"/>
      <c r="R7" s="64"/>
      <c r="S7" s="64"/>
      <c r="T7" s="64"/>
      <c r="U7" s="64"/>
      <c r="V7" s="63"/>
      <c r="W7" s="63"/>
    </row>
    <row r="8" hidden="1" spans="1:23">
      <c r="A8" s="49" t="s">
        <v>113</v>
      </c>
      <c r="B8" s="50">
        <v>2</v>
      </c>
      <c r="C8" s="51">
        <v>186</v>
      </c>
      <c r="D8" s="52">
        <v>93</v>
      </c>
      <c r="E8" s="53">
        <v>100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66"/>
      <c r="R8" s="64"/>
      <c r="S8" s="64"/>
      <c r="T8" s="64"/>
      <c r="U8" s="64"/>
      <c r="V8" s="63"/>
      <c r="W8" s="63"/>
    </row>
    <row r="9" spans="1:23">
      <c r="A9" s="49" t="s">
        <v>113</v>
      </c>
      <c r="B9" s="50"/>
      <c r="C9" s="51"/>
      <c r="D9" s="52">
        <v>92.86</v>
      </c>
      <c r="E9" s="53">
        <v>100</v>
      </c>
      <c r="F9" s="54"/>
      <c r="G9" s="55"/>
      <c r="H9" s="55"/>
      <c r="I9" s="55"/>
      <c r="J9" s="55"/>
      <c r="K9" s="55"/>
      <c r="L9" s="55"/>
      <c r="M9" s="55"/>
      <c r="N9" s="55"/>
      <c r="O9" s="55"/>
      <c r="P9" s="55"/>
      <c r="Q9" s="66"/>
      <c r="R9" s="64"/>
      <c r="S9" s="64"/>
      <c r="T9" s="64"/>
      <c r="U9" s="64"/>
      <c r="V9" s="63"/>
      <c r="W9" s="63"/>
    </row>
    <row r="10" spans="1:23">
      <c r="A10" s="49" t="s">
        <v>114</v>
      </c>
      <c r="B10" s="50"/>
      <c r="C10" s="51"/>
      <c r="D10" s="52">
        <v>700</v>
      </c>
      <c r="E10" s="53">
        <v>750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66"/>
      <c r="R10" s="64"/>
      <c r="S10" s="64"/>
      <c r="T10" s="64"/>
      <c r="U10" s="64"/>
      <c r="V10" s="63"/>
      <c r="W10" s="63"/>
    </row>
    <row r="11" hidden="1" spans="1:23">
      <c r="A11" s="49" t="s">
        <v>115</v>
      </c>
      <c r="B11" s="50"/>
      <c r="C11" s="51"/>
      <c r="D11" s="52">
        <v>700</v>
      </c>
      <c r="E11" s="53"/>
      <c r="F11" s="5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66"/>
      <c r="R11" s="64"/>
      <c r="S11" s="64"/>
      <c r="T11" s="64"/>
      <c r="U11" s="64"/>
      <c r="V11" s="63"/>
      <c r="W11" s="63"/>
    </row>
    <row r="12" spans="1:23">
      <c r="A12" s="49" t="s">
        <v>116</v>
      </c>
      <c r="B12" s="50"/>
      <c r="C12" s="51"/>
      <c r="D12" s="52">
        <v>92.19</v>
      </c>
      <c r="E12" s="53">
        <v>100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6"/>
      <c r="R12" s="64"/>
      <c r="S12" s="64"/>
      <c r="T12" s="64"/>
      <c r="U12" s="64"/>
      <c r="V12" s="63"/>
      <c r="W12" s="63"/>
    </row>
    <row r="13" spans="1:23">
      <c r="A13" s="49" t="s">
        <v>117</v>
      </c>
      <c r="B13" s="50"/>
      <c r="C13" s="51"/>
      <c r="D13" s="52">
        <v>205.23</v>
      </c>
      <c r="E13" s="53">
        <v>215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66"/>
      <c r="R13" s="64"/>
      <c r="S13" s="64"/>
      <c r="T13" s="64"/>
      <c r="U13" s="64"/>
      <c r="V13" s="63"/>
      <c r="W13" s="63"/>
    </row>
    <row r="14" hidden="1" spans="1:23">
      <c r="A14" s="49" t="s">
        <v>118</v>
      </c>
      <c r="B14" s="50">
        <v>1</v>
      </c>
      <c r="C14" s="51">
        <v>204</v>
      </c>
      <c r="D14" s="52">
        <v>204</v>
      </c>
      <c r="E14" s="53">
        <v>220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66"/>
      <c r="R14" s="64"/>
      <c r="S14" s="64"/>
      <c r="T14" s="64"/>
      <c r="U14" s="64"/>
      <c r="V14" s="63"/>
      <c r="W14" s="63"/>
    </row>
    <row r="15" spans="1:23">
      <c r="A15" s="49" t="s">
        <v>118</v>
      </c>
      <c r="B15" s="50"/>
      <c r="C15" s="51"/>
      <c r="D15" s="52">
        <v>207</v>
      </c>
      <c r="E15" s="53">
        <v>220</v>
      </c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66"/>
      <c r="R15" s="64"/>
      <c r="S15" s="64"/>
      <c r="T15" s="64"/>
      <c r="U15" s="64"/>
      <c r="V15" s="63"/>
      <c r="W15" s="63"/>
    </row>
    <row r="16" hidden="1" spans="1:23">
      <c r="A16" s="49" t="s">
        <v>119</v>
      </c>
      <c r="B16" s="50">
        <v>1</v>
      </c>
      <c r="C16" s="51">
        <v>93</v>
      </c>
      <c r="D16" s="52">
        <v>93</v>
      </c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66"/>
      <c r="R16" s="64"/>
      <c r="S16" s="64"/>
      <c r="T16" s="64"/>
      <c r="U16" s="64"/>
      <c r="V16" s="63"/>
      <c r="W16" s="63"/>
    </row>
    <row r="17" spans="1:23">
      <c r="A17" s="49" t="s">
        <v>119</v>
      </c>
      <c r="B17" s="50"/>
      <c r="C17" s="51"/>
      <c r="D17" s="52">
        <v>92.99</v>
      </c>
      <c r="E17" s="53">
        <v>103</v>
      </c>
      <c r="F17" s="54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66"/>
      <c r="R17" s="64"/>
      <c r="S17" s="64"/>
      <c r="T17" s="64"/>
      <c r="U17" s="64"/>
      <c r="V17" s="63"/>
      <c r="W17" s="63"/>
    </row>
    <row r="18" spans="1:23">
      <c r="A18" s="49" t="s">
        <v>120</v>
      </c>
      <c r="B18" s="50">
        <v>1</v>
      </c>
      <c r="C18" s="51">
        <v>203</v>
      </c>
      <c r="D18" s="52">
        <v>203</v>
      </c>
      <c r="E18" s="53">
        <v>220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66"/>
      <c r="R18" s="64"/>
      <c r="S18" s="64"/>
      <c r="T18" s="64"/>
      <c r="U18" s="64"/>
      <c r="V18" s="63"/>
      <c r="W18" s="63"/>
    </row>
    <row r="19" hidden="1" spans="1:23">
      <c r="A19" s="49" t="s">
        <v>120</v>
      </c>
      <c r="B19" s="50"/>
      <c r="C19" s="51"/>
      <c r="D19" s="52">
        <v>203</v>
      </c>
      <c r="E19" s="53"/>
      <c r="F19" s="54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66"/>
      <c r="R19" s="64"/>
      <c r="S19" s="64"/>
      <c r="T19" s="64"/>
      <c r="U19" s="64"/>
      <c r="V19" s="63"/>
      <c r="W19" s="63"/>
    </row>
    <row r="20" hidden="1" spans="1:23">
      <c r="A20" s="49" t="s">
        <v>121</v>
      </c>
      <c r="B20" s="50">
        <v>1</v>
      </c>
      <c r="C20" s="51">
        <v>92</v>
      </c>
      <c r="D20" s="52">
        <v>92</v>
      </c>
      <c r="E20" s="53"/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66"/>
      <c r="R20" s="64"/>
      <c r="S20" s="64"/>
      <c r="T20" s="64"/>
      <c r="U20" s="64"/>
      <c r="V20" s="63"/>
      <c r="W20" s="63"/>
    </row>
    <row r="21" spans="1:23">
      <c r="A21" s="49" t="s">
        <v>121</v>
      </c>
      <c r="B21" s="50"/>
      <c r="C21" s="51"/>
      <c r="D21" s="52">
        <v>91.69</v>
      </c>
      <c r="E21" s="53">
        <v>100</v>
      </c>
      <c r="F21" s="54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66"/>
      <c r="R21" s="64"/>
      <c r="S21" s="64"/>
      <c r="T21" s="64"/>
      <c r="U21" s="64"/>
      <c r="V21" s="63"/>
      <c r="W21" s="63"/>
    </row>
    <row r="22" hidden="1" spans="1:23">
      <c r="A22" s="49" t="s">
        <v>122</v>
      </c>
      <c r="B22" s="50"/>
      <c r="C22" s="51"/>
      <c r="D22" s="52">
        <v>203</v>
      </c>
      <c r="E22" s="53"/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66"/>
      <c r="R22" s="64"/>
      <c r="S22" s="64"/>
      <c r="T22" s="64"/>
      <c r="U22" s="64"/>
      <c r="V22" s="63"/>
      <c r="W22" s="63"/>
    </row>
    <row r="23" spans="1:23">
      <c r="A23" s="49" t="s">
        <v>123</v>
      </c>
      <c r="B23" s="50">
        <v>1</v>
      </c>
      <c r="C23" s="51">
        <v>203</v>
      </c>
      <c r="D23" s="52">
        <v>203</v>
      </c>
      <c r="E23" s="53">
        <v>220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66"/>
      <c r="R23" s="64"/>
      <c r="S23" s="64"/>
      <c r="T23" s="64"/>
      <c r="U23" s="64"/>
      <c r="V23" s="63"/>
      <c r="W23" s="63"/>
    </row>
    <row r="24" spans="1:23">
      <c r="A24" s="49" t="s">
        <v>124</v>
      </c>
      <c r="B24" s="50">
        <v>2</v>
      </c>
      <c r="C24" s="51">
        <v>1300</v>
      </c>
      <c r="D24" s="52">
        <v>650</v>
      </c>
      <c r="E24" s="53">
        <v>800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66"/>
      <c r="R24" s="64"/>
      <c r="S24" s="64"/>
      <c r="T24" s="64"/>
      <c r="U24" s="64"/>
      <c r="V24" s="63"/>
      <c r="W24" s="63"/>
    </row>
    <row r="25" spans="1:23">
      <c r="A25" s="49" t="s">
        <v>702</v>
      </c>
      <c r="B25" s="50"/>
      <c r="C25" s="51"/>
      <c r="D25" s="52">
        <v>1400</v>
      </c>
      <c r="E25" s="53">
        <v>1625</v>
      </c>
      <c r="F25" s="5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66"/>
      <c r="R25" s="64"/>
      <c r="S25" s="64"/>
      <c r="T25" s="64"/>
      <c r="U25" s="64"/>
      <c r="V25" s="63"/>
      <c r="W25" s="63"/>
    </row>
    <row r="26" spans="1:23">
      <c r="A26" s="49" t="s">
        <v>125</v>
      </c>
      <c r="B26" s="50">
        <v>1</v>
      </c>
      <c r="C26" s="51">
        <v>34</v>
      </c>
      <c r="D26" s="52">
        <v>34</v>
      </c>
      <c r="E26" s="53">
        <v>45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66"/>
      <c r="R26" s="64"/>
      <c r="S26" s="64"/>
      <c r="T26" s="64"/>
      <c r="U26" s="64"/>
      <c r="V26" s="63"/>
      <c r="W26" s="63"/>
    </row>
    <row r="27" spans="1:23">
      <c r="A27" s="49" t="s">
        <v>126</v>
      </c>
      <c r="B27" s="50">
        <v>1</v>
      </c>
      <c r="C27" s="51">
        <v>31</v>
      </c>
      <c r="D27" s="52">
        <v>31</v>
      </c>
      <c r="E27" s="53"/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66"/>
      <c r="R27" s="64"/>
      <c r="S27" s="64"/>
      <c r="T27" s="64"/>
      <c r="U27" s="64"/>
      <c r="V27" s="63"/>
      <c r="W27" s="63"/>
    </row>
    <row r="28" spans="1:23">
      <c r="A28" s="49" t="s">
        <v>127</v>
      </c>
      <c r="B28" s="50">
        <v>1</v>
      </c>
      <c r="C28" s="51">
        <v>39</v>
      </c>
      <c r="D28" s="52">
        <v>36</v>
      </c>
      <c r="E28" s="53">
        <v>50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66"/>
      <c r="R28" s="64"/>
      <c r="S28" s="64"/>
      <c r="T28" s="64"/>
      <c r="U28" s="64"/>
      <c r="V28" s="63"/>
      <c r="W28" s="63"/>
    </row>
    <row r="29" spans="1:23">
      <c r="A29" s="49" t="s">
        <v>128</v>
      </c>
      <c r="B29" s="50"/>
      <c r="C29" s="51"/>
      <c r="D29" s="52" t="s">
        <v>703</v>
      </c>
      <c r="E29" s="53">
        <v>12</v>
      </c>
      <c r="F29" s="5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66"/>
      <c r="R29" s="64"/>
      <c r="S29" s="64"/>
      <c r="T29" s="64"/>
      <c r="U29" s="64"/>
      <c r="V29" s="63"/>
      <c r="W29" s="63"/>
    </row>
    <row r="30" spans="1:23">
      <c r="A30" s="49" t="s">
        <v>129</v>
      </c>
      <c r="B30" s="50"/>
      <c r="C30" s="51"/>
      <c r="D30" s="52">
        <v>1480</v>
      </c>
      <c r="E30" s="53">
        <v>1680</v>
      </c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66"/>
      <c r="R30" s="64"/>
      <c r="S30" s="64"/>
      <c r="T30" s="64"/>
      <c r="U30" s="64"/>
      <c r="V30" s="63"/>
      <c r="W30" s="63"/>
    </row>
    <row r="31" hidden="1" spans="1:23">
      <c r="A31" s="49" t="s">
        <v>130</v>
      </c>
      <c r="B31" s="50">
        <v>2</v>
      </c>
      <c r="C31" s="51">
        <v>160</v>
      </c>
      <c r="D31" s="52">
        <v>80</v>
      </c>
      <c r="E31" s="53"/>
      <c r="F31" s="54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66"/>
      <c r="R31" s="64"/>
      <c r="S31" s="64"/>
      <c r="T31" s="64"/>
      <c r="U31" s="64"/>
      <c r="V31" s="63"/>
      <c r="W31" s="63"/>
    </row>
    <row r="32" spans="1:23">
      <c r="A32" s="49" t="s">
        <v>130</v>
      </c>
      <c r="B32" s="50"/>
      <c r="C32" s="51"/>
      <c r="D32" s="52">
        <v>80</v>
      </c>
      <c r="E32" s="53">
        <v>90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66"/>
      <c r="R32" s="64"/>
      <c r="S32" s="64"/>
      <c r="T32" s="64"/>
      <c r="U32" s="64"/>
      <c r="V32" s="63"/>
      <c r="W32" s="63"/>
    </row>
    <row r="33" spans="1:23">
      <c r="A33" s="49" t="s">
        <v>131</v>
      </c>
      <c r="B33" s="50"/>
      <c r="C33" s="51"/>
      <c r="D33" s="52">
        <v>760</v>
      </c>
      <c r="E33" s="53">
        <v>785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66"/>
      <c r="R33" s="64"/>
      <c r="S33" s="64"/>
      <c r="T33" s="64"/>
      <c r="U33" s="64"/>
      <c r="V33" s="63"/>
      <c r="W33" s="63"/>
    </row>
    <row r="34" spans="1:23">
      <c r="A34" s="49" t="s">
        <v>132</v>
      </c>
      <c r="B34" s="50"/>
      <c r="C34" s="51"/>
      <c r="D34" s="52">
        <v>88.5</v>
      </c>
      <c r="E34" s="53">
        <v>96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66"/>
      <c r="R34" s="64"/>
      <c r="S34" s="64"/>
      <c r="T34" s="64"/>
      <c r="U34" s="64"/>
      <c r="V34" s="63"/>
      <c r="W34" s="63"/>
    </row>
    <row r="35" spans="1:23">
      <c r="A35" s="49" t="s">
        <v>133</v>
      </c>
      <c r="B35" s="50">
        <v>1</v>
      </c>
      <c r="C35" s="51">
        <v>61</v>
      </c>
      <c r="D35" s="52">
        <v>61</v>
      </c>
      <c r="E35" s="53">
        <v>70</v>
      </c>
      <c r="F35" s="54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66"/>
      <c r="R35" s="64"/>
      <c r="S35" s="64"/>
      <c r="T35" s="64"/>
      <c r="U35" s="64"/>
      <c r="V35" s="63"/>
      <c r="W35" s="63"/>
    </row>
    <row r="36" spans="1:23">
      <c r="A36" s="49" t="s">
        <v>134</v>
      </c>
      <c r="B36" s="50">
        <v>1</v>
      </c>
      <c r="C36" s="51">
        <v>151</v>
      </c>
      <c r="D36" s="52">
        <v>151</v>
      </c>
      <c r="E36" s="53">
        <v>167</v>
      </c>
      <c r="F36" s="54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66"/>
      <c r="R36" s="64"/>
      <c r="S36" s="64"/>
      <c r="T36" s="64"/>
      <c r="U36" s="64"/>
      <c r="V36" s="63"/>
      <c r="W36" s="63"/>
    </row>
    <row r="37" spans="1:23">
      <c r="A37" s="49" t="s">
        <v>135</v>
      </c>
      <c r="B37" s="50"/>
      <c r="C37" s="51"/>
      <c r="D37" s="52">
        <v>710</v>
      </c>
      <c r="E37" s="53">
        <v>738</v>
      </c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66"/>
      <c r="R37" s="64"/>
      <c r="S37" s="64"/>
      <c r="T37" s="64"/>
      <c r="U37" s="64"/>
      <c r="V37" s="63"/>
      <c r="W37" s="63"/>
    </row>
    <row r="38" spans="1:23">
      <c r="A38" s="49" t="s">
        <v>136</v>
      </c>
      <c r="B38" s="50">
        <v>1</v>
      </c>
      <c r="C38" s="51">
        <v>90</v>
      </c>
      <c r="D38" s="52">
        <v>90</v>
      </c>
      <c r="E38" s="53">
        <v>97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66"/>
      <c r="R38" s="64"/>
      <c r="S38" s="64"/>
      <c r="T38" s="64"/>
      <c r="U38" s="64"/>
      <c r="V38" s="63"/>
      <c r="W38" s="63"/>
    </row>
    <row r="39" spans="1:23">
      <c r="A39" s="49" t="s">
        <v>137</v>
      </c>
      <c r="B39" s="50">
        <v>1</v>
      </c>
      <c r="C39" s="51">
        <v>194</v>
      </c>
      <c r="D39" s="52">
        <v>194</v>
      </c>
      <c r="E39" s="53">
        <v>210</v>
      </c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66"/>
      <c r="R39" s="64"/>
      <c r="S39" s="64"/>
      <c r="T39" s="64"/>
      <c r="U39" s="64"/>
      <c r="V39" s="63"/>
      <c r="W39" s="63"/>
    </row>
    <row r="40" spans="1:23">
      <c r="A40" s="49" t="s">
        <v>138</v>
      </c>
      <c r="B40" s="50"/>
      <c r="C40" s="51"/>
      <c r="D40" s="52">
        <v>1640</v>
      </c>
      <c r="E40" s="53">
        <v>1840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66"/>
      <c r="R40" s="64"/>
      <c r="S40" s="64"/>
      <c r="T40" s="64"/>
      <c r="U40" s="64"/>
      <c r="V40" s="63"/>
      <c r="W40" s="63"/>
    </row>
    <row r="41" spans="1:23">
      <c r="A41" s="49" t="s">
        <v>139</v>
      </c>
      <c r="B41" s="50"/>
      <c r="C41" s="51"/>
      <c r="D41" s="52">
        <v>1920</v>
      </c>
      <c r="E41" s="53">
        <v>2030</v>
      </c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66"/>
      <c r="R41" s="64"/>
      <c r="S41" s="64"/>
      <c r="T41" s="64"/>
      <c r="U41" s="64"/>
      <c r="V41" s="63"/>
      <c r="W41" s="63"/>
    </row>
    <row r="42" spans="1:23">
      <c r="A42" s="49" t="s">
        <v>140</v>
      </c>
      <c r="B42" s="50"/>
      <c r="C42" s="51"/>
      <c r="D42" s="52">
        <v>1992.96</v>
      </c>
      <c r="E42" s="53">
        <v>2092</v>
      </c>
      <c r="F42" s="54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66"/>
      <c r="R42" s="64"/>
      <c r="S42" s="64"/>
      <c r="T42" s="64"/>
      <c r="U42" s="64"/>
      <c r="V42" s="63"/>
      <c r="W42" s="63"/>
    </row>
    <row r="43" ht="15.75" spans="1:23">
      <c r="A43" s="56" t="s">
        <v>141</v>
      </c>
      <c r="B43" s="57"/>
      <c r="C43" s="58"/>
      <c r="D43" s="59">
        <v>1569.6</v>
      </c>
      <c r="E43" s="60">
        <v>1729</v>
      </c>
      <c r="F43" s="61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7"/>
      <c r="R43" s="64"/>
      <c r="S43" s="64"/>
      <c r="T43" s="64"/>
      <c r="U43" s="64"/>
      <c r="V43" s="63"/>
      <c r="W43" s="63"/>
    </row>
    <row r="44" spans="1:23">
      <c r="A44" s="63"/>
      <c r="B44" s="63"/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3"/>
      <c r="W44" s="63"/>
    </row>
    <row r="45" spans="1:23">
      <c r="A45" s="63"/>
      <c r="B45" s="63"/>
      <c r="C45" s="6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3"/>
      <c r="W45" s="63"/>
    </row>
    <row r="46" spans="1:23">
      <c r="A46" s="63"/>
      <c r="B46" s="63"/>
      <c r="C46" s="63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3"/>
      <c r="W46" s="63"/>
    </row>
    <row r="47" spans="1:23">
      <c r="A47" s="63"/>
      <c r="B47" s="63"/>
      <c r="C47" s="63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3"/>
      <c r="W47" s="63"/>
    </row>
    <row r="48" spans="1:23">
      <c r="A48" s="63"/>
      <c r="B48" s="63"/>
      <c r="C48" s="63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3"/>
      <c r="W48" s="63"/>
    </row>
    <row r="49" spans="1:23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spans="1:23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 spans="1:23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 spans="1:23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 spans="1:2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 spans="1:23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 spans="1:23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 spans="1:2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 spans="1:23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 spans="1:23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 spans="1:23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 spans="1:23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 spans="1:2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 spans="1:23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 spans="1:2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 spans="1:23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 spans="1:23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 spans="1:23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23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 spans="1:23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 spans="1:23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 spans="1:23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 spans="1:2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 spans="1:23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 spans="1:2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 spans="1:2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 spans="1:23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 spans="1:23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</row>
    <row r="77" spans="1:23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</row>
    <row r="78" spans="1:23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 spans="1:2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</row>
    <row r="80" spans="1:23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</row>
    <row r="81" spans="1:23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</row>
    <row r="82" spans="1:23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</row>
    <row r="83" spans="1:2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</row>
    <row r="84" spans="1:23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</row>
    <row r="85" spans="1:23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</row>
  </sheetData>
  <mergeCells count="5">
    <mergeCell ref="A1:Q1"/>
    <mergeCell ref="F2:Q2"/>
    <mergeCell ref="A2:A3"/>
    <mergeCell ref="D2:D3"/>
    <mergeCell ref="E2:E3"/>
  </mergeCells>
  <pageMargins left="0.94375" right="0.749305555555556" top="0.999305555555556" bottom="0.999305555555556" header="0.509027777777778" footer="0.509027777777778"/>
  <pageSetup paperSize="14" orientation="landscape" horizont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7"/>
  <sheetViews>
    <sheetView workbookViewId="0">
      <selection activeCell="S10" sqref="S10"/>
    </sheetView>
  </sheetViews>
  <sheetFormatPr defaultColWidth="9.14285714285714" defaultRowHeight="15"/>
  <cols>
    <col min="1" max="1" width="46.4285714285714" customWidth="1"/>
    <col min="2" max="2" width="12.7142857142857" hidden="1" customWidth="1"/>
    <col min="3" max="3" width="8" hidden="1" customWidth="1"/>
    <col min="4" max="4" width="8.28571428571429" customWidth="1"/>
    <col min="5" max="5" width="8.85714285714286" customWidth="1"/>
    <col min="6" max="16" width="7.57142857142857" customWidth="1"/>
  </cols>
  <sheetData>
    <row r="1" ht="21.75" spans="1:16">
      <c r="A1" s="1" t="s">
        <v>701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8"/>
    </row>
    <row r="2" ht="21.75" spans="1:16">
      <c r="A2" s="3" t="s">
        <v>1</v>
      </c>
      <c r="B2" s="4"/>
      <c r="C2" s="5"/>
      <c r="D2" s="6" t="s">
        <v>4</v>
      </c>
      <c r="E2" s="7" t="s">
        <v>5</v>
      </c>
      <c r="F2" s="8" t="s">
        <v>697</v>
      </c>
      <c r="G2" s="8"/>
      <c r="H2" s="8"/>
      <c r="I2" s="8"/>
      <c r="J2" s="8"/>
      <c r="K2" s="8"/>
      <c r="L2" s="8"/>
      <c r="M2" s="8"/>
      <c r="N2" s="8"/>
      <c r="O2" s="8"/>
      <c r="P2" s="29"/>
    </row>
    <row r="3" ht="26.25" spans="1:16">
      <c r="A3" s="9"/>
      <c r="B3" s="10" t="s">
        <v>107</v>
      </c>
      <c r="C3" s="11" t="s">
        <v>3</v>
      </c>
      <c r="D3" s="12"/>
      <c r="E3" s="13"/>
      <c r="F3" s="14"/>
      <c r="G3" s="15"/>
      <c r="H3" s="14"/>
      <c r="I3" s="15"/>
      <c r="J3" s="14"/>
      <c r="K3" s="15"/>
      <c r="L3" s="14"/>
      <c r="M3" s="15"/>
      <c r="N3" s="14"/>
      <c r="O3" s="15"/>
      <c r="P3" s="30"/>
    </row>
    <row r="4" spans="1:17">
      <c r="A4" s="16" t="s">
        <v>10</v>
      </c>
      <c r="B4" s="17" t="s">
        <v>11</v>
      </c>
      <c r="C4" s="18"/>
      <c r="D4" s="19">
        <v>110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31"/>
      <c r="Q4" s="33"/>
    </row>
    <row r="5" spans="1:17">
      <c r="A5" s="20" t="s">
        <v>12</v>
      </c>
      <c r="B5" s="21" t="s">
        <v>13</v>
      </c>
      <c r="C5" s="22"/>
      <c r="D5" s="23">
        <v>80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32"/>
      <c r="Q5" s="33"/>
    </row>
    <row r="6" spans="1:17">
      <c r="A6" s="20" t="s">
        <v>14</v>
      </c>
      <c r="B6" s="21" t="s">
        <v>13</v>
      </c>
      <c r="C6" s="22"/>
      <c r="D6" s="23">
        <v>125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32"/>
      <c r="Q6" s="33"/>
    </row>
    <row r="7" spans="1:17">
      <c r="A7" s="20" t="s">
        <v>15</v>
      </c>
      <c r="B7" s="21" t="s">
        <v>16</v>
      </c>
      <c r="C7" s="22"/>
      <c r="D7" s="23">
        <v>11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32"/>
      <c r="Q7" s="33"/>
    </row>
    <row r="8" spans="1:17">
      <c r="A8" s="20" t="s">
        <v>17</v>
      </c>
      <c r="B8" s="21" t="s">
        <v>18</v>
      </c>
      <c r="C8" s="22"/>
      <c r="D8" s="23">
        <v>55</v>
      </c>
      <c r="E8" s="23">
        <v>5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32"/>
      <c r="Q8" s="33"/>
    </row>
    <row r="9" spans="1:17">
      <c r="A9" s="20" t="s">
        <v>19</v>
      </c>
      <c r="B9" s="21" t="s">
        <v>18</v>
      </c>
      <c r="C9" s="22"/>
      <c r="D9" s="23">
        <v>48</v>
      </c>
      <c r="E9" s="23">
        <v>3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32"/>
      <c r="Q9" s="33"/>
    </row>
    <row r="10" spans="1:17">
      <c r="A10" s="20" t="s">
        <v>20</v>
      </c>
      <c r="B10" s="21" t="s">
        <v>16</v>
      </c>
      <c r="C10" s="22"/>
      <c r="D10" s="23">
        <v>12</v>
      </c>
      <c r="E10" s="23">
        <v>34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32"/>
      <c r="Q10" s="33"/>
    </row>
    <row r="11" spans="1:17">
      <c r="A11" s="20" t="s">
        <v>21</v>
      </c>
      <c r="B11" s="21" t="s">
        <v>16</v>
      </c>
      <c r="C11" s="22"/>
      <c r="D11" s="23">
        <v>13</v>
      </c>
      <c r="E11" s="23">
        <v>26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2"/>
      <c r="Q11" s="33"/>
    </row>
    <row r="12" spans="1:17">
      <c r="A12" s="20" t="s">
        <v>22</v>
      </c>
      <c r="B12" s="21" t="s">
        <v>16</v>
      </c>
      <c r="C12" s="22"/>
      <c r="D12" s="23">
        <v>16</v>
      </c>
      <c r="E12" s="23">
        <v>32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32"/>
      <c r="Q12" s="33"/>
    </row>
    <row r="13" spans="1:17">
      <c r="A13" s="20" t="s">
        <v>23</v>
      </c>
      <c r="B13" s="21" t="s">
        <v>18</v>
      </c>
      <c r="C13" s="22"/>
      <c r="D13" s="23">
        <v>125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32"/>
      <c r="Q13" s="33"/>
    </row>
    <row r="14" spans="1:17">
      <c r="A14" s="20" t="s">
        <v>24</v>
      </c>
      <c r="B14" s="21" t="s">
        <v>16</v>
      </c>
      <c r="C14" s="22"/>
      <c r="D14" s="23">
        <v>12</v>
      </c>
      <c r="E14" s="23">
        <v>26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32"/>
      <c r="Q14" s="33"/>
    </row>
    <row r="15" spans="1:17">
      <c r="A15" s="20" t="s">
        <v>25</v>
      </c>
      <c r="B15" s="21" t="s">
        <v>16</v>
      </c>
      <c r="C15" s="22"/>
      <c r="D15" s="23">
        <v>19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32"/>
      <c r="Q15" s="33"/>
    </row>
    <row r="16" spans="1:17">
      <c r="A16" s="20" t="s">
        <v>26</v>
      </c>
      <c r="B16" s="21" t="s">
        <v>16</v>
      </c>
      <c r="C16" s="22"/>
      <c r="D16" s="23">
        <v>11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32"/>
      <c r="Q16" s="33"/>
    </row>
    <row r="17" spans="1:17">
      <c r="A17" s="20" t="s">
        <v>27</v>
      </c>
      <c r="B17" s="21" t="s">
        <v>16</v>
      </c>
      <c r="C17" s="22"/>
      <c r="D17" s="23">
        <v>13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32"/>
      <c r="Q17" s="33"/>
    </row>
    <row r="18" spans="1:17">
      <c r="A18" s="20" t="s">
        <v>28</v>
      </c>
      <c r="B18" s="21" t="s">
        <v>18</v>
      </c>
      <c r="C18" s="22"/>
      <c r="D18" s="23">
        <v>70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32"/>
      <c r="Q18" s="33"/>
    </row>
    <row r="19" spans="1:17">
      <c r="A19" s="20" t="s">
        <v>704</v>
      </c>
      <c r="B19" s="21"/>
      <c r="C19" s="23"/>
      <c r="D19" s="23">
        <v>212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32"/>
      <c r="Q19" s="34"/>
    </row>
    <row r="20" spans="1:17">
      <c r="A20" s="20" t="s">
        <v>29</v>
      </c>
      <c r="B20" s="21" t="s">
        <v>30</v>
      </c>
      <c r="C20" s="22"/>
      <c r="D20" s="23">
        <v>280</v>
      </c>
      <c r="E20" s="23">
        <v>18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32"/>
      <c r="Q20" s="34"/>
    </row>
    <row r="21" spans="1:17">
      <c r="A21" s="20" t="s">
        <v>31</v>
      </c>
      <c r="B21" s="21" t="s">
        <v>32</v>
      </c>
      <c r="C21" s="22"/>
      <c r="D21" s="23">
        <v>18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2"/>
      <c r="Q21" s="34"/>
    </row>
    <row r="22" spans="1:17">
      <c r="A22" s="20" t="s">
        <v>33</v>
      </c>
      <c r="B22" s="21" t="s">
        <v>16</v>
      </c>
      <c r="C22" s="22"/>
      <c r="D22" s="23">
        <v>16</v>
      </c>
      <c r="E22" s="23">
        <v>52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32"/>
      <c r="Q22" s="34"/>
    </row>
    <row r="23" spans="1:17">
      <c r="A23" s="20" t="s">
        <v>34</v>
      </c>
      <c r="B23" s="21" t="s">
        <v>18</v>
      </c>
      <c r="C23" s="22"/>
      <c r="D23" s="23">
        <v>105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2"/>
      <c r="Q23" s="34"/>
    </row>
    <row r="24" spans="1:17">
      <c r="A24" s="20" t="s">
        <v>35</v>
      </c>
      <c r="B24" s="21" t="s">
        <v>16</v>
      </c>
      <c r="C24" s="22"/>
      <c r="D24" s="23">
        <v>11</v>
      </c>
      <c r="E24" s="23">
        <v>32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32"/>
      <c r="Q24" s="34"/>
    </row>
    <row r="25" spans="1:17">
      <c r="A25" s="20" t="s">
        <v>36</v>
      </c>
      <c r="B25" s="21" t="s">
        <v>37</v>
      </c>
      <c r="C25" s="22"/>
      <c r="D25" s="23">
        <v>73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32"/>
      <c r="Q25" s="34"/>
    </row>
    <row r="26" spans="1:17">
      <c r="A26" s="20" t="s">
        <v>38</v>
      </c>
      <c r="B26" s="21" t="s">
        <v>16</v>
      </c>
      <c r="C26" s="22"/>
      <c r="D26" s="23">
        <v>12</v>
      </c>
      <c r="E26" s="23">
        <v>34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32"/>
      <c r="Q26" s="34"/>
    </row>
    <row r="27" spans="1:17">
      <c r="A27" s="20" t="s">
        <v>39</v>
      </c>
      <c r="B27" s="21" t="s">
        <v>16</v>
      </c>
      <c r="C27" s="22"/>
      <c r="D27" s="23"/>
      <c r="E27" s="23">
        <v>45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32"/>
      <c r="Q27" s="34"/>
    </row>
    <row r="28" spans="1:17">
      <c r="A28" s="20" t="s">
        <v>40</v>
      </c>
      <c r="B28" s="21" t="s">
        <v>18</v>
      </c>
      <c r="C28" s="22"/>
      <c r="D28" s="23">
        <v>220</v>
      </c>
      <c r="E28" s="23">
        <v>5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32"/>
      <c r="Q28" s="34"/>
    </row>
    <row r="29" spans="1:17">
      <c r="A29" s="24" t="s">
        <v>41</v>
      </c>
      <c r="B29" s="25" t="s">
        <v>13</v>
      </c>
      <c r="C29" s="26"/>
      <c r="D29" s="27">
        <v>180</v>
      </c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32"/>
      <c r="Q29" s="34"/>
    </row>
    <row r="30" spans="1:17">
      <c r="A30" s="24" t="s">
        <v>705</v>
      </c>
      <c r="B30" s="25"/>
      <c r="C30" s="27"/>
      <c r="D30" s="27">
        <v>1200</v>
      </c>
      <c r="E30" s="27">
        <v>36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32"/>
      <c r="Q30" s="34"/>
    </row>
    <row r="31" spans="1:17">
      <c r="A31" s="20" t="s">
        <v>42</v>
      </c>
      <c r="B31" s="21" t="s">
        <v>18</v>
      </c>
      <c r="C31" s="22"/>
      <c r="D31" s="23">
        <v>45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32"/>
      <c r="Q31" s="34"/>
    </row>
    <row r="32" spans="1:17">
      <c r="A32" s="20" t="s">
        <v>43</v>
      </c>
      <c r="B32" s="21" t="s">
        <v>16</v>
      </c>
      <c r="C32" s="22"/>
      <c r="D32" s="23">
        <v>21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32"/>
      <c r="Q32" s="34"/>
    </row>
    <row r="33" spans="1:17">
      <c r="A33" s="20" t="s">
        <v>44</v>
      </c>
      <c r="B33" s="21" t="s">
        <v>16</v>
      </c>
      <c r="C33" s="22"/>
      <c r="D33" s="23">
        <v>24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2"/>
      <c r="Q33" s="34"/>
    </row>
    <row r="34" spans="1:17">
      <c r="A34" s="20" t="s">
        <v>706</v>
      </c>
      <c r="B34" s="21"/>
      <c r="C34" s="23"/>
      <c r="D34" s="23">
        <v>270</v>
      </c>
      <c r="E34" s="23">
        <v>20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2"/>
      <c r="Q34" s="34"/>
    </row>
    <row r="35" spans="1:17">
      <c r="A35" s="20" t="s">
        <v>45</v>
      </c>
      <c r="B35" s="21" t="s">
        <v>18</v>
      </c>
      <c r="C35" s="22"/>
      <c r="D35" s="23">
        <v>375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2"/>
      <c r="Q35" s="34"/>
    </row>
    <row r="36" spans="1:17">
      <c r="A36" s="20" t="s">
        <v>707</v>
      </c>
      <c r="B36" s="21"/>
      <c r="C36" s="23"/>
      <c r="D36" s="23">
        <v>580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32"/>
      <c r="Q36" s="34"/>
    </row>
    <row r="37" spans="1:17">
      <c r="A37" s="20" t="s">
        <v>46</v>
      </c>
      <c r="B37" s="21" t="s">
        <v>16</v>
      </c>
      <c r="C37" s="22"/>
      <c r="D37" s="23">
        <v>16</v>
      </c>
      <c r="E37" s="23">
        <v>32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32"/>
      <c r="Q37" s="34"/>
    </row>
    <row r="38" spans="1:17">
      <c r="A38" s="20" t="s">
        <v>47</v>
      </c>
      <c r="B38" s="21" t="s">
        <v>48</v>
      </c>
      <c r="C38" s="22"/>
      <c r="D38" s="23">
        <v>160</v>
      </c>
      <c r="E38" s="23">
        <v>16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32"/>
      <c r="Q38" s="34"/>
    </row>
    <row r="39" spans="1:17">
      <c r="A39" s="20" t="s">
        <v>49</v>
      </c>
      <c r="B39" s="21" t="s">
        <v>16</v>
      </c>
      <c r="C39" s="22"/>
      <c r="D39" s="23">
        <v>18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32"/>
      <c r="Q39" s="34"/>
    </row>
    <row r="40" spans="1:17">
      <c r="A40" s="20" t="s">
        <v>50</v>
      </c>
      <c r="B40" s="21" t="s">
        <v>11</v>
      </c>
      <c r="C40" s="22"/>
      <c r="D40" s="23">
        <v>25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32"/>
      <c r="Q40" s="34"/>
    </row>
    <row r="41" spans="1:17">
      <c r="A41" s="20" t="s">
        <v>51</v>
      </c>
      <c r="B41" s="21" t="s">
        <v>52</v>
      </c>
      <c r="C41" s="22"/>
      <c r="D41" s="23">
        <v>135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32"/>
      <c r="Q41" s="34"/>
    </row>
    <row r="42" spans="1:17">
      <c r="A42" s="20" t="s">
        <v>708</v>
      </c>
      <c r="B42" s="21"/>
      <c r="C42" s="23"/>
      <c r="D42" s="23">
        <v>30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32"/>
      <c r="Q42" s="34"/>
    </row>
    <row r="43" spans="1:17">
      <c r="A43" s="20" t="s">
        <v>53</v>
      </c>
      <c r="B43" s="21" t="s">
        <v>54</v>
      </c>
      <c r="C43" s="22"/>
      <c r="D43" s="23">
        <v>55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32"/>
      <c r="Q43" s="34"/>
    </row>
    <row r="44" spans="1:17">
      <c r="A44" s="20" t="s">
        <v>55</v>
      </c>
      <c r="B44" s="21" t="s">
        <v>56</v>
      </c>
      <c r="C44" s="22"/>
      <c r="D44" s="23">
        <v>125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32"/>
      <c r="Q44" s="34"/>
    </row>
    <row r="45" spans="1:17">
      <c r="A45" s="20" t="s">
        <v>57</v>
      </c>
      <c r="B45" s="21" t="s">
        <v>56</v>
      </c>
      <c r="C45" s="22"/>
      <c r="D45" s="23">
        <v>135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32"/>
      <c r="Q45" s="34"/>
    </row>
    <row r="46" spans="1:17">
      <c r="A46" s="20" t="s">
        <v>58</v>
      </c>
      <c r="B46" s="21" t="s">
        <v>56</v>
      </c>
      <c r="C46" s="22"/>
      <c r="D46" s="23">
        <v>145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32"/>
      <c r="Q46" s="34"/>
    </row>
    <row r="47" spans="1:17">
      <c r="A47" s="20" t="s">
        <v>59</v>
      </c>
      <c r="B47" s="21" t="s">
        <v>60</v>
      </c>
      <c r="C47" s="22"/>
      <c r="D47" s="23">
        <v>16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32"/>
      <c r="Q47" s="34"/>
    </row>
    <row r="48" spans="1:17">
      <c r="A48" s="20" t="s">
        <v>709</v>
      </c>
      <c r="B48" s="21"/>
      <c r="C48" s="23"/>
      <c r="D48" s="23">
        <v>285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32"/>
      <c r="Q48" s="34"/>
    </row>
    <row r="49" spans="1:17">
      <c r="A49" s="20" t="s">
        <v>61</v>
      </c>
      <c r="B49" s="21" t="s">
        <v>13</v>
      </c>
      <c r="C49" s="22"/>
      <c r="D49" s="23">
        <v>370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32"/>
      <c r="Q49" s="34"/>
    </row>
    <row r="50" spans="1:17">
      <c r="A50" s="20" t="s">
        <v>62</v>
      </c>
      <c r="B50" s="21" t="s">
        <v>13</v>
      </c>
      <c r="C50" s="22"/>
      <c r="D50" s="23">
        <v>370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32"/>
      <c r="Q50" s="34"/>
    </row>
    <row r="51" spans="1:17">
      <c r="A51" s="20" t="s">
        <v>63</v>
      </c>
      <c r="B51" s="21" t="s">
        <v>37</v>
      </c>
      <c r="C51" s="22"/>
      <c r="D51" s="23">
        <v>50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32"/>
      <c r="Q51" s="34"/>
    </row>
    <row r="52" spans="1:17">
      <c r="A52" s="20" t="s">
        <v>64</v>
      </c>
      <c r="B52" s="21" t="s">
        <v>18</v>
      </c>
      <c r="C52" s="22"/>
      <c r="D52" s="23">
        <v>65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32"/>
      <c r="Q52" s="34"/>
    </row>
    <row r="53" spans="1:17">
      <c r="A53" s="20" t="s">
        <v>65</v>
      </c>
      <c r="B53" s="21" t="s">
        <v>54</v>
      </c>
      <c r="C53" s="22"/>
      <c r="D53" s="23">
        <v>48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32"/>
      <c r="Q53" s="34"/>
    </row>
    <row r="54" spans="1:17">
      <c r="A54" s="20" t="s">
        <v>66</v>
      </c>
      <c r="B54" s="21" t="s">
        <v>67</v>
      </c>
      <c r="C54" s="22"/>
      <c r="D54" s="23">
        <v>15.5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32"/>
      <c r="Q54" s="34"/>
    </row>
    <row r="55" spans="1:17">
      <c r="A55" s="20" t="s">
        <v>68</v>
      </c>
      <c r="B55" s="21" t="s">
        <v>13</v>
      </c>
      <c r="C55" s="22"/>
      <c r="D55" s="23">
        <v>395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32"/>
      <c r="Q55" s="34"/>
    </row>
    <row r="56" spans="1:17">
      <c r="A56" s="20" t="s">
        <v>69</v>
      </c>
      <c r="B56" s="21" t="s">
        <v>16</v>
      </c>
      <c r="C56" s="22"/>
      <c r="D56" s="23">
        <v>28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32"/>
      <c r="Q56" s="34"/>
    </row>
    <row r="57" spans="1:17">
      <c r="A57" s="20" t="s">
        <v>70</v>
      </c>
      <c r="B57" s="21" t="s">
        <v>18</v>
      </c>
      <c r="C57" s="22"/>
      <c r="D57" s="23">
        <v>100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2"/>
      <c r="Q57" s="34"/>
    </row>
    <row r="58" spans="1:17">
      <c r="A58" s="20" t="s">
        <v>71</v>
      </c>
      <c r="B58" s="21" t="s">
        <v>18</v>
      </c>
      <c r="C58" s="22"/>
      <c r="D58" s="23">
        <v>32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32"/>
      <c r="Q58" s="34"/>
    </row>
    <row r="59" spans="1:17">
      <c r="A59" s="20" t="s">
        <v>72</v>
      </c>
      <c r="B59" s="21" t="s">
        <v>18</v>
      </c>
      <c r="C59" s="22"/>
      <c r="D59" s="23">
        <v>230</v>
      </c>
      <c r="E59" s="23">
        <v>5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2"/>
      <c r="Q59" s="34"/>
    </row>
    <row r="60" spans="1:17">
      <c r="A60" s="20" t="s">
        <v>73</v>
      </c>
      <c r="B60" s="21" t="s">
        <v>18</v>
      </c>
      <c r="C60" s="22"/>
      <c r="D60" s="23">
        <v>130</v>
      </c>
      <c r="E60" s="23">
        <v>3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32"/>
      <c r="Q60" s="34"/>
    </row>
    <row r="61" spans="1:17">
      <c r="A61" s="20" t="s">
        <v>74</v>
      </c>
      <c r="B61" s="21" t="s">
        <v>75</v>
      </c>
      <c r="C61" s="22"/>
      <c r="D61" s="23">
        <v>68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32"/>
      <c r="Q61" s="34"/>
    </row>
    <row r="62" spans="1:17">
      <c r="A62" s="20" t="s">
        <v>640</v>
      </c>
      <c r="B62" s="21"/>
      <c r="C62" s="23"/>
      <c r="D62" s="23">
        <v>2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32"/>
      <c r="Q62" s="34"/>
    </row>
    <row r="63" spans="1:17">
      <c r="A63" s="20" t="s">
        <v>76</v>
      </c>
      <c r="B63" s="21" t="s">
        <v>18</v>
      </c>
      <c r="C63" s="22"/>
      <c r="D63" s="23">
        <v>85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32"/>
      <c r="Q63" s="34"/>
    </row>
    <row r="64" spans="1:17">
      <c r="A64" s="20" t="s">
        <v>77</v>
      </c>
      <c r="B64" s="21" t="s">
        <v>18</v>
      </c>
      <c r="C64" s="22"/>
      <c r="D64" s="23">
        <v>37</v>
      </c>
      <c r="E64" s="23">
        <v>3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32"/>
      <c r="Q64" s="34"/>
    </row>
    <row r="65" spans="1:17">
      <c r="A65" s="20" t="s">
        <v>78</v>
      </c>
      <c r="B65" s="21" t="s">
        <v>37</v>
      </c>
      <c r="C65" s="22"/>
      <c r="D65" s="23">
        <v>125</v>
      </c>
      <c r="E65" s="23">
        <v>4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32"/>
      <c r="Q65" s="34"/>
    </row>
    <row r="66" spans="1:17">
      <c r="A66" s="20" t="s">
        <v>79</v>
      </c>
      <c r="B66" s="21" t="s">
        <v>37</v>
      </c>
      <c r="C66" s="22"/>
      <c r="D66" s="23">
        <v>58</v>
      </c>
      <c r="E66" s="23">
        <v>2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32"/>
      <c r="Q66" s="34"/>
    </row>
    <row r="67" spans="1:17">
      <c r="A67" s="20" t="s">
        <v>80</v>
      </c>
      <c r="B67" s="21" t="s">
        <v>16</v>
      </c>
      <c r="C67" s="22"/>
      <c r="D67" s="23">
        <v>22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32"/>
      <c r="Q67" s="34"/>
    </row>
    <row r="68" spans="1:17">
      <c r="A68" s="20" t="s">
        <v>81</v>
      </c>
      <c r="B68" s="21" t="s">
        <v>16</v>
      </c>
      <c r="C68" s="22"/>
      <c r="D68" s="23">
        <v>11.5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32"/>
      <c r="Q68" s="34"/>
    </row>
    <row r="69" spans="1:17">
      <c r="A69" s="20" t="s">
        <v>82</v>
      </c>
      <c r="B69" s="21" t="s">
        <v>18</v>
      </c>
      <c r="C69" s="22"/>
      <c r="D69" s="23">
        <v>65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32"/>
      <c r="Q69" s="34"/>
    </row>
    <row r="70" spans="1:17">
      <c r="A70" s="20" t="s">
        <v>83</v>
      </c>
      <c r="B70" s="21" t="s">
        <v>16</v>
      </c>
      <c r="C70" s="22"/>
      <c r="D70" s="23">
        <v>13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32"/>
      <c r="Q70" s="34"/>
    </row>
    <row r="71" spans="1:17">
      <c r="A71" s="20" t="s">
        <v>84</v>
      </c>
      <c r="B71" s="21" t="s">
        <v>54</v>
      </c>
      <c r="C71" s="22"/>
      <c r="D71" s="23">
        <v>15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2"/>
      <c r="Q71" s="34"/>
    </row>
    <row r="72" spans="1:17">
      <c r="A72" s="20" t="s">
        <v>85</v>
      </c>
      <c r="B72" s="21" t="s">
        <v>54</v>
      </c>
      <c r="C72" s="22"/>
      <c r="D72" s="23">
        <v>14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2"/>
      <c r="Q72" s="34"/>
    </row>
    <row r="73" spans="1:17">
      <c r="A73" s="20" t="s">
        <v>86</v>
      </c>
      <c r="B73" s="21" t="s">
        <v>54</v>
      </c>
      <c r="C73" s="22"/>
      <c r="D73" s="23">
        <v>28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32"/>
      <c r="Q73" s="34"/>
    </row>
    <row r="74" spans="1:17">
      <c r="A74" s="20" t="s">
        <v>87</v>
      </c>
      <c r="B74" s="21" t="s">
        <v>88</v>
      </c>
      <c r="C74" s="22"/>
      <c r="D74" s="23">
        <v>55</v>
      </c>
      <c r="E74" s="23">
        <v>110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32"/>
      <c r="Q74" s="34"/>
    </row>
    <row r="75" spans="1:17">
      <c r="A75" s="20" t="s">
        <v>89</v>
      </c>
      <c r="B75" s="21" t="s">
        <v>30</v>
      </c>
      <c r="C75" s="22"/>
      <c r="D75" s="23">
        <v>81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32"/>
      <c r="Q75" s="34"/>
    </row>
    <row r="76" spans="1:17">
      <c r="A76" s="20" t="s">
        <v>90</v>
      </c>
      <c r="B76" s="21" t="s">
        <v>37</v>
      </c>
      <c r="C76" s="22"/>
      <c r="D76" s="23">
        <v>58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32"/>
      <c r="Q76" s="34"/>
    </row>
    <row r="77" spans="1:17">
      <c r="A77" s="20" t="s">
        <v>91</v>
      </c>
      <c r="B77" s="21" t="s">
        <v>54</v>
      </c>
      <c r="C77" s="22"/>
      <c r="D77" s="23">
        <v>35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32"/>
      <c r="Q77" s="34"/>
    </row>
    <row r="78" spans="1:17">
      <c r="A78" s="20" t="s">
        <v>92</v>
      </c>
      <c r="B78" s="21" t="s">
        <v>16</v>
      </c>
      <c r="C78" s="22"/>
      <c r="D78" s="23">
        <v>11.5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32"/>
      <c r="Q78" s="34"/>
    </row>
    <row r="79" spans="1:17">
      <c r="A79" s="20" t="s">
        <v>93</v>
      </c>
      <c r="B79" s="21" t="s">
        <v>18</v>
      </c>
      <c r="C79" s="22"/>
      <c r="D79" s="23">
        <v>32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32"/>
      <c r="Q79" s="34"/>
    </row>
    <row r="80" spans="1:17">
      <c r="A80" s="20" t="s">
        <v>94</v>
      </c>
      <c r="B80" s="21" t="s">
        <v>16</v>
      </c>
      <c r="C80" s="22"/>
      <c r="D80" s="23">
        <v>11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32"/>
      <c r="Q80" s="34"/>
    </row>
    <row r="81" spans="1:17">
      <c r="A81" s="20" t="s">
        <v>95</v>
      </c>
      <c r="B81" s="21" t="s">
        <v>96</v>
      </c>
      <c r="C81" s="22"/>
      <c r="D81" s="23">
        <v>11.5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32"/>
      <c r="Q81" s="34"/>
    </row>
    <row r="82" spans="1:17">
      <c r="A82" s="20" t="s">
        <v>97</v>
      </c>
      <c r="B82" s="21" t="s">
        <v>16</v>
      </c>
      <c r="C82" s="22"/>
      <c r="D82" s="23">
        <v>11.5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32"/>
      <c r="Q82" s="34"/>
    </row>
    <row r="83" spans="1:17">
      <c r="A83" s="20" t="s">
        <v>98</v>
      </c>
      <c r="B83" s="21" t="s">
        <v>67</v>
      </c>
      <c r="C83" s="22"/>
      <c r="D83" s="23">
        <v>30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32"/>
      <c r="Q83" s="34"/>
    </row>
    <row r="84" spans="1:17">
      <c r="A84" s="20" t="s">
        <v>99</v>
      </c>
      <c r="B84" s="21" t="s">
        <v>100</v>
      </c>
      <c r="C84" s="22"/>
      <c r="D84" s="23">
        <v>425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32"/>
      <c r="Q84" s="34"/>
    </row>
    <row r="85" spans="1:17">
      <c r="A85" s="20" t="s">
        <v>101</v>
      </c>
      <c r="B85" s="21" t="s">
        <v>30</v>
      </c>
      <c r="C85" s="22"/>
      <c r="D85" s="23">
        <v>240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32"/>
      <c r="Q85" s="34"/>
    </row>
    <row r="86" spans="1:17">
      <c r="A86" s="20" t="s">
        <v>710</v>
      </c>
      <c r="B86" s="21"/>
      <c r="C86" s="23"/>
      <c r="D86" s="23">
        <v>80</v>
      </c>
      <c r="E86" s="23">
        <v>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32"/>
      <c r="Q86" s="34"/>
    </row>
    <row r="87" spans="1:17">
      <c r="A87" s="20" t="s">
        <v>711</v>
      </c>
      <c r="B87" s="21"/>
      <c r="C87" s="23"/>
      <c r="D87" s="23">
        <v>190</v>
      </c>
      <c r="E87" s="23">
        <v>5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32"/>
      <c r="Q87" s="34"/>
    </row>
    <row r="88" spans="1:17">
      <c r="A88" s="20" t="s">
        <v>102</v>
      </c>
      <c r="B88" s="21" t="s">
        <v>103</v>
      </c>
      <c r="C88" s="22"/>
      <c r="D88" s="23">
        <v>460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32"/>
      <c r="Q88" s="34"/>
    </row>
    <row r="89" ht="15.75" spans="1:17">
      <c r="A89" s="35" t="s">
        <v>104</v>
      </c>
      <c r="B89" s="36" t="s">
        <v>18</v>
      </c>
      <c r="C89" s="37"/>
      <c r="D89" s="38">
        <v>102</v>
      </c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41"/>
      <c r="Q89" s="34"/>
    </row>
    <row r="90" spans="1:17">
      <c r="A90" s="33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3"/>
      <c r="Q90" s="33"/>
    </row>
    <row r="91" spans="1:17">
      <c r="A91" s="33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3"/>
      <c r="Q91" s="33"/>
    </row>
    <row r="92" spans="1:17">
      <c r="A92" s="33"/>
      <c r="B92" s="33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3"/>
      <c r="Q92" s="33"/>
    </row>
    <row r="93" spans="1:17">
      <c r="A93" s="33"/>
      <c r="B93" s="33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3"/>
      <c r="Q93" s="33"/>
    </row>
    <row r="94" spans="1:17">
      <c r="A94" s="33"/>
      <c r="B94" s="33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3"/>
      <c r="Q94" s="33"/>
    </row>
    <row r="95" spans="1:17">
      <c r="A95" s="33"/>
      <c r="B95" s="33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3"/>
      <c r="Q95" s="33"/>
    </row>
    <row r="96" spans="3:15"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</row>
    <row r="97" spans="3:15"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</row>
  </sheetData>
  <mergeCells count="5">
    <mergeCell ref="A1:P1"/>
    <mergeCell ref="F2:P2"/>
    <mergeCell ref="A2:A3"/>
    <mergeCell ref="D2:D3"/>
    <mergeCell ref="E2:E3"/>
  </mergeCells>
  <pageMargins left="1.0625" right="0.235416666666667" top="0.999305555555556" bottom="0.999305555555556" header="0.509027777777778" footer="0.509027777777778"/>
  <pageSetup paperSize="14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opLeftCell="A8" workbookViewId="0">
      <selection activeCell="A3" sqref="A3:D41"/>
    </sheetView>
  </sheetViews>
  <sheetFormatPr defaultColWidth="9.14285714285714" defaultRowHeight="15"/>
  <cols>
    <col min="1" max="1" width="33.5714285714286" customWidth="1"/>
    <col min="2" max="2" width="10.5714285714286" style="191" hidden="1" customWidth="1"/>
    <col min="3" max="3" width="8.57142857142857" style="191" hidden="1" customWidth="1"/>
    <col min="4" max="4" width="8.28571428571429" style="191" customWidth="1"/>
    <col min="5" max="5" width="7.85714285714286" style="191" customWidth="1"/>
    <col min="6" max="6" width="12.2857142857143" style="191" customWidth="1"/>
    <col min="7" max="7" width="8.42857142857143" style="191" customWidth="1"/>
    <col min="8" max="8" width="8.14285714285714" style="191" customWidth="1"/>
    <col min="9" max="9" width="12" style="191" customWidth="1"/>
    <col min="10" max="11" width="8" style="191" customWidth="1"/>
    <col min="12" max="12" width="7.42857142857143" style="191" customWidth="1"/>
    <col min="13" max="13" width="11" style="191" customWidth="1"/>
  </cols>
  <sheetData>
    <row r="1" ht="19.5" spans="1:13">
      <c r="A1" s="192" t="s">
        <v>106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218"/>
    </row>
    <row r="2" ht="51.75" spans="1:14">
      <c r="A2" s="331" t="s">
        <v>1</v>
      </c>
      <c r="B2" s="332" t="s">
        <v>107</v>
      </c>
      <c r="C2" s="333" t="s">
        <v>3</v>
      </c>
      <c r="D2" s="333" t="s">
        <v>4</v>
      </c>
      <c r="E2" s="332" t="s">
        <v>5</v>
      </c>
      <c r="F2" s="334">
        <v>43246</v>
      </c>
      <c r="G2" s="335">
        <v>43253</v>
      </c>
      <c r="H2" s="336">
        <v>43259</v>
      </c>
      <c r="I2" s="345">
        <v>43265</v>
      </c>
      <c r="J2" s="332" t="s">
        <v>6</v>
      </c>
      <c r="K2" s="332" t="s">
        <v>108</v>
      </c>
      <c r="L2" s="332" t="s">
        <v>7</v>
      </c>
      <c r="M2" s="332" t="s">
        <v>8</v>
      </c>
      <c r="N2" s="346" t="s">
        <v>9</v>
      </c>
    </row>
    <row r="3" spans="1:29">
      <c r="A3" s="85" t="s">
        <v>109</v>
      </c>
      <c r="B3" s="18"/>
      <c r="C3" s="337"/>
      <c r="D3" s="337">
        <v>150</v>
      </c>
      <c r="E3" s="337"/>
      <c r="F3" s="337"/>
      <c r="G3" s="337"/>
      <c r="H3" s="337"/>
      <c r="I3" s="337"/>
      <c r="J3" s="337"/>
      <c r="K3" s="337"/>
      <c r="L3" s="337"/>
      <c r="M3" s="337"/>
      <c r="N3" s="347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</row>
    <row r="4" spans="1:29">
      <c r="A4" s="91" t="s">
        <v>110</v>
      </c>
      <c r="B4" s="22"/>
      <c r="C4" s="338"/>
      <c r="D4" s="338">
        <v>450</v>
      </c>
      <c r="E4" s="338"/>
      <c r="F4" s="338"/>
      <c r="G4" s="338"/>
      <c r="H4" s="338"/>
      <c r="I4" s="338"/>
      <c r="J4" s="338"/>
      <c r="K4" s="338"/>
      <c r="L4" s="338"/>
      <c r="M4" s="338"/>
      <c r="N4" s="348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</row>
    <row r="5" spans="1:29">
      <c r="A5" s="91" t="s">
        <v>111</v>
      </c>
      <c r="B5" s="22"/>
      <c r="C5" s="338"/>
      <c r="D5" s="338">
        <v>350</v>
      </c>
      <c r="E5" s="338"/>
      <c r="F5" s="338"/>
      <c r="G5" s="338"/>
      <c r="H5" s="338"/>
      <c r="I5" s="338"/>
      <c r="J5" s="338"/>
      <c r="K5" s="338"/>
      <c r="L5" s="338"/>
      <c r="M5" s="338"/>
      <c r="N5" s="348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1:29">
      <c r="A6" s="91" t="s">
        <v>112</v>
      </c>
      <c r="B6" s="22"/>
      <c r="C6" s="338"/>
      <c r="D6" s="338">
        <v>420</v>
      </c>
      <c r="E6" s="338"/>
      <c r="F6" s="338"/>
      <c r="G6" s="338"/>
      <c r="H6" s="338"/>
      <c r="I6" s="338"/>
      <c r="J6" s="338"/>
      <c r="K6" s="338"/>
      <c r="L6" s="338"/>
      <c r="M6" s="338"/>
      <c r="N6" s="348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</row>
    <row r="7" hidden="1" spans="1:29">
      <c r="A7" s="339" t="s">
        <v>113</v>
      </c>
      <c r="B7" s="340">
        <v>2</v>
      </c>
      <c r="C7" s="338">
        <f>93*2</f>
        <v>186</v>
      </c>
      <c r="D7" s="338">
        <f>C7/2</f>
        <v>93</v>
      </c>
      <c r="E7" s="338"/>
      <c r="F7" s="338"/>
      <c r="G7" s="338"/>
      <c r="H7" s="338"/>
      <c r="I7" s="338"/>
      <c r="J7" s="338"/>
      <c r="K7" s="338"/>
      <c r="L7" s="338"/>
      <c r="M7" s="338"/>
      <c r="N7" s="348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spans="1:29">
      <c r="A8" s="341" t="s">
        <v>113</v>
      </c>
      <c r="B8" s="22"/>
      <c r="C8" s="22"/>
      <c r="D8" s="201">
        <v>92.86</v>
      </c>
      <c r="E8" s="338"/>
      <c r="F8" s="338"/>
      <c r="G8" s="338"/>
      <c r="H8" s="338"/>
      <c r="I8" s="338"/>
      <c r="J8" s="338"/>
      <c r="K8" s="338"/>
      <c r="L8" s="338"/>
      <c r="M8" s="338"/>
      <c r="N8" s="348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hidden="1" spans="1:29">
      <c r="A9" s="91" t="s">
        <v>114</v>
      </c>
      <c r="B9" s="22"/>
      <c r="C9" s="338"/>
      <c r="D9" s="338">
        <v>700</v>
      </c>
      <c r="E9" s="338"/>
      <c r="F9" s="338"/>
      <c r="G9" s="338"/>
      <c r="H9" s="338"/>
      <c r="I9" s="338"/>
      <c r="J9" s="338"/>
      <c r="K9" s="338"/>
      <c r="L9" s="338"/>
      <c r="M9" s="338"/>
      <c r="N9" s="348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14">
      <c r="A10" s="341" t="s">
        <v>115</v>
      </c>
      <c r="B10" s="22"/>
      <c r="C10" s="22"/>
      <c r="D10" s="201">
        <v>700</v>
      </c>
      <c r="E10" s="22"/>
      <c r="F10" s="22"/>
      <c r="G10" s="22"/>
      <c r="H10" s="22"/>
      <c r="I10" s="22"/>
      <c r="J10" s="22"/>
      <c r="K10" s="22"/>
      <c r="L10" s="22"/>
      <c r="M10" s="22"/>
      <c r="N10" s="111"/>
    </row>
    <row r="11" spans="1:29">
      <c r="A11" s="339" t="s">
        <v>116</v>
      </c>
      <c r="B11" s="22"/>
      <c r="C11" s="22"/>
      <c r="D11" s="205">
        <v>92.19</v>
      </c>
      <c r="E11" s="338"/>
      <c r="F11" s="338"/>
      <c r="G11" s="338"/>
      <c r="H11" s="338"/>
      <c r="I11" s="338"/>
      <c r="J11" s="338"/>
      <c r="K11" s="338"/>
      <c r="L11" s="338"/>
      <c r="M11" s="338"/>
      <c r="N11" s="348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spans="1:29">
      <c r="A12" s="339" t="s">
        <v>117</v>
      </c>
      <c r="B12" s="22"/>
      <c r="C12" s="22"/>
      <c r="D12" s="205">
        <v>205.23</v>
      </c>
      <c r="E12" s="338"/>
      <c r="F12" s="338"/>
      <c r="G12" s="338"/>
      <c r="H12" s="338"/>
      <c r="I12" s="338"/>
      <c r="J12" s="338"/>
      <c r="K12" s="338"/>
      <c r="L12" s="338"/>
      <c r="M12" s="338"/>
      <c r="N12" s="34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</row>
    <row r="13" hidden="1" spans="1:29">
      <c r="A13" s="339" t="s">
        <v>118</v>
      </c>
      <c r="B13" s="340">
        <v>1</v>
      </c>
      <c r="C13" s="338">
        <v>204</v>
      </c>
      <c r="D13" s="338">
        <v>204</v>
      </c>
      <c r="E13" s="338"/>
      <c r="F13" s="338"/>
      <c r="G13" s="338"/>
      <c r="H13" s="338"/>
      <c r="I13" s="338"/>
      <c r="J13" s="338"/>
      <c r="K13" s="338"/>
      <c r="L13" s="338"/>
      <c r="M13" s="338"/>
      <c r="N13" s="34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>
      <c r="A14" s="341" t="s">
        <v>118</v>
      </c>
      <c r="B14" s="22"/>
      <c r="C14" s="22"/>
      <c r="D14" s="201">
        <v>207</v>
      </c>
      <c r="E14" s="338"/>
      <c r="F14" s="338"/>
      <c r="G14" s="338"/>
      <c r="H14" s="338"/>
      <c r="I14" s="338"/>
      <c r="J14" s="338"/>
      <c r="K14" s="338"/>
      <c r="L14" s="338"/>
      <c r="M14" s="338"/>
      <c r="N14" s="34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hidden="1" spans="1:29">
      <c r="A15" s="339" t="s">
        <v>119</v>
      </c>
      <c r="B15" s="340">
        <v>1</v>
      </c>
      <c r="C15" s="338">
        <v>93</v>
      </c>
      <c r="D15" s="338">
        <v>93</v>
      </c>
      <c r="E15" s="338"/>
      <c r="F15" s="338"/>
      <c r="G15" s="338"/>
      <c r="H15" s="338"/>
      <c r="I15" s="338"/>
      <c r="J15" s="338"/>
      <c r="K15" s="338"/>
      <c r="L15" s="338"/>
      <c r="M15" s="338"/>
      <c r="N15" s="348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spans="1:29">
      <c r="A16" s="341" t="s">
        <v>119</v>
      </c>
      <c r="B16" s="22"/>
      <c r="C16" s="22"/>
      <c r="D16" s="201">
        <v>92.99</v>
      </c>
      <c r="E16" s="338"/>
      <c r="F16" s="338"/>
      <c r="G16" s="338"/>
      <c r="H16" s="338"/>
      <c r="I16" s="338"/>
      <c r="J16" s="338"/>
      <c r="K16" s="338"/>
      <c r="L16" s="338"/>
      <c r="M16" s="338"/>
      <c r="N16" s="348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hidden="1" spans="1:29">
      <c r="A17" s="339" t="s">
        <v>120</v>
      </c>
      <c r="B17" s="340">
        <v>1</v>
      </c>
      <c r="C17" s="338">
        <v>203</v>
      </c>
      <c r="D17" s="338">
        <v>203</v>
      </c>
      <c r="E17" s="338"/>
      <c r="F17" s="338"/>
      <c r="G17" s="338"/>
      <c r="H17" s="338"/>
      <c r="I17" s="338"/>
      <c r="J17" s="338"/>
      <c r="K17" s="338"/>
      <c r="L17" s="338"/>
      <c r="M17" s="338"/>
      <c r="N17" s="348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1:29">
      <c r="A18" s="341" t="s">
        <v>120</v>
      </c>
      <c r="B18" s="340"/>
      <c r="C18" s="340"/>
      <c r="D18" s="201">
        <v>203</v>
      </c>
      <c r="E18" s="338"/>
      <c r="F18" s="338"/>
      <c r="G18" s="338"/>
      <c r="H18" s="338"/>
      <c r="I18" s="338"/>
      <c r="J18" s="338"/>
      <c r="K18" s="338"/>
      <c r="L18" s="338"/>
      <c r="M18" s="338"/>
      <c r="N18" s="348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hidden="1" spans="1:29">
      <c r="A19" s="339" t="s">
        <v>121</v>
      </c>
      <c r="B19" s="340">
        <v>1</v>
      </c>
      <c r="C19" s="338">
        <v>92</v>
      </c>
      <c r="D19" s="338">
        <v>92</v>
      </c>
      <c r="E19" s="338"/>
      <c r="F19" s="338"/>
      <c r="G19" s="338"/>
      <c r="H19" s="338"/>
      <c r="I19" s="338"/>
      <c r="J19" s="338"/>
      <c r="K19" s="338"/>
      <c r="L19" s="338"/>
      <c r="M19" s="338"/>
      <c r="N19" s="348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1:29">
      <c r="A20" s="341" t="s">
        <v>121</v>
      </c>
      <c r="B20" s="340"/>
      <c r="C20" s="340"/>
      <c r="D20" s="201">
        <v>91.69</v>
      </c>
      <c r="E20" s="338"/>
      <c r="F20" s="338"/>
      <c r="G20" s="338"/>
      <c r="H20" s="338"/>
      <c r="I20" s="338"/>
      <c r="J20" s="338"/>
      <c r="K20" s="338"/>
      <c r="L20" s="338"/>
      <c r="M20" s="338"/>
      <c r="N20" s="348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hidden="1" spans="1:29">
      <c r="A21" s="341" t="s">
        <v>122</v>
      </c>
      <c r="B21" s="340"/>
      <c r="C21" s="340"/>
      <c r="D21" s="201">
        <v>203</v>
      </c>
      <c r="E21" s="338"/>
      <c r="F21" s="338"/>
      <c r="G21" s="338"/>
      <c r="H21" s="338"/>
      <c r="I21" s="338"/>
      <c r="J21" s="338"/>
      <c r="K21" s="338"/>
      <c r="L21" s="338"/>
      <c r="M21" s="338"/>
      <c r="N21" s="348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1:29">
      <c r="A22" s="339" t="s">
        <v>123</v>
      </c>
      <c r="B22" s="340">
        <v>1</v>
      </c>
      <c r="C22" s="338">
        <v>203</v>
      </c>
      <c r="D22" s="338">
        <v>203</v>
      </c>
      <c r="E22" s="338"/>
      <c r="F22" s="338"/>
      <c r="G22" s="338"/>
      <c r="H22" s="338"/>
      <c r="I22" s="338"/>
      <c r="J22" s="338"/>
      <c r="K22" s="338"/>
      <c r="L22" s="338"/>
      <c r="M22" s="338"/>
      <c r="N22" s="348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>
      <c r="A23" s="339" t="s">
        <v>124</v>
      </c>
      <c r="B23" s="340">
        <v>2</v>
      </c>
      <c r="C23" s="338">
        <f>650*2</f>
        <v>1300</v>
      </c>
      <c r="D23" s="338">
        <f>C23/2</f>
        <v>650</v>
      </c>
      <c r="E23" s="338"/>
      <c r="F23" s="338"/>
      <c r="G23" s="338"/>
      <c r="H23" s="338"/>
      <c r="I23" s="338"/>
      <c r="J23" s="338"/>
      <c r="K23" s="338"/>
      <c r="L23" s="338"/>
      <c r="M23" s="338"/>
      <c r="N23" s="348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</row>
    <row r="24" spans="1:29">
      <c r="A24" s="339" t="s">
        <v>125</v>
      </c>
      <c r="B24" s="340">
        <v>1</v>
      </c>
      <c r="C24" s="338">
        <v>34</v>
      </c>
      <c r="D24" s="338">
        <v>34</v>
      </c>
      <c r="E24" s="338"/>
      <c r="F24" s="338"/>
      <c r="G24" s="338"/>
      <c r="H24" s="338"/>
      <c r="I24" s="338"/>
      <c r="J24" s="338"/>
      <c r="K24" s="338"/>
      <c r="L24" s="338"/>
      <c r="M24" s="338"/>
      <c r="N24" s="348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1:29">
      <c r="A25" s="339" t="s">
        <v>126</v>
      </c>
      <c r="B25" s="340">
        <v>1</v>
      </c>
      <c r="C25" s="338">
        <v>31</v>
      </c>
      <c r="D25" s="338">
        <v>31</v>
      </c>
      <c r="E25" s="338"/>
      <c r="F25" s="338"/>
      <c r="G25" s="338"/>
      <c r="H25" s="338"/>
      <c r="I25" s="338"/>
      <c r="J25" s="338"/>
      <c r="K25" s="338"/>
      <c r="L25" s="338"/>
      <c r="M25" s="338"/>
      <c r="N25" s="348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</row>
    <row r="26" spans="1:29">
      <c r="A26" s="339" t="s">
        <v>127</v>
      </c>
      <c r="B26" s="340">
        <v>1</v>
      </c>
      <c r="C26" s="338">
        <v>39</v>
      </c>
      <c r="D26" s="338">
        <v>36</v>
      </c>
      <c r="E26" s="338"/>
      <c r="F26" s="338"/>
      <c r="G26" s="338"/>
      <c r="H26" s="338"/>
      <c r="I26" s="338"/>
      <c r="J26" s="338"/>
      <c r="K26" s="338"/>
      <c r="L26" s="338"/>
      <c r="M26" s="338"/>
      <c r="N26" s="348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1:29">
      <c r="A27" s="91" t="s">
        <v>128</v>
      </c>
      <c r="B27" s="340"/>
      <c r="C27" s="340"/>
      <c r="D27" s="338">
        <v>95</v>
      </c>
      <c r="E27" s="338"/>
      <c r="F27" s="338"/>
      <c r="G27" s="338"/>
      <c r="H27" s="338"/>
      <c r="I27" s="338"/>
      <c r="J27" s="338"/>
      <c r="K27" s="338"/>
      <c r="L27" s="338"/>
      <c r="M27" s="338"/>
      <c r="N27" s="348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 spans="1:29">
      <c r="A28" s="91" t="s">
        <v>129</v>
      </c>
      <c r="B28" s="340"/>
      <c r="C28" s="340"/>
      <c r="D28" s="338">
        <v>1480</v>
      </c>
      <c r="E28" s="338"/>
      <c r="F28" s="338"/>
      <c r="G28" s="338"/>
      <c r="H28" s="338"/>
      <c r="I28" s="338"/>
      <c r="J28" s="338"/>
      <c r="K28" s="338"/>
      <c r="L28" s="338"/>
      <c r="M28" s="338"/>
      <c r="N28" s="348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hidden="1" spans="1:29">
      <c r="A29" s="341" t="s">
        <v>130</v>
      </c>
      <c r="B29" s="340">
        <v>2</v>
      </c>
      <c r="C29" s="338">
        <f>80*2</f>
        <v>160</v>
      </c>
      <c r="D29" s="338">
        <f>C29/2</f>
        <v>80</v>
      </c>
      <c r="E29" s="338"/>
      <c r="F29" s="338"/>
      <c r="G29" s="338"/>
      <c r="H29" s="338"/>
      <c r="I29" s="338"/>
      <c r="J29" s="338"/>
      <c r="K29" s="338"/>
      <c r="L29" s="338"/>
      <c r="M29" s="338"/>
      <c r="N29" s="348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 spans="1:29">
      <c r="A30" s="341" t="s">
        <v>130</v>
      </c>
      <c r="B30" s="340"/>
      <c r="C30" s="340"/>
      <c r="D30" s="201">
        <v>80</v>
      </c>
      <c r="E30" s="338"/>
      <c r="F30" s="338"/>
      <c r="G30" s="338"/>
      <c r="H30" s="338"/>
      <c r="I30" s="338"/>
      <c r="J30" s="338"/>
      <c r="K30" s="338"/>
      <c r="L30" s="338"/>
      <c r="M30" s="338"/>
      <c r="N30" s="348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</row>
    <row r="31" spans="1:14">
      <c r="A31" s="339" t="s">
        <v>131</v>
      </c>
      <c r="B31" s="340"/>
      <c r="C31" s="340"/>
      <c r="D31" s="205">
        <v>740</v>
      </c>
      <c r="E31" s="340"/>
      <c r="F31" s="340"/>
      <c r="G31" s="340"/>
      <c r="H31" s="340"/>
      <c r="I31" s="340"/>
      <c r="J31" s="340"/>
      <c r="K31" s="340"/>
      <c r="L31" s="340"/>
      <c r="M31" s="340"/>
      <c r="N31" s="111"/>
    </row>
    <row r="32" spans="1:14">
      <c r="A32" s="339" t="s">
        <v>132</v>
      </c>
      <c r="B32" s="340"/>
      <c r="C32" s="340"/>
      <c r="D32" s="205">
        <v>88.5</v>
      </c>
      <c r="E32" s="340"/>
      <c r="F32" s="340"/>
      <c r="G32" s="340"/>
      <c r="H32" s="340"/>
      <c r="I32" s="340"/>
      <c r="J32" s="340"/>
      <c r="K32" s="340"/>
      <c r="L32" s="340"/>
      <c r="M32" s="340"/>
      <c r="N32" s="111"/>
    </row>
    <row r="33" spans="1:29">
      <c r="A33" s="341" t="s">
        <v>133</v>
      </c>
      <c r="B33" s="340">
        <v>1</v>
      </c>
      <c r="C33" s="338">
        <v>61</v>
      </c>
      <c r="D33" s="338">
        <v>61</v>
      </c>
      <c r="E33" s="338"/>
      <c r="F33" s="338"/>
      <c r="G33" s="338"/>
      <c r="H33" s="338"/>
      <c r="I33" s="338"/>
      <c r="J33" s="338"/>
      <c r="K33" s="338"/>
      <c r="L33" s="338"/>
      <c r="M33" s="338"/>
      <c r="N33" s="348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1:29">
      <c r="A34" s="341" t="s">
        <v>134</v>
      </c>
      <c r="B34" s="340">
        <v>1</v>
      </c>
      <c r="C34" s="338">
        <v>151</v>
      </c>
      <c r="D34" s="338">
        <v>151</v>
      </c>
      <c r="E34" s="338"/>
      <c r="F34" s="338"/>
      <c r="G34" s="338"/>
      <c r="H34" s="338"/>
      <c r="I34" s="338"/>
      <c r="J34" s="338"/>
      <c r="K34" s="338"/>
      <c r="L34" s="338"/>
      <c r="M34" s="338"/>
      <c r="N34" s="348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1:29">
      <c r="A35" s="91" t="s">
        <v>135</v>
      </c>
      <c r="B35" s="340"/>
      <c r="C35" s="338"/>
      <c r="D35" s="338">
        <v>700</v>
      </c>
      <c r="E35" s="338"/>
      <c r="F35" s="338"/>
      <c r="G35" s="338"/>
      <c r="H35" s="338"/>
      <c r="I35" s="338"/>
      <c r="J35" s="338"/>
      <c r="K35" s="338"/>
      <c r="L35" s="338"/>
      <c r="M35" s="338"/>
      <c r="N35" s="348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</row>
    <row r="36" spans="1:29">
      <c r="A36" s="341" t="s">
        <v>136</v>
      </c>
      <c r="B36" s="340">
        <v>1</v>
      </c>
      <c r="C36" s="338">
        <v>90</v>
      </c>
      <c r="D36" s="338">
        <v>90</v>
      </c>
      <c r="E36" s="338"/>
      <c r="F36" s="338"/>
      <c r="G36" s="338"/>
      <c r="H36" s="338"/>
      <c r="I36" s="338"/>
      <c r="J36" s="338"/>
      <c r="K36" s="338"/>
      <c r="L36" s="338"/>
      <c r="M36" s="338"/>
      <c r="N36" s="348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 spans="1:29">
      <c r="A37" s="341" t="s">
        <v>137</v>
      </c>
      <c r="B37" s="340">
        <v>1</v>
      </c>
      <c r="C37" s="338">
        <v>194</v>
      </c>
      <c r="D37" s="338">
        <v>194</v>
      </c>
      <c r="E37" s="338"/>
      <c r="F37" s="338"/>
      <c r="G37" s="338"/>
      <c r="H37" s="338"/>
      <c r="I37" s="338"/>
      <c r="J37" s="338"/>
      <c r="K37" s="338"/>
      <c r="L37" s="338"/>
      <c r="M37" s="338"/>
      <c r="N37" s="348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 spans="1:14">
      <c r="A38" s="339" t="s">
        <v>138</v>
      </c>
      <c r="B38" s="340"/>
      <c r="C38" s="340"/>
      <c r="D38" s="205">
        <v>1640</v>
      </c>
      <c r="E38" s="340"/>
      <c r="F38" s="340"/>
      <c r="G38" s="340"/>
      <c r="H38" s="340"/>
      <c r="I38" s="340"/>
      <c r="J38" s="340"/>
      <c r="K38" s="340"/>
      <c r="L38" s="340"/>
      <c r="M38" s="340"/>
      <c r="N38" s="111"/>
    </row>
    <row r="39" spans="1:29">
      <c r="A39" s="91" t="s">
        <v>139</v>
      </c>
      <c r="B39" s="340"/>
      <c r="C39" s="338"/>
      <c r="D39" s="338">
        <v>1920</v>
      </c>
      <c r="E39" s="338"/>
      <c r="F39" s="338"/>
      <c r="G39" s="338"/>
      <c r="H39" s="338"/>
      <c r="I39" s="338"/>
      <c r="J39" s="338"/>
      <c r="K39" s="338"/>
      <c r="L39" s="338"/>
      <c r="M39" s="338"/>
      <c r="N39" s="348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spans="1:14">
      <c r="A40" s="339" t="s">
        <v>140</v>
      </c>
      <c r="B40" s="340"/>
      <c r="C40" s="340"/>
      <c r="D40" s="205">
        <v>1992.96</v>
      </c>
      <c r="E40" s="340"/>
      <c r="F40" s="340"/>
      <c r="G40" s="340"/>
      <c r="H40" s="340"/>
      <c r="I40" s="340"/>
      <c r="J40" s="340"/>
      <c r="K40" s="340"/>
      <c r="L40" s="340"/>
      <c r="M40" s="340"/>
      <c r="N40" s="111"/>
    </row>
    <row r="41" ht="15.75" spans="1:14">
      <c r="A41" s="342" t="s">
        <v>141</v>
      </c>
      <c r="B41" s="343"/>
      <c r="C41" s="343"/>
      <c r="D41" s="344">
        <v>1569.6</v>
      </c>
      <c r="E41" s="343"/>
      <c r="F41" s="343"/>
      <c r="G41" s="343"/>
      <c r="H41" s="343"/>
      <c r="I41" s="343"/>
      <c r="J41" s="343"/>
      <c r="K41" s="343"/>
      <c r="L41" s="343"/>
      <c r="M41" s="343"/>
      <c r="N41" s="132"/>
    </row>
  </sheetData>
  <mergeCells count="1">
    <mergeCell ref="A1:M1"/>
  </mergeCells>
  <pageMargins left="0.749305555555556" right="0.749305555555556" top="0.999305555555556" bottom="0.999305555555556" header="0.509027777777778" footer="0.509027777777778"/>
  <pageSetup paperSize="14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1"/>
  <sheetViews>
    <sheetView tabSelected="1" zoomScale="115" zoomScaleNormal="115" workbookViewId="0">
      <pane xSplit="1" ySplit="2" topLeftCell="B287" activePane="bottomRight" state="frozen"/>
      <selection/>
      <selection pane="topRight"/>
      <selection pane="bottomLeft"/>
      <selection pane="bottomRight" activeCell="E307" sqref="E307"/>
    </sheetView>
  </sheetViews>
  <sheetFormatPr defaultColWidth="9.14285714285714" defaultRowHeight="15"/>
  <cols>
    <col min="1" max="1" width="32.5142857142857" style="68" customWidth="1"/>
    <col min="2" max="2" width="10.1428571428571" style="63" hidden="1" customWidth="1"/>
    <col min="3" max="3" width="7.2" style="63" hidden="1" customWidth="1"/>
    <col min="4" max="4" width="8.78095238095238" style="63" customWidth="1"/>
    <col min="5" max="5" width="8.85714285714286" style="63" customWidth="1"/>
    <col min="6" max="6" width="10.4095238095238" style="280" customWidth="1"/>
    <col min="7" max="7" width="9.38095238095238" style="281" customWidth="1"/>
    <col min="8" max="8" width="8.43809523809524" style="282" customWidth="1"/>
    <col min="9" max="9" width="9.43809523809524" style="283" customWidth="1"/>
    <col min="10" max="10" width="10.2571428571429" style="68" customWidth="1"/>
    <col min="11" max="11" width="9.32380952380952" style="68" customWidth="1"/>
    <col min="12" max="12" width="8" style="63" customWidth="1"/>
    <col min="13" max="13" width="7.42857142857143" style="63" customWidth="1"/>
    <col min="14" max="14" width="11" style="63" customWidth="1"/>
  </cols>
  <sheetData>
    <row r="1" ht="21.75" spans="1:14">
      <c r="A1" s="284" t="s">
        <v>142</v>
      </c>
      <c r="B1" s="285"/>
      <c r="C1" s="285"/>
      <c r="D1" s="285"/>
      <c r="E1" s="285"/>
      <c r="F1" s="286"/>
      <c r="G1" s="287"/>
      <c r="H1" s="288"/>
      <c r="I1" s="306"/>
      <c r="J1" s="285"/>
      <c r="K1" s="285"/>
      <c r="L1" s="285"/>
      <c r="M1" s="285"/>
      <c r="N1" s="307"/>
    </row>
    <row r="2" s="279" customFormat="1" ht="39" spans="1:14">
      <c r="A2" s="149" t="s">
        <v>1</v>
      </c>
      <c r="B2" s="194" t="s">
        <v>107</v>
      </c>
      <c r="C2" s="289" t="s">
        <v>3</v>
      </c>
      <c r="D2" s="148" t="s">
        <v>4</v>
      </c>
      <c r="E2" s="149" t="s">
        <v>5</v>
      </c>
      <c r="F2" s="290">
        <v>43246</v>
      </c>
      <c r="G2" s="291">
        <v>43253</v>
      </c>
      <c r="H2" s="292">
        <v>43260</v>
      </c>
      <c r="I2" s="308">
        <v>43265</v>
      </c>
      <c r="J2" s="149" t="s">
        <v>6</v>
      </c>
      <c r="K2" s="220" t="s">
        <v>108</v>
      </c>
      <c r="L2" s="149" t="s">
        <v>7</v>
      </c>
      <c r="M2" s="149" t="s">
        <v>8</v>
      </c>
      <c r="N2" s="186" t="s">
        <v>9</v>
      </c>
    </row>
    <row r="3" spans="1:15">
      <c r="A3" s="293" t="s">
        <v>143</v>
      </c>
      <c r="B3" s="294" t="s">
        <v>144</v>
      </c>
      <c r="C3" s="295">
        <v>67.2</v>
      </c>
      <c r="D3" s="295">
        <f>C3/12</f>
        <v>5.6</v>
      </c>
      <c r="E3" s="295">
        <v>10</v>
      </c>
      <c r="F3" s="296" t="s">
        <v>67</v>
      </c>
      <c r="G3" s="297"/>
      <c r="H3" s="298"/>
      <c r="I3" s="309"/>
      <c r="J3" s="310" t="s">
        <v>67</v>
      </c>
      <c r="K3" s="310">
        <f>D3*12</f>
        <v>67.2</v>
      </c>
      <c r="L3" s="295"/>
      <c r="M3" s="295">
        <v>12</v>
      </c>
      <c r="N3" s="65">
        <f>L3*E3</f>
        <v>0</v>
      </c>
      <c r="O3" s="279"/>
    </row>
    <row r="4" spans="1:15">
      <c r="A4" s="299" t="s">
        <v>145</v>
      </c>
      <c r="B4" s="300" t="s">
        <v>144</v>
      </c>
      <c r="C4" s="166">
        <v>100.8</v>
      </c>
      <c r="D4" s="166">
        <f>C4/12</f>
        <v>8.4</v>
      </c>
      <c r="E4" s="166">
        <v>12</v>
      </c>
      <c r="F4" s="301" t="s">
        <v>67</v>
      </c>
      <c r="G4" s="302"/>
      <c r="H4" s="303"/>
      <c r="I4" s="311"/>
      <c r="J4" s="312" t="s">
        <v>67</v>
      </c>
      <c r="K4" s="312">
        <f>D4*12</f>
        <v>100.8</v>
      </c>
      <c r="L4" s="166"/>
      <c r="M4" s="166">
        <v>12</v>
      </c>
      <c r="N4" s="66">
        <f t="shared" ref="N4:N67" si="0">L4*E4</f>
        <v>0</v>
      </c>
      <c r="O4" s="279"/>
    </row>
    <row r="5" spans="1:15">
      <c r="A5" s="299" t="s">
        <v>146</v>
      </c>
      <c r="B5" s="300" t="s">
        <v>144</v>
      </c>
      <c r="C5" s="166">
        <v>67.2</v>
      </c>
      <c r="D5" s="166">
        <f>C5/12</f>
        <v>5.6</v>
      </c>
      <c r="E5" s="166">
        <v>10</v>
      </c>
      <c r="F5" s="301" t="s">
        <v>67</v>
      </c>
      <c r="G5" s="302"/>
      <c r="H5" s="303"/>
      <c r="I5" s="311"/>
      <c r="J5" s="312" t="s">
        <v>67</v>
      </c>
      <c r="K5" s="312">
        <f>D5*12</f>
        <v>67.2</v>
      </c>
      <c r="L5" s="166"/>
      <c r="M5" s="166">
        <v>12</v>
      </c>
      <c r="N5" s="66">
        <f t="shared" si="0"/>
        <v>0</v>
      </c>
      <c r="O5" s="279"/>
    </row>
    <row r="6" spans="1:15">
      <c r="A6" s="299" t="s">
        <v>147</v>
      </c>
      <c r="B6" s="300" t="s">
        <v>144</v>
      </c>
      <c r="C6" s="166">
        <v>103.2</v>
      </c>
      <c r="D6" s="166">
        <f>C6/12</f>
        <v>8.6</v>
      </c>
      <c r="E6" s="166">
        <v>13</v>
      </c>
      <c r="F6" s="301" t="s">
        <v>67</v>
      </c>
      <c r="G6" s="302"/>
      <c r="H6" s="303"/>
      <c r="I6" s="311"/>
      <c r="J6" s="312" t="s">
        <v>67</v>
      </c>
      <c r="K6" s="312">
        <f>D6*12</f>
        <v>103.2</v>
      </c>
      <c r="L6" s="166"/>
      <c r="M6" s="166">
        <v>12</v>
      </c>
      <c r="N6" s="66">
        <f t="shared" si="0"/>
        <v>0</v>
      </c>
      <c r="O6" s="279"/>
    </row>
    <row r="7" spans="1:15">
      <c r="A7" s="299" t="s">
        <v>148</v>
      </c>
      <c r="B7" s="300" t="s">
        <v>149</v>
      </c>
      <c r="C7" s="166">
        <f>7.83*10</f>
        <v>78.3</v>
      </c>
      <c r="D7" s="166">
        <f>C7/10</f>
        <v>7.83</v>
      </c>
      <c r="E7" s="166">
        <v>9</v>
      </c>
      <c r="F7" s="301" t="s">
        <v>150</v>
      </c>
      <c r="G7" s="302"/>
      <c r="H7" s="303" t="s">
        <v>151</v>
      </c>
      <c r="I7" s="311"/>
      <c r="J7" s="312" t="s">
        <v>152</v>
      </c>
      <c r="K7" s="312">
        <f>D7*40</f>
        <v>313.2</v>
      </c>
      <c r="L7" s="166"/>
      <c r="M7" s="166"/>
      <c r="N7" s="66">
        <f t="shared" si="0"/>
        <v>0</v>
      </c>
      <c r="O7" s="279"/>
    </row>
    <row r="8" hidden="1" spans="1:15">
      <c r="A8" s="304" t="s">
        <v>153</v>
      </c>
      <c r="B8" s="300" t="s">
        <v>151</v>
      </c>
      <c r="C8" s="171">
        <v>234.9</v>
      </c>
      <c r="D8" s="171">
        <v>7.83</v>
      </c>
      <c r="E8" s="171"/>
      <c r="F8" s="301"/>
      <c r="G8" s="302"/>
      <c r="H8" s="303"/>
      <c r="I8" s="311"/>
      <c r="J8" s="312"/>
      <c r="K8" s="312"/>
      <c r="L8" s="166"/>
      <c r="M8" s="166"/>
      <c r="N8" s="66">
        <f t="shared" si="0"/>
        <v>0</v>
      </c>
      <c r="O8" s="279"/>
    </row>
    <row r="9" spans="1:15">
      <c r="A9" s="299" t="s">
        <v>154</v>
      </c>
      <c r="B9" s="300" t="s">
        <v>155</v>
      </c>
      <c r="C9" s="166">
        <f>7.09*20</f>
        <v>141.8</v>
      </c>
      <c r="D9" s="166">
        <f>C9/20</f>
        <v>7.09</v>
      </c>
      <c r="E9" s="166">
        <v>8</v>
      </c>
      <c r="F9" s="301" t="s">
        <v>156</v>
      </c>
      <c r="G9" s="302"/>
      <c r="H9" s="303"/>
      <c r="I9" s="311" t="s">
        <v>157</v>
      </c>
      <c r="J9" s="312" t="s">
        <v>156</v>
      </c>
      <c r="K9" s="312">
        <f>D9*20</f>
        <v>141.8</v>
      </c>
      <c r="L9" s="166"/>
      <c r="M9" s="166"/>
      <c r="N9" s="66">
        <f t="shared" si="0"/>
        <v>0</v>
      </c>
      <c r="O9" s="279"/>
    </row>
    <row r="10" spans="1:15">
      <c r="A10" s="299" t="s">
        <v>158</v>
      </c>
      <c r="B10" s="300" t="s">
        <v>159</v>
      </c>
      <c r="C10" s="166">
        <f>144.64*2</f>
        <v>289.28</v>
      </c>
      <c r="D10" s="166">
        <f>C10/2</f>
        <v>144.64</v>
      </c>
      <c r="E10" s="166">
        <v>165</v>
      </c>
      <c r="F10" s="301" t="s">
        <v>159</v>
      </c>
      <c r="G10" s="302"/>
      <c r="H10" s="303"/>
      <c r="I10" s="311"/>
      <c r="J10" s="312" t="s">
        <v>159</v>
      </c>
      <c r="K10" s="312">
        <f>D10*2</f>
        <v>289.28</v>
      </c>
      <c r="L10" s="166">
        <f>2-M10</f>
        <v>1</v>
      </c>
      <c r="M10" s="166">
        <v>1</v>
      </c>
      <c r="N10" s="66">
        <f t="shared" si="0"/>
        <v>165</v>
      </c>
      <c r="O10" s="279"/>
    </row>
    <row r="11" spans="1:15">
      <c r="A11" s="299" t="s">
        <v>160</v>
      </c>
      <c r="B11" s="300" t="s">
        <v>161</v>
      </c>
      <c r="C11" s="166">
        <v>129.76</v>
      </c>
      <c r="D11" s="166">
        <v>129.76</v>
      </c>
      <c r="E11" s="166">
        <v>145</v>
      </c>
      <c r="F11" s="301" t="s">
        <v>88</v>
      </c>
      <c r="G11" s="302"/>
      <c r="H11" s="303"/>
      <c r="I11" s="311" t="s">
        <v>162</v>
      </c>
      <c r="J11" s="312" t="s">
        <v>96</v>
      </c>
      <c r="K11" s="312">
        <f>D11*4</f>
        <v>519.04</v>
      </c>
      <c r="L11" s="166"/>
      <c r="M11" s="166">
        <v>4</v>
      </c>
      <c r="N11" s="66">
        <f t="shared" si="0"/>
        <v>0</v>
      </c>
      <c r="O11" s="279"/>
    </row>
    <row r="12" spans="1:15">
      <c r="A12" s="299" t="s">
        <v>163</v>
      </c>
      <c r="B12" s="300" t="s">
        <v>164</v>
      </c>
      <c r="C12" s="166">
        <f>19.78*10</f>
        <v>197.8</v>
      </c>
      <c r="D12" s="166">
        <f>C12/10</f>
        <v>19.78</v>
      </c>
      <c r="E12" s="166">
        <v>22.5</v>
      </c>
      <c r="F12" s="301" t="s">
        <v>165</v>
      </c>
      <c r="G12" s="302"/>
      <c r="H12" s="303"/>
      <c r="I12" s="311" t="s">
        <v>166</v>
      </c>
      <c r="J12" s="312" t="s">
        <v>167</v>
      </c>
      <c r="K12" s="312">
        <f>D12*40</f>
        <v>791.2</v>
      </c>
      <c r="L12" s="166">
        <f>40-M12</f>
        <v>9</v>
      </c>
      <c r="M12" s="166">
        <v>31</v>
      </c>
      <c r="N12" s="66">
        <f t="shared" si="0"/>
        <v>202.5</v>
      </c>
      <c r="O12" s="279"/>
    </row>
    <row r="13" spans="1:15">
      <c r="A13" s="299" t="s">
        <v>168</v>
      </c>
      <c r="B13" s="300" t="s">
        <v>164</v>
      </c>
      <c r="C13" s="166">
        <f>24.66*10</f>
        <v>246.6</v>
      </c>
      <c r="D13" s="166">
        <f>C13/10</f>
        <v>24.66</v>
      </c>
      <c r="E13" s="166">
        <v>28</v>
      </c>
      <c r="F13" s="301"/>
      <c r="G13" s="302" t="s">
        <v>165</v>
      </c>
      <c r="H13" s="303"/>
      <c r="I13" s="311"/>
      <c r="J13" s="312" t="s">
        <v>165</v>
      </c>
      <c r="K13" s="312">
        <f>D13*10</f>
        <v>246.6</v>
      </c>
      <c r="L13" s="166"/>
      <c r="M13" s="166">
        <v>10</v>
      </c>
      <c r="N13" s="66">
        <f t="shared" si="0"/>
        <v>0</v>
      </c>
      <c r="O13" s="279"/>
    </row>
    <row r="14" spans="1:15">
      <c r="A14" s="299" t="s">
        <v>169</v>
      </c>
      <c r="B14" s="300" t="s">
        <v>159</v>
      </c>
      <c r="C14" s="166">
        <f>144.32*2</f>
        <v>288.64</v>
      </c>
      <c r="D14" s="166">
        <f>C14/2</f>
        <v>144.32</v>
      </c>
      <c r="E14" s="166">
        <v>162</v>
      </c>
      <c r="F14" s="301"/>
      <c r="G14" s="302" t="s">
        <v>159</v>
      </c>
      <c r="H14" s="303"/>
      <c r="I14" s="311"/>
      <c r="J14" s="312" t="s">
        <v>159</v>
      </c>
      <c r="K14" s="312">
        <f>D14*2</f>
        <v>288.64</v>
      </c>
      <c r="L14" s="166"/>
      <c r="M14" s="166">
        <v>2</v>
      </c>
      <c r="N14" s="66">
        <f t="shared" si="0"/>
        <v>0</v>
      </c>
      <c r="O14" s="279"/>
    </row>
    <row r="15" spans="1:15">
      <c r="A15" s="299" t="s">
        <v>170</v>
      </c>
      <c r="B15" s="300" t="s">
        <v>159</v>
      </c>
      <c r="C15" s="166">
        <f>131.78*2</f>
        <v>263.56</v>
      </c>
      <c r="D15" s="166">
        <f>C15/2</f>
        <v>131.78</v>
      </c>
      <c r="E15" s="166">
        <v>149</v>
      </c>
      <c r="F15" s="301"/>
      <c r="G15" s="302" t="s">
        <v>159</v>
      </c>
      <c r="H15" s="303"/>
      <c r="I15" s="311"/>
      <c r="J15" s="312" t="s">
        <v>159</v>
      </c>
      <c r="K15" s="312">
        <f>D15*2</f>
        <v>263.56</v>
      </c>
      <c r="L15" s="166"/>
      <c r="M15" s="166">
        <v>2</v>
      </c>
      <c r="N15" s="66">
        <f t="shared" si="0"/>
        <v>0</v>
      </c>
      <c r="O15" s="279"/>
    </row>
    <row r="16" spans="1:15">
      <c r="A16" s="299" t="s">
        <v>171</v>
      </c>
      <c r="B16" s="300" t="s">
        <v>165</v>
      </c>
      <c r="C16" s="166">
        <f>18.26*10</f>
        <v>182.6</v>
      </c>
      <c r="D16" s="166">
        <f>C16/10</f>
        <v>18.26</v>
      </c>
      <c r="E16" s="166">
        <v>22</v>
      </c>
      <c r="F16" s="301"/>
      <c r="G16" s="302" t="s">
        <v>165</v>
      </c>
      <c r="H16" s="303"/>
      <c r="I16" s="311"/>
      <c r="J16" s="312" t="s">
        <v>165</v>
      </c>
      <c r="K16" s="312">
        <f>D16*10</f>
        <v>182.6</v>
      </c>
      <c r="L16" s="166"/>
      <c r="M16" s="166">
        <v>10</v>
      </c>
      <c r="N16" s="66">
        <f t="shared" si="0"/>
        <v>0</v>
      </c>
      <c r="O16" s="279"/>
    </row>
    <row r="17" spans="1:15">
      <c r="A17" s="299" t="s">
        <v>172</v>
      </c>
      <c r="B17" s="300" t="s">
        <v>173</v>
      </c>
      <c r="C17" s="166">
        <v>374.21</v>
      </c>
      <c r="D17" s="166">
        <v>374.21</v>
      </c>
      <c r="E17" s="166">
        <v>395</v>
      </c>
      <c r="F17" s="301"/>
      <c r="G17" s="302" t="s">
        <v>173</v>
      </c>
      <c r="H17" s="303"/>
      <c r="I17" s="311" t="s">
        <v>11</v>
      </c>
      <c r="J17" s="312" t="s">
        <v>54</v>
      </c>
      <c r="K17" s="312">
        <f>D17*3</f>
        <v>1122.63</v>
      </c>
      <c r="L17" s="166">
        <f>3-M17</f>
        <v>1</v>
      </c>
      <c r="M17" s="166">
        <v>2</v>
      </c>
      <c r="N17" s="66">
        <f t="shared" si="0"/>
        <v>395</v>
      </c>
      <c r="O17" s="279"/>
    </row>
    <row r="18" spans="1:15">
      <c r="A18" s="299" t="s">
        <v>174</v>
      </c>
      <c r="B18" s="300" t="s">
        <v>164</v>
      </c>
      <c r="C18" s="166">
        <f>17.5*10</f>
        <v>175</v>
      </c>
      <c r="D18" s="166">
        <f>C18/10</f>
        <v>17.5</v>
      </c>
      <c r="E18" s="166">
        <v>20</v>
      </c>
      <c r="F18" s="301" t="s">
        <v>165</v>
      </c>
      <c r="G18" s="302"/>
      <c r="H18" s="303"/>
      <c r="I18" s="311"/>
      <c r="J18" s="312" t="s">
        <v>165</v>
      </c>
      <c r="K18" s="312">
        <f>D18*10</f>
        <v>175</v>
      </c>
      <c r="L18" s="166"/>
      <c r="M18" s="166">
        <v>10</v>
      </c>
      <c r="N18" s="66">
        <f t="shared" si="0"/>
        <v>0</v>
      </c>
      <c r="O18" s="279"/>
    </row>
    <row r="19" spans="1:15">
      <c r="A19" s="299" t="s">
        <v>175</v>
      </c>
      <c r="B19" s="300" t="s">
        <v>161</v>
      </c>
      <c r="C19" s="166">
        <v>93.62</v>
      </c>
      <c r="D19" s="166">
        <v>93.62</v>
      </c>
      <c r="E19" s="166">
        <v>107</v>
      </c>
      <c r="F19" s="301" t="s">
        <v>88</v>
      </c>
      <c r="G19" s="302"/>
      <c r="H19" s="303"/>
      <c r="I19" s="311"/>
      <c r="J19" s="312" t="s">
        <v>88</v>
      </c>
      <c r="K19" s="312">
        <f>D19*1</f>
        <v>93.62</v>
      </c>
      <c r="L19" s="166"/>
      <c r="M19" s="166">
        <v>1</v>
      </c>
      <c r="N19" s="66">
        <f t="shared" si="0"/>
        <v>0</v>
      </c>
      <c r="O19" s="279"/>
    </row>
    <row r="20" spans="1:15">
      <c r="A20" s="299" t="s">
        <v>176</v>
      </c>
      <c r="B20" s="300" t="s">
        <v>161</v>
      </c>
      <c r="C20" s="166">
        <v>240.02</v>
      </c>
      <c r="D20" s="166">
        <v>240.02</v>
      </c>
      <c r="E20" s="166">
        <v>270</v>
      </c>
      <c r="F20" s="301" t="s">
        <v>88</v>
      </c>
      <c r="G20" s="302"/>
      <c r="H20" s="303"/>
      <c r="I20" s="311"/>
      <c r="J20" s="312" t="s">
        <v>88</v>
      </c>
      <c r="K20" s="312">
        <f>D20*1</f>
        <v>240.02</v>
      </c>
      <c r="L20" s="166"/>
      <c r="M20" s="166">
        <v>1</v>
      </c>
      <c r="N20" s="66">
        <f t="shared" si="0"/>
        <v>0</v>
      </c>
      <c r="O20" s="279"/>
    </row>
    <row r="21" spans="1:15">
      <c r="A21" s="299" t="s">
        <v>177</v>
      </c>
      <c r="B21" s="300" t="s">
        <v>178</v>
      </c>
      <c r="C21" s="166">
        <f>379.27*2</f>
        <v>758.54</v>
      </c>
      <c r="D21" s="166">
        <f>C21/10</f>
        <v>75.854</v>
      </c>
      <c r="E21" s="166">
        <v>85</v>
      </c>
      <c r="F21" s="301" t="s">
        <v>165</v>
      </c>
      <c r="G21" s="302"/>
      <c r="H21" s="303"/>
      <c r="I21" s="311"/>
      <c r="J21" s="312" t="s">
        <v>165</v>
      </c>
      <c r="K21" s="312">
        <f>D21*10</f>
        <v>758.54</v>
      </c>
      <c r="L21" s="166">
        <f>10-M21</f>
        <v>2</v>
      </c>
      <c r="M21" s="166">
        <v>8</v>
      </c>
      <c r="N21" s="66">
        <f t="shared" si="0"/>
        <v>170</v>
      </c>
      <c r="O21" s="279"/>
    </row>
    <row r="22" spans="1:15">
      <c r="A22" s="299" t="s">
        <v>179</v>
      </c>
      <c r="B22" s="300" t="s">
        <v>164</v>
      </c>
      <c r="C22" s="166">
        <f>55.42*10</f>
        <v>554.2</v>
      </c>
      <c r="D22" s="166">
        <f>C22/10</f>
        <v>55.42</v>
      </c>
      <c r="E22" s="166">
        <v>63</v>
      </c>
      <c r="F22" s="301" t="s">
        <v>165</v>
      </c>
      <c r="G22" s="302"/>
      <c r="H22" s="303"/>
      <c r="I22" s="311"/>
      <c r="J22" s="312" t="s">
        <v>165</v>
      </c>
      <c r="K22" s="312">
        <f>D22*10</f>
        <v>554.2</v>
      </c>
      <c r="L22" s="166"/>
      <c r="M22" s="166">
        <v>10</v>
      </c>
      <c r="N22" s="66">
        <f t="shared" si="0"/>
        <v>0</v>
      </c>
      <c r="O22" s="279"/>
    </row>
    <row r="23" spans="1:15">
      <c r="A23" s="299" t="s">
        <v>180</v>
      </c>
      <c r="B23" s="300" t="s">
        <v>164</v>
      </c>
      <c r="C23" s="166">
        <f>60.96*10</f>
        <v>609.6</v>
      </c>
      <c r="D23" s="166">
        <f>C23/10</f>
        <v>60.96</v>
      </c>
      <c r="E23" s="166">
        <v>70</v>
      </c>
      <c r="F23" s="301" t="s">
        <v>165</v>
      </c>
      <c r="G23" s="302"/>
      <c r="H23" s="303"/>
      <c r="I23" s="311"/>
      <c r="J23" s="312" t="s">
        <v>165</v>
      </c>
      <c r="K23" s="312">
        <f>D23*10</f>
        <v>609.6</v>
      </c>
      <c r="L23" s="166">
        <f>10-M23</f>
        <v>2</v>
      </c>
      <c r="M23" s="166">
        <v>8</v>
      </c>
      <c r="N23" s="66">
        <f t="shared" si="0"/>
        <v>140</v>
      </c>
      <c r="O23" s="279"/>
    </row>
    <row r="24" spans="1:15">
      <c r="A24" s="299" t="s">
        <v>181</v>
      </c>
      <c r="B24" s="300" t="s">
        <v>159</v>
      </c>
      <c r="C24" s="166">
        <f>88.42*2</f>
        <v>176.84</v>
      </c>
      <c r="D24" s="166">
        <f>C24/2</f>
        <v>88.42</v>
      </c>
      <c r="E24" s="166">
        <v>96</v>
      </c>
      <c r="F24" s="301" t="s">
        <v>159</v>
      </c>
      <c r="G24" s="302"/>
      <c r="H24" s="303"/>
      <c r="I24" s="311"/>
      <c r="J24" s="312" t="s">
        <v>159</v>
      </c>
      <c r="K24" s="312">
        <f>D24*2</f>
        <v>176.84</v>
      </c>
      <c r="L24" s="166">
        <f>2-M24</f>
        <v>0</v>
      </c>
      <c r="M24" s="166">
        <v>2</v>
      </c>
      <c r="N24" s="66">
        <f t="shared" si="0"/>
        <v>0</v>
      </c>
      <c r="O24" s="279"/>
    </row>
    <row r="25" spans="1:15">
      <c r="A25" s="299" t="s">
        <v>182</v>
      </c>
      <c r="B25" s="300" t="s">
        <v>183</v>
      </c>
      <c r="C25" s="166">
        <f>2.62*40</f>
        <v>104.8</v>
      </c>
      <c r="D25" s="166">
        <f>C25/40</f>
        <v>2.62</v>
      </c>
      <c r="E25" s="166">
        <v>3</v>
      </c>
      <c r="F25" s="301" t="s">
        <v>167</v>
      </c>
      <c r="G25" s="302"/>
      <c r="H25" s="303"/>
      <c r="I25" s="311"/>
      <c r="J25" s="312" t="s">
        <v>167</v>
      </c>
      <c r="K25" s="312">
        <f>D25*40</f>
        <v>104.8</v>
      </c>
      <c r="L25" s="166">
        <f>40-M25</f>
        <v>8</v>
      </c>
      <c r="M25" s="166">
        <v>32</v>
      </c>
      <c r="N25" s="66">
        <f t="shared" si="0"/>
        <v>24</v>
      </c>
      <c r="O25" s="279"/>
    </row>
    <row r="26" spans="1:15">
      <c r="A26" s="299" t="s">
        <v>184</v>
      </c>
      <c r="B26" s="300" t="s">
        <v>159</v>
      </c>
      <c r="C26" s="166">
        <f>192.75*2</f>
        <v>385.5</v>
      </c>
      <c r="D26" s="166">
        <f>C26/2</f>
        <v>192.75</v>
      </c>
      <c r="E26" s="166">
        <v>210</v>
      </c>
      <c r="F26" s="301"/>
      <c r="G26" s="302" t="s">
        <v>159</v>
      </c>
      <c r="H26" s="303"/>
      <c r="I26" s="311"/>
      <c r="J26" s="312" t="str">
        <f>G26</f>
        <v>2 BOTTLES</v>
      </c>
      <c r="K26" s="312">
        <f>D26*2</f>
        <v>385.5</v>
      </c>
      <c r="L26" s="166"/>
      <c r="M26" s="166"/>
      <c r="N26" s="66">
        <f t="shared" si="0"/>
        <v>0</v>
      </c>
      <c r="O26" s="279"/>
    </row>
    <row r="27" spans="1:15">
      <c r="A27" s="299" t="s">
        <v>185</v>
      </c>
      <c r="B27" s="300" t="s">
        <v>165</v>
      </c>
      <c r="C27" s="166">
        <f>37.71*10</f>
        <v>377.1</v>
      </c>
      <c r="D27" s="166">
        <f>C27/10</f>
        <v>37.71</v>
      </c>
      <c r="E27" s="166">
        <v>40</v>
      </c>
      <c r="F27" s="301"/>
      <c r="G27" s="302" t="s">
        <v>165</v>
      </c>
      <c r="H27" s="303"/>
      <c r="I27" s="311"/>
      <c r="J27" s="312" t="str">
        <f>G27</f>
        <v>10 TABS</v>
      </c>
      <c r="K27" s="312">
        <f>D27*10</f>
        <v>377.1</v>
      </c>
      <c r="L27" s="166"/>
      <c r="M27" s="166"/>
      <c r="N27" s="66">
        <f t="shared" si="0"/>
        <v>0</v>
      </c>
      <c r="O27" s="279"/>
    </row>
    <row r="28" spans="1:15">
      <c r="A28" s="299" t="s">
        <v>186</v>
      </c>
      <c r="B28" s="300" t="s">
        <v>165</v>
      </c>
      <c r="C28" s="166">
        <f>46.35*10</f>
        <v>463.5</v>
      </c>
      <c r="D28" s="166">
        <f>C28/10</f>
        <v>46.35</v>
      </c>
      <c r="E28" s="166">
        <v>49</v>
      </c>
      <c r="F28" s="301"/>
      <c r="G28" s="302" t="s">
        <v>165</v>
      </c>
      <c r="H28" s="303"/>
      <c r="I28" s="311"/>
      <c r="J28" s="312" t="str">
        <f>G28</f>
        <v>10 TABS</v>
      </c>
      <c r="K28" s="312">
        <f>D28*10</f>
        <v>463.5</v>
      </c>
      <c r="L28" s="166"/>
      <c r="M28" s="166"/>
      <c r="N28" s="66">
        <f t="shared" si="0"/>
        <v>0</v>
      </c>
      <c r="O28" s="279"/>
    </row>
    <row r="29" spans="1:15">
      <c r="A29" s="299" t="s">
        <v>187</v>
      </c>
      <c r="B29" s="300" t="s">
        <v>162</v>
      </c>
      <c r="C29" s="166">
        <f>129.89*3</f>
        <v>389.67</v>
      </c>
      <c r="D29" s="166">
        <f>C29/3</f>
        <v>129.89</v>
      </c>
      <c r="E29" s="166">
        <v>148</v>
      </c>
      <c r="F29" s="301"/>
      <c r="G29" s="302" t="s">
        <v>162</v>
      </c>
      <c r="H29" s="303"/>
      <c r="I29" s="311"/>
      <c r="J29" s="312" t="str">
        <f>G29</f>
        <v>3 BOTTLES</v>
      </c>
      <c r="K29" s="312">
        <f>D29*3</f>
        <v>389.67</v>
      </c>
      <c r="L29" s="166"/>
      <c r="M29" s="166">
        <v>3</v>
      </c>
      <c r="N29" s="66">
        <f t="shared" si="0"/>
        <v>0</v>
      </c>
      <c r="O29" s="279"/>
    </row>
    <row r="30" spans="1:15">
      <c r="A30" s="299" t="s">
        <v>188</v>
      </c>
      <c r="B30" s="300" t="s">
        <v>162</v>
      </c>
      <c r="C30" s="166">
        <f>79.13*3</f>
        <v>237.39</v>
      </c>
      <c r="D30" s="166">
        <f>C30/3</f>
        <v>79.13</v>
      </c>
      <c r="E30" s="166">
        <v>92</v>
      </c>
      <c r="F30" s="301"/>
      <c r="G30" s="302" t="s">
        <v>162</v>
      </c>
      <c r="H30" s="303"/>
      <c r="I30" s="311"/>
      <c r="J30" s="312" t="str">
        <f>G30</f>
        <v>3 BOTTLES</v>
      </c>
      <c r="K30" s="312">
        <f>D30*3</f>
        <v>237.39</v>
      </c>
      <c r="L30" s="166"/>
      <c r="M30" s="166">
        <v>3</v>
      </c>
      <c r="N30" s="66">
        <f t="shared" si="0"/>
        <v>0</v>
      </c>
      <c r="O30" s="279"/>
    </row>
    <row r="31" spans="1:15">
      <c r="A31" s="299" t="s">
        <v>189</v>
      </c>
      <c r="B31" s="300" t="s">
        <v>164</v>
      </c>
      <c r="C31" s="166">
        <v>321.2</v>
      </c>
      <c r="D31" s="166">
        <v>32.12</v>
      </c>
      <c r="E31" s="166">
        <v>36</v>
      </c>
      <c r="F31" s="301"/>
      <c r="G31" s="302"/>
      <c r="H31" s="303" t="s">
        <v>165</v>
      </c>
      <c r="I31" s="311"/>
      <c r="J31" s="312" t="str">
        <f>H31</f>
        <v>10 TABS</v>
      </c>
      <c r="K31" s="312">
        <f>D31*10</f>
        <v>321.2</v>
      </c>
      <c r="L31" s="166"/>
      <c r="M31" s="166"/>
      <c r="N31" s="66">
        <f t="shared" si="0"/>
        <v>0</v>
      </c>
      <c r="O31" s="279"/>
    </row>
    <row r="32" spans="1:15">
      <c r="A32" s="299" t="s">
        <v>190</v>
      </c>
      <c r="B32" s="300" t="s">
        <v>52</v>
      </c>
      <c r="C32" s="166">
        <v>55.49</v>
      </c>
      <c r="D32" s="166">
        <f>C32/50</f>
        <v>1.1098</v>
      </c>
      <c r="E32" s="166">
        <v>1.5</v>
      </c>
      <c r="F32" s="301" t="s">
        <v>191</v>
      </c>
      <c r="G32" s="302"/>
      <c r="H32" s="303"/>
      <c r="I32" s="311"/>
      <c r="J32" s="312" t="str">
        <f>F32</f>
        <v>1 PACK (50PCS)</v>
      </c>
      <c r="K32" s="312">
        <f>D32*50</f>
        <v>55.49</v>
      </c>
      <c r="L32" s="166"/>
      <c r="M32" s="166"/>
      <c r="N32" s="66">
        <f t="shared" si="0"/>
        <v>0</v>
      </c>
      <c r="O32" s="279"/>
    </row>
    <row r="33" spans="1:15">
      <c r="A33" s="299" t="s">
        <v>192</v>
      </c>
      <c r="B33" s="300" t="s">
        <v>149</v>
      </c>
      <c r="C33" s="166">
        <f>14.65*10</f>
        <v>146.5</v>
      </c>
      <c r="D33" s="166">
        <f>C33/10</f>
        <v>14.65</v>
      </c>
      <c r="E33" s="166">
        <v>17</v>
      </c>
      <c r="F33" s="301" t="s">
        <v>150</v>
      </c>
      <c r="G33" s="302"/>
      <c r="H33" s="303"/>
      <c r="I33" s="311"/>
      <c r="J33" s="312" t="str">
        <f>F33</f>
        <v>10 CAPS</v>
      </c>
      <c r="K33" s="312">
        <f>D33*10</f>
        <v>146.5</v>
      </c>
      <c r="L33" s="166"/>
      <c r="M33" s="166">
        <v>10</v>
      </c>
      <c r="N33" s="66">
        <f t="shared" si="0"/>
        <v>0</v>
      </c>
      <c r="O33" s="279"/>
    </row>
    <row r="34" spans="1:15">
      <c r="A34" s="299" t="s">
        <v>193</v>
      </c>
      <c r="B34" s="300" t="s">
        <v>149</v>
      </c>
      <c r="C34" s="166">
        <f>24.74*10</f>
        <v>247.4</v>
      </c>
      <c r="D34" s="166">
        <f>C34/10</f>
        <v>24.74</v>
      </c>
      <c r="E34" s="166">
        <v>28</v>
      </c>
      <c r="F34" s="301" t="s">
        <v>150</v>
      </c>
      <c r="G34" s="302"/>
      <c r="H34" s="303"/>
      <c r="I34" s="311"/>
      <c r="J34" s="312" t="str">
        <f>F34</f>
        <v>10 CAPS</v>
      </c>
      <c r="K34" s="312">
        <f>D34*10</f>
        <v>247.4</v>
      </c>
      <c r="L34" s="166"/>
      <c r="M34" s="166">
        <v>10</v>
      </c>
      <c r="N34" s="66">
        <f t="shared" si="0"/>
        <v>0</v>
      </c>
      <c r="O34" s="279"/>
    </row>
    <row r="35" spans="1:15">
      <c r="A35" s="299" t="s">
        <v>194</v>
      </c>
      <c r="B35" s="300" t="s">
        <v>195</v>
      </c>
      <c r="C35" s="166">
        <f>89.96*6</f>
        <v>539.76</v>
      </c>
      <c r="D35" s="166">
        <f>C35/6</f>
        <v>89.96</v>
      </c>
      <c r="E35" s="166">
        <v>103</v>
      </c>
      <c r="F35" s="301"/>
      <c r="G35" s="302" t="s">
        <v>195</v>
      </c>
      <c r="H35" s="303"/>
      <c r="I35" s="311"/>
      <c r="J35" s="312" t="str">
        <f>G35</f>
        <v>6 BOTTLES</v>
      </c>
      <c r="K35" s="312">
        <f>D35*6</f>
        <v>539.76</v>
      </c>
      <c r="L35" s="166"/>
      <c r="M35" s="166">
        <v>6</v>
      </c>
      <c r="N35" s="66">
        <f t="shared" si="0"/>
        <v>0</v>
      </c>
      <c r="O35" s="279"/>
    </row>
    <row r="36" spans="1:15">
      <c r="A36" s="299" t="s">
        <v>196</v>
      </c>
      <c r="B36" s="300">
        <v>24</v>
      </c>
      <c r="C36" s="166">
        <v>322.42</v>
      </c>
      <c r="D36" s="166">
        <v>13.4341666666667</v>
      </c>
      <c r="E36" s="166">
        <v>20</v>
      </c>
      <c r="F36" s="301"/>
      <c r="G36" s="302"/>
      <c r="H36" s="303" t="s">
        <v>197</v>
      </c>
      <c r="I36" s="311"/>
      <c r="J36" s="312" t="str">
        <f>H36</f>
        <v>24 PCS</v>
      </c>
      <c r="K36" s="312">
        <f>D36*24</f>
        <v>322.420000000001</v>
      </c>
      <c r="L36" s="166"/>
      <c r="M36" s="166"/>
      <c r="N36" s="66">
        <f t="shared" si="0"/>
        <v>0</v>
      </c>
      <c r="O36" s="279"/>
    </row>
    <row r="37" ht="22.5" spans="1:15">
      <c r="A37" s="299" t="s">
        <v>198</v>
      </c>
      <c r="B37" s="300" t="s">
        <v>199</v>
      </c>
      <c r="C37" s="166">
        <f>142.5*2</f>
        <v>285</v>
      </c>
      <c r="D37" s="166" t="s">
        <v>200</v>
      </c>
      <c r="E37" s="234" t="s">
        <v>201</v>
      </c>
      <c r="F37" s="301"/>
      <c r="G37" s="305" t="s">
        <v>202</v>
      </c>
      <c r="H37" s="303"/>
      <c r="I37" s="311"/>
      <c r="J37" s="313" t="str">
        <f t="shared" ref="J37:J43" si="1">G37</f>
        <v>2 PACKS (25 PCS/ PACK)</v>
      </c>
      <c r="K37" s="313">
        <f>142.5*2</f>
        <v>285</v>
      </c>
      <c r="L37" s="166"/>
      <c r="M37" s="166"/>
      <c r="N37" s="66" t="e">
        <f t="shared" si="0"/>
        <v>#VALUE!</v>
      </c>
      <c r="O37" s="279"/>
    </row>
    <row r="38" spans="1:15">
      <c r="A38" s="299" t="s">
        <v>203</v>
      </c>
      <c r="B38" s="300" t="s">
        <v>204</v>
      </c>
      <c r="C38" s="166">
        <f>33.76*5</f>
        <v>168.8</v>
      </c>
      <c r="D38" s="166">
        <f>C38/5</f>
        <v>33.76</v>
      </c>
      <c r="E38" s="166">
        <v>38</v>
      </c>
      <c r="F38" s="301"/>
      <c r="G38" s="302" t="s">
        <v>205</v>
      </c>
      <c r="H38" s="303"/>
      <c r="I38" s="311"/>
      <c r="J38" s="312" t="str">
        <f t="shared" si="1"/>
        <v>5 PCS</v>
      </c>
      <c r="K38" s="312">
        <f>D38*5</f>
        <v>168.8</v>
      </c>
      <c r="L38" s="166">
        <f>5-M38</f>
        <v>0</v>
      </c>
      <c r="M38" s="166">
        <v>5</v>
      </c>
      <c r="N38" s="66">
        <f t="shared" si="0"/>
        <v>0</v>
      </c>
      <c r="O38" s="279"/>
    </row>
    <row r="39" spans="1:15">
      <c r="A39" s="299" t="s">
        <v>206</v>
      </c>
      <c r="B39" s="300" t="s">
        <v>204</v>
      </c>
      <c r="C39" s="166">
        <f>33.76*5</f>
        <v>168.8</v>
      </c>
      <c r="D39" s="166">
        <f>C39/5</f>
        <v>33.76</v>
      </c>
      <c r="E39" s="166">
        <v>38</v>
      </c>
      <c r="F39" s="301"/>
      <c r="G39" s="302" t="s">
        <v>205</v>
      </c>
      <c r="H39" s="303"/>
      <c r="I39" s="311"/>
      <c r="J39" s="312" t="str">
        <f t="shared" si="1"/>
        <v>5 PCS</v>
      </c>
      <c r="K39" s="312">
        <f>D39*5</f>
        <v>168.8</v>
      </c>
      <c r="L39" s="166">
        <f>5-M39</f>
        <v>0</v>
      </c>
      <c r="M39" s="166">
        <v>5</v>
      </c>
      <c r="N39" s="66">
        <f t="shared" si="0"/>
        <v>0</v>
      </c>
      <c r="O39" s="279"/>
    </row>
    <row r="40" spans="1:15">
      <c r="A40" s="299" t="s">
        <v>207</v>
      </c>
      <c r="B40" s="300" t="s">
        <v>204</v>
      </c>
      <c r="C40" s="166">
        <f>33.76*5</f>
        <v>168.8</v>
      </c>
      <c r="D40" s="166">
        <f>C40/5</f>
        <v>33.76</v>
      </c>
      <c r="E40" s="166">
        <v>38</v>
      </c>
      <c r="F40" s="301"/>
      <c r="G40" s="302" t="s">
        <v>205</v>
      </c>
      <c r="H40" s="303"/>
      <c r="I40" s="311"/>
      <c r="J40" s="312" t="str">
        <f t="shared" si="1"/>
        <v>5 PCS</v>
      </c>
      <c r="K40" s="312">
        <f>D40*5</f>
        <v>168.8</v>
      </c>
      <c r="L40" s="166">
        <f>5-M40</f>
        <v>0</v>
      </c>
      <c r="M40" s="166">
        <v>5</v>
      </c>
      <c r="N40" s="66">
        <f t="shared" si="0"/>
        <v>0</v>
      </c>
      <c r="O40" s="279"/>
    </row>
    <row r="41" spans="1:15">
      <c r="A41" s="299" t="s">
        <v>208</v>
      </c>
      <c r="B41" s="300" t="s">
        <v>209</v>
      </c>
      <c r="C41" s="166">
        <f>33.76*3</f>
        <v>101.28</v>
      </c>
      <c r="D41" s="166">
        <f>C41/3</f>
        <v>33.76</v>
      </c>
      <c r="E41" s="166">
        <v>38</v>
      </c>
      <c r="F41" s="301"/>
      <c r="G41" s="302" t="s">
        <v>54</v>
      </c>
      <c r="H41" s="303"/>
      <c r="I41" s="311"/>
      <c r="J41" s="312" t="str">
        <f t="shared" si="1"/>
        <v>3 PCS</v>
      </c>
      <c r="K41" s="312">
        <f>D41*3</f>
        <v>101.28</v>
      </c>
      <c r="L41" s="166">
        <f>3-M41</f>
        <v>0</v>
      </c>
      <c r="M41" s="166">
        <v>3</v>
      </c>
      <c r="N41" s="66">
        <f t="shared" si="0"/>
        <v>0</v>
      </c>
      <c r="O41" s="279"/>
    </row>
    <row r="42" spans="1:15">
      <c r="A42" s="299" t="s">
        <v>210</v>
      </c>
      <c r="B42" s="300" t="s">
        <v>209</v>
      </c>
      <c r="C42" s="166">
        <f>33.76*3</f>
        <v>101.28</v>
      </c>
      <c r="D42" s="166">
        <f>C42/3</f>
        <v>33.76</v>
      </c>
      <c r="E42" s="166">
        <v>38</v>
      </c>
      <c r="F42" s="301"/>
      <c r="G42" s="302" t="s">
        <v>54</v>
      </c>
      <c r="H42" s="303"/>
      <c r="I42" s="311"/>
      <c r="J42" s="312" t="str">
        <f t="shared" si="1"/>
        <v>3 PCS</v>
      </c>
      <c r="K42" s="312">
        <f>D42*3</f>
        <v>101.28</v>
      </c>
      <c r="L42" s="166">
        <f>3-M42</f>
        <v>0</v>
      </c>
      <c r="M42" s="166">
        <v>3</v>
      </c>
      <c r="N42" s="66">
        <f t="shared" si="0"/>
        <v>0</v>
      </c>
      <c r="O42" s="279"/>
    </row>
    <row r="43" ht="22.5" spans="1:15">
      <c r="A43" s="299" t="s">
        <v>211</v>
      </c>
      <c r="B43" s="300" t="s">
        <v>212</v>
      </c>
      <c r="C43" s="166">
        <f>139.04*2</f>
        <v>278.08</v>
      </c>
      <c r="D43" s="166" t="s">
        <v>213</v>
      </c>
      <c r="E43" s="234" t="s">
        <v>214</v>
      </c>
      <c r="F43" s="301"/>
      <c r="G43" s="305" t="s">
        <v>215</v>
      </c>
      <c r="H43" s="303"/>
      <c r="I43" s="311"/>
      <c r="J43" s="313" t="str">
        <f t="shared" si="1"/>
        <v>2 BOXES (20 PCS/ BOX)</v>
      </c>
      <c r="K43" s="313">
        <f>C43</f>
        <v>278.08</v>
      </c>
      <c r="L43" s="166"/>
      <c r="M43" s="166"/>
      <c r="N43" s="66" t="e">
        <f t="shared" si="0"/>
        <v>#VALUE!</v>
      </c>
      <c r="O43" s="279"/>
    </row>
    <row r="44" spans="1:15">
      <c r="A44" s="299" t="s">
        <v>216</v>
      </c>
      <c r="B44" s="300" t="s">
        <v>217</v>
      </c>
      <c r="C44" s="166">
        <f>626.32*2</f>
        <v>1252.64</v>
      </c>
      <c r="D44" s="166">
        <f>C44/200</f>
        <v>6.2632</v>
      </c>
      <c r="E44" s="166">
        <v>8</v>
      </c>
      <c r="F44" s="301" t="s">
        <v>218</v>
      </c>
      <c r="G44" s="302"/>
      <c r="H44" s="303"/>
      <c r="I44" s="311"/>
      <c r="J44" s="312" t="str">
        <f>F44</f>
        <v>200 TABS</v>
      </c>
      <c r="K44" s="312">
        <f>D44*200</f>
        <v>1252.64</v>
      </c>
      <c r="L44" s="166"/>
      <c r="M44" s="166"/>
      <c r="N44" s="66">
        <f t="shared" si="0"/>
        <v>0</v>
      </c>
      <c r="O44" s="279"/>
    </row>
    <row r="45" spans="1:15">
      <c r="A45" s="299" t="s">
        <v>219</v>
      </c>
      <c r="B45" s="300" t="s">
        <v>220</v>
      </c>
      <c r="C45" s="166">
        <f>3.14*100</f>
        <v>314</v>
      </c>
      <c r="D45" s="166">
        <f>C45/100</f>
        <v>3.14</v>
      </c>
      <c r="E45" s="166">
        <v>4</v>
      </c>
      <c r="F45" s="301" t="s">
        <v>221</v>
      </c>
      <c r="G45" s="302" t="s">
        <v>222</v>
      </c>
      <c r="H45" s="303"/>
      <c r="I45" s="311"/>
      <c r="J45" s="312" t="s">
        <v>223</v>
      </c>
      <c r="K45" s="312">
        <f>D45*600</f>
        <v>1884</v>
      </c>
      <c r="L45" s="166"/>
      <c r="M45" s="166"/>
      <c r="N45" s="66">
        <f t="shared" si="0"/>
        <v>0</v>
      </c>
      <c r="O45" s="279"/>
    </row>
    <row r="46" hidden="1" spans="1:15">
      <c r="A46" s="304" t="s">
        <v>224</v>
      </c>
      <c r="B46" s="300" t="s">
        <v>225</v>
      </c>
      <c r="C46" s="171">
        <v>1568.72</v>
      </c>
      <c r="D46" s="171">
        <f>C46/500</f>
        <v>3.13744</v>
      </c>
      <c r="E46" s="166"/>
      <c r="F46" s="301"/>
      <c r="G46" s="302"/>
      <c r="H46" s="303"/>
      <c r="I46" s="311"/>
      <c r="J46" s="312"/>
      <c r="K46" s="312"/>
      <c r="L46" s="166"/>
      <c r="M46" s="166"/>
      <c r="N46" s="66">
        <f t="shared" si="0"/>
        <v>0</v>
      </c>
      <c r="O46" s="279"/>
    </row>
    <row r="47" spans="1:15">
      <c r="A47" s="299" t="s">
        <v>226</v>
      </c>
      <c r="B47" s="300" t="s">
        <v>205</v>
      </c>
      <c r="C47" s="166">
        <f>26.32*5</f>
        <v>131.6</v>
      </c>
      <c r="D47" s="166">
        <f>C47/5</f>
        <v>26.32</v>
      </c>
      <c r="E47" s="166">
        <v>31</v>
      </c>
      <c r="F47" s="301"/>
      <c r="G47" s="302" t="s">
        <v>205</v>
      </c>
      <c r="H47" s="303"/>
      <c r="I47" s="311"/>
      <c r="J47" s="312" t="str">
        <f>G47</f>
        <v>5 PCS</v>
      </c>
      <c r="K47" s="312">
        <f>D47*5</f>
        <v>131.6</v>
      </c>
      <c r="L47" s="166"/>
      <c r="M47" s="166"/>
      <c r="N47" s="66">
        <f t="shared" si="0"/>
        <v>0</v>
      </c>
      <c r="O47" s="279"/>
    </row>
    <row r="48" spans="1:15">
      <c r="A48" s="299" t="s">
        <v>227</v>
      </c>
      <c r="B48" s="300" t="s">
        <v>205</v>
      </c>
      <c r="C48" s="166">
        <f>33.6*5</f>
        <v>168</v>
      </c>
      <c r="D48" s="166">
        <f>C48/5</f>
        <v>33.6</v>
      </c>
      <c r="E48" s="166">
        <v>38</v>
      </c>
      <c r="F48" s="301"/>
      <c r="G48" s="302" t="s">
        <v>205</v>
      </c>
      <c r="H48" s="303"/>
      <c r="I48" s="311"/>
      <c r="J48" s="312" t="str">
        <f>G48</f>
        <v>5 PCS</v>
      </c>
      <c r="K48" s="312">
        <f>D48*5</f>
        <v>168</v>
      </c>
      <c r="L48" s="166"/>
      <c r="M48" s="166">
        <v>5</v>
      </c>
      <c r="N48" s="66">
        <f t="shared" si="0"/>
        <v>0</v>
      </c>
      <c r="O48" s="279"/>
    </row>
    <row r="49" spans="1:15">
      <c r="A49" s="299" t="s">
        <v>228</v>
      </c>
      <c r="B49" s="300" t="s">
        <v>164</v>
      </c>
      <c r="C49" s="166">
        <f>10.92*10</f>
        <v>109.2</v>
      </c>
      <c r="D49" s="166">
        <f>C49/10</f>
        <v>10.92</v>
      </c>
      <c r="E49" s="166"/>
      <c r="F49" s="301" t="s">
        <v>165</v>
      </c>
      <c r="G49" s="302"/>
      <c r="H49" s="303"/>
      <c r="I49" s="311"/>
      <c r="J49" s="312" t="str">
        <f>F49</f>
        <v>10 TABS</v>
      </c>
      <c r="K49" s="312">
        <f>D49*10</f>
        <v>109.2</v>
      </c>
      <c r="L49" s="166"/>
      <c r="M49" s="166"/>
      <c r="N49" s="66">
        <f t="shared" si="0"/>
        <v>0</v>
      </c>
      <c r="O49" s="279"/>
    </row>
    <row r="50" spans="1:15">
      <c r="A50" s="299" t="s">
        <v>229</v>
      </c>
      <c r="B50" s="300" t="s">
        <v>164</v>
      </c>
      <c r="C50" s="166">
        <f>9.41*10</f>
        <v>94.1</v>
      </c>
      <c r="D50" s="166">
        <f>C50/10</f>
        <v>9.41</v>
      </c>
      <c r="E50" s="166"/>
      <c r="F50" s="301" t="s">
        <v>165</v>
      </c>
      <c r="G50" s="302"/>
      <c r="H50" s="303"/>
      <c r="I50" s="311" t="s">
        <v>230</v>
      </c>
      <c r="J50" s="312" t="s">
        <v>231</v>
      </c>
      <c r="K50" s="312">
        <f>D50*70</f>
        <v>658.7</v>
      </c>
      <c r="L50" s="166"/>
      <c r="M50" s="166"/>
      <c r="N50" s="66">
        <f t="shared" si="0"/>
        <v>0</v>
      </c>
      <c r="O50" s="279"/>
    </row>
    <row r="51" spans="1:15">
      <c r="A51" s="299" t="s">
        <v>232</v>
      </c>
      <c r="B51" s="300" t="s">
        <v>233</v>
      </c>
      <c r="C51" s="166">
        <f>25.99*20</f>
        <v>519.8</v>
      </c>
      <c r="D51" s="166">
        <f>C51/20</f>
        <v>25.99</v>
      </c>
      <c r="E51" s="166">
        <v>29</v>
      </c>
      <c r="F51" s="301"/>
      <c r="G51" s="302" t="s">
        <v>233</v>
      </c>
      <c r="H51" s="303"/>
      <c r="I51" s="311"/>
      <c r="J51" s="312" t="str">
        <f>G51</f>
        <v>20 TABS</v>
      </c>
      <c r="K51" s="312">
        <f>D51*20</f>
        <v>519.8</v>
      </c>
      <c r="L51" s="166">
        <f>20-M51</f>
        <v>16</v>
      </c>
      <c r="M51" s="166">
        <v>4</v>
      </c>
      <c r="N51" s="66">
        <f t="shared" si="0"/>
        <v>464</v>
      </c>
      <c r="O51" s="279"/>
    </row>
    <row r="52" spans="1:15">
      <c r="A52" s="299" t="s">
        <v>234</v>
      </c>
      <c r="B52" s="300" t="s">
        <v>235</v>
      </c>
      <c r="C52" s="166">
        <f>21.67*12</f>
        <v>260.04</v>
      </c>
      <c r="D52" s="166">
        <f>C52/12</f>
        <v>21.67</v>
      </c>
      <c r="E52" s="166">
        <v>25</v>
      </c>
      <c r="F52" s="301" t="s">
        <v>236</v>
      </c>
      <c r="G52" s="302"/>
      <c r="H52" s="303"/>
      <c r="I52" s="311"/>
      <c r="J52" s="312" t="str">
        <f>F52</f>
        <v>12 TABS</v>
      </c>
      <c r="K52" s="312">
        <f>D52*12</f>
        <v>260.04</v>
      </c>
      <c r="L52" s="166">
        <f>12-M52</f>
        <v>4</v>
      </c>
      <c r="M52" s="166">
        <v>8</v>
      </c>
      <c r="N52" s="66">
        <f t="shared" si="0"/>
        <v>100</v>
      </c>
      <c r="O52" s="279"/>
    </row>
    <row r="53" spans="1:15">
      <c r="A53" s="299" t="s">
        <v>237</v>
      </c>
      <c r="B53" s="300" t="s">
        <v>238</v>
      </c>
      <c r="C53" s="166">
        <v>636.12</v>
      </c>
      <c r="D53" s="166">
        <v>31.806</v>
      </c>
      <c r="E53" s="166">
        <v>37</v>
      </c>
      <c r="F53" s="301"/>
      <c r="G53" s="302"/>
      <c r="H53" s="303" t="s">
        <v>239</v>
      </c>
      <c r="I53" s="311"/>
      <c r="J53" s="312" t="str">
        <f>H53</f>
        <v>20 PCS</v>
      </c>
      <c r="K53" s="312">
        <f>D53*20</f>
        <v>636.12</v>
      </c>
      <c r="L53" s="166"/>
      <c r="M53" s="166"/>
      <c r="N53" s="66">
        <f t="shared" si="0"/>
        <v>0</v>
      </c>
      <c r="O53" s="279"/>
    </row>
    <row r="54" spans="1:15">
      <c r="A54" s="299" t="s">
        <v>240</v>
      </c>
      <c r="B54" s="300" t="s">
        <v>195</v>
      </c>
      <c r="C54" s="166">
        <f>118.03*6</f>
        <v>708.18</v>
      </c>
      <c r="D54" s="166">
        <f>C54/6</f>
        <v>118.03</v>
      </c>
      <c r="E54" s="166">
        <v>130</v>
      </c>
      <c r="F54" s="301" t="s">
        <v>195</v>
      </c>
      <c r="G54" s="302"/>
      <c r="H54" s="303"/>
      <c r="I54" s="311"/>
      <c r="J54" s="312" t="str">
        <f>F54</f>
        <v>6 BOTTLES</v>
      </c>
      <c r="K54" s="312">
        <f>D54*6</f>
        <v>708.18</v>
      </c>
      <c r="L54" s="166"/>
      <c r="M54" s="166">
        <v>6</v>
      </c>
      <c r="N54" s="66">
        <f t="shared" si="0"/>
        <v>0</v>
      </c>
      <c r="O54" s="279"/>
    </row>
    <row r="55" spans="1:15">
      <c r="A55" s="299" t="s">
        <v>241</v>
      </c>
      <c r="B55" s="300" t="s">
        <v>195</v>
      </c>
      <c r="C55" s="166">
        <f>55.32*6</f>
        <v>331.92</v>
      </c>
      <c r="D55" s="166">
        <f>C55/6</f>
        <v>55.32</v>
      </c>
      <c r="E55" s="166">
        <v>63</v>
      </c>
      <c r="F55" s="301" t="s">
        <v>195</v>
      </c>
      <c r="G55" s="302"/>
      <c r="H55" s="303"/>
      <c r="I55" s="311"/>
      <c r="J55" s="312" t="str">
        <f>F55</f>
        <v>6 BOTTLES</v>
      </c>
      <c r="K55" s="312">
        <f>D55*6</f>
        <v>331.92</v>
      </c>
      <c r="L55" s="166"/>
      <c r="M55" s="166">
        <v>6</v>
      </c>
      <c r="N55" s="66">
        <f t="shared" si="0"/>
        <v>0</v>
      </c>
      <c r="O55" s="279"/>
    </row>
    <row r="56" spans="1:15">
      <c r="A56" s="299" t="s">
        <v>242</v>
      </c>
      <c r="B56" s="300" t="s">
        <v>195</v>
      </c>
      <c r="C56" s="166">
        <f>6*78.3</f>
        <v>469.8</v>
      </c>
      <c r="D56" s="166">
        <f>C56/6</f>
        <v>78.3</v>
      </c>
      <c r="E56" s="166">
        <v>88</v>
      </c>
      <c r="F56" s="301" t="s">
        <v>195</v>
      </c>
      <c r="G56" s="302"/>
      <c r="H56" s="303"/>
      <c r="I56" s="311"/>
      <c r="J56" s="312" t="str">
        <f>F56</f>
        <v>6 BOTTLES</v>
      </c>
      <c r="K56" s="312">
        <f>D56*6</f>
        <v>469.8</v>
      </c>
      <c r="L56" s="166">
        <f>6-M56</f>
        <v>2</v>
      </c>
      <c r="M56" s="166">
        <v>4</v>
      </c>
      <c r="N56" s="66">
        <f t="shared" si="0"/>
        <v>176</v>
      </c>
      <c r="O56" s="279"/>
    </row>
    <row r="57" spans="1:15">
      <c r="A57" s="299" t="s">
        <v>243</v>
      </c>
      <c r="B57" s="300" t="s">
        <v>205</v>
      </c>
      <c r="C57" s="166">
        <f>24.88*5</f>
        <v>124.4</v>
      </c>
      <c r="D57" s="166">
        <f>C57/5</f>
        <v>24.88</v>
      </c>
      <c r="E57" s="166"/>
      <c r="F57" s="301"/>
      <c r="G57" s="302" t="s">
        <v>205</v>
      </c>
      <c r="H57" s="303"/>
      <c r="I57" s="311"/>
      <c r="J57" s="312" t="str">
        <f>G57</f>
        <v>5 PCS</v>
      </c>
      <c r="K57" s="312">
        <f>D57*5</f>
        <v>124.4</v>
      </c>
      <c r="L57" s="166"/>
      <c r="M57" s="166"/>
      <c r="N57" s="66">
        <f t="shared" si="0"/>
        <v>0</v>
      </c>
      <c r="O57" s="279"/>
    </row>
    <row r="58" spans="1:15">
      <c r="A58" s="299" t="s">
        <v>244</v>
      </c>
      <c r="B58" s="300" t="s">
        <v>205</v>
      </c>
      <c r="C58" s="166">
        <f>34.44*5</f>
        <v>172.2</v>
      </c>
      <c r="D58" s="166">
        <f>C58/5</f>
        <v>34.44</v>
      </c>
      <c r="E58" s="166"/>
      <c r="F58" s="301"/>
      <c r="G58" s="302" t="s">
        <v>205</v>
      </c>
      <c r="H58" s="303"/>
      <c r="I58" s="311"/>
      <c r="J58" s="312" t="str">
        <f>G58</f>
        <v>5 PCS</v>
      </c>
      <c r="K58" s="312">
        <f>D58*5</f>
        <v>172.2</v>
      </c>
      <c r="L58" s="166"/>
      <c r="M58" s="166"/>
      <c r="N58" s="66">
        <f t="shared" si="0"/>
        <v>0</v>
      </c>
      <c r="O58" s="279"/>
    </row>
    <row r="59" spans="1:15">
      <c r="A59" s="299" t="s">
        <v>245</v>
      </c>
      <c r="B59" s="300" t="s">
        <v>164</v>
      </c>
      <c r="C59" s="166">
        <f>46.02*10</f>
        <v>460.2</v>
      </c>
      <c r="D59" s="166">
        <f>C59/10</f>
        <v>46.02</v>
      </c>
      <c r="E59" s="166"/>
      <c r="F59" s="301" t="s">
        <v>165</v>
      </c>
      <c r="G59" s="302"/>
      <c r="H59" s="303"/>
      <c r="I59" s="311"/>
      <c r="J59" s="312" t="str">
        <f>F59</f>
        <v>10 TABS</v>
      </c>
      <c r="K59" s="312">
        <f>D59*10</f>
        <v>460.2</v>
      </c>
      <c r="L59" s="166"/>
      <c r="M59" s="166"/>
      <c r="N59" s="66">
        <f t="shared" si="0"/>
        <v>0</v>
      </c>
      <c r="O59" s="279"/>
    </row>
    <row r="60" spans="1:15">
      <c r="A60" s="299" t="s">
        <v>246</v>
      </c>
      <c r="B60" s="300" t="s">
        <v>164</v>
      </c>
      <c r="C60" s="166">
        <f>30.2*10</f>
        <v>302</v>
      </c>
      <c r="D60" s="166">
        <f>C60/10</f>
        <v>30.2</v>
      </c>
      <c r="E60" s="166"/>
      <c r="F60" s="301" t="s">
        <v>165</v>
      </c>
      <c r="G60" s="302"/>
      <c r="H60" s="303"/>
      <c r="I60" s="311"/>
      <c r="J60" s="312" t="str">
        <f>F60</f>
        <v>10 TABS</v>
      </c>
      <c r="K60" s="312">
        <f>D60*10</f>
        <v>302</v>
      </c>
      <c r="L60" s="166"/>
      <c r="M60" s="166"/>
      <c r="N60" s="66">
        <f t="shared" si="0"/>
        <v>0</v>
      </c>
      <c r="O60" s="279"/>
    </row>
    <row r="61" spans="1:15">
      <c r="A61" s="299" t="s">
        <v>247</v>
      </c>
      <c r="B61" s="300" t="s">
        <v>144</v>
      </c>
      <c r="C61" s="166">
        <v>53.01</v>
      </c>
      <c r="D61" s="166">
        <f>C61/12</f>
        <v>4.4175</v>
      </c>
      <c r="E61" s="166"/>
      <c r="F61" s="301"/>
      <c r="G61" s="302" t="s">
        <v>67</v>
      </c>
      <c r="H61" s="303"/>
      <c r="I61" s="311"/>
      <c r="J61" s="312" t="str">
        <f>G61</f>
        <v>12 PCS</v>
      </c>
      <c r="K61" s="312">
        <f>D61*12</f>
        <v>53.01</v>
      </c>
      <c r="L61" s="166"/>
      <c r="M61" s="166"/>
      <c r="N61" s="66">
        <f t="shared" si="0"/>
        <v>0</v>
      </c>
      <c r="O61" s="279"/>
    </row>
    <row r="62" spans="1:15">
      <c r="A62" s="299" t="s">
        <v>248</v>
      </c>
      <c r="B62" s="300" t="s">
        <v>159</v>
      </c>
      <c r="C62" s="166">
        <f>90.94*2</f>
        <v>181.88</v>
      </c>
      <c r="D62" s="166">
        <f>C62/2</f>
        <v>90.94</v>
      </c>
      <c r="E62" s="166">
        <v>104</v>
      </c>
      <c r="F62" s="301" t="s">
        <v>159</v>
      </c>
      <c r="G62" s="302"/>
      <c r="H62" s="303"/>
      <c r="I62" s="311"/>
      <c r="J62" s="312" t="str">
        <f t="shared" ref="J62:J69" si="2">F62</f>
        <v>2 BOTTLES</v>
      </c>
      <c r="K62" s="312">
        <f>D62*2</f>
        <v>181.88</v>
      </c>
      <c r="L62" s="166">
        <f>2-M62</f>
        <v>0</v>
      </c>
      <c r="M62" s="166">
        <v>2</v>
      </c>
      <c r="N62" s="66">
        <f t="shared" si="0"/>
        <v>0</v>
      </c>
      <c r="O62" s="279"/>
    </row>
    <row r="63" spans="1:15">
      <c r="A63" s="299" t="s">
        <v>249</v>
      </c>
      <c r="B63" s="300" t="s">
        <v>159</v>
      </c>
      <c r="C63" s="166">
        <f>2*65.35</f>
        <v>130.7</v>
      </c>
      <c r="D63" s="166">
        <f>C63/2</f>
        <v>65.35</v>
      </c>
      <c r="E63" s="166">
        <v>75</v>
      </c>
      <c r="F63" s="301" t="s">
        <v>159</v>
      </c>
      <c r="G63" s="302"/>
      <c r="H63" s="303"/>
      <c r="I63" s="311"/>
      <c r="J63" s="312" t="str">
        <f t="shared" si="2"/>
        <v>2 BOTTLES</v>
      </c>
      <c r="K63" s="312">
        <f>D63*2</f>
        <v>130.7</v>
      </c>
      <c r="L63" s="166">
        <f>2-M63</f>
        <v>0</v>
      </c>
      <c r="M63" s="166">
        <v>2</v>
      </c>
      <c r="N63" s="66">
        <f t="shared" si="0"/>
        <v>0</v>
      </c>
      <c r="O63" s="279"/>
    </row>
    <row r="64" spans="1:15">
      <c r="A64" s="299" t="s">
        <v>250</v>
      </c>
      <c r="B64" s="300" t="s">
        <v>161</v>
      </c>
      <c r="C64" s="166">
        <f>74.25</f>
        <v>74.25</v>
      </c>
      <c r="D64" s="166">
        <f>74.25</f>
        <v>74.25</v>
      </c>
      <c r="E64" s="166">
        <v>85</v>
      </c>
      <c r="F64" s="301" t="s">
        <v>88</v>
      </c>
      <c r="G64" s="302"/>
      <c r="H64" s="303"/>
      <c r="I64" s="311"/>
      <c r="J64" s="312" t="str">
        <f t="shared" si="2"/>
        <v>1 BOTTLE</v>
      </c>
      <c r="K64" s="312">
        <f>D64*1</f>
        <v>74.25</v>
      </c>
      <c r="L64" s="166"/>
      <c r="M64" s="166">
        <v>1</v>
      </c>
      <c r="N64" s="66">
        <f t="shared" si="0"/>
        <v>0</v>
      </c>
      <c r="O64" s="279"/>
    </row>
    <row r="65" spans="1:15">
      <c r="A65" s="299" t="s">
        <v>251</v>
      </c>
      <c r="B65" s="300" t="s">
        <v>161</v>
      </c>
      <c r="C65" s="166">
        <v>103.05</v>
      </c>
      <c r="D65" s="166">
        <v>103.05</v>
      </c>
      <c r="E65" s="166">
        <v>118.5</v>
      </c>
      <c r="F65" s="301" t="s">
        <v>88</v>
      </c>
      <c r="G65" s="302"/>
      <c r="H65" s="303"/>
      <c r="I65" s="311"/>
      <c r="J65" s="312" t="str">
        <f t="shared" si="2"/>
        <v>1 BOTTLE</v>
      </c>
      <c r="K65" s="312">
        <f>D65*1</f>
        <v>103.05</v>
      </c>
      <c r="L65" s="166"/>
      <c r="M65" s="166">
        <v>1</v>
      </c>
      <c r="N65" s="66">
        <f t="shared" si="0"/>
        <v>0</v>
      </c>
      <c r="O65" s="279"/>
    </row>
    <row r="66" spans="1:15">
      <c r="A66" s="299" t="s">
        <v>252</v>
      </c>
      <c r="B66" s="300" t="s">
        <v>159</v>
      </c>
      <c r="C66" s="166">
        <f>126.57*2</f>
        <v>253.14</v>
      </c>
      <c r="D66" s="166">
        <f>C66/2</f>
        <v>126.57</v>
      </c>
      <c r="E66" s="166">
        <v>145</v>
      </c>
      <c r="F66" s="301" t="s">
        <v>159</v>
      </c>
      <c r="G66" s="302"/>
      <c r="H66" s="303"/>
      <c r="I66" s="311"/>
      <c r="J66" s="312" t="str">
        <f t="shared" si="2"/>
        <v>2 BOTTLES</v>
      </c>
      <c r="K66" s="312">
        <f>D66*2</f>
        <v>253.14</v>
      </c>
      <c r="L66" s="166"/>
      <c r="M66" s="166">
        <v>2</v>
      </c>
      <c r="N66" s="66">
        <f t="shared" si="0"/>
        <v>0</v>
      </c>
      <c r="O66" s="279"/>
    </row>
    <row r="67" spans="1:15">
      <c r="A67" s="299" t="s">
        <v>253</v>
      </c>
      <c r="B67" s="300" t="s">
        <v>159</v>
      </c>
      <c r="C67" s="166">
        <f>70.62*2</f>
        <v>141.24</v>
      </c>
      <c r="D67" s="166">
        <f>C67/2</f>
        <v>70.62</v>
      </c>
      <c r="E67" s="166">
        <v>81</v>
      </c>
      <c r="F67" s="301" t="s">
        <v>159</v>
      </c>
      <c r="G67" s="302"/>
      <c r="H67" s="303"/>
      <c r="I67" s="311"/>
      <c r="J67" s="312" t="str">
        <f t="shared" si="2"/>
        <v>2 BOTTLES</v>
      </c>
      <c r="K67" s="312">
        <f>D67*2</f>
        <v>141.24</v>
      </c>
      <c r="L67" s="166"/>
      <c r="M67" s="166">
        <v>2</v>
      </c>
      <c r="N67" s="66">
        <f t="shared" si="0"/>
        <v>0</v>
      </c>
      <c r="O67" s="279"/>
    </row>
    <row r="68" spans="1:15">
      <c r="A68" s="299" t="s">
        <v>254</v>
      </c>
      <c r="B68" s="300" t="s">
        <v>159</v>
      </c>
      <c r="C68" s="166">
        <f>110.35*2</f>
        <v>220.7</v>
      </c>
      <c r="D68" s="166">
        <f>C68/2</f>
        <v>110.35</v>
      </c>
      <c r="E68" s="166">
        <v>125</v>
      </c>
      <c r="F68" s="301" t="s">
        <v>159</v>
      </c>
      <c r="G68" s="302"/>
      <c r="H68" s="303"/>
      <c r="I68" s="311"/>
      <c r="J68" s="312" t="str">
        <f t="shared" si="2"/>
        <v>2 BOTTLES</v>
      </c>
      <c r="K68" s="312">
        <f>D68*2</f>
        <v>220.7</v>
      </c>
      <c r="L68" s="166">
        <f>2-M68</f>
        <v>0</v>
      </c>
      <c r="M68" s="166">
        <v>2</v>
      </c>
      <c r="N68" s="66">
        <f t="shared" ref="N68:N131" si="3">L68*E68</f>
        <v>0</v>
      </c>
      <c r="O68" s="279"/>
    </row>
    <row r="69" spans="1:15">
      <c r="A69" s="299" t="s">
        <v>255</v>
      </c>
      <c r="B69" s="300" t="s">
        <v>159</v>
      </c>
      <c r="C69" s="166">
        <f>52.07*2</f>
        <v>104.14</v>
      </c>
      <c r="D69" s="166">
        <f>C69/2</f>
        <v>52.07</v>
      </c>
      <c r="E69" s="166">
        <v>59</v>
      </c>
      <c r="F69" s="301" t="s">
        <v>159</v>
      </c>
      <c r="G69" s="302"/>
      <c r="H69" s="303"/>
      <c r="I69" s="311"/>
      <c r="J69" s="312" t="str">
        <f t="shared" si="2"/>
        <v>2 BOTTLES</v>
      </c>
      <c r="K69" s="312">
        <f>D69*2</f>
        <v>104.14</v>
      </c>
      <c r="L69" s="166">
        <f>2-M69</f>
        <v>0</v>
      </c>
      <c r="M69" s="166">
        <v>2</v>
      </c>
      <c r="N69" s="66">
        <f t="shared" si="3"/>
        <v>0</v>
      </c>
      <c r="O69" s="279"/>
    </row>
    <row r="70" spans="1:15">
      <c r="A70" s="299" t="s">
        <v>256</v>
      </c>
      <c r="B70" s="300" t="s">
        <v>150</v>
      </c>
      <c r="C70" s="166">
        <f>37.11*10</f>
        <v>371.1</v>
      </c>
      <c r="D70" s="166">
        <f>C70/10</f>
        <v>37.11</v>
      </c>
      <c r="E70" s="166">
        <v>47</v>
      </c>
      <c r="F70" s="301"/>
      <c r="G70" s="302" t="s">
        <v>150</v>
      </c>
      <c r="H70" s="303"/>
      <c r="I70" s="311"/>
      <c r="J70" s="312" t="str">
        <f t="shared" ref="J70:J80" si="4">G70</f>
        <v>10 CAPS</v>
      </c>
      <c r="K70" s="312">
        <f>D70*10</f>
        <v>371.1</v>
      </c>
      <c r="L70" s="166"/>
      <c r="M70" s="166">
        <v>10</v>
      </c>
      <c r="N70" s="66">
        <f t="shared" si="3"/>
        <v>0</v>
      </c>
      <c r="O70" s="279"/>
    </row>
    <row r="71" spans="1:15">
      <c r="A71" s="299" t="s">
        <v>257</v>
      </c>
      <c r="B71" s="300" t="s">
        <v>150</v>
      </c>
      <c r="C71" s="166">
        <f>49.38*10</f>
        <v>493.8</v>
      </c>
      <c r="D71" s="166">
        <f>C71/10</f>
        <v>49.38</v>
      </c>
      <c r="E71" s="166">
        <v>61</v>
      </c>
      <c r="F71" s="301"/>
      <c r="G71" s="302" t="s">
        <v>150</v>
      </c>
      <c r="H71" s="303"/>
      <c r="I71" s="311"/>
      <c r="J71" s="312" t="str">
        <f t="shared" si="4"/>
        <v>10 CAPS</v>
      </c>
      <c r="K71" s="312">
        <f>D71*10</f>
        <v>493.8</v>
      </c>
      <c r="L71" s="166"/>
      <c r="M71" s="166">
        <v>10</v>
      </c>
      <c r="N71" s="66">
        <f t="shared" si="3"/>
        <v>0</v>
      </c>
      <c r="O71" s="279"/>
    </row>
    <row r="72" spans="1:15">
      <c r="A72" s="299" t="s">
        <v>258</v>
      </c>
      <c r="B72" s="300" t="s">
        <v>205</v>
      </c>
      <c r="C72" s="166">
        <f>22.96*5</f>
        <v>114.8</v>
      </c>
      <c r="D72" s="166">
        <f>C72/5</f>
        <v>22.96</v>
      </c>
      <c r="E72" s="166"/>
      <c r="F72" s="301"/>
      <c r="G72" s="302" t="s">
        <v>205</v>
      </c>
      <c r="H72" s="303"/>
      <c r="I72" s="311"/>
      <c r="J72" s="312" t="str">
        <f t="shared" si="4"/>
        <v>5 PCS</v>
      </c>
      <c r="K72" s="312">
        <f>D72*5</f>
        <v>114.8</v>
      </c>
      <c r="L72" s="166"/>
      <c r="M72" s="166"/>
      <c r="N72" s="66">
        <f t="shared" si="3"/>
        <v>0</v>
      </c>
      <c r="O72" s="279"/>
    </row>
    <row r="73" spans="1:15">
      <c r="A73" s="299" t="s">
        <v>259</v>
      </c>
      <c r="B73" s="300" t="s">
        <v>260</v>
      </c>
      <c r="C73" s="166">
        <f>43.59*5</f>
        <v>217.95</v>
      </c>
      <c r="D73" s="166">
        <f>C73/5</f>
        <v>43.59</v>
      </c>
      <c r="E73" s="166"/>
      <c r="F73" s="301"/>
      <c r="G73" s="302" t="s">
        <v>205</v>
      </c>
      <c r="H73" s="303"/>
      <c r="I73" s="311"/>
      <c r="J73" s="312" t="str">
        <f t="shared" si="4"/>
        <v>5 PCS</v>
      </c>
      <c r="K73" s="312">
        <f>D73*5</f>
        <v>217.95</v>
      </c>
      <c r="L73" s="166"/>
      <c r="M73" s="166"/>
      <c r="N73" s="66">
        <f t="shared" si="3"/>
        <v>0</v>
      </c>
      <c r="O73" s="279"/>
    </row>
    <row r="74" spans="1:15">
      <c r="A74" s="299" t="s">
        <v>261</v>
      </c>
      <c r="B74" s="300" t="s">
        <v>144</v>
      </c>
      <c r="C74" s="166">
        <v>75</v>
      </c>
      <c r="D74" s="166">
        <f>C74/12</f>
        <v>6.25</v>
      </c>
      <c r="E74" s="166"/>
      <c r="F74" s="301"/>
      <c r="G74" s="302" t="s">
        <v>262</v>
      </c>
      <c r="H74" s="303"/>
      <c r="I74" s="311"/>
      <c r="J74" s="312" t="str">
        <f t="shared" si="4"/>
        <v>12 SACHETS</v>
      </c>
      <c r="K74" s="312">
        <f>D74*12</f>
        <v>75</v>
      </c>
      <c r="L74" s="166"/>
      <c r="M74" s="166"/>
      <c r="N74" s="66">
        <f t="shared" si="3"/>
        <v>0</v>
      </c>
      <c r="O74" s="279"/>
    </row>
    <row r="75" spans="1:15">
      <c r="A75" s="299" t="s">
        <v>263</v>
      </c>
      <c r="B75" s="300" t="s">
        <v>238</v>
      </c>
      <c r="C75" s="166">
        <v>1045.5</v>
      </c>
      <c r="D75" s="166">
        <f>C75/20</f>
        <v>52.275</v>
      </c>
      <c r="E75" s="166"/>
      <c r="F75" s="301"/>
      <c r="G75" s="302" t="s">
        <v>239</v>
      </c>
      <c r="H75" s="303"/>
      <c r="I75" s="311"/>
      <c r="J75" s="312" t="str">
        <f t="shared" si="4"/>
        <v>20 PCS</v>
      </c>
      <c r="K75" s="312">
        <f>D75*20</f>
        <v>1045.5</v>
      </c>
      <c r="L75" s="166"/>
      <c r="M75" s="166"/>
      <c r="N75" s="66">
        <f t="shared" si="3"/>
        <v>0</v>
      </c>
      <c r="O75" s="279"/>
    </row>
    <row r="76" spans="1:15">
      <c r="A76" s="299" t="s">
        <v>264</v>
      </c>
      <c r="B76" s="300" t="s">
        <v>265</v>
      </c>
      <c r="C76" s="166">
        <f>81.21*15</f>
        <v>1218.15</v>
      </c>
      <c r="D76" s="166">
        <f>C76/15</f>
        <v>81.21</v>
      </c>
      <c r="E76" s="166"/>
      <c r="F76" s="301"/>
      <c r="G76" s="302" t="s">
        <v>265</v>
      </c>
      <c r="H76" s="303"/>
      <c r="I76" s="311"/>
      <c r="J76" s="312" t="str">
        <f t="shared" si="4"/>
        <v>15 TABS</v>
      </c>
      <c r="K76" s="312">
        <f>D76*15</f>
        <v>1218.15</v>
      </c>
      <c r="L76" s="166"/>
      <c r="M76" s="166"/>
      <c r="N76" s="66">
        <f t="shared" si="3"/>
        <v>0</v>
      </c>
      <c r="O76" s="279"/>
    </row>
    <row r="77" spans="1:15">
      <c r="A77" s="299" t="s">
        <v>266</v>
      </c>
      <c r="B77" s="300" t="s">
        <v>150</v>
      </c>
      <c r="C77" s="166">
        <f>59.36*10</f>
        <v>593.6</v>
      </c>
      <c r="D77" s="166">
        <f>C77/10</f>
        <v>59.36</v>
      </c>
      <c r="E77" s="166"/>
      <c r="F77" s="301"/>
      <c r="G77" s="302" t="s">
        <v>150</v>
      </c>
      <c r="H77" s="303"/>
      <c r="I77" s="311"/>
      <c r="J77" s="312" t="str">
        <f t="shared" si="4"/>
        <v>10 CAPS</v>
      </c>
      <c r="K77" s="312">
        <f>D77*10</f>
        <v>593.6</v>
      </c>
      <c r="L77" s="166"/>
      <c r="M77" s="166"/>
      <c r="N77" s="66">
        <f t="shared" si="3"/>
        <v>0</v>
      </c>
      <c r="O77" s="279"/>
    </row>
    <row r="78" spans="1:15">
      <c r="A78" s="299" t="s">
        <v>267</v>
      </c>
      <c r="B78" s="300" t="s">
        <v>150</v>
      </c>
      <c r="C78" s="166">
        <f>86.31*10</f>
        <v>863.1</v>
      </c>
      <c r="D78" s="166">
        <f>C78/10</f>
        <v>86.31</v>
      </c>
      <c r="E78" s="166"/>
      <c r="F78" s="301"/>
      <c r="G78" s="302" t="s">
        <v>150</v>
      </c>
      <c r="H78" s="303"/>
      <c r="I78" s="311"/>
      <c r="J78" s="312" t="str">
        <f t="shared" si="4"/>
        <v>10 CAPS</v>
      </c>
      <c r="K78" s="312">
        <f>D78*10</f>
        <v>863.1</v>
      </c>
      <c r="L78" s="166"/>
      <c r="M78" s="166"/>
      <c r="N78" s="66">
        <f t="shared" si="3"/>
        <v>0</v>
      </c>
      <c r="O78" s="279"/>
    </row>
    <row r="79" spans="1:15">
      <c r="A79" s="299" t="s">
        <v>268</v>
      </c>
      <c r="B79" s="300" t="s">
        <v>165</v>
      </c>
      <c r="C79" s="166">
        <f>26.24*10</f>
        <v>262.4</v>
      </c>
      <c r="D79" s="166">
        <f>C79/10</f>
        <v>26.24</v>
      </c>
      <c r="E79" s="166">
        <v>30</v>
      </c>
      <c r="F79" s="301"/>
      <c r="G79" s="302" t="s">
        <v>165</v>
      </c>
      <c r="H79" s="303"/>
      <c r="I79" s="311"/>
      <c r="J79" s="312" t="str">
        <f t="shared" si="4"/>
        <v>10 TABS</v>
      </c>
      <c r="K79" s="312">
        <f>D79*10</f>
        <v>262.4</v>
      </c>
      <c r="L79" s="166"/>
      <c r="M79" s="166">
        <v>10</v>
      </c>
      <c r="N79" s="66">
        <f t="shared" si="3"/>
        <v>0</v>
      </c>
      <c r="O79" s="279"/>
    </row>
    <row r="80" spans="1:15">
      <c r="A80" s="299" t="s">
        <v>269</v>
      </c>
      <c r="B80" s="300" t="s">
        <v>233</v>
      </c>
      <c r="C80" s="166">
        <f>20*6.82</f>
        <v>136.4</v>
      </c>
      <c r="D80" s="166">
        <f>C80/20</f>
        <v>6.82</v>
      </c>
      <c r="E80" s="166">
        <v>8.5</v>
      </c>
      <c r="F80" s="301"/>
      <c r="G80" s="302" t="s">
        <v>233</v>
      </c>
      <c r="H80" s="303"/>
      <c r="I80" s="311"/>
      <c r="J80" s="312" t="str">
        <f t="shared" si="4"/>
        <v>20 TABS</v>
      </c>
      <c r="K80" s="312">
        <f>D80*20</f>
        <v>136.4</v>
      </c>
      <c r="L80" s="166"/>
      <c r="M80" s="166">
        <v>20</v>
      </c>
      <c r="N80" s="66">
        <f t="shared" si="3"/>
        <v>0</v>
      </c>
      <c r="O80" s="279"/>
    </row>
    <row r="81" spans="1:15">
      <c r="A81" s="299" t="s">
        <v>270</v>
      </c>
      <c r="B81" s="300" t="s">
        <v>271</v>
      </c>
      <c r="C81" s="166">
        <f>6.94*20</f>
        <v>138.8</v>
      </c>
      <c r="D81" s="166">
        <f>C81/20</f>
        <v>6.94</v>
      </c>
      <c r="E81" s="166">
        <v>8</v>
      </c>
      <c r="F81" s="301" t="s">
        <v>156</v>
      </c>
      <c r="G81" s="302"/>
      <c r="H81" s="303"/>
      <c r="I81" s="311" t="s">
        <v>272</v>
      </c>
      <c r="J81" s="312" t="s">
        <v>273</v>
      </c>
      <c r="K81" s="312">
        <f>D81*120</f>
        <v>832.8</v>
      </c>
      <c r="L81" s="166">
        <f>120-M81</f>
        <v>16</v>
      </c>
      <c r="M81" s="166">
        <v>104</v>
      </c>
      <c r="N81" s="66">
        <f t="shared" si="3"/>
        <v>128</v>
      </c>
      <c r="O81" s="279"/>
    </row>
    <row r="82" spans="1:15">
      <c r="A82" s="299" t="s">
        <v>274</v>
      </c>
      <c r="B82" s="300" t="s">
        <v>159</v>
      </c>
      <c r="C82" s="166">
        <f>97.71*2</f>
        <v>195.42</v>
      </c>
      <c r="D82" s="166">
        <f>C82/2</f>
        <v>97.71</v>
      </c>
      <c r="E82" s="166">
        <v>110</v>
      </c>
      <c r="F82" s="301" t="s">
        <v>159</v>
      </c>
      <c r="G82" s="302"/>
      <c r="H82" s="303"/>
      <c r="I82" s="311"/>
      <c r="J82" s="312" t="str">
        <f>F82</f>
        <v>2 BOTTLES</v>
      </c>
      <c r="K82" s="312">
        <f>D82*2</f>
        <v>195.42</v>
      </c>
      <c r="L82" s="166">
        <f>2-M82</f>
        <v>0</v>
      </c>
      <c r="M82" s="166">
        <v>2</v>
      </c>
      <c r="N82" s="66">
        <f t="shared" si="3"/>
        <v>0</v>
      </c>
      <c r="O82" s="279"/>
    </row>
    <row r="83" spans="1:15">
      <c r="A83" s="299" t="s">
        <v>275</v>
      </c>
      <c r="B83" s="300" t="s">
        <v>159</v>
      </c>
      <c r="C83" s="166">
        <f>99.57*2</f>
        <v>199.14</v>
      </c>
      <c r="D83" s="166">
        <f>C83/2</f>
        <v>99.57</v>
      </c>
      <c r="E83" s="166">
        <v>114</v>
      </c>
      <c r="F83" s="301" t="s">
        <v>159</v>
      </c>
      <c r="G83" s="302"/>
      <c r="H83" s="303"/>
      <c r="I83" s="311" t="s">
        <v>162</v>
      </c>
      <c r="J83" s="312" t="s">
        <v>16</v>
      </c>
      <c r="K83" s="312">
        <f>D83*5</f>
        <v>497.85</v>
      </c>
      <c r="L83" s="166">
        <f>5-M83</f>
        <v>1</v>
      </c>
      <c r="M83" s="166">
        <v>4</v>
      </c>
      <c r="N83" s="66">
        <f t="shared" si="3"/>
        <v>114</v>
      </c>
      <c r="O83" s="279"/>
    </row>
    <row r="84" spans="1:15">
      <c r="A84" s="299" t="s">
        <v>276</v>
      </c>
      <c r="B84" s="300" t="s">
        <v>162</v>
      </c>
      <c r="C84" s="166">
        <f>75.5*3</f>
        <v>226.5</v>
      </c>
      <c r="D84" s="166">
        <f>C84/3</f>
        <v>75.5</v>
      </c>
      <c r="E84" s="166">
        <v>85</v>
      </c>
      <c r="F84" s="301" t="s">
        <v>162</v>
      </c>
      <c r="G84" s="302"/>
      <c r="H84" s="303"/>
      <c r="I84" s="311"/>
      <c r="J84" s="312" t="str">
        <f t="shared" ref="J84:J90" si="5">F84</f>
        <v>3 BOTTLES</v>
      </c>
      <c r="K84" s="312">
        <f>D84*3</f>
        <v>226.5</v>
      </c>
      <c r="L84" s="166">
        <f>3-M84</f>
        <v>0</v>
      </c>
      <c r="M84" s="166">
        <v>3</v>
      </c>
      <c r="N84" s="66">
        <f t="shared" si="3"/>
        <v>0</v>
      </c>
      <c r="O84" s="279"/>
    </row>
    <row r="85" spans="1:15">
      <c r="A85" s="299" t="s">
        <v>277</v>
      </c>
      <c r="B85" s="300" t="s">
        <v>159</v>
      </c>
      <c r="C85" s="166">
        <f>119.82*2</f>
        <v>239.64</v>
      </c>
      <c r="D85" s="166">
        <f>C85/2</f>
        <v>119.82</v>
      </c>
      <c r="E85" s="166">
        <v>135</v>
      </c>
      <c r="F85" s="301" t="s">
        <v>159</v>
      </c>
      <c r="G85" s="302"/>
      <c r="H85" s="303"/>
      <c r="I85" s="311"/>
      <c r="J85" s="312" t="str">
        <f t="shared" si="5"/>
        <v>2 BOTTLES</v>
      </c>
      <c r="K85" s="312">
        <f>D85*2</f>
        <v>239.64</v>
      </c>
      <c r="L85" s="166">
        <f>2-M85</f>
        <v>0</v>
      </c>
      <c r="M85" s="166">
        <v>2</v>
      </c>
      <c r="N85" s="66">
        <f t="shared" si="3"/>
        <v>0</v>
      </c>
      <c r="O85" s="279"/>
    </row>
    <row r="86" spans="1:15">
      <c r="A86" s="299" t="s">
        <v>278</v>
      </c>
      <c r="B86" s="300" t="s">
        <v>235</v>
      </c>
      <c r="C86" s="166">
        <f>17.91*12</f>
        <v>214.92</v>
      </c>
      <c r="D86" s="166">
        <f>C86/12</f>
        <v>17.91</v>
      </c>
      <c r="E86" s="166">
        <v>20.5</v>
      </c>
      <c r="F86" s="301" t="s">
        <v>236</v>
      </c>
      <c r="G86" s="302"/>
      <c r="H86" s="303"/>
      <c r="I86" s="311"/>
      <c r="J86" s="312" t="str">
        <f t="shared" si="5"/>
        <v>12 TABS</v>
      </c>
      <c r="K86" s="312">
        <f>D86*12</f>
        <v>214.92</v>
      </c>
      <c r="L86" s="166">
        <f>12-M86</f>
        <v>3</v>
      </c>
      <c r="M86" s="166">
        <v>9</v>
      </c>
      <c r="N86" s="66">
        <f t="shared" si="3"/>
        <v>61.5</v>
      </c>
      <c r="O86" s="279"/>
    </row>
    <row r="87" spans="1:15">
      <c r="A87" s="299" t="s">
        <v>279</v>
      </c>
      <c r="B87" s="300" t="s">
        <v>195</v>
      </c>
      <c r="C87" s="166">
        <f>22.15*6</f>
        <v>132.9</v>
      </c>
      <c r="D87" s="166">
        <f>C87/6</f>
        <v>22.15</v>
      </c>
      <c r="E87" s="166">
        <v>30</v>
      </c>
      <c r="F87" s="301" t="s">
        <v>195</v>
      </c>
      <c r="G87" s="302"/>
      <c r="H87" s="303"/>
      <c r="I87" s="311"/>
      <c r="J87" s="312" t="str">
        <f t="shared" si="5"/>
        <v>6 BOTTLES</v>
      </c>
      <c r="K87" s="312">
        <f>D87*6</f>
        <v>132.9</v>
      </c>
      <c r="L87" s="166">
        <f>6-M87</f>
        <v>1</v>
      </c>
      <c r="M87" s="166">
        <v>5</v>
      </c>
      <c r="N87" s="66">
        <f t="shared" si="3"/>
        <v>30</v>
      </c>
      <c r="O87" s="279"/>
    </row>
    <row r="88" spans="1:15">
      <c r="A88" s="299" t="s">
        <v>280</v>
      </c>
      <c r="B88" s="300" t="s">
        <v>195</v>
      </c>
      <c r="C88" s="166">
        <f>42.68*6</f>
        <v>256.08</v>
      </c>
      <c r="D88" s="166">
        <f>C88/6</f>
        <v>42.68</v>
      </c>
      <c r="E88" s="166">
        <v>50</v>
      </c>
      <c r="F88" s="301" t="s">
        <v>195</v>
      </c>
      <c r="G88" s="302"/>
      <c r="H88" s="303"/>
      <c r="I88" s="311"/>
      <c r="J88" s="312" t="str">
        <f t="shared" si="5"/>
        <v>6 BOTTLES</v>
      </c>
      <c r="K88" s="312">
        <f>D88*6</f>
        <v>256.08</v>
      </c>
      <c r="L88" s="166">
        <f>6-6</f>
        <v>0</v>
      </c>
      <c r="M88" s="166">
        <v>6</v>
      </c>
      <c r="N88" s="66">
        <f t="shared" si="3"/>
        <v>0</v>
      </c>
      <c r="O88" s="279"/>
    </row>
    <row r="89" spans="1:15">
      <c r="A89" s="299" t="s">
        <v>281</v>
      </c>
      <c r="B89" s="300" t="s">
        <v>195</v>
      </c>
      <c r="C89" s="166">
        <f>28.61*6</f>
        <v>171.66</v>
      </c>
      <c r="D89" s="166">
        <f>C89/6</f>
        <v>28.61</v>
      </c>
      <c r="E89" s="166">
        <v>36</v>
      </c>
      <c r="F89" s="301" t="s">
        <v>195</v>
      </c>
      <c r="G89" s="302"/>
      <c r="H89" s="303"/>
      <c r="I89" s="311"/>
      <c r="J89" s="312" t="str">
        <f t="shared" si="5"/>
        <v>6 BOTTLES</v>
      </c>
      <c r="K89" s="312">
        <f>D89*6</f>
        <v>171.66</v>
      </c>
      <c r="L89" s="166">
        <f>6-M89</f>
        <v>1</v>
      </c>
      <c r="M89" s="166">
        <v>5</v>
      </c>
      <c r="N89" s="66">
        <f t="shared" si="3"/>
        <v>36</v>
      </c>
      <c r="O89" s="279"/>
    </row>
    <row r="90" spans="1:15">
      <c r="A90" s="299" t="s">
        <v>282</v>
      </c>
      <c r="B90" s="300" t="s">
        <v>195</v>
      </c>
      <c r="C90" s="166">
        <f>53.99*6</f>
        <v>323.94</v>
      </c>
      <c r="D90" s="166">
        <f>C90/6</f>
        <v>53.99</v>
      </c>
      <c r="E90" s="166">
        <v>60</v>
      </c>
      <c r="F90" s="301" t="s">
        <v>195</v>
      </c>
      <c r="G90" s="302"/>
      <c r="H90" s="303"/>
      <c r="I90" s="311"/>
      <c r="J90" s="312" t="str">
        <f t="shared" si="5"/>
        <v>6 BOTTLES</v>
      </c>
      <c r="K90" s="312">
        <f>D90*6</f>
        <v>323.94</v>
      </c>
      <c r="L90" s="166">
        <f>6-M90</f>
        <v>0</v>
      </c>
      <c r="M90" s="166">
        <v>6</v>
      </c>
      <c r="N90" s="66">
        <f t="shared" si="3"/>
        <v>0</v>
      </c>
      <c r="O90" s="279"/>
    </row>
    <row r="91" spans="1:15">
      <c r="A91" s="299" t="s">
        <v>283</v>
      </c>
      <c r="B91" s="300" t="s">
        <v>284</v>
      </c>
      <c r="C91" s="166">
        <v>128.64</v>
      </c>
      <c r="D91" s="166">
        <v>5.36</v>
      </c>
      <c r="E91" s="166">
        <v>6.5</v>
      </c>
      <c r="F91" s="301"/>
      <c r="G91" s="302"/>
      <c r="H91" s="303" t="s">
        <v>285</v>
      </c>
      <c r="I91" s="311"/>
      <c r="J91" s="312" t="str">
        <f>H91</f>
        <v>24 TABS</v>
      </c>
      <c r="K91" s="312">
        <f>D91*24</f>
        <v>128.64</v>
      </c>
      <c r="L91" s="166"/>
      <c r="M91" s="166"/>
      <c r="N91" s="66">
        <f t="shared" si="3"/>
        <v>0</v>
      </c>
      <c r="O91" s="279"/>
    </row>
    <row r="92" spans="1:15">
      <c r="A92" s="299" t="s">
        <v>286</v>
      </c>
      <c r="B92" s="300" t="s">
        <v>287</v>
      </c>
      <c r="C92" s="166">
        <f>338.64</f>
        <v>338.64</v>
      </c>
      <c r="D92" s="166">
        <f>C92/10</f>
        <v>33.864</v>
      </c>
      <c r="E92" s="166">
        <v>38</v>
      </c>
      <c r="F92" s="301"/>
      <c r="G92" s="302" t="s">
        <v>288</v>
      </c>
      <c r="H92" s="303"/>
      <c r="I92" s="311"/>
      <c r="J92" s="312" t="str">
        <f>G92</f>
        <v>10 BOTTLES</v>
      </c>
      <c r="K92" s="312">
        <f>D92*10</f>
        <v>338.64</v>
      </c>
      <c r="L92" s="166"/>
      <c r="M92" s="166">
        <v>10</v>
      </c>
      <c r="N92" s="66">
        <f t="shared" si="3"/>
        <v>0</v>
      </c>
      <c r="O92" s="279"/>
    </row>
    <row r="93" spans="1:15">
      <c r="A93" s="299" t="s">
        <v>289</v>
      </c>
      <c r="B93" s="300" t="s">
        <v>159</v>
      </c>
      <c r="C93" s="166">
        <f>30.77*2</f>
        <v>61.54</v>
      </c>
      <c r="D93" s="166">
        <f>C93/2</f>
        <v>30.77</v>
      </c>
      <c r="E93" s="166">
        <v>40</v>
      </c>
      <c r="F93" s="301" t="s">
        <v>159</v>
      </c>
      <c r="G93" s="302"/>
      <c r="H93" s="303"/>
      <c r="I93" s="311"/>
      <c r="J93" s="312" t="str">
        <f>F93</f>
        <v>2 BOTTLES</v>
      </c>
      <c r="K93" s="312">
        <f>D93*2</f>
        <v>61.54</v>
      </c>
      <c r="L93" s="166">
        <f>2-M93</f>
        <v>1</v>
      </c>
      <c r="M93" s="166">
        <v>1</v>
      </c>
      <c r="N93" s="66">
        <f t="shared" si="3"/>
        <v>40</v>
      </c>
      <c r="O93" s="279"/>
    </row>
    <row r="94" spans="1:15">
      <c r="A94" s="299" t="s">
        <v>290</v>
      </c>
      <c r="B94" s="300" t="s">
        <v>161</v>
      </c>
      <c r="C94" s="166">
        <v>48.11</v>
      </c>
      <c r="D94" s="166">
        <v>48.11</v>
      </c>
      <c r="E94" s="166">
        <v>56</v>
      </c>
      <c r="F94" s="301" t="s">
        <v>88</v>
      </c>
      <c r="G94" s="302"/>
      <c r="H94" s="303"/>
      <c r="I94" s="311"/>
      <c r="J94" s="312" t="str">
        <f t="shared" ref="J94:J105" si="6">F94</f>
        <v>1 BOTTLE</v>
      </c>
      <c r="K94" s="312">
        <f>D94*1</f>
        <v>48.11</v>
      </c>
      <c r="L94" s="166"/>
      <c r="M94" s="166">
        <v>1</v>
      </c>
      <c r="N94" s="66">
        <f t="shared" si="3"/>
        <v>0</v>
      </c>
      <c r="O94" s="279"/>
    </row>
    <row r="95" spans="1:15">
      <c r="A95" s="299" t="s">
        <v>291</v>
      </c>
      <c r="B95" s="300" t="s">
        <v>159</v>
      </c>
      <c r="C95" s="166">
        <f>30.77*2</f>
        <v>61.54</v>
      </c>
      <c r="D95" s="166">
        <f>C95/2</f>
        <v>30.77</v>
      </c>
      <c r="E95" s="166">
        <v>40</v>
      </c>
      <c r="F95" s="301" t="s">
        <v>159</v>
      </c>
      <c r="G95" s="302"/>
      <c r="H95" s="303"/>
      <c r="I95" s="311"/>
      <c r="J95" s="312" t="str">
        <f t="shared" si="6"/>
        <v>2 BOTTLES</v>
      </c>
      <c r="K95" s="312">
        <f>D95*2</f>
        <v>61.54</v>
      </c>
      <c r="L95" s="166"/>
      <c r="M95" s="166">
        <v>2</v>
      </c>
      <c r="N95" s="66">
        <f t="shared" si="3"/>
        <v>0</v>
      </c>
      <c r="O95" s="279"/>
    </row>
    <row r="96" spans="1:15">
      <c r="A96" s="299" t="s">
        <v>292</v>
      </c>
      <c r="B96" s="300" t="s">
        <v>161</v>
      </c>
      <c r="C96" s="166">
        <v>48.11</v>
      </c>
      <c r="D96" s="166">
        <v>48.11</v>
      </c>
      <c r="E96" s="166">
        <v>56</v>
      </c>
      <c r="F96" s="301" t="s">
        <v>88</v>
      </c>
      <c r="G96" s="302"/>
      <c r="H96" s="303"/>
      <c r="I96" s="311"/>
      <c r="J96" s="312" t="str">
        <f t="shared" si="6"/>
        <v>1 BOTTLE</v>
      </c>
      <c r="K96" s="312">
        <f>D96*1</f>
        <v>48.11</v>
      </c>
      <c r="L96" s="166"/>
      <c r="M96" s="166">
        <v>1</v>
      </c>
      <c r="N96" s="66">
        <f t="shared" si="3"/>
        <v>0</v>
      </c>
      <c r="O96" s="279"/>
    </row>
    <row r="97" spans="1:15">
      <c r="A97" s="299" t="s">
        <v>293</v>
      </c>
      <c r="B97" s="300" t="s">
        <v>159</v>
      </c>
      <c r="C97" s="166">
        <f>30.77*2</f>
        <v>61.54</v>
      </c>
      <c r="D97" s="166">
        <f>C97/2</f>
        <v>30.77</v>
      </c>
      <c r="E97" s="166">
        <v>40</v>
      </c>
      <c r="F97" s="301" t="s">
        <v>159</v>
      </c>
      <c r="G97" s="302"/>
      <c r="H97" s="303"/>
      <c r="I97" s="311"/>
      <c r="J97" s="312" t="str">
        <f t="shared" si="6"/>
        <v>2 BOTTLES</v>
      </c>
      <c r="K97" s="312">
        <f>D97*2</f>
        <v>61.54</v>
      </c>
      <c r="L97" s="166"/>
      <c r="M97" s="166">
        <v>2</v>
      </c>
      <c r="N97" s="66">
        <f t="shared" si="3"/>
        <v>0</v>
      </c>
      <c r="O97" s="279"/>
    </row>
    <row r="98" spans="1:15">
      <c r="A98" s="299" t="s">
        <v>294</v>
      </c>
      <c r="B98" s="300" t="s">
        <v>161</v>
      </c>
      <c r="C98" s="166">
        <v>48.11</v>
      </c>
      <c r="D98" s="166">
        <v>48.11</v>
      </c>
      <c r="E98" s="166">
        <v>56</v>
      </c>
      <c r="F98" s="301" t="s">
        <v>88</v>
      </c>
      <c r="G98" s="302"/>
      <c r="H98" s="303"/>
      <c r="I98" s="311"/>
      <c r="J98" s="312" t="str">
        <f t="shared" si="6"/>
        <v>1 BOTTLE</v>
      </c>
      <c r="K98" s="312">
        <f>D98*1</f>
        <v>48.11</v>
      </c>
      <c r="L98" s="166"/>
      <c r="M98" s="166">
        <v>1</v>
      </c>
      <c r="N98" s="66">
        <f t="shared" si="3"/>
        <v>0</v>
      </c>
      <c r="O98" s="279"/>
    </row>
    <row r="99" spans="1:15">
      <c r="A99" s="299" t="s">
        <v>295</v>
      </c>
      <c r="B99" s="300" t="s">
        <v>159</v>
      </c>
      <c r="C99" s="166">
        <f>30.77*2</f>
        <v>61.54</v>
      </c>
      <c r="D99" s="166">
        <f>C99/2</f>
        <v>30.77</v>
      </c>
      <c r="E99" s="166">
        <v>40</v>
      </c>
      <c r="F99" s="301" t="s">
        <v>159</v>
      </c>
      <c r="G99" s="302"/>
      <c r="H99" s="303"/>
      <c r="I99" s="311"/>
      <c r="J99" s="312" t="str">
        <f t="shared" si="6"/>
        <v>2 BOTTLES</v>
      </c>
      <c r="K99" s="312">
        <f>D99*2</f>
        <v>61.54</v>
      </c>
      <c r="L99" s="166"/>
      <c r="M99" s="166">
        <v>2</v>
      </c>
      <c r="N99" s="66">
        <f t="shared" si="3"/>
        <v>0</v>
      </c>
      <c r="O99" s="279"/>
    </row>
    <row r="100" spans="1:15">
      <c r="A100" s="299" t="s">
        <v>296</v>
      </c>
      <c r="B100" s="300" t="s">
        <v>161</v>
      </c>
      <c r="C100" s="166">
        <v>48.11</v>
      </c>
      <c r="D100" s="166">
        <v>48.11</v>
      </c>
      <c r="E100" s="166">
        <v>56</v>
      </c>
      <c r="F100" s="301" t="s">
        <v>88</v>
      </c>
      <c r="G100" s="302"/>
      <c r="H100" s="303"/>
      <c r="I100" s="311"/>
      <c r="J100" s="312" t="str">
        <f t="shared" si="6"/>
        <v>1 BOTTLE</v>
      </c>
      <c r="K100" s="312">
        <f>D100*1</f>
        <v>48.11</v>
      </c>
      <c r="L100" s="166">
        <f>1-M100</f>
        <v>1</v>
      </c>
      <c r="M100" s="166">
        <v>0</v>
      </c>
      <c r="N100" s="66">
        <f t="shared" si="3"/>
        <v>56</v>
      </c>
      <c r="O100" s="279"/>
    </row>
    <row r="101" spans="1:15">
      <c r="A101" s="299" t="s">
        <v>297</v>
      </c>
      <c r="B101" s="300" t="s">
        <v>159</v>
      </c>
      <c r="C101" s="166">
        <f>30.77*2</f>
        <v>61.54</v>
      </c>
      <c r="D101" s="166">
        <f>C101/2</f>
        <v>30.77</v>
      </c>
      <c r="E101" s="166">
        <v>40</v>
      </c>
      <c r="F101" s="301" t="s">
        <v>159</v>
      </c>
      <c r="G101" s="302"/>
      <c r="H101" s="303"/>
      <c r="I101" s="311"/>
      <c r="J101" s="312" t="str">
        <f t="shared" si="6"/>
        <v>2 BOTTLES</v>
      </c>
      <c r="K101" s="312">
        <f>D101*2</f>
        <v>61.54</v>
      </c>
      <c r="L101" s="166"/>
      <c r="M101" s="166">
        <v>2</v>
      </c>
      <c r="N101" s="66">
        <f t="shared" si="3"/>
        <v>0</v>
      </c>
      <c r="O101" s="279"/>
    </row>
    <row r="102" spans="1:15">
      <c r="A102" s="299" t="s">
        <v>298</v>
      </c>
      <c r="B102" s="300" t="s">
        <v>161</v>
      </c>
      <c r="C102" s="166">
        <v>48.11</v>
      </c>
      <c r="D102" s="166">
        <v>48.11</v>
      </c>
      <c r="E102" s="166">
        <v>56</v>
      </c>
      <c r="F102" s="301" t="s">
        <v>88</v>
      </c>
      <c r="G102" s="302"/>
      <c r="H102" s="303"/>
      <c r="I102" s="311"/>
      <c r="J102" s="312" t="str">
        <f t="shared" si="6"/>
        <v>1 BOTTLE</v>
      </c>
      <c r="K102" s="312">
        <f>D102*1</f>
        <v>48.11</v>
      </c>
      <c r="L102" s="166"/>
      <c r="M102" s="166">
        <v>1</v>
      </c>
      <c r="N102" s="66">
        <f t="shared" si="3"/>
        <v>0</v>
      </c>
      <c r="O102" s="279"/>
    </row>
    <row r="103" spans="1:15">
      <c r="A103" s="299" t="s">
        <v>299</v>
      </c>
      <c r="B103" s="300" t="s">
        <v>159</v>
      </c>
      <c r="C103" s="166">
        <f>30.77*2</f>
        <v>61.54</v>
      </c>
      <c r="D103" s="166">
        <f>C103/2</f>
        <v>30.77</v>
      </c>
      <c r="E103" s="166">
        <v>40</v>
      </c>
      <c r="F103" s="301" t="s">
        <v>159</v>
      </c>
      <c r="G103" s="302"/>
      <c r="H103" s="303"/>
      <c r="I103" s="311"/>
      <c r="J103" s="312" t="str">
        <f t="shared" si="6"/>
        <v>2 BOTTLES</v>
      </c>
      <c r="K103" s="312">
        <f>D103*2</f>
        <v>61.54</v>
      </c>
      <c r="L103" s="166">
        <f>2-M103</f>
        <v>1</v>
      </c>
      <c r="M103" s="166">
        <v>1</v>
      </c>
      <c r="N103" s="66">
        <f t="shared" si="3"/>
        <v>40</v>
      </c>
      <c r="O103" s="279"/>
    </row>
    <row r="104" spans="1:15">
      <c r="A104" s="299" t="s">
        <v>300</v>
      </c>
      <c r="B104" s="300" t="s">
        <v>161</v>
      </c>
      <c r="C104" s="166">
        <v>46.25</v>
      </c>
      <c r="D104" s="166">
        <v>46.25</v>
      </c>
      <c r="E104" s="166">
        <v>56</v>
      </c>
      <c r="F104" s="301" t="s">
        <v>88</v>
      </c>
      <c r="G104" s="302"/>
      <c r="H104" s="303"/>
      <c r="I104" s="311"/>
      <c r="J104" s="312" t="str">
        <f t="shared" si="6"/>
        <v>1 BOTTLE</v>
      </c>
      <c r="K104" s="312">
        <f>D104</f>
        <v>46.25</v>
      </c>
      <c r="L104" s="166"/>
      <c r="M104" s="166">
        <v>1</v>
      </c>
      <c r="N104" s="66">
        <f t="shared" si="3"/>
        <v>0</v>
      </c>
      <c r="O104" s="279"/>
    </row>
    <row r="105" spans="1:15">
      <c r="A105" s="299" t="s">
        <v>301</v>
      </c>
      <c r="B105" s="300" t="s">
        <v>159</v>
      </c>
      <c r="C105" s="166">
        <f>30.77*2</f>
        <v>61.54</v>
      </c>
      <c r="D105" s="166">
        <f>C105/2</f>
        <v>30.77</v>
      </c>
      <c r="E105" s="166">
        <v>40</v>
      </c>
      <c r="F105" s="301" t="s">
        <v>159</v>
      </c>
      <c r="G105" s="302"/>
      <c r="H105" s="303"/>
      <c r="I105" s="311"/>
      <c r="J105" s="312" t="str">
        <f t="shared" si="6"/>
        <v>2 BOTTLES</v>
      </c>
      <c r="K105" s="312">
        <f>D105*2</f>
        <v>61.54</v>
      </c>
      <c r="L105" s="166">
        <f>2-M105</f>
        <v>0</v>
      </c>
      <c r="M105" s="166">
        <v>2</v>
      </c>
      <c r="N105" s="66">
        <f t="shared" si="3"/>
        <v>0</v>
      </c>
      <c r="O105" s="279"/>
    </row>
    <row r="106" spans="1:15">
      <c r="A106" s="299" t="s">
        <v>302</v>
      </c>
      <c r="B106" s="300" t="s">
        <v>303</v>
      </c>
      <c r="C106" s="166">
        <f>12.5*25</f>
        <v>312.5</v>
      </c>
      <c r="D106" s="166">
        <f>C106/25</f>
        <v>12.5</v>
      </c>
      <c r="E106" s="166">
        <v>15</v>
      </c>
      <c r="F106" s="301"/>
      <c r="G106" s="302" t="s">
        <v>303</v>
      </c>
      <c r="H106" s="303"/>
      <c r="I106" s="311"/>
      <c r="J106" s="312" t="str">
        <f>G106</f>
        <v>25 TABS</v>
      </c>
      <c r="K106" s="312">
        <f>D106*25</f>
        <v>312.5</v>
      </c>
      <c r="L106" s="166">
        <f>25-M106</f>
        <v>5</v>
      </c>
      <c r="M106" s="166">
        <v>20</v>
      </c>
      <c r="N106" s="66">
        <f t="shared" si="3"/>
        <v>75</v>
      </c>
      <c r="O106" s="279"/>
    </row>
    <row r="107" spans="1:15">
      <c r="A107" s="299" t="s">
        <v>304</v>
      </c>
      <c r="B107" s="300" t="s">
        <v>303</v>
      </c>
      <c r="C107" s="166">
        <f>19.41*25</f>
        <v>485.25</v>
      </c>
      <c r="D107" s="166">
        <f>C107/25</f>
        <v>19.41</v>
      </c>
      <c r="E107" s="166">
        <v>22</v>
      </c>
      <c r="F107" s="301"/>
      <c r="G107" s="302" t="s">
        <v>303</v>
      </c>
      <c r="H107" s="303"/>
      <c r="I107" s="311"/>
      <c r="J107" s="312" t="str">
        <f t="shared" ref="J107:J112" si="7">G107</f>
        <v>25 TABS</v>
      </c>
      <c r="K107" s="312">
        <f>D107*25</f>
        <v>485.25</v>
      </c>
      <c r="L107" s="166"/>
      <c r="M107" s="166">
        <v>25</v>
      </c>
      <c r="N107" s="66">
        <f t="shared" si="3"/>
        <v>0</v>
      </c>
      <c r="O107" s="279"/>
    </row>
    <row r="108" spans="1:15">
      <c r="A108" s="299" t="s">
        <v>305</v>
      </c>
      <c r="B108" s="300" t="s">
        <v>303</v>
      </c>
      <c r="C108" s="166">
        <f>5.14*25</f>
        <v>128.5</v>
      </c>
      <c r="D108" s="166">
        <f>C108/25</f>
        <v>5.14</v>
      </c>
      <c r="E108" s="166">
        <v>8</v>
      </c>
      <c r="F108" s="301"/>
      <c r="G108" s="302" t="s">
        <v>303</v>
      </c>
      <c r="H108" s="303"/>
      <c r="I108" s="311"/>
      <c r="J108" s="312" t="str">
        <f t="shared" si="7"/>
        <v>25 TABS</v>
      </c>
      <c r="K108" s="312">
        <f>D108*25</f>
        <v>128.5</v>
      </c>
      <c r="L108" s="166"/>
      <c r="M108" s="166">
        <v>25</v>
      </c>
      <c r="N108" s="66">
        <f t="shared" si="3"/>
        <v>0</v>
      </c>
      <c r="O108" s="279"/>
    </row>
    <row r="109" spans="1:15">
      <c r="A109" s="299" t="s">
        <v>306</v>
      </c>
      <c r="B109" s="300" t="s">
        <v>303</v>
      </c>
      <c r="C109" s="166">
        <f>6.67*25</f>
        <v>166.75</v>
      </c>
      <c r="D109" s="166">
        <f>C109/25</f>
        <v>6.67</v>
      </c>
      <c r="E109" s="166">
        <v>10</v>
      </c>
      <c r="F109" s="301"/>
      <c r="G109" s="302" t="s">
        <v>303</v>
      </c>
      <c r="H109" s="303"/>
      <c r="I109" s="311"/>
      <c r="J109" s="312" t="str">
        <f t="shared" si="7"/>
        <v>25 TABS</v>
      </c>
      <c r="K109" s="312">
        <f>D109*25</f>
        <v>166.75</v>
      </c>
      <c r="L109" s="166"/>
      <c r="M109" s="166">
        <v>25</v>
      </c>
      <c r="N109" s="66">
        <f t="shared" si="3"/>
        <v>0</v>
      </c>
      <c r="O109" s="279"/>
    </row>
    <row r="110" spans="1:15">
      <c r="A110" s="299" t="s">
        <v>307</v>
      </c>
      <c r="B110" s="300" t="s">
        <v>162</v>
      </c>
      <c r="C110" s="166">
        <f>21.94*3</f>
        <v>65.82</v>
      </c>
      <c r="D110" s="166">
        <f>C110/3</f>
        <v>21.94</v>
      </c>
      <c r="E110" s="166"/>
      <c r="F110" s="301"/>
      <c r="G110" s="302" t="s">
        <v>54</v>
      </c>
      <c r="H110" s="303"/>
      <c r="I110" s="311"/>
      <c r="J110" s="312" t="str">
        <f t="shared" si="7"/>
        <v>3 PCS</v>
      </c>
      <c r="K110" s="312">
        <f>D110*3</f>
        <v>65.82</v>
      </c>
      <c r="L110" s="166"/>
      <c r="M110" s="166"/>
      <c r="N110" s="66">
        <f t="shared" si="3"/>
        <v>0</v>
      </c>
      <c r="O110" s="279"/>
    </row>
    <row r="111" spans="1:15">
      <c r="A111" s="299" t="s">
        <v>308</v>
      </c>
      <c r="B111" s="300" t="s">
        <v>309</v>
      </c>
      <c r="C111" s="166">
        <f>29.25*6</f>
        <v>175.5</v>
      </c>
      <c r="D111" s="166">
        <f>C111/6</f>
        <v>29.25</v>
      </c>
      <c r="E111" s="166"/>
      <c r="F111" s="301"/>
      <c r="G111" s="302" t="s">
        <v>309</v>
      </c>
      <c r="H111" s="303"/>
      <c r="I111" s="311"/>
      <c r="J111" s="312" t="str">
        <f t="shared" si="7"/>
        <v>6 PCS</v>
      </c>
      <c r="K111" s="312">
        <f>D111*6</f>
        <v>175.5</v>
      </c>
      <c r="L111" s="166"/>
      <c r="M111" s="166"/>
      <c r="N111" s="66">
        <f t="shared" si="3"/>
        <v>0</v>
      </c>
      <c r="O111" s="279"/>
    </row>
    <row r="112" spans="1:15">
      <c r="A112" s="299" t="s">
        <v>310</v>
      </c>
      <c r="B112" s="300" t="s">
        <v>309</v>
      </c>
      <c r="C112" s="166">
        <f>29.25*6</f>
        <v>175.5</v>
      </c>
      <c r="D112" s="166">
        <f>C112/6</f>
        <v>29.25</v>
      </c>
      <c r="E112" s="166"/>
      <c r="F112" s="301"/>
      <c r="G112" s="302" t="s">
        <v>309</v>
      </c>
      <c r="H112" s="303"/>
      <c r="I112" s="311"/>
      <c r="J112" s="312" t="str">
        <f t="shared" si="7"/>
        <v>6 PCS</v>
      </c>
      <c r="K112" s="312">
        <f>D112*6</f>
        <v>175.5</v>
      </c>
      <c r="L112" s="166"/>
      <c r="M112" s="166"/>
      <c r="N112" s="66">
        <f t="shared" si="3"/>
        <v>0</v>
      </c>
      <c r="O112" s="279"/>
    </row>
    <row r="113" spans="1:15">
      <c r="A113" s="299" t="s">
        <v>311</v>
      </c>
      <c r="B113" s="300" t="s">
        <v>164</v>
      </c>
      <c r="C113" s="166">
        <f>30.01*10</f>
        <v>300.1</v>
      </c>
      <c r="D113" s="166">
        <f>C113/10</f>
        <v>30.01</v>
      </c>
      <c r="E113" s="166"/>
      <c r="F113" s="301" t="s">
        <v>165</v>
      </c>
      <c r="G113" s="302"/>
      <c r="H113" s="303"/>
      <c r="I113" s="311"/>
      <c r="J113" s="312" t="str">
        <f>F113</f>
        <v>10 TABS</v>
      </c>
      <c r="K113" s="312">
        <f>D113*10</f>
        <v>300.1</v>
      </c>
      <c r="L113" s="166"/>
      <c r="M113" s="166"/>
      <c r="N113" s="66">
        <f t="shared" si="3"/>
        <v>0</v>
      </c>
      <c r="O113" s="279"/>
    </row>
    <row r="114" spans="1:15">
      <c r="A114" s="299" t="s">
        <v>312</v>
      </c>
      <c r="B114" s="300" t="s">
        <v>313</v>
      </c>
      <c r="C114" s="166">
        <v>438.89</v>
      </c>
      <c r="D114" s="166">
        <f>C114/30</f>
        <v>14.6296666666667</v>
      </c>
      <c r="E114" s="166"/>
      <c r="F114" s="301" t="s">
        <v>314</v>
      </c>
      <c r="G114" s="302"/>
      <c r="H114" s="303"/>
      <c r="I114" s="311"/>
      <c r="J114" s="312" t="str">
        <f>F114</f>
        <v>30 GRANS</v>
      </c>
      <c r="K114" s="312">
        <f>D114*30</f>
        <v>438.89</v>
      </c>
      <c r="L114" s="166"/>
      <c r="M114" s="166"/>
      <c r="N114" s="66">
        <f t="shared" si="3"/>
        <v>0</v>
      </c>
      <c r="O114" s="279"/>
    </row>
    <row r="115" spans="1:15">
      <c r="A115" s="299" t="s">
        <v>315</v>
      </c>
      <c r="B115" s="300" t="s">
        <v>287</v>
      </c>
      <c r="C115" s="166">
        <v>321.23</v>
      </c>
      <c r="D115" s="166">
        <f>C115/10</f>
        <v>32.123</v>
      </c>
      <c r="E115" s="166"/>
      <c r="F115" s="301" t="s">
        <v>316</v>
      </c>
      <c r="G115" s="302"/>
      <c r="H115" s="303"/>
      <c r="I115" s="311"/>
      <c r="J115" s="312" t="str">
        <f>F115</f>
        <v>10 GRANS</v>
      </c>
      <c r="K115" s="312">
        <f>D115*10</f>
        <v>321.23</v>
      </c>
      <c r="L115" s="166"/>
      <c r="M115" s="166"/>
      <c r="N115" s="66">
        <f t="shared" si="3"/>
        <v>0</v>
      </c>
      <c r="O115" s="279"/>
    </row>
    <row r="116" spans="1:15">
      <c r="A116" s="299" t="s">
        <v>317</v>
      </c>
      <c r="B116" s="300" t="s">
        <v>313</v>
      </c>
      <c r="C116" s="166">
        <v>332.33</v>
      </c>
      <c r="D116" s="166">
        <f>C116/30</f>
        <v>11.0776666666667</v>
      </c>
      <c r="E116" s="166"/>
      <c r="F116" s="301" t="s">
        <v>314</v>
      </c>
      <c r="G116" s="302"/>
      <c r="H116" s="303"/>
      <c r="I116" s="311"/>
      <c r="J116" s="312" t="str">
        <f>F116</f>
        <v>30 GRANS</v>
      </c>
      <c r="K116" s="312">
        <f>D116*30</f>
        <v>332.33</v>
      </c>
      <c r="L116" s="166"/>
      <c r="M116" s="166"/>
      <c r="N116" s="66">
        <f t="shared" si="3"/>
        <v>0</v>
      </c>
      <c r="O116" s="279"/>
    </row>
    <row r="117" spans="1:15">
      <c r="A117" s="299" t="s">
        <v>318</v>
      </c>
      <c r="B117" s="300" t="s">
        <v>313</v>
      </c>
      <c r="C117" s="166">
        <f>969.82</f>
        <v>969.82</v>
      </c>
      <c r="D117" s="166">
        <f>C117/30</f>
        <v>32.3273333333333</v>
      </c>
      <c r="E117" s="166">
        <v>36</v>
      </c>
      <c r="F117" s="301"/>
      <c r="G117" s="302" t="s">
        <v>319</v>
      </c>
      <c r="H117" s="303"/>
      <c r="I117" s="311"/>
      <c r="J117" s="312" t="str">
        <f>G117</f>
        <v>3O TABS</v>
      </c>
      <c r="K117" s="312">
        <f>D117*30</f>
        <v>969.82</v>
      </c>
      <c r="L117" s="166">
        <f>30-M117</f>
        <v>10</v>
      </c>
      <c r="M117" s="166">
        <v>20</v>
      </c>
      <c r="N117" s="66">
        <f t="shared" si="3"/>
        <v>360</v>
      </c>
      <c r="O117" s="279"/>
    </row>
    <row r="118" spans="1:15">
      <c r="A118" s="299" t="s">
        <v>320</v>
      </c>
      <c r="B118" s="300" t="s">
        <v>144</v>
      </c>
      <c r="C118" s="166">
        <v>399.95</v>
      </c>
      <c r="D118" s="166">
        <v>33.3291666666667</v>
      </c>
      <c r="E118" s="166">
        <v>40</v>
      </c>
      <c r="F118" s="301"/>
      <c r="G118" s="302"/>
      <c r="H118" s="303" t="s">
        <v>67</v>
      </c>
      <c r="I118" s="311"/>
      <c r="J118" s="312" t="str">
        <f>H118</f>
        <v>12 PCS</v>
      </c>
      <c r="K118" s="312">
        <f>D118*12</f>
        <v>399.95</v>
      </c>
      <c r="L118" s="166">
        <f>12-M118</f>
        <v>0</v>
      </c>
      <c r="M118" s="166">
        <v>12</v>
      </c>
      <c r="N118" s="66">
        <f t="shared" si="3"/>
        <v>0</v>
      </c>
      <c r="O118" s="279"/>
    </row>
    <row r="119" spans="1:15">
      <c r="A119" s="299" t="s">
        <v>321</v>
      </c>
      <c r="B119" s="300" t="s">
        <v>52</v>
      </c>
      <c r="C119" s="166">
        <f>438.85</f>
        <v>438.85</v>
      </c>
      <c r="D119" s="166">
        <f>C119/24</f>
        <v>18.2854166666667</v>
      </c>
      <c r="E119" s="166"/>
      <c r="F119" s="301"/>
      <c r="G119" s="302" t="s">
        <v>197</v>
      </c>
      <c r="H119" s="303"/>
      <c r="I119" s="311"/>
      <c r="J119" s="312" t="str">
        <f>G119</f>
        <v>24 PCS</v>
      </c>
      <c r="K119" s="312">
        <f>D119*24</f>
        <v>438.85</v>
      </c>
      <c r="L119" s="166"/>
      <c r="M119" s="166"/>
      <c r="N119" s="66">
        <f t="shared" si="3"/>
        <v>0</v>
      </c>
      <c r="O119" s="279"/>
    </row>
    <row r="120" spans="1:15">
      <c r="A120" s="299" t="s">
        <v>322</v>
      </c>
      <c r="B120" s="300" t="s">
        <v>230</v>
      </c>
      <c r="C120" s="166">
        <f>9.66*60</f>
        <v>579.6</v>
      </c>
      <c r="D120" s="166">
        <f>C120/60</f>
        <v>9.66</v>
      </c>
      <c r="E120" s="166">
        <v>12</v>
      </c>
      <c r="F120" s="301"/>
      <c r="G120" s="302" t="s">
        <v>230</v>
      </c>
      <c r="H120" s="303"/>
      <c r="I120" s="311"/>
      <c r="J120" s="312" t="str">
        <f>G120</f>
        <v>60 TABS</v>
      </c>
      <c r="K120" s="312">
        <f>D120*60</f>
        <v>579.6</v>
      </c>
      <c r="L120" s="166"/>
      <c r="M120" s="166">
        <v>60</v>
      </c>
      <c r="N120" s="66">
        <f t="shared" si="3"/>
        <v>0</v>
      </c>
      <c r="O120" s="279"/>
    </row>
    <row r="121" spans="1:15">
      <c r="A121" s="299" t="s">
        <v>323</v>
      </c>
      <c r="B121" s="300" t="s">
        <v>159</v>
      </c>
      <c r="C121" s="166">
        <f>24.65*2</f>
        <v>49.3</v>
      </c>
      <c r="D121" s="166">
        <f>C121/2</f>
        <v>24.65</v>
      </c>
      <c r="E121" s="166"/>
      <c r="F121" s="301"/>
      <c r="G121" s="302" t="s">
        <v>11</v>
      </c>
      <c r="H121" s="303"/>
      <c r="I121" s="311"/>
      <c r="J121" s="312" t="str">
        <f>G121</f>
        <v>2 PCS</v>
      </c>
      <c r="K121" s="312">
        <f>D121*2</f>
        <v>49.3</v>
      </c>
      <c r="L121" s="166"/>
      <c r="M121" s="166"/>
      <c r="N121" s="66">
        <f t="shared" si="3"/>
        <v>0</v>
      </c>
      <c r="O121" s="279"/>
    </row>
    <row r="122" spans="1:15">
      <c r="A122" s="299" t="s">
        <v>324</v>
      </c>
      <c r="B122" s="300" t="s">
        <v>159</v>
      </c>
      <c r="C122" s="166">
        <f>34.55*2</f>
        <v>69.1</v>
      </c>
      <c r="D122" s="166">
        <f>C122/2</f>
        <v>34.55</v>
      </c>
      <c r="E122" s="166"/>
      <c r="F122" s="301"/>
      <c r="G122" s="302" t="s">
        <v>11</v>
      </c>
      <c r="H122" s="303"/>
      <c r="I122" s="311"/>
      <c r="J122" s="312" t="str">
        <f>G122</f>
        <v>2 PCS</v>
      </c>
      <c r="K122" s="312">
        <f>D122*2</f>
        <v>69.1</v>
      </c>
      <c r="L122" s="166"/>
      <c r="M122" s="166"/>
      <c r="N122" s="66">
        <f t="shared" si="3"/>
        <v>0</v>
      </c>
      <c r="O122" s="279"/>
    </row>
    <row r="123" spans="1:15">
      <c r="A123" s="299" t="s">
        <v>325</v>
      </c>
      <c r="B123" s="300" t="s">
        <v>159</v>
      </c>
      <c r="C123" s="166">
        <f>16.56*2</f>
        <v>33.12</v>
      </c>
      <c r="D123" s="166">
        <f>C123/2</f>
        <v>16.56</v>
      </c>
      <c r="E123" s="166"/>
      <c r="F123" s="301"/>
      <c r="G123" s="302" t="s">
        <v>11</v>
      </c>
      <c r="H123" s="303"/>
      <c r="I123" s="311"/>
      <c r="J123" s="312" t="str">
        <f>G123</f>
        <v>2 PCS</v>
      </c>
      <c r="K123" s="312">
        <f>D123*2</f>
        <v>33.12</v>
      </c>
      <c r="L123" s="166"/>
      <c r="M123" s="166"/>
      <c r="N123" s="66">
        <f t="shared" si="3"/>
        <v>0</v>
      </c>
      <c r="O123" s="279"/>
    </row>
    <row r="124" spans="1:15">
      <c r="A124" s="299" t="s">
        <v>326</v>
      </c>
      <c r="B124" s="300" t="s">
        <v>144</v>
      </c>
      <c r="C124" s="166">
        <v>99.36</v>
      </c>
      <c r="D124" s="166">
        <f>C124/12</f>
        <v>8.28</v>
      </c>
      <c r="E124" s="166">
        <v>13</v>
      </c>
      <c r="F124" s="301" t="s">
        <v>67</v>
      </c>
      <c r="G124" s="302"/>
      <c r="H124" s="303"/>
      <c r="I124" s="311"/>
      <c r="J124" s="312" t="str">
        <f>F124</f>
        <v>12 PCS</v>
      </c>
      <c r="K124" s="312">
        <f>D124*12</f>
        <v>99.36</v>
      </c>
      <c r="L124" s="166"/>
      <c r="M124" s="166">
        <v>12</v>
      </c>
      <c r="N124" s="66">
        <f t="shared" si="3"/>
        <v>0</v>
      </c>
      <c r="O124" s="279"/>
    </row>
    <row r="125" spans="1:15">
      <c r="A125" s="299" t="s">
        <v>327</v>
      </c>
      <c r="B125" s="300" t="s">
        <v>328</v>
      </c>
      <c r="C125" s="166">
        <f>13.49*6</f>
        <v>80.94</v>
      </c>
      <c r="D125" s="166">
        <f>C125/6</f>
        <v>13.49</v>
      </c>
      <c r="E125" s="166">
        <v>18</v>
      </c>
      <c r="F125" s="301" t="s">
        <v>309</v>
      </c>
      <c r="G125" s="302"/>
      <c r="H125" s="303"/>
      <c r="I125" s="311"/>
      <c r="J125" s="312" t="str">
        <f t="shared" ref="J125:J132" si="8">F125</f>
        <v>6 PCS</v>
      </c>
      <c r="K125" s="312">
        <f>D125*6</f>
        <v>80.94</v>
      </c>
      <c r="L125" s="166">
        <f>6-M125</f>
        <v>1</v>
      </c>
      <c r="M125" s="166">
        <v>5</v>
      </c>
      <c r="N125" s="66">
        <f t="shared" si="3"/>
        <v>18</v>
      </c>
      <c r="O125" s="279"/>
    </row>
    <row r="126" spans="1:15">
      <c r="A126" s="299" t="s">
        <v>329</v>
      </c>
      <c r="B126" s="300" t="s">
        <v>330</v>
      </c>
      <c r="C126" s="166">
        <f>88.32</f>
        <v>88.32</v>
      </c>
      <c r="D126" s="166">
        <f>C126/24</f>
        <v>3.68</v>
      </c>
      <c r="E126" s="166">
        <v>7</v>
      </c>
      <c r="F126" s="301" t="s">
        <v>197</v>
      </c>
      <c r="G126" s="302"/>
      <c r="H126" s="303"/>
      <c r="I126" s="311"/>
      <c r="J126" s="312" t="str">
        <f t="shared" si="8"/>
        <v>24 PCS</v>
      </c>
      <c r="K126" s="312">
        <f>D126*24</f>
        <v>88.32</v>
      </c>
      <c r="L126" s="166"/>
      <c r="M126" s="166">
        <v>24</v>
      </c>
      <c r="N126" s="66">
        <f t="shared" si="3"/>
        <v>0</v>
      </c>
      <c r="O126" s="279"/>
    </row>
    <row r="127" spans="1:15">
      <c r="A127" s="299" t="s">
        <v>331</v>
      </c>
      <c r="B127" s="300" t="s">
        <v>144</v>
      </c>
      <c r="C127" s="166">
        <f>73.14</f>
        <v>73.14</v>
      </c>
      <c r="D127" s="166">
        <f>C127/12</f>
        <v>6.095</v>
      </c>
      <c r="E127" s="166">
        <v>10</v>
      </c>
      <c r="F127" s="301" t="s">
        <v>67</v>
      </c>
      <c r="G127" s="302"/>
      <c r="H127" s="303"/>
      <c r="I127" s="311"/>
      <c r="J127" s="312" t="str">
        <f t="shared" si="8"/>
        <v>12 PCS</v>
      </c>
      <c r="K127" s="312">
        <f>D127*12</f>
        <v>73.14</v>
      </c>
      <c r="L127" s="166">
        <f>12-M127</f>
        <v>1</v>
      </c>
      <c r="M127" s="166">
        <v>11</v>
      </c>
      <c r="N127" s="66">
        <f t="shared" si="3"/>
        <v>10</v>
      </c>
      <c r="O127" s="279"/>
    </row>
    <row r="128" spans="1:15">
      <c r="A128" s="299" t="s">
        <v>332</v>
      </c>
      <c r="B128" s="300" t="s">
        <v>333</v>
      </c>
      <c r="C128" s="166">
        <f>4.59*24</f>
        <v>110.16</v>
      </c>
      <c r="D128" s="166">
        <f>C128/24</f>
        <v>4.59</v>
      </c>
      <c r="E128" s="166"/>
      <c r="F128" s="301" t="s">
        <v>197</v>
      </c>
      <c r="G128" s="302"/>
      <c r="H128" s="303"/>
      <c r="I128" s="311"/>
      <c r="J128" s="312" t="str">
        <f t="shared" si="8"/>
        <v>24 PCS</v>
      </c>
      <c r="K128" s="312">
        <f>D128*24</f>
        <v>110.16</v>
      </c>
      <c r="L128" s="166"/>
      <c r="M128" s="166"/>
      <c r="N128" s="66">
        <f t="shared" si="3"/>
        <v>0</v>
      </c>
      <c r="O128" s="279"/>
    </row>
    <row r="129" spans="1:15">
      <c r="A129" s="299" t="s">
        <v>334</v>
      </c>
      <c r="B129" s="300" t="s">
        <v>144</v>
      </c>
      <c r="C129" s="166">
        <f>289.97</f>
        <v>289.97</v>
      </c>
      <c r="D129" s="166">
        <f>C129/12</f>
        <v>24.1641666666667</v>
      </c>
      <c r="E129" s="166">
        <v>32</v>
      </c>
      <c r="F129" s="301" t="s">
        <v>335</v>
      </c>
      <c r="G129" s="302"/>
      <c r="H129" s="303"/>
      <c r="I129" s="311"/>
      <c r="J129" s="312" t="str">
        <f t="shared" si="8"/>
        <v>12 PACKS</v>
      </c>
      <c r="K129" s="312">
        <f>D129*12</f>
        <v>289.97</v>
      </c>
      <c r="L129" s="166">
        <f>12-M129</f>
        <v>2</v>
      </c>
      <c r="M129" s="166">
        <v>10</v>
      </c>
      <c r="N129" s="66">
        <f t="shared" si="3"/>
        <v>64</v>
      </c>
      <c r="O129" s="279"/>
    </row>
    <row r="130" spans="1:15">
      <c r="A130" s="299" t="s">
        <v>336</v>
      </c>
      <c r="B130" s="300" t="s">
        <v>144</v>
      </c>
      <c r="C130" s="166">
        <v>254.04</v>
      </c>
      <c r="D130" s="166">
        <f>C130/12</f>
        <v>21.17</v>
      </c>
      <c r="E130" s="166">
        <v>28</v>
      </c>
      <c r="F130" s="301" t="s">
        <v>335</v>
      </c>
      <c r="G130" s="302"/>
      <c r="H130" s="303"/>
      <c r="I130" s="311"/>
      <c r="J130" s="312" t="str">
        <f t="shared" si="8"/>
        <v>12 PACKS</v>
      </c>
      <c r="K130" s="312">
        <f>D130*12</f>
        <v>254.04</v>
      </c>
      <c r="L130" s="166">
        <f>12-M130</f>
        <v>0</v>
      </c>
      <c r="M130" s="166">
        <v>12</v>
      </c>
      <c r="N130" s="66">
        <f t="shared" si="3"/>
        <v>0</v>
      </c>
      <c r="O130" s="279"/>
    </row>
    <row r="131" spans="1:21">
      <c r="A131" s="299" t="s">
        <v>337</v>
      </c>
      <c r="B131" s="300" t="s">
        <v>144</v>
      </c>
      <c r="C131" s="166">
        <v>220.11</v>
      </c>
      <c r="D131" s="166">
        <f>C131/12</f>
        <v>18.3425</v>
      </c>
      <c r="E131" s="166">
        <v>25</v>
      </c>
      <c r="F131" s="301" t="s">
        <v>335</v>
      </c>
      <c r="G131" s="302"/>
      <c r="H131" s="303"/>
      <c r="I131" s="311"/>
      <c r="J131" s="312" t="str">
        <f t="shared" si="8"/>
        <v>12 PACKS</v>
      </c>
      <c r="K131" s="312">
        <f>D131*12</f>
        <v>220.11</v>
      </c>
      <c r="L131" s="166">
        <f>12-M131</f>
        <v>0</v>
      </c>
      <c r="M131" s="166">
        <v>12</v>
      </c>
      <c r="N131" s="66">
        <f t="shared" si="3"/>
        <v>0</v>
      </c>
      <c r="O131" s="279"/>
      <c r="P131" s="279"/>
      <c r="Q131" s="279"/>
      <c r="R131" s="279"/>
      <c r="S131" s="279"/>
      <c r="T131" s="279"/>
      <c r="U131" s="279"/>
    </row>
    <row r="132" spans="1:21">
      <c r="A132" s="299" t="s">
        <v>338</v>
      </c>
      <c r="B132" s="300" t="s">
        <v>339</v>
      </c>
      <c r="C132" s="166">
        <f>13.65*40</f>
        <v>546</v>
      </c>
      <c r="D132" s="166">
        <f>C132/40</f>
        <v>13.65</v>
      </c>
      <c r="E132" s="166"/>
      <c r="F132" s="301" t="s">
        <v>152</v>
      </c>
      <c r="G132" s="302"/>
      <c r="H132" s="303"/>
      <c r="I132" s="311"/>
      <c r="J132" s="312" t="str">
        <f t="shared" si="8"/>
        <v>40 CAPS</v>
      </c>
      <c r="K132" s="312">
        <f>D132*40</f>
        <v>546</v>
      </c>
      <c r="L132" s="166"/>
      <c r="M132" s="166"/>
      <c r="N132" s="66">
        <f t="shared" ref="N132:N195" si="9">L132*E132</f>
        <v>0</v>
      </c>
      <c r="O132" s="279"/>
      <c r="P132" s="279"/>
      <c r="Q132" s="279"/>
      <c r="R132" s="279"/>
      <c r="S132" s="279"/>
      <c r="T132" s="279"/>
      <c r="U132" s="279"/>
    </row>
    <row r="133" spans="1:21">
      <c r="A133" s="299" t="s">
        <v>340</v>
      </c>
      <c r="B133" s="300" t="s">
        <v>341</v>
      </c>
      <c r="C133" s="166">
        <f>13.77*10</f>
        <v>137.7</v>
      </c>
      <c r="D133" s="166">
        <f>C133/10</f>
        <v>13.77</v>
      </c>
      <c r="E133" s="166">
        <v>17</v>
      </c>
      <c r="F133" s="301"/>
      <c r="G133" s="302" t="s">
        <v>342</v>
      </c>
      <c r="H133" s="303"/>
      <c r="I133" s="311"/>
      <c r="J133" s="312" t="str">
        <f>G133</f>
        <v>10 SACHETS</v>
      </c>
      <c r="K133" s="312">
        <f>D133*10</f>
        <v>137.7</v>
      </c>
      <c r="L133" s="166">
        <f>10-M133</f>
        <v>3</v>
      </c>
      <c r="M133" s="166">
        <v>7</v>
      </c>
      <c r="N133" s="66">
        <f t="shared" si="9"/>
        <v>51</v>
      </c>
      <c r="O133" s="279"/>
      <c r="P133" s="279"/>
      <c r="Q133" s="279"/>
      <c r="R133" s="279"/>
      <c r="S133" s="279"/>
      <c r="T133" s="279"/>
      <c r="U133" s="279"/>
    </row>
    <row r="134" spans="1:21">
      <c r="A134" s="299" t="s">
        <v>343</v>
      </c>
      <c r="B134" s="300" t="s">
        <v>344</v>
      </c>
      <c r="C134" s="166">
        <f>12.73*50</f>
        <v>636.5</v>
      </c>
      <c r="D134" s="166">
        <f>C134/50</f>
        <v>12.73</v>
      </c>
      <c r="E134" s="166">
        <v>15</v>
      </c>
      <c r="F134" s="301" t="s">
        <v>345</v>
      </c>
      <c r="G134" s="302"/>
      <c r="H134" s="303"/>
      <c r="I134" s="311"/>
      <c r="J134" s="312" t="str">
        <f>F134</f>
        <v>50 CAPS</v>
      </c>
      <c r="K134" s="312">
        <f>D134*50</f>
        <v>636.5</v>
      </c>
      <c r="L134" s="166">
        <f>50-M134</f>
        <v>8</v>
      </c>
      <c r="M134" s="166">
        <v>42</v>
      </c>
      <c r="N134" s="66">
        <f t="shared" si="9"/>
        <v>120</v>
      </c>
      <c r="O134" s="279"/>
      <c r="P134" s="279"/>
      <c r="Q134" s="279"/>
      <c r="R134" s="279"/>
      <c r="S134" s="279"/>
      <c r="T134" s="279"/>
      <c r="U134" s="279"/>
    </row>
    <row r="135" spans="1:21">
      <c r="A135" s="299" t="s">
        <v>346</v>
      </c>
      <c r="B135" s="300" t="s">
        <v>347</v>
      </c>
      <c r="C135" s="166">
        <f>13.55*25</f>
        <v>338.75</v>
      </c>
      <c r="D135" s="166">
        <f>C135/25</f>
        <v>13.55</v>
      </c>
      <c r="E135" s="166">
        <v>15</v>
      </c>
      <c r="F135" s="301" t="s">
        <v>303</v>
      </c>
      <c r="G135" s="302"/>
      <c r="H135" s="303"/>
      <c r="I135" s="311"/>
      <c r="J135" s="312" t="str">
        <f>F135</f>
        <v>25 TABS</v>
      </c>
      <c r="K135" s="312">
        <f>D135*25</f>
        <v>338.75</v>
      </c>
      <c r="L135" s="166">
        <f>25-M135</f>
        <v>0</v>
      </c>
      <c r="M135" s="166">
        <v>25</v>
      </c>
      <c r="N135" s="66">
        <f t="shared" si="9"/>
        <v>0</v>
      </c>
      <c r="O135" s="279"/>
      <c r="P135" s="279"/>
      <c r="Q135" s="279"/>
      <c r="R135" s="279"/>
      <c r="S135" s="279"/>
      <c r="T135" s="279"/>
      <c r="U135" s="279"/>
    </row>
    <row r="136" spans="1:21">
      <c r="A136" s="299" t="s">
        <v>348</v>
      </c>
      <c r="B136" s="300" t="s">
        <v>347</v>
      </c>
      <c r="C136" s="166">
        <f>25.28*25</f>
        <v>632</v>
      </c>
      <c r="D136" s="166">
        <f>C136/25</f>
        <v>25.28</v>
      </c>
      <c r="E136" s="166">
        <v>29</v>
      </c>
      <c r="F136" s="301" t="s">
        <v>303</v>
      </c>
      <c r="G136" s="302"/>
      <c r="H136" s="303"/>
      <c r="I136" s="311"/>
      <c r="J136" s="312" t="str">
        <f>F136</f>
        <v>25 TABS</v>
      </c>
      <c r="K136" s="312">
        <f>D136*25</f>
        <v>632</v>
      </c>
      <c r="L136" s="166">
        <f>25-M136</f>
        <v>0</v>
      </c>
      <c r="M136" s="166">
        <v>25</v>
      </c>
      <c r="N136" s="66">
        <f t="shared" si="9"/>
        <v>0</v>
      </c>
      <c r="O136" s="279"/>
      <c r="P136" s="279"/>
      <c r="Q136" s="279"/>
      <c r="R136" s="279"/>
      <c r="S136" s="279"/>
      <c r="T136" s="279"/>
      <c r="U136" s="279"/>
    </row>
    <row r="137" spans="1:21">
      <c r="A137" s="299" t="s">
        <v>349</v>
      </c>
      <c r="B137" s="314"/>
      <c r="C137" s="166"/>
      <c r="D137" s="166">
        <v>17.9</v>
      </c>
      <c r="E137" s="166">
        <v>22</v>
      </c>
      <c r="F137" s="301"/>
      <c r="G137" s="302"/>
      <c r="H137" s="303"/>
      <c r="I137" s="311" t="s">
        <v>54</v>
      </c>
      <c r="J137" s="312" t="str">
        <f t="shared" ref="J137:J142" si="10">I137</f>
        <v>3 PCS</v>
      </c>
      <c r="K137" s="312">
        <f t="shared" ref="K137:K142" si="11">D137*3</f>
        <v>53.7</v>
      </c>
      <c r="L137" s="166">
        <v>0</v>
      </c>
      <c r="M137" s="166">
        <v>3</v>
      </c>
      <c r="N137" s="66">
        <f t="shared" si="9"/>
        <v>0</v>
      </c>
      <c r="O137" s="279"/>
      <c r="P137" s="279"/>
      <c r="Q137" s="279"/>
      <c r="R137" s="279"/>
      <c r="S137" s="279"/>
      <c r="T137" s="279"/>
      <c r="U137" s="279"/>
    </row>
    <row r="138" spans="1:21">
      <c r="A138" s="299" t="s">
        <v>350</v>
      </c>
      <c r="B138" s="314"/>
      <c r="C138" s="166"/>
      <c r="D138" s="166">
        <v>29.52</v>
      </c>
      <c r="E138" s="166">
        <v>36</v>
      </c>
      <c r="F138" s="301"/>
      <c r="G138" s="302"/>
      <c r="H138" s="303"/>
      <c r="I138" s="311" t="s">
        <v>54</v>
      </c>
      <c r="J138" s="312" t="str">
        <f t="shared" si="10"/>
        <v>3 PCS</v>
      </c>
      <c r="K138" s="312">
        <f t="shared" si="11"/>
        <v>88.56</v>
      </c>
      <c r="L138" s="166">
        <v>0</v>
      </c>
      <c r="M138" s="166">
        <v>3</v>
      </c>
      <c r="N138" s="66">
        <f t="shared" si="9"/>
        <v>0</v>
      </c>
      <c r="O138" s="279"/>
      <c r="P138" s="279"/>
      <c r="Q138" s="279"/>
      <c r="R138" s="279"/>
      <c r="S138" s="279"/>
      <c r="T138" s="279"/>
      <c r="U138" s="279"/>
    </row>
    <row r="139" spans="1:21">
      <c r="A139" s="299" t="s">
        <v>351</v>
      </c>
      <c r="B139" s="314"/>
      <c r="C139" s="166"/>
      <c r="D139" s="166">
        <v>17.9</v>
      </c>
      <c r="E139" s="166">
        <v>22</v>
      </c>
      <c r="F139" s="301"/>
      <c r="G139" s="302"/>
      <c r="H139" s="303"/>
      <c r="I139" s="311" t="s">
        <v>54</v>
      </c>
      <c r="J139" s="312" t="str">
        <f t="shared" si="10"/>
        <v>3 PCS</v>
      </c>
      <c r="K139" s="312">
        <f t="shared" si="11"/>
        <v>53.7</v>
      </c>
      <c r="L139" s="166">
        <v>0</v>
      </c>
      <c r="M139" s="166">
        <v>3</v>
      </c>
      <c r="N139" s="66">
        <f t="shared" si="9"/>
        <v>0</v>
      </c>
      <c r="O139" s="279"/>
      <c r="P139" s="279"/>
      <c r="Q139" s="279"/>
      <c r="R139" s="279"/>
      <c r="S139" s="279"/>
      <c r="T139" s="279"/>
      <c r="U139" s="279"/>
    </row>
    <row r="140" spans="1:21">
      <c r="A140" s="299" t="s">
        <v>352</v>
      </c>
      <c r="B140" s="314"/>
      <c r="C140" s="166"/>
      <c r="D140" s="166">
        <v>29.52</v>
      </c>
      <c r="E140" s="166">
        <v>36</v>
      </c>
      <c r="F140" s="301"/>
      <c r="G140" s="302"/>
      <c r="H140" s="303"/>
      <c r="I140" s="311" t="s">
        <v>54</v>
      </c>
      <c r="J140" s="312" t="str">
        <f t="shared" si="10"/>
        <v>3 PCS</v>
      </c>
      <c r="K140" s="312">
        <f t="shared" si="11"/>
        <v>88.56</v>
      </c>
      <c r="L140" s="166">
        <v>0</v>
      </c>
      <c r="M140" s="166">
        <v>3</v>
      </c>
      <c r="N140" s="66">
        <f t="shared" si="9"/>
        <v>0</v>
      </c>
      <c r="O140" s="279"/>
      <c r="P140" s="279"/>
      <c r="Q140" s="279"/>
      <c r="R140" s="279"/>
      <c r="S140" s="279"/>
      <c r="T140" s="279"/>
      <c r="U140" s="279"/>
    </row>
    <row r="141" spans="1:21">
      <c r="A141" s="299" t="s">
        <v>353</v>
      </c>
      <c r="B141" s="314"/>
      <c r="C141" s="166"/>
      <c r="D141" s="166">
        <v>17.9</v>
      </c>
      <c r="E141" s="166">
        <v>22</v>
      </c>
      <c r="F141" s="301"/>
      <c r="G141" s="302"/>
      <c r="H141" s="303"/>
      <c r="I141" s="311" t="s">
        <v>54</v>
      </c>
      <c r="J141" s="312" t="str">
        <f t="shared" si="10"/>
        <v>3 PCS</v>
      </c>
      <c r="K141" s="312">
        <f t="shared" si="11"/>
        <v>53.7</v>
      </c>
      <c r="L141" s="166">
        <v>0</v>
      </c>
      <c r="M141" s="166">
        <v>3</v>
      </c>
      <c r="N141" s="66">
        <f t="shared" si="9"/>
        <v>0</v>
      </c>
      <c r="O141" s="279"/>
      <c r="P141" s="279"/>
      <c r="Q141" s="279"/>
      <c r="R141" s="279"/>
      <c r="S141" s="279"/>
      <c r="T141" s="279"/>
      <c r="U141" s="279"/>
    </row>
    <row r="142" spans="1:21">
      <c r="A142" s="299" t="s">
        <v>354</v>
      </c>
      <c r="B142" s="314"/>
      <c r="C142" s="166"/>
      <c r="D142" s="166">
        <v>29.52</v>
      </c>
      <c r="E142" s="166">
        <v>36</v>
      </c>
      <c r="F142" s="301"/>
      <c r="G142" s="302"/>
      <c r="H142" s="303"/>
      <c r="I142" s="311" t="s">
        <v>54</v>
      </c>
      <c r="J142" s="312" t="str">
        <f t="shared" si="10"/>
        <v>3 PCS</v>
      </c>
      <c r="K142" s="312">
        <f t="shared" si="11"/>
        <v>88.56</v>
      </c>
      <c r="L142" s="166">
        <v>0</v>
      </c>
      <c r="M142" s="166">
        <v>3</v>
      </c>
      <c r="N142" s="66">
        <f t="shared" si="9"/>
        <v>0</v>
      </c>
      <c r="O142" s="279"/>
      <c r="P142" s="279"/>
      <c r="Q142" s="279"/>
      <c r="R142" s="279"/>
      <c r="S142" s="279"/>
      <c r="T142" s="279"/>
      <c r="U142" s="279"/>
    </row>
    <row r="143" spans="1:21">
      <c r="A143" s="299" t="s">
        <v>355</v>
      </c>
      <c r="B143" s="300" t="s">
        <v>356</v>
      </c>
      <c r="C143" s="166">
        <f>15.89*12</f>
        <v>190.68</v>
      </c>
      <c r="D143" s="166">
        <f>C143/12</f>
        <v>15.89</v>
      </c>
      <c r="E143" s="166"/>
      <c r="F143" s="301" t="s">
        <v>67</v>
      </c>
      <c r="G143" s="302"/>
      <c r="H143" s="303"/>
      <c r="I143" s="311"/>
      <c r="J143" s="312" t="str">
        <f>F143</f>
        <v>12 PCS</v>
      </c>
      <c r="K143" s="312">
        <f>D143*12</f>
        <v>190.68</v>
      </c>
      <c r="L143" s="166"/>
      <c r="M143" s="166"/>
      <c r="N143" s="66">
        <f t="shared" si="9"/>
        <v>0</v>
      </c>
      <c r="O143" s="279"/>
      <c r="P143" s="279"/>
      <c r="Q143" s="279"/>
      <c r="R143" s="279"/>
      <c r="S143" s="279" t="s">
        <v>157</v>
      </c>
      <c r="T143" s="279"/>
      <c r="U143" s="279"/>
    </row>
    <row r="144" spans="1:21">
      <c r="A144" s="299" t="s">
        <v>357</v>
      </c>
      <c r="B144" s="300" t="s">
        <v>356</v>
      </c>
      <c r="C144" s="166">
        <f>12.19*12</f>
        <v>146.28</v>
      </c>
      <c r="D144" s="166">
        <f>C144/12</f>
        <v>12.19</v>
      </c>
      <c r="E144" s="166"/>
      <c r="F144" s="301" t="s">
        <v>67</v>
      </c>
      <c r="G144" s="302"/>
      <c r="H144" s="303"/>
      <c r="I144" s="311"/>
      <c r="J144" s="312" t="str">
        <f>F144</f>
        <v>12 PCS</v>
      </c>
      <c r="K144" s="312">
        <f>D144*12</f>
        <v>146.28</v>
      </c>
      <c r="L144" s="166"/>
      <c r="M144" s="166"/>
      <c r="N144" s="66">
        <f t="shared" si="9"/>
        <v>0</v>
      </c>
      <c r="O144" s="279"/>
      <c r="P144" s="279"/>
      <c r="Q144" s="279"/>
      <c r="R144" s="279"/>
      <c r="S144" s="279"/>
      <c r="T144" s="279"/>
      <c r="U144" s="279"/>
    </row>
    <row r="145" spans="1:21">
      <c r="A145" s="299" t="s">
        <v>358</v>
      </c>
      <c r="B145" s="300" t="s">
        <v>356</v>
      </c>
      <c r="C145" s="166">
        <f>15.84*12</f>
        <v>190.08</v>
      </c>
      <c r="D145" s="166">
        <f>C145/12</f>
        <v>15.84</v>
      </c>
      <c r="E145" s="166"/>
      <c r="F145" s="301" t="s">
        <v>67</v>
      </c>
      <c r="G145" s="302"/>
      <c r="H145" s="303"/>
      <c r="I145" s="311"/>
      <c r="J145" s="312" t="str">
        <f>F145</f>
        <v>12 PCS</v>
      </c>
      <c r="K145" s="312">
        <f>D145*12</f>
        <v>190.08</v>
      </c>
      <c r="L145" s="166"/>
      <c r="M145" s="166"/>
      <c r="N145" s="66">
        <f t="shared" si="9"/>
        <v>0</v>
      </c>
      <c r="O145" s="279"/>
      <c r="P145" s="279"/>
      <c r="Q145" s="279"/>
      <c r="R145" s="279"/>
      <c r="S145" s="279"/>
      <c r="T145" s="279"/>
      <c r="U145" s="279"/>
    </row>
    <row r="146" spans="1:21">
      <c r="A146" s="299" t="s">
        <v>359</v>
      </c>
      <c r="B146" s="300" t="s">
        <v>356</v>
      </c>
      <c r="C146" s="166">
        <f>14.64*12</f>
        <v>175.68</v>
      </c>
      <c r="D146" s="166">
        <f>C146/12</f>
        <v>14.64</v>
      </c>
      <c r="E146" s="166"/>
      <c r="F146" s="301" t="s">
        <v>67</v>
      </c>
      <c r="G146" s="302"/>
      <c r="H146" s="303"/>
      <c r="I146" s="311"/>
      <c r="J146" s="312" t="str">
        <f>F146</f>
        <v>12 PCS</v>
      </c>
      <c r="K146" s="312">
        <f>D146*12</f>
        <v>175.68</v>
      </c>
      <c r="L146" s="166"/>
      <c r="M146" s="166"/>
      <c r="N146" s="66">
        <f t="shared" si="9"/>
        <v>0</v>
      </c>
      <c r="O146" s="279"/>
      <c r="P146" s="279"/>
      <c r="Q146" s="279"/>
      <c r="R146" s="279"/>
      <c r="S146" s="279"/>
      <c r="T146" s="279"/>
      <c r="U146" s="279"/>
    </row>
    <row r="147" spans="1:21">
      <c r="A147" s="299" t="s">
        <v>360</v>
      </c>
      <c r="B147" s="300" t="s">
        <v>205</v>
      </c>
      <c r="C147" s="166">
        <f>25.1*5</f>
        <v>125.5</v>
      </c>
      <c r="D147" s="166">
        <f>C147/5</f>
        <v>25.1</v>
      </c>
      <c r="E147" s="166">
        <v>31</v>
      </c>
      <c r="F147" s="301"/>
      <c r="G147" s="302" t="s">
        <v>205</v>
      </c>
      <c r="H147" s="303"/>
      <c r="I147" s="311"/>
      <c r="J147" s="312" t="str">
        <f>G147</f>
        <v>5 PCS</v>
      </c>
      <c r="K147" s="312">
        <f>D147*5</f>
        <v>125.5</v>
      </c>
      <c r="L147" s="166"/>
      <c r="M147" s="166">
        <v>5</v>
      </c>
      <c r="N147" s="66">
        <f t="shared" si="9"/>
        <v>0</v>
      </c>
      <c r="O147" s="279"/>
      <c r="P147" s="279"/>
      <c r="Q147" s="279"/>
      <c r="R147" s="279"/>
      <c r="S147" s="279"/>
      <c r="T147" s="279"/>
      <c r="U147" s="279"/>
    </row>
    <row r="148" spans="1:21">
      <c r="A148" s="299" t="s">
        <v>361</v>
      </c>
      <c r="B148" s="300" t="s">
        <v>162</v>
      </c>
      <c r="C148" s="166">
        <f>62.35*3</f>
        <v>187.05</v>
      </c>
      <c r="D148" s="166">
        <f>C148/3</f>
        <v>62.35</v>
      </c>
      <c r="E148" s="166"/>
      <c r="F148" s="301"/>
      <c r="G148" s="302" t="s">
        <v>162</v>
      </c>
      <c r="H148" s="303"/>
      <c r="I148" s="311"/>
      <c r="J148" s="312" t="str">
        <f>G148</f>
        <v>3 BOTTLES</v>
      </c>
      <c r="K148" s="312">
        <f>D148*3</f>
        <v>187.05</v>
      </c>
      <c r="L148" s="166"/>
      <c r="M148" s="166"/>
      <c r="N148" s="66">
        <f t="shared" si="9"/>
        <v>0</v>
      </c>
      <c r="O148" s="279"/>
      <c r="P148" s="279"/>
      <c r="Q148" s="279"/>
      <c r="R148" s="279"/>
      <c r="S148" s="279"/>
      <c r="T148" s="279"/>
      <c r="U148" s="279"/>
    </row>
    <row r="149" spans="1:21">
      <c r="A149" s="299" t="s">
        <v>362</v>
      </c>
      <c r="B149" s="300" t="s">
        <v>204</v>
      </c>
      <c r="C149" s="166">
        <f>22.7*5</f>
        <v>113.5</v>
      </c>
      <c r="D149" s="166">
        <f>C149/5</f>
        <v>22.7</v>
      </c>
      <c r="E149" s="166">
        <v>28</v>
      </c>
      <c r="F149" s="301"/>
      <c r="G149" s="302" t="s">
        <v>205</v>
      </c>
      <c r="H149" s="303"/>
      <c r="I149" s="311"/>
      <c r="J149" s="312" t="str">
        <f>G149</f>
        <v>5 PCS</v>
      </c>
      <c r="K149" s="312">
        <f>D149*5</f>
        <v>113.5</v>
      </c>
      <c r="L149" s="166"/>
      <c r="M149" s="166">
        <v>5</v>
      </c>
      <c r="N149" s="66">
        <f t="shared" si="9"/>
        <v>0</v>
      </c>
      <c r="O149" s="279"/>
      <c r="P149" s="279"/>
      <c r="Q149" s="279"/>
      <c r="R149" s="279"/>
      <c r="S149" s="279"/>
      <c r="T149" s="279"/>
      <c r="U149" s="279"/>
    </row>
    <row r="150" spans="1:21">
      <c r="A150" s="299" t="s">
        <v>363</v>
      </c>
      <c r="B150" s="300" t="s">
        <v>195</v>
      </c>
      <c r="C150" s="166">
        <f>15.6*6</f>
        <v>93.6</v>
      </c>
      <c r="D150" s="166">
        <f>C150/6</f>
        <v>15.6</v>
      </c>
      <c r="E150" s="166"/>
      <c r="F150" s="301" t="s">
        <v>195</v>
      </c>
      <c r="G150" s="302"/>
      <c r="H150" s="303"/>
      <c r="I150" s="311"/>
      <c r="J150" s="312" t="str">
        <f>F150</f>
        <v>6 BOTTLES</v>
      </c>
      <c r="K150" s="312">
        <f>D150*6</f>
        <v>93.6</v>
      </c>
      <c r="L150" s="166"/>
      <c r="M150" s="166"/>
      <c r="N150" s="66">
        <f t="shared" si="9"/>
        <v>0</v>
      </c>
      <c r="O150" s="279"/>
      <c r="P150" s="279"/>
      <c r="Q150" s="279"/>
      <c r="R150" s="279"/>
      <c r="S150" s="279"/>
      <c r="T150" s="279"/>
      <c r="U150" s="279"/>
    </row>
    <row r="151" spans="1:21">
      <c r="A151" s="299" t="s">
        <v>364</v>
      </c>
      <c r="B151" s="300" t="s">
        <v>195</v>
      </c>
      <c r="C151" s="166">
        <f>29.52*6</f>
        <v>177.12</v>
      </c>
      <c r="D151" s="166">
        <f>C151/6</f>
        <v>29.52</v>
      </c>
      <c r="E151" s="166"/>
      <c r="F151" s="301" t="s">
        <v>195</v>
      </c>
      <c r="G151" s="302"/>
      <c r="H151" s="303"/>
      <c r="I151" s="311"/>
      <c r="J151" s="312" t="str">
        <f>F151</f>
        <v>6 BOTTLES</v>
      </c>
      <c r="K151" s="312">
        <f t="shared" ref="K151:K156" si="12">D151*6</f>
        <v>177.12</v>
      </c>
      <c r="L151" s="166"/>
      <c r="M151" s="166"/>
      <c r="N151" s="66">
        <f t="shared" si="9"/>
        <v>0</v>
      </c>
      <c r="O151" s="279"/>
      <c r="P151" s="279"/>
      <c r="Q151" s="279"/>
      <c r="R151" s="279"/>
      <c r="S151" s="279"/>
      <c r="T151" s="279"/>
      <c r="U151" s="279"/>
    </row>
    <row r="152" spans="1:21">
      <c r="A152" s="299" t="s">
        <v>365</v>
      </c>
      <c r="B152" s="300" t="s">
        <v>195</v>
      </c>
      <c r="C152" s="166">
        <f>19.54*6</f>
        <v>117.24</v>
      </c>
      <c r="D152" s="166">
        <f>C152/6</f>
        <v>19.54</v>
      </c>
      <c r="E152" s="166"/>
      <c r="F152" s="301" t="s">
        <v>195</v>
      </c>
      <c r="G152" s="302"/>
      <c r="H152" s="303"/>
      <c r="I152" s="311"/>
      <c r="J152" s="312" t="str">
        <f>F152</f>
        <v>6 BOTTLES</v>
      </c>
      <c r="K152" s="312">
        <f t="shared" si="12"/>
        <v>117.24</v>
      </c>
      <c r="L152" s="166"/>
      <c r="M152" s="166"/>
      <c r="N152" s="66">
        <f t="shared" si="9"/>
        <v>0</v>
      </c>
      <c r="O152" s="279"/>
      <c r="P152" s="279"/>
      <c r="Q152" s="279"/>
      <c r="R152" s="279"/>
      <c r="S152" s="279"/>
      <c r="T152" s="279"/>
      <c r="U152" s="279"/>
    </row>
    <row r="153" spans="1:21">
      <c r="A153" s="299" t="s">
        <v>366</v>
      </c>
      <c r="B153" s="300" t="s">
        <v>195</v>
      </c>
      <c r="C153" s="166">
        <f>36.67*6</f>
        <v>220.02</v>
      </c>
      <c r="D153" s="166">
        <f>C153/6</f>
        <v>36.67</v>
      </c>
      <c r="E153" s="166"/>
      <c r="F153" s="301" t="s">
        <v>195</v>
      </c>
      <c r="G153" s="302"/>
      <c r="H153" s="303"/>
      <c r="I153" s="311"/>
      <c r="J153" s="312" t="str">
        <f>F153</f>
        <v>6 BOTTLES</v>
      </c>
      <c r="K153" s="312">
        <f t="shared" si="12"/>
        <v>220.02</v>
      </c>
      <c r="L153" s="166"/>
      <c r="M153" s="166"/>
      <c r="N153" s="66">
        <f t="shared" si="9"/>
        <v>0</v>
      </c>
      <c r="O153" s="279"/>
      <c r="P153" s="279"/>
      <c r="Q153" s="279"/>
      <c r="R153" s="279"/>
      <c r="S153" s="279"/>
      <c r="T153" s="279"/>
      <c r="U153" s="279"/>
    </row>
    <row r="154" hidden="1" spans="1:21">
      <c r="A154" s="304" t="s">
        <v>367</v>
      </c>
      <c r="B154" s="300" t="s">
        <v>144</v>
      </c>
      <c r="C154" s="171">
        <v>199.58</v>
      </c>
      <c r="D154" s="171"/>
      <c r="E154" s="171"/>
      <c r="F154" s="301"/>
      <c r="G154" s="302"/>
      <c r="H154" s="303"/>
      <c r="I154" s="311"/>
      <c r="J154" s="312"/>
      <c r="K154" s="312">
        <f t="shared" si="12"/>
        <v>0</v>
      </c>
      <c r="L154" s="166"/>
      <c r="M154" s="166"/>
      <c r="N154" s="66">
        <f t="shared" si="9"/>
        <v>0</v>
      </c>
      <c r="O154" s="279"/>
      <c r="P154" s="279"/>
      <c r="Q154" s="279"/>
      <c r="R154" s="279"/>
      <c r="S154" s="279"/>
      <c r="T154" s="279"/>
      <c r="U154" s="279"/>
    </row>
    <row r="155" spans="1:21">
      <c r="A155" s="299" t="s">
        <v>368</v>
      </c>
      <c r="B155" s="300" t="s">
        <v>195</v>
      </c>
      <c r="C155" s="166">
        <f>19.54*6</f>
        <v>117.24</v>
      </c>
      <c r="D155" s="166">
        <f>C155/6</f>
        <v>19.54</v>
      </c>
      <c r="E155" s="166"/>
      <c r="F155" s="301" t="s">
        <v>195</v>
      </c>
      <c r="G155" s="302"/>
      <c r="H155" s="303"/>
      <c r="I155" s="311"/>
      <c r="J155" s="312" t="str">
        <f>F155</f>
        <v>6 BOTTLES</v>
      </c>
      <c r="K155" s="312">
        <f t="shared" si="12"/>
        <v>117.24</v>
      </c>
      <c r="L155" s="166"/>
      <c r="M155" s="166"/>
      <c r="N155" s="66">
        <f t="shared" si="9"/>
        <v>0</v>
      </c>
      <c r="O155" s="279"/>
      <c r="P155" s="279"/>
      <c r="Q155" s="279"/>
      <c r="R155" s="279"/>
      <c r="S155" s="279"/>
      <c r="T155" s="279"/>
      <c r="U155" s="279"/>
    </row>
    <row r="156" spans="1:21">
      <c r="A156" s="299" t="s">
        <v>369</v>
      </c>
      <c r="B156" s="300" t="s">
        <v>195</v>
      </c>
      <c r="C156" s="166">
        <f>36.67*6</f>
        <v>220.02</v>
      </c>
      <c r="D156" s="166">
        <f>C156/6</f>
        <v>36.67</v>
      </c>
      <c r="E156" s="166"/>
      <c r="F156" s="301" t="s">
        <v>195</v>
      </c>
      <c r="G156" s="302"/>
      <c r="H156" s="303"/>
      <c r="I156" s="311"/>
      <c r="J156" s="312" t="str">
        <f>F156</f>
        <v>6 BOTTLES</v>
      </c>
      <c r="K156" s="312">
        <f t="shared" si="12"/>
        <v>220.02</v>
      </c>
      <c r="L156" s="166"/>
      <c r="M156" s="166"/>
      <c r="N156" s="66">
        <f t="shared" si="9"/>
        <v>0</v>
      </c>
      <c r="O156" s="279"/>
      <c r="P156" s="279"/>
      <c r="Q156" s="279"/>
      <c r="R156" s="279"/>
      <c r="S156" s="279"/>
      <c r="T156" s="279"/>
      <c r="U156" s="279"/>
    </row>
    <row r="157" spans="1:21">
      <c r="A157" s="299" t="s">
        <v>370</v>
      </c>
      <c r="B157" s="314"/>
      <c r="C157" s="166"/>
      <c r="D157" s="166">
        <v>13.47</v>
      </c>
      <c r="E157" s="166">
        <v>17</v>
      </c>
      <c r="F157" s="301"/>
      <c r="G157" s="302"/>
      <c r="H157" s="303"/>
      <c r="I157" s="311" t="s">
        <v>54</v>
      </c>
      <c r="J157" s="312" t="str">
        <f>I157</f>
        <v>3 PCS</v>
      </c>
      <c r="K157" s="312">
        <f>D157*3</f>
        <v>40.41</v>
      </c>
      <c r="L157" s="166"/>
      <c r="M157" s="166">
        <v>3</v>
      </c>
      <c r="N157" s="66">
        <f t="shared" si="9"/>
        <v>0</v>
      </c>
      <c r="O157" s="279"/>
      <c r="P157" s="279"/>
      <c r="Q157" s="279"/>
      <c r="R157" s="279"/>
      <c r="S157" s="279"/>
      <c r="T157" s="279"/>
      <c r="U157" s="279"/>
    </row>
    <row r="158" spans="1:21">
      <c r="A158" s="299" t="s">
        <v>371</v>
      </c>
      <c r="B158" s="314"/>
      <c r="C158" s="166"/>
      <c r="D158" s="166">
        <v>22.29</v>
      </c>
      <c r="E158" s="166">
        <v>27</v>
      </c>
      <c r="F158" s="301"/>
      <c r="G158" s="302"/>
      <c r="H158" s="303"/>
      <c r="I158" s="311" t="s">
        <v>54</v>
      </c>
      <c r="J158" s="312" t="str">
        <f>I158</f>
        <v>3 PCS</v>
      </c>
      <c r="K158" s="312">
        <f t="shared" ref="K158:K163" si="13">D158*3</f>
        <v>66.87</v>
      </c>
      <c r="L158" s="166"/>
      <c r="M158" s="166">
        <v>3</v>
      </c>
      <c r="N158" s="66">
        <f t="shared" si="9"/>
        <v>0</v>
      </c>
      <c r="O158" s="279"/>
      <c r="P158" s="279"/>
      <c r="Q158" s="279"/>
      <c r="R158" s="279"/>
      <c r="S158" s="279"/>
      <c r="T158" s="279"/>
      <c r="U158" s="279"/>
    </row>
    <row r="159" spans="1:21">
      <c r="A159" s="299" t="s">
        <v>372</v>
      </c>
      <c r="B159" s="314"/>
      <c r="C159" s="166"/>
      <c r="D159" s="166">
        <v>13.47</v>
      </c>
      <c r="E159" s="166">
        <v>17</v>
      </c>
      <c r="F159" s="301"/>
      <c r="G159" s="302"/>
      <c r="H159" s="303"/>
      <c r="I159" s="311" t="s">
        <v>54</v>
      </c>
      <c r="J159" s="312" t="str">
        <f>I159</f>
        <v>3 PCS</v>
      </c>
      <c r="K159" s="312">
        <f t="shared" si="13"/>
        <v>40.41</v>
      </c>
      <c r="L159" s="166">
        <v>1</v>
      </c>
      <c r="M159" s="166">
        <v>2</v>
      </c>
      <c r="N159" s="66">
        <f t="shared" si="9"/>
        <v>17</v>
      </c>
      <c r="O159" s="279"/>
      <c r="P159" s="279"/>
      <c r="Q159" s="279"/>
      <c r="R159" s="279"/>
      <c r="S159" s="279"/>
      <c r="T159" s="279"/>
      <c r="U159" s="279"/>
    </row>
    <row r="160" hidden="1" spans="1:21">
      <c r="A160" s="304" t="s">
        <v>373</v>
      </c>
      <c r="B160" s="300" t="s">
        <v>374</v>
      </c>
      <c r="C160" s="171">
        <v>169.92</v>
      </c>
      <c r="D160" s="171">
        <v>5.31</v>
      </c>
      <c r="E160" s="171"/>
      <c r="F160" s="301"/>
      <c r="G160" s="302"/>
      <c r="H160" s="303"/>
      <c r="I160" s="311"/>
      <c r="J160" s="312"/>
      <c r="K160" s="312">
        <f t="shared" si="13"/>
        <v>15.93</v>
      </c>
      <c r="L160" s="166"/>
      <c r="M160" s="166"/>
      <c r="N160" s="66">
        <f t="shared" si="9"/>
        <v>0</v>
      </c>
      <c r="O160" s="279"/>
      <c r="P160" s="279"/>
      <c r="Q160" s="279"/>
      <c r="R160" s="279"/>
      <c r="S160" s="279"/>
      <c r="T160" s="279"/>
      <c r="U160" s="279"/>
    </row>
    <row r="161" spans="1:21">
      <c r="A161" s="299" t="s">
        <v>375</v>
      </c>
      <c r="B161" s="314"/>
      <c r="C161" s="166"/>
      <c r="D161" s="166">
        <v>22.29</v>
      </c>
      <c r="E161" s="166">
        <v>27</v>
      </c>
      <c r="F161" s="301"/>
      <c r="G161" s="302"/>
      <c r="H161" s="303"/>
      <c r="I161" s="311" t="s">
        <v>54</v>
      </c>
      <c r="J161" s="312" t="str">
        <f>I161</f>
        <v>3 PCS</v>
      </c>
      <c r="K161" s="312">
        <f t="shared" si="13"/>
        <v>66.87</v>
      </c>
      <c r="L161" s="166"/>
      <c r="M161" s="166">
        <v>3</v>
      </c>
      <c r="N161" s="66">
        <f t="shared" si="9"/>
        <v>0</v>
      </c>
      <c r="O161" s="279"/>
      <c r="P161" s="279"/>
      <c r="Q161" s="279"/>
      <c r="R161" s="279"/>
      <c r="S161" s="279"/>
      <c r="T161" s="279"/>
      <c r="U161" s="279"/>
    </row>
    <row r="162" spans="1:21">
      <c r="A162" s="299" t="s">
        <v>376</v>
      </c>
      <c r="B162" s="314"/>
      <c r="C162" s="166"/>
      <c r="D162" s="166">
        <v>13.47</v>
      </c>
      <c r="E162" s="166">
        <v>17</v>
      </c>
      <c r="F162" s="301"/>
      <c r="G162" s="302"/>
      <c r="H162" s="303"/>
      <c r="I162" s="311" t="s">
        <v>54</v>
      </c>
      <c r="J162" s="312" t="str">
        <f>I162</f>
        <v>3 PCS</v>
      </c>
      <c r="K162" s="312">
        <f t="shared" si="13"/>
        <v>40.41</v>
      </c>
      <c r="L162" s="166"/>
      <c r="M162" s="166">
        <v>3</v>
      </c>
      <c r="N162" s="66">
        <f t="shared" si="9"/>
        <v>0</v>
      </c>
      <c r="O162" s="279"/>
      <c r="P162" s="279"/>
      <c r="Q162" s="279"/>
      <c r="R162" s="279"/>
      <c r="S162" s="279"/>
      <c r="T162" s="279"/>
      <c r="U162" s="279"/>
    </row>
    <row r="163" spans="1:21">
      <c r="A163" s="299" t="s">
        <v>377</v>
      </c>
      <c r="B163" s="314"/>
      <c r="C163" s="166"/>
      <c r="D163" s="166">
        <v>22.29</v>
      </c>
      <c r="E163" s="166">
        <v>27</v>
      </c>
      <c r="F163" s="301"/>
      <c r="G163" s="302"/>
      <c r="H163" s="303"/>
      <c r="I163" s="311" t="s">
        <v>54</v>
      </c>
      <c r="J163" s="312" t="str">
        <f>I163</f>
        <v>3 PCS</v>
      </c>
      <c r="K163" s="312">
        <f t="shared" si="13"/>
        <v>66.87</v>
      </c>
      <c r="L163" s="166"/>
      <c r="M163" s="166">
        <v>3</v>
      </c>
      <c r="N163" s="66">
        <f t="shared" si="9"/>
        <v>0</v>
      </c>
      <c r="O163" s="279"/>
      <c r="P163" s="279"/>
      <c r="Q163" s="279"/>
      <c r="R163" s="279"/>
      <c r="S163" s="279"/>
      <c r="T163" s="279"/>
      <c r="U163" s="279"/>
    </row>
    <row r="164" spans="1:21">
      <c r="A164" s="299" t="s">
        <v>378</v>
      </c>
      <c r="B164" s="300" t="s">
        <v>379</v>
      </c>
      <c r="C164" s="166">
        <f>646.21</f>
        <v>646.21</v>
      </c>
      <c r="D164" s="166">
        <f>C164/28</f>
        <v>23.0789285714286</v>
      </c>
      <c r="E164" s="166"/>
      <c r="F164" s="301"/>
      <c r="G164" s="302" t="s">
        <v>380</v>
      </c>
      <c r="H164" s="303"/>
      <c r="I164" s="311"/>
      <c r="J164" s="312" t="str">
        <f>G164</f>
        <v>28 TABS</v>
      </c>
      <c r="K164" s="312">
        <f>D164*28</f>
        <v>646.21</v>
      </c>
      <c r="L164" s="166"/>
      <c r="M164" s="166"/>
      <c r="N164" s="66">
        <f t="shared" si="9"/>
        <v>0</v>
      </c>
      <c r="O164" s="279"/>
      <c r="P164" s="279"/>
      <c r="Q164" s="279"/>
      <c r="R164" s="279"/>
      <c r="S164" s="279"/>
      <c r="T164" s="279"/>
      <c r="U164" s="279"/>
    </row>
    <row r="165" spans="1:21">
      <c r="A165" s="299" t="s">
        <v>381</v>
      </c>
      <c r="B165" s="300" t="s">
        <v>382</v>
      </c>
      <c r="C165" s="166">
        <f>38.81*3</f>
        <v>116.43</v>
      </c>
      <c r="D165" s="166">
        <f>C165/3</f>
        <v>38.81</v>
      </c>
      <c r="E165" s="166"/>
      <c r="F165" s="301" t="s">
        <v>54</v>
      </c>
      <c r="G165" s="302"/>
      <c r="H165" s="303"/>
      <c r="I165" s="311"/>
      <c r="J165" s="312" t="str">
        <f>F165</f>
        <v>3 PCS</v>
      </c>
      <c r="K165" s="312">
        <f>D165*3</f>
        <v>116.43</v>
      </c>
      <c r="L165" s="166"/>
      <c r="M165" s="166"/>
      <c r="N165" s="66">
        <f t="shared" si="9"/>
        <v>0</v>
      </c>
      <c r="O165" s="279"/>
      <c r="P165" s="279"/>
      <c r="Q165" s="279"/>
      <c r="R165" s="279"/>
      <c r="S165" s="279"/>
      <c r="T165" s="279"/>
      <c r="U165" s="279"/>
    </row>
    <row r="166" spans="1:21">
      <c r="A166" s="299" t="s">
        <v>383</v>
      </c>
      <c r="B166" s="300" t="s">
        <v>309</v>
      </c>
      <c r="C166" s="166">
        <f>25.64*6</f>
        <v>153.84</v>
      </c>
      <c r="D166" s="166">
        <f>C166/6</f>
        <v>25.64</v>
      </c>
      <c r="E166" s="166"/>
      <c r="F166" s="301" t="s">
        <v>309</v>
      </c>
      <c r="G166" s="302"/>
      <c r="H166" s="303"/>
      <c r="I166" s="311"/>
      <c r="J166" s="312" t="str">
        <f>F166</f>
        <v>6 PCS</v>
      </c>
      <c r="K166" s="312">
        <f>D166*6</f>
        <v>153.84</v>
      </c>
      <c r="L166" s="166"/>
      <c r="M166" s="166"/>
      <c r="N166" s="66">
        <f t="shared" si="9"/>
        <v>0</v>
      </c>
      <c r="O166" s="279"/>
      <c r="P166" s="279"/>
      <c r="Q166" s="279"/>
      <c r="R166" s="279"/>
      <c r="S166" s="279"/>
      <c r="T166" s="279"/>
      <c r="U166" s="279"/>
    </row>
    <row r="167" hidden="1" spans="1:21">
      <c r="A167" s="304" t="s">
        <v>384</v>
      </c>
      <c r="B167" s="300" t="s">
        <v>165</v>
      </c>
      <c r="C167" s="171">
        <f>32.45*10</f>
        <v>324.5</v>
      </c>
      <c r="D167" s="171">
        <f>C167/10</f>
        <v>32.45</v>
      </c>
      <c r="E167" s="166"/>
      <c r="F167" s="301"/>
      <c r="G167" s="302"/>
      <c r="H167" s="303"/>
      <c r="I167" s="311"/>
      <c r="J167" s="312"/>
      <c r="K167" s="312"/>
      <c r="L167" s="166"/>
      <c r="M167" s="166"/>
      <c r="N167" s="66">
        <f t="shared" si="9"/>
        <v>0</v>
      </c>
      <c r="O167" s="279"/>
      <c r="P167" s="279"/>
      <c r="Q167" s="279"/>
      <c r="R167" s="279"/>
      <c r="S167" s="279"/>
      <c r="T167" s="279"/>
      <c r="U167" s="279"/>
    </row>
    <row r="168" spans="1:21">
      <c r="A168" s="299" t="s">
        <v>367</v>
      </c>
      <c r="B168" s="300" t="s">
        <v>309</v>
      </c>
      <c r="C168" s="166">
        <f>6*16.63</f>
        <v>99.78</v>
      </c>
      <c r="D168" s="166">
        <f>C168/6</f>
        <v>16.63</v>
      </c>
      <c r="E168" s="166"/>
      <c r="F168" s="301" t="s">
        <v>309</v>
      </c>
      <c r="G168" s="302"/>
      <c r="H168" s="303" t="s">
        <v>67</v>
      </c>
      <c r="I168" s="311"/>
      <c r="J168" s="312" t="s">
        <v>385</v>
      </c>
      <c r="K168" s="312">
        <f>D168*18</f>
        <v>299.34</v>
      </c>
      <c r="L168" s="166"/>
      <c r="M168" s="166"/>
      <c r="N168" s="66">
        <f t="shared" si="9"/>
        <v>0</v>
      </c>
      <c r="O168" s="279"/>
      <c r="P168" s="279"/>
      <c r="Q168" s="279"/>
      <c r="R168" s="279"/>
      <c r="S168" s="279"/>
      <c r="T168" s="279"/>
      <c r="U168" s="279"/>
    </row>
    <row r="169" hidden="1" spans="1:21">
      <c r="A169" s="304" t="s">
        <v>386</v>
      </c>
      <c r="B169" s="300" t="s">
        <v>233</v>
      </c>
      <c r="C169" s="171">
        <v>649</v>
      </c>
      <c r="D169" s="171">
        <v>32.45</v>
      </c>
      <c r="E169" s="171"/>
      <c r="F169" s="301"/>
      <c r="G169" s="302"/>
      <c r="H169" s="303"/>
      <c r="I169" s="311"/>
      <c r="J169" s="312"/>
      <c r="K169" s="312"/>
      <c r="L169" s="166"/>
      <c r="M169" s="166"/>
      <c r="N169" s="66">
        <f t="shared" si="9"/>
        <v>0</v>
      </c>
      <c r="O169" s="279"/>
      <c r="P169" s="279"/>
      <c r="Q169" s="279"/>
      <c r="R169" s="279"/>
      <c r="S169" s="279"/>
      <c r="T169" s="279"/>
      <c r="U169" s="279"/>
    </row>
    <row r="170" spans="1:21">
      <c r="A170" s="299" t="s">
        <v>387</v>
      </c>
      <c r="B170" s="300" t="s">
        <v>388</v>
      </c>
      <c r="C170" s="166">
        <f>51.74*3</f>
        <v>155.22</v>
      </c>
      <c r="D170" s="166">
        <f>C170/3</f>
        <v>51.74</v>
      </c>
      <c r="E170" s="166"/>
      <c r="F170" s="301" t="s">
        <v>54</v>
      </c>
      <c r="G170" s="302"/>
      <c r="H170" s="303"/>
      <c r="I170" s="311"/>
      <c r="J170" s="312" t="str">
        <f>F170</f>
        <v>3 PCS</v>
      </c>
      <c r="K170" s="312">
        <f>D170*3</f>
        <v>155.22</v>
      </c>
      <c r="L170" s="166"/>
      <c r="M170" s="166"/>
      <c r="N170" s="66">
        <f t="shared" si="9"/>
        <v>0</v>
      </c>
      <c r="O170" s="316"/>
      <c r="P170" s="279"/>
      <c r="Q170" s="279"/>
      <c r="R170" s="279"/>
      <c r="S170" s="279"/>
      <c r="T170" s="279"/>
      <c r="U170" s="279"/>
    </row>
    <row r="171" hidden="1" spans="1:21">
      <c r="A171" s="304" t="s">
        <v>389</v>
      </c>
      <c r="B171" s="300" t="s">
        <v>233</v>
      </c>
      <c r="C171" s="171">
        <v>837.6</v>
      </c>
      <c r="D171" s="171">
        <v>41.88</v>
      </c>
      <c r="E171" s="171"/>
      <c r="F171" s="301"/>
      <c r="G171" s="302"/>
      <c r="H171" s="303"/>
      <c r="I171" s="311"/>
      <c r="J171" s="312"/>
      <c r="K171" s="312"/>
      <c r="L171" s="166"/>
      <c r="M171" s="166"/>
      <c r="N171" s="66">
        <f t="shared" si="9"/>
        <v>0</v>
      </c>
      <c r="O171" s="316"/>
      <c r="P171" s="279"/>
      <c r="Q171" s="279"/>
      <c r="R171" s="279"/>
      <c r="S171" s="279"/>
      <c r="T171" s="279"/>
      <c r="U171" s="279"/>
    </row>
    <row r="172" spans="1:21">
      <c r="A172" s="299" t="s">
        <v>390</v>
      </c>
      <c r="B172" s="300" t="s">
        <v>144</v>
      </c>
      <c r="C172" s="166">
        <f>255.47</f>
        <v>255.47</v>
      </c>
      <c r="D172" s="166">
        <f>C172/12</f>
        <v>21.2891666666667</v>
      </c>
      <c r="E172" s="166"/>
      <c r="F172" s="301" t="s">
        <v>67</v>
      </c>
      <c r="G172" s="302"/>
      <c r="H172" s="303"/>
      <c r="I172" s="311"/>
      <c r="J172" s="312" t="str">
        <f>F172</f>
        <v>12 PCS</v>
      </c>
      <c r="K172" s="312">
        <f>D172*12</f>
        <v>255.47</v>
      </c>
      <c r="L172" s="166"/>
      <c r="M172" s="166"/>
      <c r="N172" s="66">
        <f t="shared" si="9"/>
        <v>0</v>
      </c>
      <c r="O172" s="316"/>
      <c r="P172" s="279"/>
      <c r="Q172" s="279"/>
      <c r="R172" s="279"/>
      <c r="S172" s="279"/>
      <c r="T172" s="279"/>
      <c r="U172" s="279"/>
    </row>
    <row r="173" ht="22.5" spans="1:21">
      <c r="A173" s="299" t="s">
        <v>391</v>
      </c>
      <c r="B173" s="300" t="s">
        <v>56</v>
      </c>
      <c r="C173" s="166">
        <v>140.83</v>
      </c>
      <c r="D173" s="166">
        <f>C173/6</f>
        <v>23.4716666666667</v>
      </c>
      <c r="E173" s="166"/>
      <c r="F173" s="315" t="s">
        <v>392</v>
      </c>
      <c r="G173" s="302"/>
      <c r="H173" s="303"/>
      <c r="I173" s="311"/>
      <c r="J173" s="313" t="str">
        <f>F173</f>
        <v>1 PCK (6 STRIPS)</v>
      </c>
      <c r="K173" s="312">
        <f>D173*6</f>
        <v>140.83</v>
      </c>
      <c r="L173" s="166"/>
      <c r="M173" s="166"/>
      <c r="N173" s="66">
        <f t="shared" si="9"/>
        <v>0</v>
      </c>
      <c r="O173" s="316"/>
      <c r="P173" s="279"/>
      <c r="Q173" s="279"/>
      <c r="R173" s="279"/>
      <c r="S173" s="279"/>
      <c r="T173" s="279"/>
      <c r="U173" s="279"/>
    </row>
    <row r="174" ht="22.5" spans="1:21">
      <c r="A174" s="299" t="s">
        <v>393</v>
      </c>
      <c r="B174" s="300" t="s">
        <v>56</v>
      </c>
      <c r="C174" s="166">
        <v>140.83</v>
      </c>
      <c r="D174" s="166">
        <f>C174/6</f>
        <v>23.4716666666667</v>
      </c>
      <c r="E174" s="166"/>
      <c r="F174" s="315" t="s">
        <v>392</v>
      </c>
      <c r="G174" s="302"/>
      <c r="H174" s="303"/>
      <c r="I174" s="311"/>
      <c r="J174" s="313" t="str">
        <f>F174</f>
        <v>1 PCK (6 STRIPS)</v>
      </c>
      <c r="K174" s="312">
        <f>D174*6</f>
        <v>140.83</v>
      </c>
      <c r="L174" s="166"/>
      <c r="M174" s="166"/>
      <c r="N174" s="66">
        <f t="shared" si="9"/>
        <v>0</v>
      </c>
      <c r="O174" s="316"/>
      <c r="P174" s="279"/>
      <c r="Q174" s="279"/>
      <c r="R174" s="279"/>
      <c r="S174" s="279"/>
      <c r="T174" s="279"/>
      <c r="U174" s="279"/>
    </row>
    <row r="175" ht="22.5" spans="1:21">
      <c r="A175" s="299" t="s">
        <v>394</v>
      </c>
      <c r="B175" s="300" t="s">
        <v>56</v>
      </c>
      <c r="C175" s="166">
        <v>140.83</v>
      </c>
      <c r="D175" s="166">
        <f>C175/6</f>
        <v>23.4716666666667</v>
      </c>
      <c r="E175" s="166"/>
      <c r="F175" s="315" t="s">
        <v>392</v>
      </c>
      <c r="G175" s="302"/>
      <c r="H175" s="303"/>
      <c r="I175" s="311"/>
      <c r="J175" s="313" t="str">
        <f>F175</f>
        <v>1 PCK (6 STRIPS)</v>
      </c>
      <c r="K175" s="312">
        <f>D175*6</f>
        <v>140.83</v>
      </c>
      <c r="L175" s="166"/>
      <c r="M175" s="166"/>
      <c r="N175" s="66">
        <f t="shared" si="9"/>
        <v>0</v>
      </c>
      <c r="O175" s="316"/>
      <c r="P175" s="279"/>
      <c r="Q175" s="279"/>
      <c r="R175" s="279"/>
      <c r="S175" s="279"/>
      <c r="T175" s="279"/>
      <c r="U175" s="279"/>
    </row>
    <row r="176" spans="1:21">
      <c r="A176" s="299" t="s">
        <v>395</v>
      </c>
      <c r="B176" s="300" t="s">
        <v>396</v>
      </c>
      <c r="C176" s="166">
        <f>5.31*20</f>
        <v>106.2</v>
      </c>
      <c r="D176" s="166">
        <f>C176/20</f>
        <v>5.31</v>
      </c>
      <c r="E176" s="166">
        <v>6.5</v>
      </c>
      <c r="F176" s="301" t="s">
        <v>233</v>
      </c>
      <c r="G176" s="302"/>
      <c r="H176" s="303" t="s">
        <v>374</v>
      </c>
      <c r="I176" s="311"/>
      <c r="J176" s="312" t="s">
        <v>397</v>
      </c>
      <c r="K176" s="312">
        <f>D176*52</f>
        <v>276.12</v>
      </c>
      <c r="L176" s="166">
        <f>52-M176</f>
        <v>15</v>
      </c>
      <c r="M176" s="166">
        <v>37</v>
      </c>
      <c r="N176" s="66">
        <f t="shared" si="9"/>
        <v>97.5</v>
      </c>
      <c r="O176" s="316"/>
      <c r="P176" s="279"/>
      <c r="Q176" s="279"/>
      <c r="R176" s="279"/>
      <c r="S176" s="279"/>
      <c r="T176" s="279"/>
      <c r="U176" s="279"/>
    </row>
    <row r="177" spans="1:21">
      <c r="A177" s="299" t="s">
        <v>398</v>
      </c>
      <c r="B177" s="300" t="s">
        <v>162</v>
      </c>
      <c r="C177" s="166">
        <f>67.62*3</f>
        <v>202.86</v>
      </c>
      <c r="D177" s="166">
        <f>C177/3</f>
        <v>67.62</v>
      </c>
      <c r="E177" s="166"/>
      <c r="F177" s="301"/>
      <c r="G177" s="302" t="s">
        <v>162</v>
      </c>
      <c r="H177" s="303"/>
      <c r="I177" s="311"/>
      <c r="J177" s="312" t="str">
        <f>G177</f>
        <v>3 BOTTLES</v>
      </c>
      <c r="K177" s="312">
        <f>D177*3</f>
        <v>202.86</v>
      </c>
      <c r="L177" s="166"/>
      <c r="M177" s="166"/>
      <c r="N177" s="66">
        <f t="shared" si="9"/>
        <v>0</v>
      </c>
      <c r="O177" s="316"/>
      <c r="P177" s="279"/>
      <c r="Q177" s="279"/>
      <c r="R177" s="279"/>
      <c r="S177" s="279"/>
      <c r="T177" s="279"/>
      <c r="U177" s="279"/>
    </row>
    <row r="178" spans="1:21">
      <c r="A178" s="299" t="s">
        <v>399</v>
      </c>
      <c r="B178" s="300" t="s">
        <v>233</v>
      </c>
      <c r="C178" s="166">
        <f>5.06*20</f>
        <v>101.2</v>
      </c>
      <c r="D178" s="166">
        <f>C178/20</f>
        <v>5.06</v>
      </c>
      <c r="E178" s="166">
        <v>6.5</v>
      </c>
      <c r="F178" s="301"/>
      <c r="G178" s="302" t="s">
        <v>233</v>
      </c>
      <c r="H178" s="303"/>
      <c r="I178" s="311"/>
      <c r="J178" s="312" t="str">
        <f>G178</f>
        <v>20 TABS</v>
      </c>
      <c r="K178" s="312">
        <f>D178*20</f>
        <v>101.2</v>
      </c>
      <c r="L178" s="166">
        <f>20-M178</f>
        <v>13</v>
      </c>
      <c r="M178" s="166">
        <v>7</v>
      </c>
      <c r="N178" s="66">
        <f t="shared" si="9"/>
        <v>84.5</v>
      </c>
      <c r="O178" s="316"/>
      <c r="P178" s="279"/>
      <c r="Q178" s="279"/>
      <c r="R178" s="279"/>
      <c r="S178" s="279"/>
      <c r="T178" s="279"/>
      <c r="U178" s="279"/>
    </row>
    <row r="179" spans="1:21">
      <c r="A179" s="299" t="s">
        <v>400</v>
      </c>
      <c r="B179" s="300" t="s">
        <v>88</v>
      </c>
      <c r="C179" s="166">
        <v>212</v>
      </c>
      <c r="D179" s="166">
        <v>212</v>
      </c>
      <c r="E179" s="166">
        <v>240</v>
      </c>
      <c r="F179" s="301"/>
      <c r="G179" s="302" t="s">
        <v>88</v>
      </c>
      <c r="H179" s="303"/>
      <c r="I179" s="311"/>
      <c r="J179" s="312" t="str">
        <f>G179</f>
        <v>1 BOTTLE</v>
      </c>
      <c r="K179" s="312">
        <f>D179*1</f>
        <v>212</v>
      </c>
      <c r="L179" s="166"/>
      <c r="M179" s="166">
        <v>1</v>
      </c>
      <c r="N179" s="66">
        <f t="shared" si="9"/>
        <v>0</v>
      </c>
      <c r="O179" s="316"/>
      <c r="P179" s="279"/>
      <c r="Q179" s="279"/>
      <c r="R179" s="279"/>
      <c r="S179" s="279"/>
      <c r="T179" s="279"/>
      <c r="U179" s="279"/>
    </row>
    <row r="180" spans="1:21">
      <c r="A180" s="299" t="s">
        <v>401</v>
      </c>
      <c r="B180" s="300" t="s">
        <v>88</v>
      </c>
      <c r="C180" s="166">
        <v>152.73</v>
      </c>
      <c r="D180" s="166">
        <v>152.73</v>
      </c>
      <c r="E180" s="166">
        <v>159</v>
      </c>
      <c r="F180" s="301"/>
      <c r="G180" s="302" t="s">
        <v>88</v>
      </c>
      <c r="H180" s="303"/>
      <c r="I180" s="311"/>
      <c r="J180" s="312" t="str">
        <f>G180</f>
        <v>1 BOTTLE</v>
      </c>
      <c r="K180" s="312">
        <f>D180*1</f>
        <v>152.73</v>
      </c>
      <c r="L180" s="166"/>
      <c r="M180" s="166">
        <v>1</v>
      </c>
      <c r="N180" s="66">
        <f t="shared" si="9"/>
        <v>0</v>
      </c>
      <c r="O180" s="316"/>
      <c r="P180" s="279"/>
      <c r="Q180" s="279"/>
      <c r="R180" s="279"/>
      <c r="S180" s="279"/>
      <c r="T180" s="279"/>
      <c r="U180" s="279"/>
    </row>
    <row r="181" spans="1:21">
      <c r="A181" s="299" t="s">
        <v>402</v>
      </c>
      <c r="B181" s="300" t="s">
        <v>164</v>
      </c>
      <c r="C181" s="166">
        <f>28.58*10</f>
        <v>285.8</v>
      </c>
      <c r="D181" s="166">
        <f>C181/10</f>
        <v>28.58</v>
      </c>
      <c r="E181" s="166">
        <v>33</v>
      </c>
      <c r="F181" s="301" t="s">
        <v>165</v>
      </c>
      <c r="G181" s="302"/>
      <c r="H181" s="303"/>
      <c r="I181" s="311"/>
      <c r="J181" s="312" t="str">
        <f>F181</f>
        <v>10 TABS</v>
      </c>
      <c r="K181" s="312">
        <f>D181*10</f>
        <v>285.8</v>
      </c>
      <c r="L181" s="166"/>
      <c r="M181" s="166">
        <v>10</v>
      </c>
      <c r="N181" s="66">
        <f t="shared" si="9"/>
        <v>0</v>
      </c>
      <c r="O181" s="316"/>
      <c r="P181" s="279"/>
      <c r="Q181" s="279"/>
      <c r="R181" s="279"/>
      <c r="S181" s="279"/>
      <c r="T181" s="279"/>
      <c r="U181" s="279"/>
    </row>
    <row r="182" spans="1:21">
      <c r="A182" s="299" t="s">
        <v>386</v>
      </c>
      <c r="B182" s="300" t="s">
        <v>164</v>
      </c>
      <c r="C182" s="166">
        <f>32.45*10</f>
        <v>324.5</v>
      </c>
      <c r="D182" s="166">
        <f>C182/10</f>
        <v>32.45</v>
      </c>
      <c r="E182" s="166">
        <v>39</v>
      </c>
      <c r="F182" s="301" t="s">
        <v>165</v>
      </c>
      <c r="G182" s="302" t="s">
        <v>165</v>
      </c>
      <c r="H182" s="303" t="s">
        <v>233</v>
      </c>
      <c r="I182" s="311"/>
      <c r="J182" s="312" t="s">
        <v>167</v>
      </c>
      <c r="K182" s="312">
        <f>D182*40</f>
        <v>1298</v>
      </c>
      <c r="L182" s="166">
        <f>40-M182</f>
        <v>10</v>
      </c>
      <c r="M182" s="166">
        <v>30</v>
      </c>
      <c r="N182" s="66">
        <f t="shared" si="9"/>
        <v>390</v>
      </c>
      <c r="O182" s="316"/>
      <c r="P182" s="279"/>
      <c r="Q182" s="279"/>
      <c r="R182" s="279"/>
      <c r="S182" s="279"/>
      <c r="T182" s="279"/>
      <c r="U182" s="279"/>
    </row>
    <row r="183" spans="1:21">
      <c r="A183" s="299" t="s">
        <v>389</v>
      </c>
      <c r="B183" s="300" t="s">
        <v>167</v>
      </c>
      <c r="C183" s="166">
        <f>40*41.88</f>
        <v>1675.2</v>
      </c>
      <c r="D183" s="166">
        <f>C183/40</f>
        <v>41.88</v>
      </c>
      <c r="E183" s="166">
        <v>52</v>
      </c>
      <c r="F183" s="301"/>
      <c r="G183" s="302" t="s">
        <v>167</v>
      </c>
      <c r="H183" s="303" t="s">
        <v>233</v>
      </c>
      <c r="I183" s="311"/>
      <c r="J183" s="312" t="s">
        <v>230</v>
      </c>
      <c r="K183" s="312">
        <f>D183*60</f>
        <v>2512.8</v>
      </c>
      <c r="L183" s="166">
        <f>60-M183</f>
        <v>30</v>
      </c>
      <c r="M183" s="166">
        <v>30</v>
      </c>
      <c r="N183" s="66">
        <f t="shared" si="9"/>
        <v>1560</v>
      </c>
      <c r="O183" s="316"/>
      <c r="P183" s="279"/>
      <c r="Q183" s="279"/>
      <c r="R183" s="279"/>
      <c r="S183" s="279"/>
      <c r="T183" s="279"/>
      <c r="U183" s="279"/>
    </row>
    <row r="184" spans="1:21">
      <c r="A184" s="299" t="s">
        <v>403</v>
      </c>
      <c r="B184" s="300" t="s">
        <v>162</v>
      </c>
      <c r="C184" s="166">
        <f>56.19*3</f>
        <v>168.57</v>
      </c>
      <c r="D184" s="166">
        <f>C184/3</f>
        <v>56.19</v>
      </c>
      <c r="E184" s="166"/>
      <c r="F184" s="301"/>
      <c r="G184" s="302" t="s">
        <v>54</v>
      </c>
      <c r="H184" s="303"/>
      <c r="I184" s="311"/>
      <c r="J184" s="312" t="str">
        <f>G184</f>
        <v>3 PCS</v>
      </c>
      <c r="K184" s="312">
        <f>D184*3</f>
        <v>168.57</v>
      </c>
      <c r="L184" s="166"/>
      <c r="M184" s="166"/>
      <c r="N184" s="66">
        <f t="shared" si="9"/>
        <v>0</v>
      </c>
      <c r="O184" s="316"/>
      <c r="P184" s="279"/>
      <c r="Q184" s="279"/>
      <c r="R184" s="279"/>
      <c r="S184" s="279"/>
      <c r="T184" s="279"/>
      <c r="U184" s="279"/>
    </row>
    <row r="185" spans="1:21">
      <c r="A185" s="299" t="s">
        <v>404</v>
      </c>
      <c r="B185" s="300" t="s">
        <v>162</v>
      </c>
      <c r="C185" s="166">
        <f>56.19*3</f>
        <v>168.57</v>
      </c>
      <c r="D185" s="166">
        <f>C185/3</f>
        <v>56.19</v>
      </c>
      <c r="E185" s="166"/>
      <c r="F185" s="301"/>
      <c r="G185" s="302" t="s">
        <v>54</v>
      </c>
      <c r="H185" s="303"/>
      <c r="I185" s="311"/>
      <c r="J185" s="312" t="str">
        <f>G185</f>
        <v>3 PCS</v>
      </c>
      <c r="K185" s="312">
        <f>D185*3</f>
        <v>168.57</v>
      </c>
      <c r="L185" s="166"/>
      <c r="M185" s="166"/>
      <c r="N185" s="66">
        <f t="shared" si="9"/>
        <v>0</v>
      </c>
      <c r="O185" s="316"/>
      <c r="P185" s="279"/>
      <c r="Q185" s="279"/>
      <c r="R185" s="279"/>
      <c r="S185" s="279"/>
      <c r="T185" s="279"/>
      <c r="U185" s="279"/>
    </row>
    <row r="186" spans="1:21">
      <c r="A186" s="299" t="s">
        <v>405</v>
      </c>
      <c r="B186" s="300" t="s">
        <v>233</v>
      </c>
      <c r="C186" s="166">
        <f>10.32*20</f>
        <v>206.4</v>
      </c>
      <c r="D186" s="166">
        <f>C186/20</f>
        <v>10.32</v>
      </c>
      <c r="E186" s="166">
        <v>13</v>
      </c>
      <c r="F186" s="301"/>
      <c r="G186" s="302" t="s">
        <v>233</v>
      </c>
      <c r="H186" s="303"/>
      <c r="I186" s="311"/>
      <c r="J186" s="312" t="str">
        <f>G186</f>
        <v>20 TABS</v>
      </c>
      <c r="K186" s="312">
        <f>D186*20</f>
        <v>206.4</v>
      </c>
      <c r="L186" s="166"/>
      <c r="M186" s="166">
        <v>20</v>
      </c>
      <c r="N186" s="66">
        <f t="shared" si="9"/>
        <v>0</v>
      </c>
      <c r="O186" s="316"/>
      <c r="P186" s="279"/>
      <c r="Q186" s="279"/>
      <c r="R186" s="279"/>
      <c r="S186" s="279"/>
      <c r="T186" s="279"/>
      <c r="U186" s="279"/>
    </row>
    <row r="187" spans="1:21">
      <c r="A187" s="299" t="s">
        <v>406</v>
      </c>
      <c r="B187" s="300" t="s">
        <v>236</v>
      </c>
      <c r="C187" s="166">
        <f>31.31*12</f>
        <v>375.72</v>
      </c>
      <c r="D187" s="166">
        <f>C187/12</f>
        <v>31.31</v>
      </c>
      <c r="E187" s="166">
        <v>35</v>
      </c>
      <c r="F187" s="301"/>
      <c r="G187" s="302" t="s">
        <v>236</v>
      </c>
      <c r="H187" s="303"/>
      <c r="I187" s="311"/>
      <c r="J187" s="312" t="str">
        <f>G187</f>
        <v>12 TABS</v>
      </c>
      <c r="K187" s="312">
        <f>D187*12</f>
        <v>375.72</v>
      </c>
      <c r="L187" s="166"/>
      <c r="M187" s="166">
        <v>12</v>
      </c>
      <c r="N187" s="66">
        <f t="shared" si="9"/>
        <v>0</v>
      </c>
      <c r="O187" s="316"/>
      <c r="P187" s="279"/>
      <c r="Q187" s="279"/>
      <c r="R187" s="279"/>
      <c r="S187" s="279"/>
      <c r="T187" s="279"/>
      <c r="U187" s="279"/>
    </row>
    <row r="188" spans="1:21">
      <c r="A188" s="299" t="s">
        <v>407</v>
      </c>
      <c r="B188" s="300" t="s">
        <v>396</v>
      </c>
      <c r="C188" s="166">
        <f>8.13*20</f>
        <v>162.6</v>
      </c>
      <c r="D188" s="166">
        <f>C188/20</f>
        <v>8.13</v>
      </c>
      <c r="E188" s="166">
        <v>9.5</v>
      </c>
      <c r="F188" s="301" t="s">
        <v>233</v>
      </c>
      <c r="G188" s="302"/>
      <c r="H188" s="303"/>
      <c r="I188" s="311"/>
      <c r="J188" s="312" t="str">
        <f>F188</f>
        <v>20 TABS</v>
      </c>
      <c r="K188" s="312">
        <f>D188*20</f>
        <v>162.6</v>
      </c>
      <c r="L188" s="166">
        <f>20-M188</f>
        <v>6</v>
      </c>
      <c r="M188" s="166">
        <v>14</v>
      </c>
      <c r="N188" s="66">
        <f t="shared" si="9"/>
        <v>57</v>
      </c>
      <c r="O188" s="316"/>
      <c r="P188" s="279"/>
      <c r="Q188" s="279"/>
      <c r="R188" s="279"/>
      <c r="S188" s="279"/>
      <c r="T188" s="279"/>
      <c r="U188" s="279"/>
    </row>
    <row r="189" spans="1:21">
      <c r="A189" s="299" t="s">
        <v>408</v>
      </c>
      <c r="B189" s="300" t="s">
        <v>409</v>
      </c>
      <c r="C189" s="166">
        <f>71.45*28</f>
        <v>2000.6</v>
      </c>
      <c r="D189" s="166">
        <f>C189/28</f>
        <v>71.45</v>
      </c>
      <c r="E189" s="166">
        <v>82</v>
      </c>
      <c r="F189" s="301"/>
      <c r="G189" s="302" t="s">
        <v>409</v>
      </c>
      <c r="H189" s="303"/>
      <c r="I189" s="311"/>
      <c r="J189" s="312" t="str">
        <f>G189</f>
        <v>28 CAPS</v>
      </c>
      <c r="K189" s="312">
        <f>D189*28</f>
        <v>2000.6</v>
      </c>
      <c r="L189" s="166"/>
      <c r="M189" s="166">
        <v>28</v>
      </c>
      <c r="N189" s="66">
        <f t="shared" si="9"/>
        <v>0</v>
      </c>
      <c r="O189" s="316"/>
      <c r="P189" s="279"/>
      <c r="Q189" s="279"/>
      <c r="R189" s="279"/>
      <c r="S189" s="279"/>
      <c r="T189" s="279"/>
      <c r="U189" s="279"/>
    </row>
    <row r="190" spans="1:21">
      <c r="A190" s="299" t="s">
        <v>410</v>
      </c>
      <c r="B190" s="300" t="s">
        <v>164</v>
      </c>
      <c r="C190" s="166">
        <f>8.54*10</f>
        <v>85.4</v>
      </c>
      <c r="D190" s="166">
        <f>C190/10</f>
        <v>8.54</v>
      </c>
      <c r="E190" s="166">
        <v>10</v>
      </c>
      <c r="F190" s="301" t="s">
        <v>165</v>
      </c>
      <c r="G190" s="302"/>
      <c r="H190" s="303"/>
      <c r="I190" s="311"/>
      <c r="J190" s="312" t="str">
        <f t="shared" ref="J190:J213" si="14">F190</f>
        <v>10 TABS</v>
      </c>
      <c r="K190" s="312">
        <f>D190*10</f>
        <v>85.4</v>
      </c>
      <c r="L190" s="166">
        <f>10-M190</f>
        <v>2</v>
      </c>
      <c r="M190" s="166">
        <v>8</v>
      </c>
      <c r="N190" s="66">
        <f t="shared" si="9"/>
        <v>20</v>
      </c>
      <c r="O190" s="316"/>
      <c r="P190" s="279"/>
      <c r="Q190" s="279"/>
      <c r="R190" s="279"/>
      <c r="S190" s="279"/>
      <c r="T190" s="279"/>
      <c r="U190" s="279"/>
    </row>
    <row r="191" spans="1:21">
      <c r="A191" s="299" t="s">
        <v>411</v>
      </c>
      <c r="B191" s="300" t="s">
        <v>164</v>
      </c>
      <c r="C191" s="166">
        <f>10*10.42</f>
        <v>104.2</v>
      </c>
      <c r="D191" s="166">
        <f>C191/10</f>
        <v>10.42</v>
      </c>
      <c r="E191" s="166">
        <v>12</v>
      </c>
      <c r="F191" s="301" t="s">
        <v>165</v>
      </c>
      <c r="G191" s="302"/>
      <c r="H191" s="303"/>
      <c r="I191" s="311"/>
      <c r="J191" s="312" t="str">
        <f t="shared" si="14"/>
        <v>10 TABS</v>
      </c>
      <c r="K191" s="312">
        <f>D191*10</f>
        <v>104.2</v>
      </c>
      <c r="L191" s="166"/>
      <c r="M191" s="166">
        <v>10</v>
      </c>
      <c r="N191" s="66">
        <f t="shared" si="9"/>
        <v>0</v>
      </c>
      <c r="O191" s="316"/>
      <c r="P191" s="279"/>
      <c r="Q191" s="279"/>
      <c r="R191" s="279"/>
      <c r="S191" s="279"/>
      <c r="T191" s="279"/>
      <c r="U191" s="279"/>
    </row>
    <row r="192" spans="1:21">
      <c r="A192" s="299" t="s">
        <v>412</v>
      </c>
      <c r="B192" s="300" t="s">
        <v>309</v>
      </c>
      <c r="C192" s="166">
        <f>13*6</f>
        <v>78</v>
      </c>
      <c r="D192" s="166">
        <f>C192/6</f>
        <v>13</v>
      </c>
      <c r="E192" s="166">
        <v>18</v>
      </c>
      <c r="F192" s="301" t="s">
        <v>309</v>
      </c>
      <c r="G192" s="302"/>
      <c r="H192" s="303"/>
      <c r="I192" s="311"/>
      <c r="J192" s="312" t="str">
        <f t="shared" si="14"/>
        <v>6 PCS</v>
      </c>
      <c r="K192" s="312">
        <f>D192*6</f>
        <v>78</v>
      </c>
      <c r="L192" s="166">
        <f>6-6</f>
        <v>0</v>
      </c>
      <c r="M192" s="166">
        <v>6</v>
      </c>
      <c r="N192" s="66">
        <f t="shared" si="9"/>
        <v>0</v>
      </c>
      <c r="O192" s="316"/>
      <c r="P192" s="279"/>
      <c r="Q192" s="279"/>
      <c r="R192" s="279"/>
      <c r="S192" s="279"/>
      <c r="T192" s="279"/>
      <c r="U192" s="279"/>
    </row>
    <row r="193" spans="1:21">
      <c r="A193" s="299" t="s">
        <v>413</v>
      </c>
      <c r="B193" s="300" t="s">
        <v>54</v>
      </c>
      <c r="C193" s="166">
        <f>19.69*3</f>
        <v>59.07</v>
      </c>
      <c r="D193" s="166">
        <f t="shared" ref="D193:D202" si="15">C193/3</f>
        <v>19.69</v>
      </c>
      <c r="E193" s="166">
        <v>25</v>
      </c>
      <c r="F193" s="301" t="s">
        <v>54</v>
      </c>
      <c r="G193" s="302"/>
      <c r="H193" s="303"/>
      <c r="I193" s="311"/>
      <c r="J193" s="312" t="str">
        <f t="shared" si="14"/>
        <v>3 PCS</v>
      </c>
      <c r="K193" s="312">
        <f>D193*3</f>
        <v>59.07</v>
      </c>
      <c r="L193" s="166">
        <f>3-2</f>
        <v>1</v>
      </c>
      <c r="M193" s="166">
        <v>2</v>
      </c>
      <c r="N193" s="66">
        <f t="shared" si="9"/>
        <v>25</v>
      </c>
      <c r="O193" s="316"/>
      <c r="P193" s="279"/>
      <c r="Q193" s="279"/>
      <c r="R193" s="279"/>
      <c r="S193" s="279"/>
      <c r="T193" s="279"/>
      <c r="U193" s="279"/>
    </row>
    <row r="194" spans="1:21">
      <c r="A194" s="299" t="s">
        <v>414</v>
      </c>
      <c r="B194" s="300" t="s">
        <v>162</v>
      </c>
      <c r="C194" s="166">
        <f>21.13*3</f>
        <v>63.39</v>
      </c>
      <c r="D194" s="166">
        <f t="shared" si="15"/>
        <v>21.13</v>
      </c>
      <c r="E194" s="166"/>
      <c r="F194" s="301" t="s">
        <v>54</v>
      </c>
      <c r="G194" s="302"/>
      <c r="H194" s="303"/>
      <c r="I194" s="311"/>
      <c r="J194" s="312" t="str">
        <f t="shared" si="14"/>
        <v>3 PCS</v>
      </c>
      <c r="K194" s="312">
        <f t="shared" ref="K194:K202" si="16">D194*3</f>
        <v>63.39</v>
      </c>
      <c r="L194" s="166"/>
      <c r="M194" s="166"/>
      <c r="N194" s="66">
        <f t="shared" si="9"/>
        <v>0</v>
      </c>
      <c r="O194" s="316"/>
      <c r="P194" s="279"/>
      <c r="Q194" s="279"/>
      <c r="R194" s="279"/>
      <c r="S194" s="279"/>
      <c r="T194" s="279"/>
      <c r="U194" s="279"/>
    </row>
    <row r="195" spans="1:21">
      <c r="A195" s="299" t="s">
        <v>415</v>
      </c>
      <c r="B195" s="300" t="s">
        <v>382</v>
      </c>
      <c r="C195" s="166">
        <f>30.73*3</f>
        <v>92.19</v>
      </c>
      <c r="D195" s="166">
        <f t="shared" si="15"/>
        <v>30.73</v>
      </c>
      <c r="E195" s="166"/>
      <c r="F195" s="301" t="s">
        <v>54</v>
      </c>
      <c r="G195" s="302"/>
      <c r="H195" s="303"/>
      <c r="I195" s="311"/>
      <c r="J195" s="312" t="str">
        <f t="shared" si="14"/>
        <v>3 PCS</v>
      </c>
      <c r="K195" s="312">
        <f t="shared" si="16"/>
        <v>92.19</v>
      </c>
      <c r="L195" s="166"/>
      <c r="M195" s="166"/>
      <c r="N195" s="66">
        <f t="shared" si="9"/>
        <v>0</v>
      </c>
      <c r="O195" s="316"/>
      <c r="P195" s="279"/>
      <c r="Q195" s="279"/>
      <c r="R195" s="279"/>
      <c r="S195" s="279"/>
      <c r="T195" s="279"/>
      <c r="U195" s="279"/>
    </row>
    <row r="196" spans="1:21">
      <c r="A196" s="299" t="s">
        <v>416</v>
      </c>
      <c r="B196" s="300" t="s">
        <v>54</v>
      </c>
      <c r="C196" s="166">
        <f>3*51.86</f>
        <v>155.58</v>
      </c>
      <c r="D196" s="166">
        <f t="shared" si="15"/>
        <v>51.86</v>
      </c>
      <c r="E196" s="166"/>
      <c r="F196" s="301" t="s">
        <v>54</v>
      </c>
      <c r="G196" s="302"/>
      <c r="H196" s="303"/>
      <c r="I196" s="311"/>
      <c r="J196" s="312" t="str">
        <f t="shared" si="14"/>
        <v>3 PCS</v>
      </c>
      <c r="K196" s="312">
        <f t="shared" si="16"/>
        <v>155.58</v>
      </c>
      <c r="L196" s="166"/>
      <c r="M196" s="166"/>
      <c r="N196" s="66">
        <f t="shared" ref="N196:N259" si="17">L196*E196</f>
        <v>0</v>
      </c>
      <c r="O196" s="316"/>
      <c r="P196" s="279"/>
      <c r="Q196" s="279"/>
      <c r="R196" s="279"/>
      <c r="S196" s="279"/>
      <c r="T196" s="279"/>
      <c r="U196" s="279"/>
    </row>
    <row r="197" spans="1:21">
      <c r="A197" s="299" t="s">
        <v>417</v>
      </c>
      <c r="B197" s="300" t="s">
        <v>162</v>
      </c>
      <c r="C197" s="166">
        <f>22.33*3</f>
        <v>66.99</v>
      </c>
      <c r="D197" s="166">
        <f t="shared" si="15"/>
        <v>22.33</v>
      </c>
      <c r="E197" s="166"/>
      <c r="F197" s="301" t="s">
        <v>54</v>
      </c>
      <c r="G197" s="302"/>
      <c r="H197" s="303"/>
      <c r="I197" s="311"/>
      <c r="J197" s="312" t="str">
        <f t="shared" si="14"/>
        <v>3 PCS</v>
      </c>
      <c r="K197" s="312">
        <f t="shared" si="16"/>
        <v>66.99</v>
      </c>
      <c r="L197" s="166"/>
      <c r="M197" s="166"/>
      <c r="N197" s="66">
        <f t="shared" si="17"/>
        <v>0</v>
      </c>
      <c r="O197" s="316"/>
      <c r="P197" s="279"/>
      <c r="Q197" s="279"/>
      <c r="R197" s="279"/>
      <c r="S197" s="279"/>
      <c r="T197" s="279"/>
      <c r="U197" s="279"/>
    </row>
    <row r="198" spans="1:21">
      <c r="A198" s="299" t="s">
        <v>418</v>
      </c>
      <c r="B198" s="300" t="s">
        <v>162</v>
      </c>
      <c r="C198" s="166">
        <f>32.65*3</f>
        <v>97.95</v>
      </c>
      <c r="D198" s="166">
        <f t="shared" si="15"/>
        <v>32.65</v>
      </c>
      <c r="E198" s="166"/>
      <c r="F198" s="301" t="s">
        <v>54</v>
      </c>
      <c r="G198" s="302"/>
      <c r="H198" s="303"/>
      <c r="I198" s="311"/>
      <c r="J198" s="312" t="str">
        <f t="shared" si="14"/>
        <v>3 PCS</v>
      </c>
      <c r="K198" s="312">
        <f t="shared" si="16"/>
        <v>97.95</v>
      </c>
      <c r="L198" s="166"/>
      <c r="M198" s="166"/>
      <c r="N198" s="66">
        <f t="shared" si="17"/>
        <v>0</v>
      </c>
      <c r="O198" s="316"/>
      <c r="P198" s="279"/>
      <c r="Q198" s="279"/>
      <c r="R198" s="279"/>
      <c r="S198" s="279"/>
      <c r="T198" s="279"/>
      <c r="U198" s="279"/>
    </row>
    <row r="199" spans="1:21">
      <c r="A199" s="299" t="s">
        <v>419</v>
      </c>
      <c r="B199" s="300" t="s">
        <v>162</v>
      </c>
      <c r="C199" s="166">
        <f>56.42*3</f>
        <v>169.26</v>
      </c>
      <c r="D199" s="166">
        <f t="shared" si="15"/>
        <v>56.42</v>
      </c>
      <c r="E199" s="166"/>
      <c r="F199" s="301" t="s">
        <v>54</v>
      </c>
      <c r="G199" s="302"/>
      <c r="H199" s="303"/>
      <c r="I199" s="311"/>
      <c r="J199" s="312" t="str">
        <f t="shared" si="14"/>
        <v>3 PCS</v>
      </c>
      <c r="K199" s="312">
        <f t="shared" si="16"/>
        <v>169.26</v>
      </c>
      <c r="L199" s="166"/>
      <c r="M199" s="166"/>
      <c r="N199" s="66">
        <f t="shared" si="17"/>
        <v>0</v>
      </c>
      <c r="O199" s="316"/>
      <c r="P199" s="279"/>
      <c r="Q199" s="279"/>
      <c r="R199" s="279"/>
      <c r="S199" s="279"/>
      <c r="T199" s="279"/>
      <c r="U199" s="279"/>
    </row>
    <row r="200" spans="1:21">
      <c r="A200" s="299" t="s">
        <v>420</v>
      </c>
      <c r="B200" s="300" t="s">
        <v>162</v>
      </c>
      <c r="C200" s="166">
        <f>24.51*3</f>
        <v>73.53</v>
      </c>
      <c r="D200" s="166">
        <f t="shared" si="15"/>
        <v>24.51</v>
      </c>
      <c r="E200" s="166"/>
      <c r="F200" s="301" t="s">
        <v>54</v>
      </c>
      <c r="G200" s="302"/>
      <c r="H200" s="303"/>
      <c r="I200" s="311"/>
      <c r="J200" s="312" t="str">
        <f t="shared" si="14"/>
        <v>3 PCS</v>
      </c>
      <c r="K200" s="312">
        <f t="shared" si="16"/>
        <v>73.53</v>
      </c>
      <c r="L200" s="166"/>
      <c r="M200" s="166"/>
      <c r="N200" s="66">
        <f t="shared" si="17"/>
        <v>0</v>
      </c>
      <c r="O200" s="316"/>
      <c r="P200" s="279"/>
      <c r="Q200" s="279"/>
      <c r="R200" s="279"/>
      <c r="S200" s="279"/>
      <c r="T200" s="279"/>
      <c r="U200" s="279"/>
    </row>
    <row r="201" spans="1:21">
      <c r="A201" s="299" t="s">
        <v>421</v>
      </c>
      <c r="B201" s="300" t="s">
        <v>162</v>
      </c>
      <c r="C201" s="166">
        <f>35.77*3</f>
        <v>107.31</v>
      </c>
      <c r="D201" s="166">
        <f t="shared" si="15"/>
        <v>35.77</v>
      </c>
      <c r="E201" s="166"/>
      <c r="F201" s="301" t="s">
        <v>54</v>
      </c>
      <c r="G201" s="302"/>
      <c r="H201" s="303"/>
      <c r="I201" s="311"/>
      <c r="J201" s="312" t="str">
        <f t="shared" si="14"/>
        <v>3 PCS</v>
      </c>
      <c r="K201" s="312">
        <f t="shared" si="16"/>
        <v>107.31</v>
      </c>
      <c r="L201" s="166"/>
      <c r="M201" s="166"/>
      <c r="N201" s="66">
        <f t="shared" si="17"/>
        <v>0</v>
      </c>
      <c r="O201" s="316"/>
      <c r="P201" s="279"/>
      <c r="Q201" s="279"/>
      <c r="R201" s="279"/>
      <c r="S201" s="279"/>
      <c r="T201" s="279"/>
      <c r="U201" s="279"/>
    </row>
    <row r="202" spans="1:21">
      <c r="A202" s="299" t="s">
        <v>422</v>
      </c>
      <c r="B202" s="300" t="s">
        <v>162</v>
      </c>
      <c r="C202" s="166">
        <f>60.51*3</f>
        <v>181.53</v>
      </c>
      <c r="D202" s="166">
        <f t="shared" si="15"/>
        <v>60.51</v>
      </c>
      <c r="E202" s="166"/>
      <c r="F202" s="301" t="s">
        <v>54</v>
      </c>
      <c r="G202" s="302"/>
      <c r="H202" s="303"/>
      <c r="I202" s="311"/>
      <c r="J202" s="312" t="str">
        <f t="shared" si="14"/>
        <v>3 PCS</v>
      </c>
      <c r="K202" s="312">
        <f t="shared" si="16"/>
        <v>181.53</v>
      </c>
      <c r="L202" s="166"/>
      <c r="M202" s="166"/>
      <c r="N202" s="66">
        <f t="shared" si="17"/>
        <v>0</v>
      </c>
      <c r="O202" s="316"/>
      <c r="P202" s="279"/>
      <c r="Q202" s="279"/>
      <c r="R202" s="279"/>
      <c r="S202" s="279"/>
      <c r="T202" s="279"/>
      <c r="U202" s="279"/>
    </row>
    <row r="203" spans="1:21">
      <c r="A203" s="299" t="s">
        <v>423</v>
      </c>
      <c r="B203" s="300" t="s">
        <v>271</v>
      </c>
      <c r="C203" s="166">
        <f>20*4.93</f>
        <v>98.6</v>
      </c>
      <c r="D203" s="166">
        <f>C203/20</f>
        <v>4.93</v>
      </c>
      <c r="E203" s="166"/>
      <c r="F203" s="301" t="s">
        <v>156</v>
      </c>
      <c r="G203" s="302"/>
      <c r="H203" s="303"/>
      <c r="I203" s="311"/>
      <c r="J203" s="312" t="str">
        <f t="shared" si="14"/>
        <v>20 CAPS</v>
      </c>
      <c r="K203" s="312">
        <f>D203*20</f>
        <v>98.6</v>
      </c>
      <c r="L203" s="166"/>
      <c r="M203" s="166"/>
      <c r="N203" s="66">
        <f t="shared" si="17"/>
        <v>0</v>
      </c>
      <c r="O203" s="316"/>
      <c r="P203" s="279"/>
      <c r="Q203" s="279"/>
      <c r="R203" s="279"/>
      <c r="S203" s="279"/>
      <c r="T203" s="279"/>
      <c r="U203" s="279"/>
    </row>
    <row r="204" ht="22.5" spans="1:21">
      <c r="A204" s="299" t="s">
        <v>424</v>
      </c>
      <c r="B204" s="300" t="s">
        <v>56</v>
      </c>
      <c r="C204" s="166">
        <f>88.83</f>
        <v>88.83</v>
      </c>
      <c r="D204" s="166">
        <f>C204/100</f>
        <v>0.8883</v>
      </c>
      <c r="E204" s="166"/>
      <c r="F204" s="315" t="s">
        <v>425</v>
      </c>
      <c r="G204" s="302"/>
      <c r="H204" s="303"/>
      <c r="I204" s="311"/>
      <c r="J204" s="313" t="str">
        <f t="shared" si="14"/>
        <v>1 BOX ( 100 PCS)</v>
      </c>
      <c r="K204" s="312">
        <f>D204*100</f>
        <v>88.83</v>
      </c>
      <c r="L204" s="166"/>
      <c r="M204" s="166"/>
      <c r="N204" s="66">
        <f t="shared" si="17"/>
        <v>0</v>
      </c>
      <c r="O204" s="316"/>
      <c r="P204" s="279"/>
      <c r="Q204" s="279"/>
      <c r="R204" s="279"/>
      <c r="S204" s="279"/>
      <c r="T204" s="279"/>
      <c r="U204" s="279"/>
    </row>
    <row r="205" spans="1:21">
      <c r="A205" s="299" t="s">
        <v>426</v>
      </c>
      <c r="B205" s="300" t="s">
        <v>144</v>
      </c>
      <c r="C205" s="166">
        <v>214.5</v>
      </c>
      <c r="D205" s="166">
        <f>C205/12</f>
        <v>17.875</v>
      </c>
      <c r="E205" s="166"/>
      <c r="F205" s="301" t="s">
        <v>67</v>
      </c>
      <c r="G205" s="302"/>
      <c r="H205" s="303"/>
      <c r="I205" s="311"/>
      <c r="J205" s="312" t="str">
        <f t="shared" si="14"/>
        <v>12 PCS</v>
      </c>
      <c r="K205" s="312">
        <f>D205*12</f>
        <v>214.5</v>
      </c>
      <c r="L205" s="166"/>
      <c r="M205" s="166"/>
      <c r="N205" s="66">
        <f t="shared" si="17"/>
        <v>0</v>
      </c>
      <c r="O205" s="316"/>
      <c r="P205" s="279"/>
      <c r="Q205" s="279"/>
      <c r="R205" s="279"/>
      <c r="S205" s="279"/>
      <c r="T205" s="279"/>
      <c r="U205" s="279"/>
    </row>
    <row r="206" spans="1:21">
      <c r="A206" s="299" t="s">
        <v>427</v>
      </c>
      <c r="B206" s="300" t="s">
        <v>313</v>
      </c>
      <c r="C206" s="166">
        <v>699.93</v>
      </c>
      <c r="D206" s="166">
        <f>C206/30</f>
        <v>23.331</v>
      </c>
      <c r="E206" s="166"/>
      <c r="F206" s="301" t="s">
        <v>166</v>
      </c>
      <c r="G206" s="302"/>
      <c r="H206" s="303"/>
      <c r="I206" s="311"/>
      <c r="J206" s="312" t="str">
        <f t="shared" si="14"/>
        <v>30 TABS</v>
      </c>
      <c r="K206" s="312">
        <f>D206*30</f>
        <v>699.93</v>
      </c>
      <c r="L206" s="166"/>
      <c r="M206" s="166"/>
      <c r="N206" s="66">
        <f t="shared" si="17"/>
        <v>0</v>
      </c>
      <c r="O206" s="316"/>
      <c r="P206" s="279"/>
      <c r="Q206" s="279"/>
      <c r="R206" s="279"/>
      <c r="S206" s="279"/>
      <c r="T206" s="279"/>
      <c r="U206" s="279"/>
    </row>
    <row r="207" spans="1:21">
      <c r="A207" s="299" t="s">
        <v>428</v>
      </c>
      <c r="B207" s="300" t="s">
        <v>313</v>
      </c>
      <c r="C207" s="166">
        <v>1224</v>
      </c>
      <c r="D207" s="166">
        <f>C207/30</f>
        <v>40.8</v>
      </c>
      <c r="E207" s="166"/>
      <c r="F207" s="301" t="s">
        <v>166</v>
      </c>
      <c r="G207" s="302"/>
      <c r="H207" s="303"/>
      <c r="I207" s="311"/>
      <c r="J207" s="312" t="str">
        <f t="shared" si="14"/>
        <v>30 TABS</v>
      </c>
      <c r="K207" s="312">
        <f>D207*30</f>
        <v>1224</v>
      </c>
      <c r="L207" s="166"/>
      <c r="M207" s="166"/>
      <c r="N207" s="66">
        <f t="shared" si="17"/>
        <v>0</v>
      </c>
      <c r="O207" s="316"/>
      <c r="P207" s="279"/>
      <c r="Q207" s="279"/>
      <c r="R207" s="279"/>
      <c r="S207" s="279"/>
      <c r="T207" s="279"/>
      <c r="U207" s="279"/>
    </row>
    <row r="208" spans="1:21">
      <c r="A208" s="299" t="s">
        <v>429</v>
      </c>
      <c r="B208" s="300" t="s">
        <v>313</v>
      </c>
      <c r="C208" s="166">
        <v>699.93</v>
      </c>
      <c r="D208" s="166">
        <f>C208/30</f>
        <v>23.331</v>
      </c>
      <c r="E208" s="166"/>
      <c r="F208" s="301" t="s">
        <v>166</v>
      </c>
      <c r="G208" s="302"/>
      <c r="H208" s="303"/>
      <c r="I208" s="311"/>
      <c r="J208" s="312" t="str">
        <f t="shared" si="14"/>
        <v>30 TABS</v>
      </c>
      <c r="K208" s="312">
        <f>D208*30</f>
        <v>699.93</v>
      </c>
      <c r="L208" s="166"/>
      <c r="M208" s="166"/>
      <c r="N208" s="66">
        <f t="shared" si="17"/>
        <v>0</v>
      </c>
      <c r="O208" s="316"/>
      <c r="P208" s="279"/>
      <c r="Q208" s="279"/>
      <c r="R208" s="279"/>
      <c r="S208" s="279"/>
      <c r="T208" s="279"/>
      <c r="U208" s="279"/>
    </row>
    <row r="209" spans="1:21">
      <c r="A209" s="299" t="s">
        <v>430</v>
      </c>
      <c r="B209" s="300" t="s">
        <v>313</v>
      </c>
      <c r="C209" s="166">
        <v>1224</v>
      </c>
      <c r="D209" s="166">
        <f>C209/30</f>
        <v>40.8</v>
      </c>
      <c r="E209" s="166"/>
      <c r="F209" s="301" t="s">
        <v>166</v>
      </c>
      <c r="G209" s="302"/>
      <c r="H209" s="303"/>
      <c r="I209" s="311"/>
      <c r="J209" s="312" t="str">
        <f t="shared" si="14"/>
        <v>30 TABS</v>
      </c>
      <c r="K209" s="312">
        <f>D209*30</f>
        <v>1224</v>
      </c>
      <c r="L209" s="166"/>
      <c r="M209" s="166"/>
      <c r="N209" s="66">
        <f t="shared" si="17"/>
        <v>0</v>
      </c>
      <c r="O209" s="316"/>
      <c r="P209" s="279"/>
      <c r="Q209" s="279"/>
      <c r="R209" s="279"/>
      <c r="S209" s="279"/>
      <c r="T209" s="279"/>
      <c r="U209" s="279"/>
    </row>
    <row r="210" spans="1:21">
      <c r="A210" s="299" t="s">
        <v>431</v>
      </c>
      <c r="B210" s="300" t="s">
        <v>432</v>
      </c>
      <c r="C210" s="166">
        <f>78.67*6</f>
        <v>472.02</v>
      </c>
      <c r="D210" s="166">
        <f>C210/6</f>
        <v>78.67</v>
      </c>
      <c r="E210" s="166">
        <v>89</v>
      </c>
      <c r="F210" s="301" t="s">
        <v>433</v>
      </c>
      <c r="G210" s="302"/>
      <c r="H210" s="303"/>
      <c r="I210" s="311"/>
      <c r="J210" s="312" t="str">
        <f t="shared" si="14"/>
        <v>6 PACKS</v>
      </c>
      <c r="K210" s="312">
        <f>D210*6</f>
        <v>472.02</v>
      </c>
      <c r="L210" s="166"/>
      <c r="M210" s="166">
        <v>6</v>
      </c>
      <c r="N210" s="66">
        <f t="shared" si="17"/>
        <v>0</v>
      </c>
      <c r="O210" s="316"/>
      <c r="P210" s="279"/>
      <c r="Q210" s="279"/>
      <c r="R210" s="279"/>
      <c r="S210" s="279"/>
      <c r="T210" s="279"/>
      <c r="U210" s="279"/>
    </row>
    <row r="211" spans="1:21">
      <c r="A211" s="299" t="s">
        <v>434</v>
      </c>
      <c r="B211" s="300" t="s">
        <v>328</v>
      </c>
      <c r="C211" s="166">
        <f>32.69*6</f>
        <v>196.14</v>
      </c>
      <c r="D211" s="166">
        <f>C211/6</f>
        <v>32.69</v>
      </c>
      <c r="E211" s="166">
        <v>42</v>
      </c>
      <c r="F211" s="301" t="s">
        <v>433</v>
      </c>
      <c r="G211" s="302"/>
      <c r="H211" s="303"/>
      <c r="I211" s="311"/>
      <c r="J211" s="312" t="str">
        <f t="shared" si="14"/>
        <v>6 PACKS</v>
      </c>
      <c r="K211" s="312">
        <f>D211*6</f>
        <v>196.14</v>
      </c>
      <c r="L211" s="166">
        <f>6-M211</f>
        <v>1</v>
      </c>
      <c r="M211" s="166">
        <v>5</v>
      </c>
      <c r="N211" s="66">
        <f t="shared" si="17"/>
        <v>42</v>
      </c>
      <c r="O211" s="316"/>
      <c r="P211" s="279"/>
      <c r="Q211" s="279"/>
      <c r="R211" s="279"/>
      <c r="S211" s="279"/>
      <c r="T211" s="279"/>
      <c r="U211" s="279"/>
    </row>
    <row r="212" spans="1:21">
      <c r="A212" s="299" t="s">
        <v>435</v>
      </c>
      <c r="B212" s="300" t="s">
        <v>436</v>
      </c>
      <c r="C212" s="166">
        <f>45.7*2</f>
        <v>91.4</v>
      </c>
      <c r="D212" s="166">
        <f>C212/2</f>
        <v>45.7</v>
      </c>
      <c r="E212" s="166">
        <v>58</v>
      </c>
      <c r="F212" s="301" t="s">
        <v>436</v>
      </c>
      <c r="G212" s="302"/>
      <c r="H212" s="303"/>
      <c r="I212" s="311"/>
      <c r="J212" s="312" t="str">
        <f t="shared" si="14"/>
        <v>2 PACKS</v>
      </c>
      <c r="K212" s="312">
        <f>D212*2</f>
        <v>91.4</v>
      </c>
      <c r="L212" s="166"/>
      <c r="M212" s="166">
        <v>2</v>
      </c>
      <c r="N212" s="66">
        <f t="shared" si="17"/>
        <v>0</v>
      </c>
      <c r="O212" s="316"/>
      <c r="P212" s="279"/>
      <c r="Q212" s="279"/>
      <c r="R212" s="279"/>
      <c r="S212" s="279"/>
      <c r="T212" s="279"/>
      <c r="U212" s="279"/>
    </row>
    <row r="213" spans="1:21">
      <c r="A213" s="299" t="s">
        <v>437</v>
      </c>
      <c r="B213" s="300" t="s">
        <v>328</v>
      </c>
      <c r="C213" s="166">
        <f>32.69*6</f>
        <v>196.14</v>
      </c>
      <c r="D213" s="166">
        <f>C213/6</f>
        <v>32.69</v>
      </c>
      <c r="E213" s="166">
        <v>42</v>
      </c>
      <c r="F213" s="301" t="s">
        <v>433</v>
      </c>
      <c r="G213" s="302"/>
      <c r="H213" s="303"/>
      <c r="I213" s="311"/>
      <c r="J213" s="312" t="str">
        <f t="shared" si="14"/>
        <v>6 PACKS</v>
      </c>
      <c r="K213" s="312">
        <f>D213*6</f>
        <v>196.14</v>
      </c>
      <c r="L213" s="166">
        <f>6-M213</f>
        <v>3</v>
      </c>
      <c r="M213" s="166">
        <v>3</v>
      </c>
      <c r="N213" s="66">
        <f>(52+42)+(7*8)</f>
        <v>150</v>
      </c>
      <c r="O213" s="316"/>
      <c r="P213" s="279"/>
      <c r="Q213" s="279"/>
      <c r="R213" s="279"/>
      <c r="S213" s="279"/>
      <c r="T213" s="279"/>
      <c r="U213" s="279"/>
    </row>
    <row r="214" spans="1:21">
      <c r="A214" s="299" t="s">
        <v>438</v>
      </c>
      <c r="B214" s="300" t="s">
        <v>439</v>
      </c>
      <c r="C214" s="166">
        <f>435.27</f>
        <v>435.27</v>
      </c>
      <c r="D214" s="166">
        <f>C214/14</f>
        <v>31.0907142857143</v>
      </c>
      <c r="E214" s="166"/>
      <c r="F214" s="301"/>
      <c r="G214" s="302" t="s">
        <v>440</v>
      </c>
      <c r="H214" s="303"/>
      <c r="I214" s="311"/>
      <c r="J214" s="312" t="str">
        <f>G214</f>
        <v>14 TABS</v>
      </c>
      <c r="K214" s="312">
        <f t="shared" ref="K214:K219" si="18">D214*14</f>
        <v>435.27</v>
      </c>
      <c r="L214" s="166"/>
      <c r="M214" s="166"/>
      <c r="N214" s="66">
        <f t="shared" si="17"/>
        <v>0</v>
      </c>
      <c r="O214" s="316"/>
      <c r="P214" s="279"/>
      <c r="Q214" s="279"/>
      <c r="R214" s="279"/>
      <c r="S214" s="279"/>
      <c r="T214" s="279"/>
      <c r="U214" s="279"/>
    </row>
    <row r="215" hidden="1" spans="1:21">
      <c r="A215" s="304" t="s">
        <v>441</v>
      </c>
      <c r="B215" s="300" t="s">
        <v>221</v>
      </c>
      <c r="C215" s="171">
        <v>408</v>
      </c>
      <c r="D215" s="171">
        <f>C215/100</f>
        <v>4.08</v>
      </c>
      <c r="E215" s="166"/>
      <c r="F215" s="301"/>
      <c r="G215" s="302"/>
      <c r="H215" s="303"/>
      <c r="I215" s="311"/>
      <c r="J215" s="312"/>
      <c r="K215" s="312">
        <f t="shared" si="18"/>
        <v>57.12</v>
      </c>
      <c r="L215" s="166"/>
      <c r="M215" s="166"/>
      <c r="N215" s="66">
        <f t="shared" si="17"/>
        <v>0</v>
      </c>
      <c r="O215" s="316"/>
      <c r="P215" s="279"/>
      <c r="Q215" s="279"/>
      <c r="R215" s="279"/>
      <c r="S215" s="279"/>
      <c r="T215" s="279"/>
      <c r="U215" s="279"/>
    </row>
    <row r="216" spans="1:21">
      <c r="A216" s="299" t="s">
        <v>442</v>
      </c>
      <c r="B216" s="300" t="s">
        <v>439</v>
      </c>
      <c r="C216" s="166">
        <f>226.85</f>
        <v>226.85</v>
      </c>
      <c r="D216" s="166">
        <f>C216/14</f>
        <v>16.2035714285714</v>
      </c>
      <c r="E216" s="166"/>
      <c r="F216" s="301"/>
      <c r="G216" s="302" t="s">
        <v>440</v>
      </c>
      <c r="H216" s="303"/>
      <c r="I216" s="311"/>
      <c r="J216" s="312" t="str">
        <f>G216</f>
        <v>14 TABS</v>
      </c>
      <c r="K216" s="312">
        <f t="shared" si="18"/>
        <v>226.85</v>
      </c>
      <c r="L216" s="166"/>
      <c r="M216" s="166"/>
      <c r="N216" s="66">
        <f t="shared" si="17"/>
        <v>0</v>
      </c>
      <c r="O216" s="316"/>
      <c r="P216" s="279"/>
      <c r="Q216" s="279"/>
      <c r="R216" s="279"/>
      <c r="S216" s="279"/>
      <c r="T216" s="279"/>
      <c r="U216" s="279"/>
    </row>
    <row r="217" spans="1:21">
      <c r="A217" s="299" t="s">
        <v>443</v>
      </c>
      <c r="B217" s="300" t="s">
        <v>439</v>
      </c>
      <c r="C217" s="166">
        <v>307.26</v>
      </c>
      <c r="D217" s="166">
        <f>C217/14</f>
        <v>21.9471428571429</v>
      </c>
      <c r="E217" s="166"/>
      <c r="F217" s="301"/>
      <c r="G217" s="302" t="s">
        <v>440</v>
      </c>
      <c r="H217" s="303"/>
      <c r="I217" s="311"/>
      <c r="J217" s="312" t="str">
        <f>G217</f>
        <v>14 TABS</v>
      </c>
      <c r="K217" s="312">
        <f t="shared" si="18"/>
        <v>307.26</v>
      </c>
      <c r="L217" s="166"/>
      <c r="M217" s="166"/>
      <c r="N217" s="66">
        <f t="shared" si="17"/>
        <v>0</v>
      </c>
      <c r="O217" s="316"/>
      <c r="P217" s="279"/>
      <c r="Q217" s="279"/>
      <c r="R217" s="279"/>
      <c r="S217" s="279"/>
      <c r="T217" s="279"/>
      <c r="U217" s="279"/>
    </row>
    <row r="218" hidden="1" spans="1:21">
      <c r="A218" s="304" t="s">
        <v>444</v>
      </c>
      <c r="B218" s="300" t="s">
        <v>162</v>
      </c>
      <c r="C218" s="171">
        <f>82.96*3</f>
        <v>248.88</v>
      </c>
      <c r="D218" s="171">
        <f>C218/3</f>
        <v>82.96</v>
      </c>
      <c r="E218" s="166"/>
      <c r="F218" s="301"/>
      <c r="G218" s="302"/>
      <c r="H218" s="303"/>
      <c r="I218" s="311"/>
      <c r="J218" s="312"/>
      <c r="K218" s="312">
        <f t="shared" si="18"/>
        <v>1161.44</v>
      </c>
      <c r="L218" s="166"/>
      <c r="M218" s="166"/>
      <c r="N218" s="66">
        <f t="shared" si="17"/>
        <v>0</v>
      </c>
      <c r="O218" s="316"/>
      <c r="P218" s="279"/>
      <c r="Q218" s="279"/>
      <c r="R218" s="279"/>
      <c r="S218" s="279"/>
      <c r="T218" s="279"/>
      <c r="U218" s="279"/>
    </row>
    <row r="219" spans="1:21">
      <c r="A219" s="299" t="s">
        <v>445</v>
      </c>
      <c r="B219" s="300" t="s">
        <v>439</v>
      </c>
      <c r="C219" s="166">
        <v>275.67</v>
      </c>
      <c r="D219" s="166">
        <f>C219/14</f>
        <v>19.6907142857143</v>
      </c>
      <c r="E219" s="166"/>
      <c r="F219" s="301"/>
      <c r="G219" s="302" t="s">
        <v>440</v>
      </c>
      <c r="H219" s="303"/>
      <c r="I219" s="311"/>
      <c r="J219" s="312" t="str">
        <f>G219</f>
        <v>14 TABS</v>
      </c>
      <c r="K219" s="312">
        <f t="shared" si="18"/>
        <v>275.67</v>
      </c>
      <c r="L219" s="166"/>
      <c r="M219" s="166"/>
      <c r="N219" s="66">
        <f t="shared" si="17"/>
        <v>0</v>
      </c>
      <c r="O219" s="316"/>
      <c r="P219" s="279"/>
      <c r="Q219" s="279"/>
      <c r="R219" s="279"/>
      <c r="S219" s="279"/>
      <c r="T219" s="279"/>
      <c r="U219" s="279"/>
    </row>
    <row r="220" spans="1:21">
      <c r="A220" s="299" t="s">
        <v>446</v>
      </c>
      <c r="B220" s="300" t="s">
        <v>150</v>
      </c>
      <c r="C220" s="166">
        <v>381.7</v>
      </c>
      <c r="D220" s="166">
        <v>38.17</v>
      </c>
      <c r="E220" s="166">
        <v>42</v>
      </c>
      <c r="F220" s="301"/>
      <c r="G220" s="302"/>
      <c r="H220" s="303" t="s">
        <v>150</v>
      </c>
      <c r="I220" s="311"/>
      <c r="J220" s="312" t="str">
        <f>H220</f>
        <v>10 CAPS</v>
      </c>
      <c r="K220" s="312">
        <f>D220*10</f>
        <v>381.7</v>
      </c>
      <c r="L220" s="166"/>
      <c r="M220" s="166"/>
      <c r="N220" s="66">
        <f t="shared" si="17"/>
        <v>0</v>
      </c>
      <c r="O220" s="316"/>
      <c r="P220" s="279"/>
      <c r="Q220" s="279"/>
      <c r="R220" s="279"/>
      <c r="S220" s="279"/>
      <c r="T220" s="279"/>
      <c r="U220" s="279"/>
    </row>
    <row r="221" spans="1:21">
      <c r="A221" s="299" t="s">
        <v>447</v>
      </c>
      <c r="B221" s="300" t="s">
        <v>150</v>
      </c>
      <c r="C221" s="166">
        <v>142.8</v>
      </c>
      <c r="D221" s="166">
        <v>14.28</v>
      </c>
      <c r="E221" s="166">
        <v>16.5</v>
      </c>
      <c r="F221" s="301"/>
      <c r="G221" s="302"/>
      <c r="H221" s="303" t="s">
        <v>150</v>
      </c>
      <c r="I221" s="311"/>
      <c r="J221" s="312" t="str">
        <f>H221</f>
        <v>10 CAPS</v>
      </c>
      <c r="K221" s="312">
        <f>D221*10</f>
        <v>142.8</v>
      </c>
      <c r="L221" s="166"/>
      <c r="M221" s="166"/>
      <c r="N221" s="66">
        <f t="shared" si="17"/>
        <v>0</v>
      </c>
      <c r="O221" s="316"/>
      <c r="P221" s="279"/>
      <c r="Q221" s="279"/>
      <c r="R221" s="279"/>
      <c r="S221" s="279"/>
      <c r="T221" s="279"/>
      <c r="U221" s="279"/>
    </row>
    <row r="222" spans="1:21">
      <c r="A222" s="299" t="s">
        <v>448</v>
      </c>
      <c r="B222" s="300" t="s">
        <v>271</v>
      </c>
      <c r="C222" s="166">
        <f>14.99*20</f>
        <v>299.8</v>
      </c>
      <c r="D222" s="166">
        <f>C222/20</f>
        <v>14.99</v>
      </c>
      <c r="E222" s="166">
        <v>17</v>
      </c>
      <c r="F222" s="301" t="s">
        <v>156</v>
      </c>
      <c r="G222" s="302"/>
      <c r="H222" s="303"/>
      <c r="I222" s="311"/>
      <c r="J222" s="312" t="str">
        <f>F222</f>
        <v>20 CAPS</v>
      </c>
      <c r="K222" s="312">
        <f>D222*20</f>
        <v>299.8</v>
      </c>
      <c r="L222" s="166">
        <f>20-M222</f>
        <v>7</v>
      </c>
      <c r="M222" s="166">
        <v>13</v>
      </c>
      <c r="N222" s="66">
        <f t="shared" si="17"/>
        <v>119</v>
      </c>
      <c r="O222" s="316"/>
      <c r="P222" s="279"/>
      <c r="Q222" s="279"/>
      <c r="R222" s="279"/>
      <c r="S222" s="279"/>
      <c r="T222" s="279"/>
      <c r="U222" s="279"/>
    </row>
    <row r="223" spans="1:21">
      <c r="A223" s="299" t="s">
        <v>449</v>
      </c>
      <c r="B223" s="300" t="s">
        <v>287</v>
      </c>
      <c r="C223" s="166">
        <v>146.52</v>
      </c>
      <c r="D223" s="166">
        <f>C223/10</f>
        <v>14.652</v>
      </c>
      <c r="E223" s="166"/>
      <c r="F223" s="301" t="s">
        <v>165</v>
      </c>
      <c r="G223" s="302"/>
      <c r="H223" s="303"/>
      <c r="I223" s="311"/>
      <c r="J223" s="312" t="str">
        <f>F223</f>
        <v>10 TABS</v>
      </c>
      <c r="K223" s="312">
        <f>D223*10</f>
        <v>146.52</v>
      </c>
      <c r="L223" s="166"/>
      <c r="M223" s="166"/>
      <c r="N223" s="66">
        <f t="shared" si="17"/>
        <v>0</v>
      </c>
      <c r="O223" s="316"/>
      <c r="P223" s="279"/>
      <c r="Q223" s="279"/>
      <c r="R223" s="279"/>
      <c r="S223" s="279"/>
      <c r="T223" s="279"/>
      <c r="U223" s="279"/>
    </row>
    <row r="224" spans="1:21">
      <c r="A224" s="299" t="s">
        <v>450</v>
      </c>
      <c r="B224" s="300" t="s">
        <v>451</v>
      </c>
      <c r="C224" s="166">
        <v>345.28</v>
      </c>
      <c r="D224" s="166">
        <v>10.79</v>
      </c>
      <c r="E224" s="166">
        <v>12</v>
      </c>
      <c r="F224" s="301"/>
      <c r="G224" s="302"/>
      <c r="H224" s="303" t="s">
        <v>451</v>
      </c>
      <c r="I224" s="311"/>
      <c r="J224" s="312" t="str">
        <f>H224</f>
        <v>32 CAPS</v>
      </c>
      <c r="K224" s="312">
        <f>D224*32</f>
        <v>345.28</v>
      </c>
      <c r="L224" s="166">
        <f>32-M224</f>
        <v>3</v>
      </c>
      <c r="M224" s="166">
        <v>29</v>
      </c>
      <c r="N224" s="66">
        <f t="shared" si="17"/>
        <v>36</v>
      </c>
      <c r="O224" s="316"/>
      <c r="P224" s="279"/>
      <c r="Q224" s="279"/>
      <c r="R224" s="279"/>
      <c r="S224" s="279"/>
      <c r="T224" s="279"/>
      <c r="U224" s="279"/>
    </row>
    <row r="225" hidden="1" spans="1:21">
      <c r="A225" s="304" t="s">
        <v>452</v>
      </c>
      <c r="B225" s="300" t="s">
        <v>164</v>
      </c>
      <c r="C225" s="171">
        <v>316.1</v>
      </c>
      <c r="D225" s="171">
        <v>31.61</v>
      </c>
      <c r="E225" s="171"/>
      <c r="F225" s="301"/>
      <c r="G225" s="302"/>
      <c r="H225" s="303"/>
      <c r="I225" s="311"/>
      <c r="J225" s="312"/>
      <c r="K225" s="312"/>
      <c r="L225" s="166"/>
      <c r="M225" s="166"/>
      <c r="N225" s="66">
        <f t="shared" si="17"/>
        <v>0</v>
      </c>
      <c r="O225" s="316"/>
      <c r="P225" s="279"/>
      <c r="Q225" s="279"/>
      <c r="R225" s="279"/>
      <c r="S225" s="279"/>
      <c r="T225" s="279"/>
      <c r="U225" s="279"/>
    </row>
    <row r="226" spans="1:21">
      <c r="A226" s="299" t="s">
        <v>453</v>
      </c>
      <c r="B226" s="300" t="s">
        <v>144</v>
      </c>
      <c r="C226" s="166">
        <v>46</v>
      </c>
      <c r="D226" s="166">
        <f>C226/12</f>
        <v>3.83333333333333</v>
      </c>
      <c r="E226" s="166">
        <v>6</v>
      </c>
      <c r="F226" s="301"/>
      <c r="G226" s="302" t="s">
        <v>67</v>
      </c>
      <c r="H226" s="303"/>
      <c r="I226" s="311"/>
      <c r="J226" s="312" t="str">
        <f>G226</f>
        <v>12 PCS</v>
      </c>
      <c r="K226" s="312">
        <f>D226*12</f>
        <v>46</v>
      </c>
      <c r="L226" s="166">
        <f>12-8</f>
        <v>4</v>
      </c>
      <c r="M226" s="166">
        <v>8</v>
      </c>
      <c r="N226" s="66">
        <f t="shared" si="17"/>
        <v>24</v>
      </c>
      <c r="O226" s="316"/>
      <c r="P226" s="279"/>
      <c r="Q226" s="279"/>
      <c r="R226" s="279"/>
      <c r="S226" s="279"/>
      <c r="T226" s="279"/>
      <c r="U226" s="279"/>
    </row>
    <row r="227" hidden="1" spans="1:21">
      <c r="A227" s="304" t="s">
        <v>454</v>
      </c>
      <c r="B227" s="300" t="s">
        <v>233</v>
      </c>
      <c r="C227" s="171">
        <v>412.6</v>
      </c>
      <c r="D227" s="171">
        <v>20.63</v>
      </c>
      <c r="E227" s="171"/>
      <c r="F227" s="301"/>
      <c r="G227" s="302"/>
      <c r="H227" s="303"/>
      <c r="I227" s="311"/>
      <c r="J227" s="312"/>
      <c r="K227" s="312"/>
      <c r="L227" s="166"/>
      <c r="M227" s="166"/>
      <c r="N227" s="66">
        <f t="shared" si="17"/>
        <v>0</v>
      </c>
      <c r="O227" s="316"/>
      <c r="P227" s="279"/>
      <c r="Q227" s="279"/>
      <c r="R227" s="279"/>
      <c r="S227" s="279"/>
      <c r="T227" s="279"/>
      <c r="U227" s="279"/>
    </row>
    <row r="228" hidden="1" spans="1:21">
      <c r="A228" s="299" t="s">
        <v>455</v>
      </c>
      <c r="B228" s="314" t="s">
        <v>233</v>
      </c>
      <c r="C228" s="166">
        <f>19.59*20</f>
        <v>391.8</v>
      </c>
      <c r="D228" s="166">
        <f>C228/20</f>
        <v>19.59</v>
      </c>
      <c r="E228" s="166"/>
      <c r="F228" s="301"/>
      <c r="G228" s="302"/>
      <c r="H228" s="303"/>
      <c r="I228" s="311"/>
      <c r="J228" s="312"/>
      <c r="K228" s="312"/>
      <c r="L228" s="166"/>
      <c r="M228" s="166"/>
      <c r="N228" s="66">
        <f t="shared" si="17"/>
        <v>0</v>
      </c>
      <c r="O228" s="316"/>
      <c r="P228" s="279"/>
      <c r="Q228" s="279"/>
      <c r="R228" s="279"/>
      <c r="S228" s="279"/>
      <c r="T228" s="279"/>
      <c r="U228" s="279"/>
    </row>
    <row r="229" spans="1:21">
      <c r="A229" s="299" t="s">
        <v>456</v>
      </c>
      <c r="B229" s="300" t="s">
        <v>457</v>
      </c>
      <c r="C229" s="166">
        <f>6.25*30</f>
        <v>187.5</v>
      </c>
      <c r="D229" s="166">
        <f>C229/30</f>
        <v>6.25</v>
      </c>
      <c r="E229" s="166"/>
      <c r="F229" s="301" t="s">
        <v>166</v>
      </c>
      <c r="G229" s="302"/>
      <c r="H229" s="303"/>
      <c r="I229" s="311"/>
      <c r="J229" s="312" t="str">
        <f>F229</f>
        <v>30 TABS</v>
      </c>
      <c r="K229" s="312">
        <f>D229*30</f>
        <v>187.5</v>
      </c>
      <c r="L229" s="166"/>
      <c r="M229" s="166"/>
      <c r="N229" s="66">
        <f t="shared" si="17"/>
        <v>0</v>
      </c>
      <c r="O229" s="316"/>
      <c r="P229" s="279"/>
      <c r="Q229" s="279"/>
      <c r="R229" s="279"/>
      <c r="S229" s="279"/>
      <c r="T229" s="279"/>
      <c r="U229" s="279"/>
    </row>
    <row r="230" spans="1:21">
      <c r="A230" s="299" t="s">
        <v>458</v>
      </c>
      <c r="B230" s="300" t="s">
        <v>459</v>
      </c>
      <c r="C230" s="166">
        <f>3.78*50</f>
        <v>189</v>
      </c>
      <c r="D230" s="166">
        <f>C230/50</f>
        <v>3.78</v>
      </c>
      <c r="E230" s="166"/>
      <c r="F230" s="301" t="s">
        <v>460</v>
      </c>
      <c r="G230" s="302"/>
      <c r="H230" s="303"/>
      <c r="I230" s="311"/>
      <c r="J230" s="312" t="str">
        <f>F230</f>
        <v>50 TABS </v>
      </c>
      <c r="K230" s="312">
        <f>D230*50</f>
        <v>189</v>
      </c>
      <c r="L230" s="166"/>
      <c r="M230" s="166"/>
      <c r="N230" s="66">
        <f t="shared" si="17"/>
        <v>0</v>
      </c>
      <c r="O230" s="316"/>
      <c r="P230" s="279"/>
      <c r="Q230" s="279"/>
      <c r="R230" s="279"/>
      <c r="S230" s="279"/>
      <c r="T230" s="279"/>
      <c r="U230" s="279"/>
    </row>
    <row r="231" spans="1:21">
      <c r="A231" s="299" t="s">
        <v>461</v>
      </c>
      <c r="B231" s="300" t="s">
        <v>220</v>
      </c>
      <c r="C231" s="166">
        <f>4.08*100</f>
        <v>408</v>
      </c>
      <c r="D231" s="166">
        <f>C231/100</f>
        <v>4.08</v>
      </c>
      <c r="E231" s="166"/>
      <c r="F231" s="301" t="s">
        <v>221</v>
      </c>
      <c r="G231" s="302" t="s">
        <v>221</v>
      </c>
      <c r="H231" s="303"/>
      <c r="I231" s="311"/>
      <c r="J231" s="312" t="s">
        <v>218</v>
      </c>
      <c r="K231" s="312">
        <f>D231*200</f>
        <v>816</v>
      </c>
      <c r="L231" s="166"/>
      <c r="M231" s="166"/>
      <c r="N231" s="66">
        <f t="shared" si="17"/>
        <v>0</v>
      </c>
      <c r="O231" s="316"/>
      <c r="P231" s="279"/>
      <c r="Q231" s="279"/>
      <c r="R231" s="279"/>
      <c r="S231" s="279"/>
      <c r="T231" s="279"/>
      <c r="U231" s="279"/>
    </row>
    <row r="232" spans="1:21">
      <c r="A232" s="299" t="s">
        <v>462</v>
      </c>
      <c r="B232" s="300" t="s">
        <v>164</v>
      </c>
      <c r="C232" s="166">
        <f>4.66*10</f>
        <v>46.6</v>
      </c>
      <c r="D232" s="166">
        <f>C232/10</f>
        <v>4.66</v>
      </c>
      <c r="E232" s="166"/>
      <c r="F232" s="301" t="s">
        <v>165</v>
      </c>
      <c r="G232" s="302"/>
      <c r="H232" s="303"/>
      <c r="I232" s="311"/>
      <c r="J232" s="312" t="str">
        <f>F232</f>
        <v>10 TABS</v>
      </c>
      <c r="K232" s="312">
        <f>D232*10</f>
        <v>46.6</v>
      </c>
      <c r="L232" s="166"/>
      <c r="M232" s="166"/>
      <c r="N232" s="66">
        <f t="shared" si="17"/>
        <v>0</v>
      </c>
      <c r="O232" s="316"/>
      <c r="P232" s="279"/>
      <c r="Q232" s="279"/>
      <c r="R232" s="279"/>
      <c r="S232" s="279"/>
      <c r="T232" s="279"/>
      <c r="U232" s="279"/>
    </row>
    <row r="233" spans="1:21">
      <c r="A233" s="299" t="s">
        <v>444</v>
      </c>
      <c r="B233" s="300" t="s">
        <v>159</v>
      </c>
      <c r="C233" s="166">
        <f>82.96*2</f>
        <v>165.92</v>
      </c>
      <c r="D233" s="166">
        <f>C233/2</f>
        <v>82.96</v>
      </c>
      <c r="E233" s="166">
        <v>95</v>
      </c>
      <c r="F233" s="301" t="s">
        <v>159</v>
      </c>
      <c r="G233" s="302" t="s">
        <v>162</v>
      </c>
      <c r="H233" s="303"/>
      <c r="I233" s="311"/>
      <c r="J233" s="312" t="s">
        <v>16</v>
      </c>
      <c r="K233" s="312">
        <f>D233*5</f>
        <v>414.8</v>
      </c>
      <c r="L233" s="166">
        <f>5-M233</f>
        <v>1</v>
      </c>
      <c r="M233" s="166">
        <v>4</v>
      </c>
      <c r="N233" s="319">
        <f t="shared" si="17"/>
        <v>95</v>
      </c>
      <c r="O233" s="316"/>
      <c r="P233" s="279"/>
      <c r="Q233" s="279"/>
      <c r="R233" s="279"/>
      <c r="S233" s="279"/>
      <c r="T233" s="279"/>
      <c r="U233" s="279"/>
    </row>
    <row r="234" spans="1:21">
      <c r="A234" s="299" t="s">
        <v>463</v>
      </c>
      <c r="B234" s="300" t="s">
        <v>159</v>
      </c>
      <c r="C234" s="166">
        <f>82.96*2</f>
        <v>165.92</v>
      </c>
      <c r="D234" s="166">
        <f>C234/2</f>
        <v>82.96</v>
      </c>
      <c r="E234" s="166">
        <v>95</v>
      </c>
      <c r="F234" s="301" t="s">
        <v>159</v>
      </c>
      <c r="G234" s="302"/>
      <c r="H234" s="303"/>
      <c r="I234" s="311" t="s">
        <v>162</v>
      </c>
      <c r="J234" s="312" t="s">
        <v>16</v>
      </c>
      <c r="K234" s="312">
        <f>D234*5</f>
        <v>414.8</v>
      </c>
      <c r="L234" s="166">
        <f>5-M234</f>
        <v>1</v>
      </c>
      <c r="M234" s="166">
        <v>4</v>
      </c>
      <c r="N234" s="319">
        <f t="shared" si="17"/>
        <v>95</v>
      </c>
      <c r="O234" s="316"/>
      <c r="P234" s="279"/>
      <c r="Q234" s="279"/>
      <c r="R234" s="279"/>
      <c r="S234" s="279"/>
      <c r="T234" s="279"/>
      <c r="U234" s="279"/>
    </row>
    <row r="235" spans="1:21">
      <c r="A235" s="299" t="s">
        <v>464</v>
      </c>
      <c r="B235" s="300" t="s">
        <v>164</v>
      </c>
      <c r="C235" s="166">
        <f>17.89*10</f>
        <v>178.9</v>
      </c>
      <c r="D235" s="166">
        <f>C235/10</f>
        <v>17.89</v>
      </c>
      <c r="E235" s="166">
        <v>20</v>
      </c>
      <c r="F235" s="301" t="s">
        <v>165</v>
      </c>
      <c r="G235" s="302"/>
      <c r="H235" s="303"/>
      <c r="I235" s="311"/>
      <c r="J235" s="312" t="s">
        <v>165</v>
      </c>
      <c r="K235" s="312">
        <f>D235*10</f>
        <v>178.9</v>
      </c>
      <c r="L235" s="166"/>
      <c r="M235" s="166">
        <v>10</v>
      </c>
      <c r="N235" s="66">
        <f t="shared" si="17"/>
        <v>0</v>
      </c>
      <c r="O235" s="316"/>
      <c r="P235" s="279"/>
      <c r="Q235" s="279"/>
      <c r="R235" s="279"/>
      <c r="S235" s="279"/>
      <c r="T235" s="279"/>
      <c r="U235" s="279"/>
    </row>
    <row r="236" ht="22.5" spans="1:21">
      <c r="A236" s="317" t="s">
        <v>465</v>
      </c>
      <c r="B236" s="300" t="s">
        <v>233</v>
      </c>
      <c r="C236" s="318">
        <v>248.6</v>
      </c>
      <c r="D236" s="318">
        <v>12.43</v>
      </c>
      <c r="E236" s="318"/>
      <c r="F236" s="301"/>
      <c r="G236" s="305" t="s">
        <v>466</v>
      </c>
      <c r="H236" s="303" t="s">
        <v>467</v>
      </c>
      <c r="I236" s="311"/>
      <c r="J236" s="312" t="s">
        <v>397</v>
      </c>
      <c r="K236" s="312">
        <f>(D236*20)+(32*10.5)</f>
        <v>584.6</v>
      </c>
      <c r="L236" s="166"/>
      <c r="M236" s="166"/>
      <c r="N236" s="66">
        <f t="shared" si="17"/>
        <v>0</v>
      </c>
      <c r="O236" s="316"/>
      <c r="P236" s="279"/>
      <c r="Q236" s="279"/>
      <c r="R236" s="279"/>
      <c r="S236" s="279"/>
      <c r="T236" s="279"/>
      <c r="U236" s="279"/>
    </row>
    <row r="237" spans="1:21">
      <c r="A237" s="299" t="s">
        <v>468</v>
      </c>
      <c r="B237" s="300" t="s">
        <v>439</v>
      </c>
      <c r="C237" s="166">
        <v>1671.47</v>
      </c>
      <c r="D237" s="166">
        <v>119.390714285714</v>
      </c>
      <c r="E237" s="166">
        <v>138</v>
      </c>
      <c r="F237" s="301"/>
      <c r="G237" s="302"/>
      <c r="H237" s="303" t="s">
        <v>440</v>
      </c>
      <c r="I237" s="311"/>
      <c r="J237" s="312" t="str">
        <f>H237</f>
        <v>14 TABS</v>
      </c>
      <c r="K237" s="312">
        <f>D237*14</f>
        <v>1671.47</v>
      </c>
      <c r="L237" s="166"/>
      <c r="M237" s="166"/>
      <c r="N237" s="66">
        <f t="shared" si="17"/>
        <v>0</v>
      </c>
      <c r="O237" s="316"/>
      <c r="P237" s="279"/>
      <c r="Q237" s="279"/>
      <c r="R237" s="279"/>
      <c r="S237" s="279"/>
      <c r="T237" s="279"/>
      <c r="U237" s="279"/>
    </row>
    <row r="238" spans="1:21">
      <c r="A238" s="299" t="s">
        <v>469</v>
      </c>
      <c r="B238" s="300" t="s">
        <v>396</v>
      </c>
      <c r="C238" s="166">
        <f>21.64*20</f>
        <v>432.8</v>
      </c>
      <c r="D238" s="166">
        <f>C238/20</f>
        <v>21.64</v>
      </c>
      <c r="E238" s="166"/>
      <c r="F238" s="301" t="s">
        <v>233</v>
      </c>
      <c r="G238" s="302"/>
      <c r="H238" s="303"/>
      <c r="I238" s="311"/>
      <c r="J238" s="312" t="str">
        <f>F238</f>
        <v>20 TABS</v>
      </c>
      <c r="K238" s="312">
        <f>D238*20</f>
        <v>432.8</v>
      </c>
      <c r="L238" s="166"/>
      <c r="M238" s="166"/>
      <c r="N238" s="66">
        <f t="shared" si="17"/>
        <v>0</v>
      </c>
      <c r="O238" s="316"/>
      <c r="P238" s="279"/>
      <c r="Q238" s="279"/>
      <c r="R238" s="279"/>
      <c r="S238" s="279"/>
      <c r="T238" s="279"/>
      <c r="U238" s="279"/>
    </row>
    <row r="239" spans="1:21">
      <c r="A239" s="299" t="s">
        <v>452</v>
      </c>
      <c r="B239" s="300" t="s">
        <v>164</v>
      </c>
      <c r="C239" s="166">
        <f>31.61*10</f>
        <v>316.1</v>
      </c>
      <c r="D239" s="166">
        <f>C239/10</f>
        <v>31.61</v>
      </c>
      <c r="E239" s="166">
        <v>36</v>
      </c>
      <c r="F239" s="301" t="s">
        <v>165</v>
      </c>
      <c r="G239" s="302"/>
      <c r="H239" s="303" t="s">
        <v>165</v>
      </c>
      <c r="I239" s="311"/>
      <c r="J239" s="312" t="s">
        <v>233</v>
      </c>
      <c r="K239" s="312">
        <f>D239*20</f>
        <v>632.2</v>
      </c>
      <c r="L239" s="166">
        <f>20-M239</f>
        <v>0</v>
      </c>
      <c r="M239" s="166">
        <v>20</v>
      </c>
      <c r="N239" s="66">
        <f t="shared" si="17"/>
        <v>0</v>
      </c>
      <c r="O239" s="316"/>
      <c r="P239" s="279"/>
      <c r="Q239" s="279"/>
      <c r="R239" s="279"/>
      <c r="S239" s="279"/>
      <c r="T239" s="279"/>
      <c r="U239" s="279"/>
    </row>
    <row r="240" spans="1:21">
      <c r="A240" s="299" t="s">
        <v>454</v>
      </c>
      <c r="B240" s="300" t="s">
        <v>164</v>
      </c>
      <c r="C240" s="166">
        <f>19.59*10</f>
        <v>195.9</v>
      </c>
      <c r="D240" s="166">
        <f>C240/10</f>
        <v>19.59</v>
      </c>
      <c r="E240" s="166">
        <v>22</v>
      </c>
      <c r="F240" s="301" t="s">
        <v>165</v>
      </c>
      <c r="G240" s="302" t="s">
        <v>233</v>
      </c>
      <c r="H240" s="303" t="s">
        <v>233</v>
      </c>
      <c r="I240" s="311"/>
      <c r="J240" s="312" t="s">
        <v>460</v>
      </c>
      <c r="K240" s="312">
        <f>D240*50</f>
        <v>979.5</v>
      </c>
      <c r="L240" s="166">
        <f>50-M240</f>
        <v>20</v>
      </c>
      <c r="M240" s="166">
        <v>30</v>
      </c>
      <c r="N240" s="66">
        <f t="shared" si="17"/>
        <v>440</v>
      </c>
      <c r="O240" s="316"/>
      <c r="P240" s="279"/>
      <c r="Q240" s="279"/>
      <c r="R240" s="279"/>
      <c r="S240" s="279"/>
      <c r="T240" s="279"/>
      <c r="U240" s="279"/>
    </row>
    <row r="241" spans="1:21">
      <c r="A241" s="299" t="s">
        <v>470</v>
      </c>
      <c r="B241" s="300" t="s">
        <v>159</v>
      </c>
      <c r="C241" s="166">
        <f>73.68*2</f>
        <v>147.36</v>
      </c>
      <c r="D241" s="166">
        <f>C241/2</f>
        <v>73.68</v>
      </c>
      <c r="E241" s="166">
        <v>85</v>
      </c>
      <c r="F241" s="301" t="s">
        <v>159</v>
      </c>
      <c r="G241" s="302"/>
      <c r="H241" s="303"/>
      <c r="I241" s="311"/>
      <c r="J241" s="312" t="str">
        <f>F241</f>
        <v>2 BOTTLES</v>
      </c>
      <c r="K241" s="312">
        <f>D241*2</f>
        <v>147.36</v>
      </c>
      <c r="L241" s="166">
        <f>2-M241</f>
        <v>0</v>
      </c>
      <c r="M241" s="166">
        <v>2</v>
      </c>
      <c r="N241" s="66">
        <f t="shared" si="17"/>
        <v>0</v>
      </c>
      <c r="O241" s="316"/>
      <c r="P241" s="279"/>
      <c r="Q241" s="279"/>
      <c r="R241" s="279"/>
      <c r="S241" s="279"/>
      <c r="T241" s="279"/>
      <c r="U241" s="279"/>
    </row>
    <row r="242" spans="1:21">
      <c r="A242" s="299" t="s">
        <v>471</v>
      </c>
      <c r="B242" s="300" t="s">
        <v>159</v>
      </c>
      <c r="C242" s="166">
        <f>109.49*2</f>
        <v>218.98</v>
      </c>
      <c r="D242" s="166">
        <f>C242/2</f>
        <v>109.49</v>
      </c>
      <c r="E242" s="166">
        <v>125</v>
      </c>
      <c r="F242" s="301" t="s">
        <v>159</v>
      </c>
      <c r="G242" s="302"/>
      <c r="H242" s="303"/>
      <c r="I242" s="311"/>
      <c r="J242" s="312" t="str">
        <f>F242</f>
        <v>2 BOTTLES</v>
      </c>
      <c r="K242" s="312">
        <f>D242*2</f>
        <v>218.98</v>
      </c>
      <c r="L242" s="166">
        <f>2-M242</f>
        <v>0</v>
      </c>
      <c r="M242" s="166">
        <v>2</v>
      </c>
      <c r="N242" s="66">
        <f t="shared" si="17"/>
        <v>0</v>
      </c>
      <c r="O242" s="316"/>
      <c r="P242" s="279"/>
      <c r="Q242" s="279"/>
      <c r="R242" s="279"/>
      <c r="S242" s="279"/>
      <c r="T242" s="279"/>
      <c r="U242" s="279"/>
    </row>
    <row r="243" spans="1:21">
      <c r="A243" s="299" t="s">
        <v>472</v>
      </c>
      <c r="B243" s="300" t="s">
        <v>161</v>
      </c>
      <c r="C243" s="166">
        <v>152.04</v>
      </c>
      <c r="D243" s="166">
        <v>152.04</v>
      </c>
      <c r="E243" s="166">
        <v>175</v>
      </c>
      <c r="F243" s="301" t="s">
        <v>88</v>
      </c>
      <c r="G243" s="302"/>
      <c r="H243" s="303"/>
      <c r="I243" s="311"/>
      <c r="J243" s="312" t="str">
        <f>F243</f>
        <v>1 BOTTLE</v>
      </c>
      <c r="K243" s="312">
        <f>D243*1</f>
        <v>152.04</v>
      </c>
      <c r="L243" s="166">
        <f>1-1</f>
        <v>0</v>
      </c>
      <c r="M243" s="166">
        <v>1</v>
      </c>
      <c r="N243" s="66">
        <f t="shared" si="17"/>
        <v>0</v>
      </c>
      <c r="O243" s="316"/>
      <c r="P243" s="279"/>
      <c r="Q243" s="279"/>
      <c r="R243" s="279"/>
      <c r="S243" s="279"/>
      <c r="T243" s="279"/>
      <c r="U243" s="279"/>
    </row>
    <row r="244" spans="1:21">
      <c r="A244" s="299" t="s">
        <v>473</v>
      </c>
      <c r="B244" s="300" t="s">
        <v>474</v>
      </c>
      <c r="C244" s="166">
        <f>123.97*3</f>
        <v>371.91</v>
      </c>
      <c r="D244" s="166">
        <f>C244/3</f>
        <v>123.97</v>
      </c>
      <c r="E244" s="166"/>
      <c r="F244" s="301"/>
      <c r="G244" s="302" t="s">
        <v>54</v>
      </c>
      <c r="H244" s="303"/>
      <c r="I244" s="311"/>
      <c r="J244" s="312" t="str">
        <f>G244</f>
        <v>3 PCS</v>
      </c>
      <c r="K244" s="312">
        <f>D244*3</f>
        <v>371.91</v>
      </c>
      <c r="L244" s="166"/>
      <c r="M244" s="166"/>
      <c r="N244" s="66">
        <f t="shared" si="17"/>
        <v>0</v>
      </c>
      <c r="O244" s="316"/>
      <c r="P244" s="279"/>
      <c r="Q244" s="279"/>
      <c r="R244" s="279"/>
      <c r="S244" s="279"/>
      <c r="T244" s="279"/>
      <c r="U244" s="279"/>
    </row>
    <row r="245" spans="1:21">
      <c r="A245" s="299" t="s">
        <v>475</v>
      </c>
      <c r="B245" s="300" t="s">
        <v>162</v>
      </c>
      <c r="C245" s="166">
        <f>145.09*3</f>
        <v>435.27</v>
      </c>
      <c r="D245" s="166">
        <f>C245/3</f>
        <v>145.09</v>
      </c>
      <c r="E245" s="166"/>
      <c r="F245" s="301"/>
      <c r="G245" s="302" t="s">
        <v>382</v>
      </c>
      <c r="H245" s="303"/>
      <c r="I245" s="311"/>
      <c r="J245" s="312" t="str">
        <f>G245</f>
        <v>3PCS</v>
      </c>
      <c r="K245" s="312">
        <f>D245*3</f>
        <v>435.27</v>
      </c>
      <c r="L245" s="166"/>
      <c r="M245" s="166"/>
      <c r="N245" s="66">
        <f t="shared" si="17"/>
        <v>0</v>
      </c>
      <c r="O245" s="316"/>
      <c r="P245" s="279"/>
      <c r="Q245" s="279"/>
      <c r="R245" s="279"/>
      <c r="S245" s="279"/>
      <c r="T245" s="279"/>
      <c r="U245" s="279"/>
    </row>
    <row r="246" spans="1:21">
      <c r="A246" s="299" t="s">
        <v>476</v>
      </c>
      <c r="B246" s="300" t="s">
        <v>159</v>
      </c>
      <c r="C246" s="166">
        <f>94.82*2</f>
        <v>189.64</v>
      </c>
      <c r="D246" s="166">
        <f>C246/2</f>
        <v>94.82</v>
      </c>
      <c r="E246" s="166">
        <v>102</v>
      </c>
      <c r="F246" s="301" t="s">
        <v>159</v>
      </c>
      <c r="G246" s="302"/>
      <c r="H246" s="303"/>
      <c r="I246" s="311"/>
      <c r="J246" s="312" t="str">
        <f t="shared" ref="J246:J258" si="19">F246</f>
        <v>2 BOTTLES</v>
      </c>
      <c r="K246" s="312">
        <f>D246*2</f>
        <v>189.64</v>
      </c>
      <c r="L246" s="166">
        <v>0</v>
      </c>
      <c r="M246" s="166">
        <v>2</v>
      </c>
      <c r="N246" s="66">
        <f t="shared" si="17"/>
        <v>0</v>
      </c>
      <c r="O246" s="316"/>
      <c r="P246" s="279"/>
      <c r="Q246" s="279"/>
      <c r="R246" s="279"/>
      <c r="S246" s="279"/>
      <c r="T246" s="279"/>
      <c r="U246" s="279"/>
    </row>
    <row r="247" spans="1:21">
      <c r="A247" s="299" t="s">
        <v>477</v>
      </c>
      <c r="B247" s="300" t="s">
        <v>195</v>
      </c>
      <c r="C247" s="166">
        <f>17.3*6</f>
        <v>103.8</v>
      </c>
      <c r="D247" s="166">
        <f>C247/6</f>
        <v>17.3</v>
      </c>
      <c r="E247" s="166">
        <v>22</v>
      </c>
      <c r="F247" s="301" t="s">
        <v>195</v>
      </c>
      <c r="G247" s="302"/>
      <c r="H247" s="303"/>
      <c r="I247" s="311"/>
      <c r="J247" s="312" t="str">
        <f t="shared" si="19"/>
        <v>6 BOTTLES</v>
      </c>
      <c r="K247" s="312">
        <f>D247*6</f>
        <v>103.8</v>
      </c>
      <c r="L247" s="166">
        <v>0</v>
      </c>
      <c r="M247" s="166">
        <v>6</v>
      </c>
      <c r="N247" s="66">
        <f t="shared" si="17"/>
        <v>0</v>
      </c>
      <c r="O247" s="316"/>
      <c r="P247" s="279"/>
      <c r="Q247" s="279"/>
      <c r="R247" s="279"/>
      <c r="S247" s="279"/>
      <c r="T247" s="279"/>
      <c r="U247" s="279"/>
    </row>
    <row r="248" spans="1:21">
      <c r="A248" s="299" t="s">
        <v>478</v>
      </c>
      <c r="B248" s="300" t="s">
        <v>195</v>
      </c>
      <c r="C248" s="166">
        <f>28.04*6</f>
        <v>168.24</v>
      </c>
      <c r="D248" s="166">
        <f>C248/6</f>
        <v>28.04</v>
      </c>
      <c r="E248" s="166">
        <v>33</v>
      </c>
      <c r="F248" s="301" t="s">
        <v>195</v>
      </c>
      <c r="G248" s="302"/>
      <c r="H248" s="303"/>
      <c r="I248" s="311"/>
      <c r="J248" s="312" t="str">
        <f t="shared" si="19"/>
        <v>6 BOTTLES</v>
      </c>
      <c r="K248" s="312">
        <f>D248*6</f>
        <v>168.24</v>
      </c>
      <c r="L248" s="166">
        <f>6-5</f>
        <v>1</v>
      </c>
      <c r="M248" s="166">
        <v>5</v>
      </c>
      <c r="N248" s="66">
        <f t="shared" si="17"/>
        <v>33</v>
      </c>
      <c r="O248" s="316"/>
      <c r="P248" s="279"/>
      <c r="Q248" s="279"/>
      <c r="R248" s="279"/>
      <c r="S248" s="279"/>
      <c r="T248" s="279"/>
      <c r="U248" s="279"/>
    </row>
    <row r="249" spans="1:21">
      <c r="A249" s="299" t="s">
        <v>479</v>
      </c>
      <c r="B249" s="300" t="s">
        <v>162</v>
      </c>
      <c r="C249" s="166">
        <f>52*3</f>
        <v>156</v>
      </c>
      <c r="D249" s="166">
        <f>C249/3</f>
        <v>52</v>
      </c>
      <c r="E249" s="166">
        <v>58</v>
      </c>
      <c r="F249" s="301" t="s">
        <v>162</v>
      </c>
      <c r="G249" s="302"/>
      <c r="H249" s="303"/>
      <c r="I249" s="311"/>
      <c r="J249" s="312" t="str">
        <f t="shared" si="19"/>
        <v>3 BOTTLES</v>
      </c>
      <c r="K249" s="312">
        <f>D249*3</f>
        <v>156</v>
      </c>
      <c r="L249" s="166">
        <v>0</v>
      </c>
      <c r="M249" s="166">
        <v>3</v>
      </c>
      <c r="N249" s="66">
        <f t="shared" si="17"/>
        <v>0</v>
      </c>
      <c r="O249" s="316"/>
      <c r="P249" s="279"/>
      <c r="Q249" s="279"/>
      <c r="R249" s="279"/>
      <c r="S249" s="279"/>
      <c r="T249" s="279"/>
      <c r="U249" s="279"/>
    </row>
    <row r="250" spans="1:21">
      <c r="A250" s="299" t="s">
        <v>480</v>
      </c>
      <c r="B250" s="300" t="s">
        <v>481</v>
      </c>
      <c r="C250" s="166">
        <f>18.94*2</f>
        <v>37.88</v>
      </c>
      <c r="D250" s="166">
        <f>C250/2</f>
        <v>18.94</v>
      </c>
      <c r="E250" s="166">
        <v>23</v>
      </c>
      <c r="F250" s="301" t="s">
        <v>11</v>
      </c>
      <c r="G250" s="302"/>
      <c r="H250" s="303"/>
      <c r="I250" s="311"/>
      <c r="J250" s="312" t="str">
        <f t="shared" si="19"/>
        <v>2 PCS</v>
      </c>
      <c r="K250" s="312">
        <f>D250*2</f>
        <v>37.88</v>
      </c>
      <c r="L250" s="166">
        <v>0</v>
      </c>
      <c r="M250" s="166">
        <v>2</v>
      </c>
      <c r="N250" s="66">
        <f t="shared" si="17"/>
        <v>0</v>
      </c>
      <c r="O250" s="316"/>
      <c r="P250" s="279"/>
      <c r="Q250" s="279"/>
      <c r="R250" s="279"/>
      <c r="S250" s="279"/>
      <c r="T250" s="279"/>
      <c r="U250" s="279"/>
    </row>
    <row r="251" spans="1:21">
      <c r="A251" s="299" t="s">
        <v>482</v>
      </c>
      <c r="B251" s="300" t="s">
        <v>159</v>
      </c>
      <c r="C251" s="166">
        <f>61.34*2</f>
        <v>122.68</v>
      </c>
      <c r="D251" s="166">
        <f>C251/2</f>
        <v>61.34</v>
      </c>
      <c r="E251" s="166">
        <v>67</v>
      </c>
      <c r="F251" s="301" t="s">
        <v>159</v>
      </c>
      <c r="G251" s="302"/>
      <c r="H251" s="303"/>
      <c r="I251" s="311"/>
      <c r="J251" s="312" t="str">
        <f t="shared" si="19"/>
        <v>2 BOTTLES</v>
      </c>
      <c r="K251" s="312">
        <f>D251*2</f>
        <v>122.68</v>
      </c>
      <c r="L251" s="166">
        <v>0</v>
      </c>
      <c r="M251" s="166">
        <v>2</v>
      </c>
      <c r="N251" s="66">
        <f t="shared" si="17"/>
        <v>0</v>
      </c>
      <c r="O251" s="316"/>
      <c r="P251" s="279"/>
      <c r="Q251" s="279"/>
      <c r="R251" s="279"/>
      <c r="S251" s="279"/>
      <c r="T251" s="279"/>
      <c r="U251" s="279"/>
    </row>
    <row r="252" spans="1:21">
      <c r="A252" s="299" t="s">
        <v>483</v>
      </c>
      <c r="B252" s="300" t="s">
        <v>159</v>
      </c>
      <c r="C252" s="166">
        <f>103.74*2</f>
        <v>207.48</v>
      </c>
      <c r="D252" s="166">
        <f>C252/2</f>
        <v>103.74</v>
      </c>
      <c r="E252" s="166">
        <v>110</v>
      </c>
      <c r="F252" s="301" t="s">
        <v>159</v>
      </c>
      <c r="G252" s="302"/>
      <c r="H252" s="303"/>
      <c r="I252" s="311"/>
      <c r="J252" s="312" t="str">
        <f t="shared" si="19"/>
        <v>2 BOTTLES</v>
      </c>
      <c r="K252" s="312">
        <f>D252*2</f>
        <v>207.48</v>
      </c>
      <c r="L252" s="166">
        <v>0</v>
      </c>
      <c r="M252" s="166">
        <v>2</v>
      </c>
      <c r="N252" s="66">
        <f t="shared" si="17"/>
        <v>0</v>
      </c>
      <c r="O252" s="316"/>
      <c r="P252" s="279"/>
      <c r="Q252" s="279"/>
      <c r="R252" s="279"/>
      <c r="S252" s="279"/>
      <c r="T252" s="279"/>
      <c r="U252" s="279"/>
    </row>
    <row r="253" spans="1:21">
      <c r="A253" s="299" t="s">
        <v>484</v>
      </c>
      <c r="B253" s="300" t="s">
        <v>159</v>
      </c>
      <c r="C253" s="166">
        <f>45.16*2</f>
        <v>90.32</v>
      </c>
      <c r="D253" s="166">
        <f>C253/2</f>
        <v>45.16</v>
      </c>
      <c r="E253" s="166"/>
      <c r="F253" s="301" t="s">
        <v>159</v>
      </c>
      <c r="G253" s="302"/>
      <c r="H253" s="303"/>
      <c r="I253" s="311"/>
      <c r="J253" s="312" t="str">
        <f t="shared" si="19"/>
        <v>2 BOTTLES</v>
      </c>
      <c r="K253" s="312">
        <f>D253*2</f>
        <v>90.32</v>
      </c>
      <c r="L253" s="166"/>
      <c r="M253" s="166"/>
      <c r="N253" s="66">
        <f t="shared" si="17"/>
        <v>0</v>
      </c>
      <c r="O253" s="316"/>
      <c r="P253" s="279"/>
      <c r="Q253" s="279"/>
      <c r="R253" s="279"/>
      <c r="S253" s="279"/>
      <c r="T253" s="279"/>
      <c r="U253" s="279"/>
    </row>
    <row r="254" spans="1:21">
      <c r="A254" s="299" t="s">
        <v>485</v>
      </c>
      <c r="B254" s="300" t="s">
        <v>144</v>
      </c>
      <c r="C254" s="166">
        <v>53.11</v>
      </c>
      <c r="D254" s="166">
        <f>C254/12</f>
        <v>4.42583333333333</v>
      </c>
      <c r="E254" s="166"/>
      <c r="F254" s="301" t="s">
        <v>262</v>
      </c>
      <c r="G254" s="302"/>
      <c r="H254" s="303"/>
      <c r="I254" s="311"/>
      <c r="J254" s="312" t="str">
        <f t="shared" si="19"/>
        <v>12 SACHETS</v>
      </c>
      <c r="K254" s="312">
        <f>D254*12</f>
        <v>53.11</v>
      </c>
      <c r="L254" s="166"/>
      <c r="M254" s="166"/>
      <c r="N254" s="66">
        <f t="shared" si="17"/>
        <v>0</v>
      </c>
      <c r="O254" s="316"/>
      <c r="P254" s="279"/>
      <c r="Q254" s="279"/>
      <c r="R254" s="279"/>
      <c r="S254" s="279"/>
      <c r="T254" s="279"/>
      <c r="U254" s="279"/>
    </row>
    <row r="255" spans="1:21">
      <c r="A255" s="299" t="s">
        <v>486</v>
      </c>
      <c r="B255" s="300" t="s">
        <v>159</v>
      </c>
      <c r="C255" s="166">
        <f>2*44.16</f>
        <v>88.32</v>
      </c>
      <c r="D255" s="166">
        <f>C255/2</f>
        <v>44.16</v>
      </c>
      <c r="E255" s="166"/>
      <c r="F255" s="301" t="s">
        <v>159</v>
      </c>
      <c r="G255" s="302"/>
      <c r="H255" s="303"/>
      <c r="I255" s="311"/>
      <c r="J255" s="312" t="str">
        <f t="shared" si="19"/>
        <v>2 BOTTLES</v>
      </c>
      <c r="K255" s="312">
        <f>D255*2</f>
        <v>88.32</v>
      </c>
      <c r="L255" s="166"/>
      <c r="M255" s="166"/>
      <c r="N255" s="66">
        <f t="shared" si="17"/>
        <v>0</v>
      </c>
      <c r="O255" s="316"/>
      <c r="P255" s="279"/>
      <c r="Q255" s="279"/>
      <c r="R255" s="279"/>
      <c r="S255" s="279"/>
      <c r="T255" s="279"/>
      <c r="U255" s="279"/>
    </row>
    <row r="256" spans="1:21">
      <c r="A256" s="299" t="s">
        <v>487</v>
      </c>
      <c r="B256" s="300" t="s">
        <v>159</v>
      </c>
      <c r="C256" s="166">
        <f>47.2*2</f>
        <v>94.4</v>
      </c>
      <c r="D256" s="166">
        <f>C256/2</f>
        <v>47.2</v>
      </c>
      <c r="E256" s="166"/>
      <c r="F256" s="301" t="s">
        <v>159</v>
      </c>
      <c r="G256" s="302"/>
      <c r="H256" s="303"/>
      <c r="I256" s="311"/>
      <c r="J256" s="312" t="str">
        <f t="shared" si="19"/>
        <v>2 BOTTLES</v>
      </c>
      <c r="K256" s="312">
        <f>D256*2</f>
        <v>94.4</v>
      </c>
      <c r="L256" s="166"/>
      <c r="M256" s="166"/>
      <c r="N256" s="66">
        <f t="shared" si="17"/>
        <v>0</v>
      </c>
      <c r="O256" s="316"/>
      <c r="P256" s="279"/>
      <c r="Q256" s="279"/>
      <c r="R256" s="279"/>
      <c r="S256" s="279"/>
      <c r="T256" s="279"/>
      <c r="U256" s="279"/>
    </row>
    <row r="257" spans="1:21">
      <c r="A257" s="299" t="s">
        <v>488</v>
      </c>
      <c r="B257" s="300" t="s">
        <v>159</v>
      </c>
      <c r="C257" s="166">
        <f>43.28*2</f>
        <v>86.56</v>
      </c>
      <c r="D257" s="166">
        <f>C257/2</f>
        <v>43.28</v>
      </c>
      <c r="E257" s="166"/>
      <c r="F257" s="301" t="s">
        <v>159</v>
      </c>
      <c r="G257" s="302"/>
      <c r="H257" s="303"/>
      <c r="I257" s="311"/>
      <c r="J257" s="312" t="str">
        <f t="shared" si="19"/>
        <v>2 BOTTLES</v>
      </c>
      <c r="K257" s="312">
        <f>D257*2</f>
        <v>86.56</v>
      </c>
      <c r="L257" s="166"/>
      <c r="M257" s="166"/>
      <c r="N257" s="66">
        <f t="shared" si="17"/>
        <v>0</v>
      </c>
      <c r="O257" s="316"/>
      <c r="P257" s="279"/>
      <c r="Q257" s="279"/>
      <c r="R257" s="279"/>
      <c r="S257" s="279"/>
      <c r="T257" s="279"/>
      <c r="U257" s="279"/>
    </row>
    <row r="258" spans="1:21">
      <c r="A258" s="299" t="s">
        <v>489</v>
      </c>
      <c r="B258" s="300" t="s">
        <v>439</v>
      </c>
      <c r="C258" s="166">
        <v>889.06</v>
      </c>
      <c r="D258" s="166">
        <f>C258/14</f>
        <v>63.5042857142857</v>
      </c>
      <c r="E258" s="166">
        <v>72</v>
      </c>
      <c r="F258" s="301" t="s">
        <v>440</v>
      </c>
      <c r="G258" s="302"/>
      <c r="H258" s="303"/>
      <c r="I258" s="311"/>
      <c r="J258" s="312" t="str">
        <f t="shared" si="19"/>
        <v>14 TABS</v>
      </c>
      <c r="K258" s="312">
        <f>D258*14</f>
        <v>889.06</v>
      </c>
      <c r="L258" s="166"/>
      <c r="M258" s="166">
        <v>14</v>
      </c>
      <c r="N258" s="66">
        <f t="shared" si="17"/>
        <v>0</v>
      </c>
      <c r="O258" s="316"/>
      <c r="P258" s="279"/>
      <c r="Q258" s="279"/>
      <c r="R258" s="279"/>
      <c r="S258" s="279"/>
      <c r="T258" s="279"/>
      <c r="U258" s="279"/>
    </row>
    <row r="259" spans="1:21">
      <c r="A259" s="299" t="s">
        <v>490</v>
      </c>
      <c r="B259" s="314"/>
      <c r="C259" s="166"/>
      <c r="D259" s="166">
        <v>91.8</v>
      </c>
      <c r="E259" s="166">
        <v>110</v>
      </c>
      <c r="F259" s="301"/>
      <c r="G259" s="302"/>
      <c r="H259" s="303"/>
      <c r="I259" s="311" t="s">
        <v>162</v>
      </c>
      <c r="J259" s="312" t="str">
        <f>I259</f>
        <v>3 BOTTLES</v>
      </c>
      <c r="K259" s="312">
        <f>D259*3</f>
        <v>275.4</v>
      </c>
      <c r="L259" s="166"/>
      <c r="M259" s="166">
        <v>3</v>
      </c>
      <c r="N259" s="66">
        <f t="shared" si="17"/>
        <v>0</v>
      </c>
      <c r="O259" s="316"/>
      <c r="P259" s="279"/>
      <c r="Q259" s="279"/>
      <c r="R259" s="279"/>
      <c r="S259" s="279"/>
      <c r="T259" s="279"/>
      <c r="U259" s="279"/>
    </row>
    <row r="260" spans="1:21">
      <c r="A260" s="299" t="s">
        <v>491</v>
      </c>
      <c r="B260" s="314"/>
      <c r="C260" s="166"/>
      <c r="D260" s="166">
        <v>108</v>
      </c>
      <c r="E260" s="166">
        <v>130</v>
      </c>
      <c r="F260" s="301"/>
      <c r="G260" s="302"/>
      <c r="H260" s="303"/>
      <c r="I260" s="311" t="s">
        <v>162</v>
      </c>
      <c r="J260" s="312" t="str">
        <f>I260</f>
        <v>3 BOTTLES</v>
      </c>
      <c r="K260" s="312">
        <f>D260*3</f>
        <v>324</v>
      </c>
      <c r="L260" s="166"/>
      <c r="M260" s="166">
        <v>3</v>
      </c>
      <c r="N260" s="66">
        <f t="shared" ref="N260:N323" si="20">L260*E260</f>
        <v>0</v>
      </c>
      <c r="O260" s="316"/>
      <c r="P260" s="279"/>
      <c r="Q260" s="279"/>
      <c r="R260" s="279"/>
      <c r="S260" s="279"/>
      <c r="T260" s="279"/>
      <c r="U260" s="279"/>
    </row>
    <row r="261" spans="1:21">
      <c r="A261" s="299" t="s">
        <v>492</v>
      </c>
      <c r="B261" s="300" t="s">
        <v>164</v>
      </c>
      <c r="C261" s="166">
        <f>6.08*10</f>
        <v>60.8</v>
      </c>
      <c r="D261" s="166">
        <f>C261/10</f>
        <v>6.08</v>
      </c>
      <c r="E261" s="166"/>
      <c r="F261" s="301" t="s">
        <v>165</v>
      </c>
      <c r="G261" s="302"/>
      <c r="H261" s="303"/>
      <c r="I261" s="311"/>
      <c r="J261" s="312" t="str">
        <f t="shared" ref="J261:J266" si="21">F261</f>
        <v>10 TABS</v>
      </c>
      <c r="K261" s="312">
        <f>D261*10</f>
        <v>60.8</v>
      </c>
      <c r="L261" s="166"/>
      <c r="M261" s="166"/>
      <c r="N261" s="66">
        <f t="shared" si="20"/>
        <v>0</v>
      </c>
      <c r="O261" s="316"/>
      <c r="P261" s="279"/>
      <c r="Q261" s="279"/>
      <c r="R261" s="279"/>
      <c r="S261" s="279"/>
      <c r="T261" s="279"/>
      <c r="U261" s="279"/>
    </row>
    <row r="262" spans="1:21">
      <c r="A262" s="299" t="s">
        <v>493</v>
      </c>
      <c r="B262" s="300" t="s">
        <v>494</v>
      </c>
      <c r="C262" s="166">
        <f>14.89*16</f>
        <v>238.24</v>
      </c>
      <c r="D262" s="166">
        <f>C262/16</f>
        <v>14.89</v>
      </c>
      <c r="E262" s="166">
        <v>17</v>
      </c>
      <c r="F262" s="301" t="s">
        <v>495</v>
      </c>
      <c r="G262" s="302"/>
      <c r="H262" s="303"/>
      <c r="I262" s="311"/>
      <c r="J262" s="312" t="str">
        <f t="shared" si="21"/>
        <v>16 TABS</v>
      </c>
      <c r="K262" s="312">
        <f>D262*16</f>
        <v>238.24</v>
      </c>
      <c r="L262" s="166"/>
      <c r="M262" s="166">
        <v>16</v>
      </c>
      <c r="N262" s="66">
        <f t="shared" si="20"/>
        <v>0</v>
      </c>
      <c r="O262" s="316"/>
      <c r="P262" s="279"/>
      <c r="Q262" s="279"/>
      <c r="R262" s="279"/>
      <c r="S262" s="279"/>
      <c r="T262" s="279"/>
      <c r="U262" s="279"/>
    </row>
    <row r="263" spans="1:21">
      <c r="A263" s="299" t="s">
        <v>496</v>
      </c>
      <c r="B263" s="300" t="s">
        <v>396</v>
      </c>
      <c r="C263" s="166">
        <f>20*24.91</f>
        <v>498.2</v>
      </c>
      <c r="D263" s="166">
        <f>C263/20</f>
        <v>24.91</v>
      </c>
      <c r="E263" s="166">
        <v>28</v>
      </c>
      <c r="F263" s="301" t="s">
        <v>233</v>
      </c>
      <c r="G263" s="302"/>
      <c r="H263" s="303"/>
      <c r="I263" s="311"/>
      <c r="J263" s="312" t="str">
        <f t="shared" si="21"/>
        <v>20 TABS</v>
      </c>
      <c r="K263" s="312">
        <f>D263*20</f>
        <v>498.2</v>
      </c>
      <c r="L263" s="166">
        <f>20-M263</f>
        <v>10</v>
      </c>
      <c r="M263" s="166">
        <v>10</v>
      </c>
      <c r="N263" s="66">
        <f t="shared" si="20"/>
        <v>280</v>
      </c>
      <c r="O263" s="316"/>
      <c r="P263" s="279"/>
      <c r="Q263" s="279"/>
      <c r="R263" s="279"/>
      <c r="S263" s="279"/>
      <c r="T263" s="279"/>
      <c r="U263" s="279"/>
    </row>
    <row r="264" spans="1:21">
      <c r="A264" s="299" t="s">
        <v>497</v>
      </c>
      <c r="B264" s="300" t="s">
        <v>144</v>
      </c>
      <c r="C264" s="166">
        <v>61.15</v>
      </c>
      <c r="D264" s="166">
        <f>C264/12</f>
        <v>5.09583333333333</v>
      </c>
      <c r="E264" s="166"/>
      <c r="F264" s="301" t="s">
        <v>262</v>
      </c>
      <c r="G264" s="302"/>
      <c r="H264" s="303"/>
      <c r="I264" s="311"/>
      <c r="J264" s="312" t="str">
        <f t="shared" si="21"/>
        <v>12 SACHETS</v>
      </c>
      <c r="K264" s="312">
        <f>D264*12</f>
        <v>61.15</v>
      </c>
      <c r="L264" s="166"/>
      <c r="M264" s="166"/>
      <c r="N264" s="66">
        <f t="shared" si="20"/>
        <v>0</v>
      </c>
      <c r="O264" s="316"/>
      <c r="P264" s="279"/>
      <c r="Q264" s="279"/>
      <c r="R264" s="279"/>
      <c r="S264" s="279"/>
      <c r="T264" s="279"/>
      <c r="U264" s="279"/>
    </row>
    <row r="265" spans="1:21">
      <c r="A265" s="299" t="s">
        <v>498</v>
      </c>
      <c r="B265" s="300" t="s">
        <v>144</v>
      </c>
      <c r="C265" s="166">
        <v>153.45</v>
      </c>
      <c r="D265" s="166">
        <f>C265/12</f>
        <v>12.7875</v>
      </c>
      <c r="E265" s="166"/>
      <c r="F265" s="301" t="s">
        <v>262</v>
      </c>
      <c r="G265" s="302"/>
      <c r="H265" s="303"/>
      <c r="I265" s="311"/>
      <c r="J265" s="312" t="str">
        <f t="shared" si="21"/>
        <v>12 SACHETS</v>
      </c>
      <c r="K265" s="312">
        <f>D265*12</f>
        <v>153.45</v>
      </c>
      <c r="L265" s="166"/>
      <c r="M265" s="166"/>
      <c r="N265" s="66">
        <f t="shared" si="20"/>
        <v>0</v>
      </c>
      <c r="O265" s="316"/>
      <c r="P265" s="279"/>
      <c r="Q265" s="279"/>
      <c r="R265" s="279"/>
      <c r="S265" s="279"/>
      <c r="T265" s="279"/>
      <c r="U265" s="279"/>
    </row>
    <row r="266" spans="1:21">
      <c r="A266" s="299" t="s">
        <v>499</v>
      </c>
      <c r="B266" s="300" t="s">
        <v>144</v>
      </c>
      <c r="C266" s="166">
        <f>153.45</f>
        <v>153.45</v>
      </c>
      <c r="D266" s="166">
        <f>C266/12</f>
        <v>12.7875</v>
      </c>
      <c r="E266" s="166"/>
      <c r="F266" s="301" t="s">
        <v>262</v>
      </c>
      <c r="G266" s="302"/>
      <c r="H266" s="303"/>
      <c r="I266" s="311"/>
      <c r="J266" s="312" t="str">
        <f t="shared" si="21"/>
        <v>12 SACHETS</v>
      </c>
      <c r="K266" s="312">
        <f>D266*12</f>
        <v>153.45</v>
      </c>
      <c r="L266" s="166"/>
      <c r="M266" s="166"/>
      <c r="N266" s="66">
        <f t="shared" si="20"/>
        <v>0</v>
      </c>
      <c r="O266" s="316"/>
      <c r="P266" s="279"/>
      <c r="Q266" s="279"/>
      <c r="R266" s="279"/>
      <c r="S266" s="279"/>
      <c r="T266" s="279"/>
      <c r="U266" s="279"/>
    </row>
    <row r="267" spans="1:21">
      <c r="A267" s="299" t="s">
        <v>500</v>
      </c>
      <c r="B267" s="300" t="s">
        <v>150</v>
      </c>
      <c r="C267" s="166">
        <f>35.2*10</f>
        <v>352</v>
      </c>
      <c r="D267" s="166">
        <f>C267/10</f>
        <v>35.2</v>
      </c>
      <c r="E267" s="166"/>
      <c r="F267" s="301"/>
      <c r="G267" s="302" t="s">
        <v>150</v>
      </c>
      <c r="H267" s="303"/>
      <c r="I267" s="311"/>
      <c r="J267" s="312" t="str">
        <f>G267</f>
        <v>10 CAPS</v>
      </c>
      <c r="K267" s="312">
        <f>D267*10</f>
        <v>352</v>
      </c>
      <c r="L267" s="166"/>
      <c r="M267" s="166"/>
      <c r="N267" s="66">
        <f t="shared" si="20"/>
        <v>0</v>
      </c>
      <c r="O267" s="316"/>
      <c r="P267" s="279"/>
      <c r="Q267" s="279"/>
      <c r="R267" s="279"/>
      <c r="S267" s="279"/>
      <c r="T267" s="279"/>
      <c r="U267" s="279"/>
    </row>
    <row r="268" spans="1:21">
      <c r="A268" s="299" t="s">
        <v>501</v>
      </c>
      <c r="B268" s="314"/>
      <c r="C268" s="166"/>
      <c r="D268" s="166">
        <v>7.99</v>
      </c>
      <c r="E268" s="166"/>
      <c r="F268" s="301"/>
      <c r="G268" s="302"/>
      <c r="H268" s="303"/>
      <c r="I268" s="311" t="s">
        <v>233</v>
      </c>
      <c r="J268" s="312" t="str">
        <f>I268</f>
        <v>20 TABS</v>
      </c>
      <c r="K268" s="312">
        <f>D268*20</f>
        <v>159.8</v>
      </c>
      <c r="L268" s="166"/>
      <c r="M268" s="166"/>
      <c r="N268" s="66">
        <f t="shared" si="20"/>
        <v>0</v>
      </c>
      <c r="O268" s="316"/>
      <c r="P268" s="279"/>
      <c r="Q268" s="279"/>
      <c r="R268" s="279"/>
      <c r="S268" s="279"/>
      <c r="T268" s="279"/>
      <c r="U268" s="279"/>
    </row>
    <row r="269" hidden="1" spans="1:21">
      <c r="A269" s="304" t="s">
        <v>502</v>
      </c>
      <c r="B269" s="300" t="s">
        <v>439</v>
      </c>
      <c r="C269" s="171">
        <v>402.02</v>
      </c>
      <c r="D269" s="171">
        <v>28.7157142857143</v>
      </c>
      <c r="E269" s="171"/>
      <c r="F269" s="301"/>
      <c r="G269" s="302"/>
      <c r="H269" s="303"/>
      <c r="I269" s="311"/>
      <c r="J269" s="312"/>
      <c r="K269" s="312">
        <f>D269*20</f>
        <v>574.314285714286</v>
      </c>
      <c r="L269" s="166"/>
      <c r="M269" s="166"/>
      <c r="N269" s="66">
        <f t="shared" si="20"/>
        <v>0</v>
      </c>
      <c r="O269" s="316"/>
      <c r="P269" s="279"/>
      <c r="Q269" s="279"/>
      <c r="R269" s="279"/>
      <c r="S269" s="279"/>
      <c r="T269" s="279"/>
      <c r="U269" s="279"/>
    </row>
    <row r="270" spans="1:21">
      <c r="A270" s="299" t="s">
        <v>503</v>
      </c>
      <c r="B270" s="314"/>
      <c r="C270" s="166"/>
      <c r="D270" s="166">
        <v>4.71</v>
      </c>
      <c r="E270" s="166"/>
      <c r="F270" s="301"/>
      <c r="G270" s="302"/>
      <c r="H270" s="303"/>
      <c r="I270" s="311" t="s">
        <v>233</v>
      </c>
      <c r="J270" s="312" t="str">
        <f>I270</f>
        <v>20 TABS</v>
      </c>
      <c r="K270" s="312">
        <f>D270*20</f>
        <v>94.2</v>
      </c>
      <c r="L270" s="166"/>
      <c r="M270" s="166"/>
      <c r="N270" s="66">
        <f t="shared" si="20"/>
        <v>0</v>
      </c>
      <c r="O270" s="316"/>
      <c r="P270" s="279"/>
      <c r="Q270" s="279"/>
      <c r="R270" s="279"/>
      <c r="S270" s="279"/>
      <c r="T270" s="279"/>
      <c r="U270" s="279"/>
    </row>
    <row r="271" spans="1:21">
      <c r="A271" s="299" t="s">
        <v>504</v>
      </c>
      <c r="B271" s="314"/>
      <c r="C271" s="166"/>
      <c r="D271" s="166">
        <v>4.82</v>
      </c>
      <c r="E271" s="166"/>
      <c r="F271" s="301"/>
      <c r="G271" s="302"/>
      <c r="H271" s="303"/>
      <c r="I271" s="311" t="s">
        <v>233</v>
      </c>
      <c r="J271" s="312" t="str">
        <f>I271</f>
        <v>20 TABS</v>
      </c>
      <c r="K271" s="312">
        <f>D271*20</f>
        <v>96.4</v>
      </c>
      <c r="L271" s="166"/>
      <c r="M271" s="166"/>
      <c r="N271" s="66">
        <f t="shared" si="20"/>
        <v>0</v>
      </c>
      <c r="O271" s="316"/>
      <c r="P271" s="279"/>
      <c r="Q271" s="279"/>
      <c r="R271" s="279"/>
      <c r="S271" s="279"/>
      <c r="T271" s="279"/>
      <c r="U271" s="279"/>
    </row>
    <row r="272" spans="1:21">
      <c r="A272" s="299" t="s">
        <v>505</v>
      </c>
      <c r="B272" s="300" t="s">
        <v>233</v>
      </c>
      <c r="C272" s="166">
        <f>4.66*20</f>
        <v>93.2</v>
      </c>
      <c r="D272" s="166">
        <f>C272/20</f>
        <v>4.66</v>
      </c>
      <c r="E272" s="166"/>
      <c r="F272" s="301"/>
      <c r="G272" s="302" t="s">
        <v>233</v>
      </c>
      <c r="H272" s="303"/>
      <c r="I272" s="311"/>
      <c r="J272" s="312" t="str">
        <f>G272</f>
        <v>20 TABS</v>
      </c>
      <c r="K272" s="312">
        <f>D272*20</f>
        <v>93.2</v>
      </c>
      <c r="L272" s="166"/>
      <c r="M272" s="166"/>
      <c r="N272" s="66">
        <f t="shared" si="20"/>
        <v>0</v>
      </c>
      <c r="O272" s="316"/>
      <c r="P272" s="279"/>
      <c r="Q272" s="279"/>
      <c r="R272" s="279"/>
      <c r="S272" s="279"/>
      <c r="T272" s="279"/>
      <c r="U272" s="279"/>
    </row>
    <row r="273" spans="1:21">
      <c r="A273" s="299" t="s">
        <v>506</v>
      </c>
      <c r="B273" s="300" t="s">
        <v>159</v>
      </c>
      <c r="C273" s="166">
        <f>62.57*2</f>
        <v>125.14</v>
      </c>
      <c r="D273" s="166">
        <f>C273/2</f>
        <v>62.57</v>
      </c>
      <c r="E273" s="166">
        <v>72</v>
      </c>
      <c r="F273" s="301" t="s">
        <v>159</v>
      </c>
      <c r="G273" s="302"/>
      <c r="H273" s="303"/>
      <c r="I273" s="311"/>
      <c r="J273" s="312" t="str">
        <f>F273</f>
        <v>2 BOTTLES</v>
      </c>
      <c r="K273" s="312">
        <f>D273*2</f>
        <v>125.14</v>
      </c>
      <c r="L273" s="166">
        <f>2-M273</f>
        <v>0</v>
      </c>
      <c r="M273" s="166">
        <v>2</v>
      </c>
      <c r="N273" s="66">
        <f t="shared" si="20"/>
        <v>0</v>
      </c>
      <c r="O273" s="316"/>
      <c r="P273" s="279"/>
      <c r="Q273" s="279"/>
      <c r="R273" s="279"/>
      <c r="S273" s="279"/>
      <c r="T273" s="279"/>
      <c r="U273" s="279"/>
    </row>
    <row r="274" spans="1:21">
      <c r="A274" s="299" t="s">
        <v>507</v>
      </c>
      <c r="B274" s="300" t="s">
        <v>159</v>
      </c>
      <c r="C274" s="166">
        <f>136.97*2</f>
        <v>273.94</v>
      </c>
      <c r="D274" s="166">
        <f>C274/2</f>
        <v>136.97</v>
      </c>
      <c r="E274" s="166">
        <v>158</v>
      </c>
      <c r="F274" s="301" t="s">
        <v>159</v>
      </c>
      <c r="G274" s="302"/>
      <c r="H274" s="303"/>
      <c r="I274" s="311"/>
      <c r="J274" s="312" t="str">
        <f>F274</f>
        <v>2 BOTTLES</v>
      </c>
      <c r="K274" s="312">
        <f>D274*2</f>
        <v>273.94</v>
      </c>
      <c r="L274" s="166">
        <f>2-M274</f>
        <v>1</v>
      </c>
      <c r="M274" s="166">
        <v>1</v>
      </c>
      <c r="N274" s="66">
        <f t="shared" si="20"/>
        <v>158</v>
      </c>
      <c r="O274" s="316"/>
      <c r="P274" s="279"/>
      <c r="Q274" s="279"/>
      <c r="R274" s="279"/>
      <c r="S274" s="279"/>
      <c r="T274" s="279"/>
      <c r="U274" s="279"/>
    </row>
    <row r="275" spans="1:21">
      <c r="A275" s="299" t="s">
        <v>508</v>
      </c>
      <c r="B275" s="300" t="s">
        <v>159</v>
      </c>
      <c r="C275" s="166">
        <f>82.86*2</f>
        <v>165.72</v>
      </c>
      <c r="D275" s="166">
        <f>C275/2</f>
        <v>82.86</v>
      </c>
      <c r="E275" s="166">
        <v>96</v>
      </c>
      <c r="F275" s="301" t="s">
        <v>159</v>
      </c>
      <c r="G275" s="302"/>
      <c r="H275" s="303"/>
      <c r="I275" s="311"/>
      <c r="J275" s="312" t="str">
        <f>F275</f>
        <v>2 BOTTLES</v>
      </c>
      <c r="K275" s="312">
        <f>D275*2</f>
        <v>165.72</v>
      </c>
      <c r="L275" s="166">
        <f>2-M275</f>
        <v>0</v>
      </c>
      <c r="M275" s="166">
        <v>2</v>
      </c>
      <c r="N275" s="66">
        <f t="shared" si="20"/>
        <v>0</v>
      </c>
      <c r="O275" s="316"/>
      <c r="P275" s="279"/>
      <c r="Q275" s="279"/>
      <c r="R275" s="279"/>
      <c r="S275" s="279"/>
      <c r="T275" s="279"/>
      <c r="U275" s="279"/>
    </row>
    <row r="276" spans="1:21">
      <c r="A276" s="299" t="s">
        <v>509</v>
      </c>
      <c r="B276" s="300" t="s">
        <v>236</v>
      </c>
      <c r="C276" s="166">
        <v>83.52</v>
      </c>
      <c r="D276" s="166">
        <v>6.96</v>
      </c>
      <c r="E276" s="166">
        <v>8.5</v>
      </c>
      <c r="F276" s="301"/>
      <c r="G276" s="302"/>
      <c r="H276" s="303" t="s">
        <v>236</v>
      </c>
      <c r="I276" s="311"/>
      <c r="J276" s="312" t="str">
        <f>H276</f>
        <v>12 TABS</v>
      </c>
      <c r="K276" s="312">
        <f>D276*12</f>
        <v>83.52</v>
      </c>
      <c r="L276" s="166"/>
      <c r="M276" s="166"/>
      <c r="N276" s="66">
        <f t="shared" si="20"/>
        <v>0</v>
      </c>
      <c r="O276" s="316"/>
      <c r="P276" s="279"/>
      <c r="Q276" s="279"/>
      <c r="R276" s="279"/>
      <c r="S276" s="279"/>
      <c r="T276" s="279"/>
      <c r="U276" s="279"/>
    </row>
    <row r="277" spans="1:21">
      <c r="A277" s="299" t="s">
        <v>510</v>
      </c>
      <c r="B277" s="300" t="s">
        <v>285</v>
      </c>
      <c r="C277" s="166">
        <v>107.52</v>
      </c>
      <c r="D277" s="166">
        <v>4.48</v>
      </c>
      <c r="E277" s="166">
        <v>5.5</v>
      </c>
      <c r="F277" s="301"/>
      <c r="G277" s="302"/>
      <c r="H277" s="303" t="s">
        <v>285</v>
      </c>
      <c r="I277" s="311"/>
      <c r="J277" s="312" t="str">
        <f>H277</f>
        <v>24 TABS</v>
      </c>
      <c r="K277" s="312">
        <f>D277*24</f>
        <v>107.52</v>
      </c>
      <c r="L277" s="166"/>
      <c r="M277" s="166"/>
      <c r="N277" s="66">
        <f t="shared" si="20"/>
        <v>0</v>
      </c>
      <c r="O277" s="316"/>
      <c r="P277" s="279"/>
      <c r="Q277" s="279"/>
      <c r="R277" s="279"/>
      <c r="S277" s="279"/>
      <c r="T277" s="279"/>
      <c r="U277" s="279"/>
    </row>
    <row r="278" spans="1:21">
      <c r="A278" s="299" t="s">
        <v>511</v>
      </c>
      <c r="B278" s="300" t="s">
        <v>144</v>
      </c>
      <c r="C278" s="166">
        <v>77.61</v>
      </c>
      <c r="D278" s="166">
        <f>C278/12</f>
        <v>6.4675</v>
      </c>
      <c r="E278" s="166"/>
      <c r="F278" s="301" t="s">
        <v>262</v>
      </c>
      <c r="G278" s="302"/>
      <c r="H278" s="303"/>
      <c r="I278" s="311"/>
      <c r="J278" s="312" t="str">
        <f>F278</f>
        <v>12 SACHETS</v>
      </c>
      <c r="K278" s="312">
        <f>D278*12</f>
        <v>77.61</v>
      </c>
      <c r="L278" s="166"/>
      <c r="M278" s="166"/>
      <c r="N278" s="66">
        <f t="shared" si="20"/>
        <v>0</v>
      </c>
      <c r="O278" s="316"/>
      <c r="P278" s="279"/>
      <c r="Q278" s="279"/>
      <c r="R278" s="279"/>
      <c r="S278" s="279"/>
      <c r="T278" s="279"/>
      <c r="U278" s="279"/>
    </row>
    <row r="279" spans="1:21">
      <c r="A279" s="299" t="s">
        <v>512</v>
      </c>
      <c r="B279" s="300" t="s">
        <v>144</v>
      </c>
      <c r="C279" s="166">
        <v>77.61</v>
      </c>
      <c r="D279" s="166">
        <f>C279/12</f>
        <v>6.4675</v>
      </c>
      <c r="E279" s="166"/>
      <c r="F279" s="301" t="s">
        <v>262</v>
      </c>
      <c r="G279" s="302"/>
      <c r="H279" s="303"/>
      <c r="I279" s="311"/>
      <c r="J279" s="312" t="str">
        <f>F279</f>
        <v>12 SACHETS</v>
      </c>
      <c r="K279" s="312">
        <f>D279*12</f>
        <v>77.61</v>
      </c>
      <c r="L279" s="166"/>
      <c r="M279" s="166"/>
      <c r="N279" s="66">
        <f t="shared" si="20"/>
        <v>0</v>
      </c>
      <c r="O279" s="316"/>
      <c r="P279" s="279"/>
      <c r="Q279" s="279"/>
      <c r="R279" s="279"/>
      <c r="S279" s="279"/>
      <c r="T279" s="279"/>
      <c r="U279" s="279"/>
    </row>
    <row r="280" spans="1:21">
      <c r="A280" s="299" t="s">
        <v>513</v>
      </c>
      <c r="B280" s="300" t="s">
        <v>144</v>
      </c>
      <c r="C280" s="166">
        <v>77.61</v>
      </c>
      <c r="D280" s="166">
        <f>C280/12</f>
        <v>6.4675</v>
      </c>
      <c r="E280" s="166"/>
      <c r="F280" s="301" t="s">
        <v>262</v>
      </c>
      <c r="G280" s="302"/>
      <c r="H280" s="303"/>
      <c r="I280" s="311"/>
      <c r="J280" s="312" t="str">
        <f>F280</f>
        <v>12 SACHETS</v>
      </c>
      <c r="K280" s="312">
        <f>D280*12</f>
        <v>77.61</v>
      </c>
      <c r="L280" s="166"/>
      <c r="M280" s="166"/>
      <c r="N280" s="66">
        <f t="shared" si="20"/>
        <v>0</v>
      </c>
      <c r="O280" s="316"/>
      <c r="P280" s="279"/>
      <c r="Q280" s="279"/>
      <c r="R280" s="279"/>
      <c r="S280" s="279"/>
      <c r="T280" s="279"/>
      <c r="U280" s="279"/>
    </row>
    <row r="281" spans="1:21">
      <c r="A281" s="299" t="s">
        <v>514</v>
      </c>
      <c r="B281" s="300" t="s">
        <v>144</v>
      </c>
      <c r="C281" s="166">
        <v>77.61</v>
      </c>
      <c r="D281" s="166">
        <f>C281/12</f>
        <v>6.4675</v>
      </c>
      <c r="E281" s="166"/>
      <c r="F281" s="301" t="s">
        <v>262</v>
      </c>
      <c r="G281" s="302"/>
      <c r="H281" s="303"/>
      <c r="I281" s="311"/>
      <c r="J281" s="312" t="str">
        <f>F281</f>
        <v>12 SACHETS</v>
      </c>
      <c r="K281" s="312">
        <f>D281*12</f>
        <v>77.61</v>
      </c>
      <c r="L281" s="166"/>
      <c r="M281" s="166"/>
      <c r="N281" s="66">
        <f t="shared" si="20"/>
        <v>0</v>
      </c>
      <c r="O281" s="316"/>
      <c r="P281" s="279"/>
      <c r="Q281" s="279"/>
      <c r="R281" s="279"/>
      <c r="S281" s="279"/>
      <c r="T281" s="279"/>
      <c r="U281" s="279"/>
    </row>
    <row r="282" spans="1:21">
      <c r="A282" s="299" t="s">
        <v>515</v>
      </c>
      <c r="B282" s="300" t="s">
        <v>144</v>
      </c>
      <c r="C282" s="166">
        <v>77.61</v>
      </c>
      <c r="D282" s="166">
        <f>C282/12</f>
        <v>6.4675</v>
      </c>
      <c r="E282" s="166"/>
      <c r="F282" s="301" t="s">
        <v>262</v>
      </c>
      <c r="G282" s="302"/>
      <c r="H282" s="303"/>
      <c r="I282" s="311"/>
      <c r="J282" s="312" t="str">
        <f>F282</f>
        <v>12 SACHETS</v>
      </c>
      <c r="K282" s="312">
        <f>D282*12</f>
        <v>77.61</v>
      </c>
      <c r="L282" s="166"/>
      <c r="M282" s="166"/>
      <c r="N282" s="66">
        <f t="shared" si="20"/>
        <v>0</v>
      </c>
      <c r="O282" s="316"/>
      <c r="P282" s="279"/>
      <c r="Q282" s="279"/>
      <c r="R282" s="279"/>
      <c r="S282" s="279"/>
      <c r="T282" s="279"/>
      <c r="U282" s="279"/>
    </row>
    <row r="283" hidden="1" spans="1:21">
      <c r="A283" s="299" t="s">
        <v>516</v>
      </c>
      <c r="B283" s="314" t="s">
        <v>396</v>
      </c>
      <c r="C283" s="166">
        <f>17.75*20</f>
        <v>355</v>
      </c>
      <c r="D283" s="166">
        <f>C283/20</f>
        <v>17.75</v>
      </c>
      <c r="E283" s="166"/>
      <c r="F283" s="301"/>
      <c r="G283" s="302"/>
      <c r="H283" s="303"/>
      <c r="I283" s="311"/>
      <c r="J283" s="312"/>
      <c r="K283" s="312"/>
      <c r="L283" s="166"/>
      <c r="M283" s="166"/>
      <c r="N283" s="66">
        <f t="shared" si="20"/>
        <v>0</v>
      </c>
      <c r="O283" s="316"/>
      <c r="P283" s="279"/>
      <c r="Q283" s="279"/>
      <c r="R283" s="279"/>
      <c r="S283" s="279"/>
      <c r="T283" s="279"/>
      <c r="U283" s="279"/>
    </row>
    <row r="284" spans="1:21">
      <c r="A284" s="299" t="s">
        <v>517</v>
      </c>
      <c r="B284" s="300" t="s">
        <v>54</v>
      </c>
      <c r="C284" s="166">
        <f>37.53*3</f>
        <v>112.59</v>
      </c>
      <c r="D284" s="166">
        <f>C284/3</f>
        <v>37.53</v>
      </c>
      <c r="E284" s="166"/>
      <c r="F284" s="301"/>
      <c r="G284" s="302" t="s">
        <v>54</v>
      </c>
      <c r="H284" s="303"/>
      <c r="I284" s="311" t="s">
        <v>205</v>
      </c>
      <c r="J284" s="312" t="s">
        <v>518</v>
      </c>
      <c r="K284" s="312">
        <f>D284*8</f>
        <v>300.24</v>
      </c>
      <c r="L284" s="166"/>
      <c r="M284" s="166"/>
      <c r="N284" s="66">
        <f t="shared" si="20"/>
        <v>0</v>
      </c>
      <c r="O284" s="316"/>
      <c r="P284" s="279"/>
      <c r="Q284" s="279"/>
      <c r="R284" s="279"/>
      <c r="S284" s="279"/>
      <c r="T284" s="279"/>
      <c r="U284" s="279"/>
    </row>
    <row r="285" spans="1:21">
      <c r="A285" s="299" t="s">
        <v>519</v>
      </c>
      <c r="B285" s="300" t="s">
        <v>54</v>
      </c>
      <c r="C285" s="166">
        <f>37.53*3</f>
        <v>112.59</v>
      </c>
      <c r="D285" s="166">
        <f>C285/3</f>
        <v>37.53</v>
      </c>
      <c r="E285" s="166"/>
      <c r="F285" s="301"/>
      <c r="G285" s="302" t="s">
        <v>54</v>
      </c>
      <c r="H285" s="303"/>
      <c r="I285" s="311"/>
      <c r="J285" s="312" t="str">
        <f>G285</f>
        <v>3 PCS</v>
      </c>
      <c r="K285" s="312">
        <f>D285*8</f>
        <v>300.24</v>
      </c>
      <c r="L285" s="166"/>
      <c r="M285" s="166"/>
      <c r="N285" s="66">
        <f t="shared" si="20"/>
        <v>0</v>
      </c>
      <c r="O285" s="316"/>
      <c r="P285" s="279"/>
      <c r="Q285" s="279"/>
      <c r="R285" s="279"/>
      <c r="S285" s="279"/>
      <c r="T285" s="279"/>
      <c r="U285" s="279"/>
    </row>
    <row r="286" spans="1:21">
      <c r="A286" s="299" t="s">
        <v>520</v>
      </c>
      <c r="B286" s="300" t="s">
        <v>54</v>
      </c>
      <c r="C286" s="166">
        <f>37.53*3</f>
        <v>112.59</v>
      </c>
      <c r="D286" s="166">
        <f>C286/3</f>
        <v>37.53</v>
      </c>
      <c r="E286" s="166"/>
      <c r="F286" s="301"/>
      <c r="G286" s="302" t="s">
        <v>54</v>
      </c>
      <c r="H286" s="303"/>
      <c r="I286" s="311"/>
      <c r="J286" s="312" t="str">
        <f>G286</f>
        <v>3 PCS</v>
      </c>
      <c r="K286" s="312">
        <f>D286*8</f>
        <v>300.24</v>
      </c>
      <c r="L286" s="166"/>
      <c r="M286" s="166"/>
      <c r="N286" s="66">
        <f t="shared" si="20"/>
        <v>0</v>
      </c>
      <c r="O286" s="316"/>
      <c r="P286" s="279"/>
      <c r="Q286" s="279"/>
      <c r="R286" s="279"/>
      <c r="S286" s="279"/>
      <c r="T286" s="279"/>
      <c r="U286" s="279"/>
    </row>
    <row r="287" hidden="1" spans="1:21">
      <c r="A287" s="304" t="s">
        <v>521</v>
      </c>
      <c r="B287" s="300" t="s">
        <v>156</v>
      </c>
      <c r="C287" s="171">
        <v>180.8</v>
      </c>
      <c r="D287" s="171">
        <v>9.04</v>
      </c>
      <c r="E287" s="171"/>
      <c r="F287" s="301"/>
      <c r="G287" s="302"/>
      <c r="H287" s="303"/>
      <c r="I287" s="311"/>
      <c r="J287" s="312"/>
      <c r="K287" s="312">
        <f>D287*8</f>
        <v>72.32</v>
      </c>
      <c r="L287" s="166"/>
      <c r="M287" s="166"/>
      <c r="N287" s="66">
        <f t="shared" si="20"/>
        <v>0</v>
      </c>
      <c r="O287" s="316"/>
      <c r="P287" s="279"/>
      <c r="Q287" s="279"/>
      <c r="R287" s="279"/>
      <c r="S287" s="279"/>
      <c r="T287" s="279"/>
      <c r="U287" s="279"/>
    </row>
    <row r="288" spans="1:21">
      <c r="A288" s="299" t="s">
        <v>522</v>
      </c>
      <c r="B288" s="300" t="s">
        <v>54</v>
      </c>
      <c r="C288" s="166">
        <f>37.53*3</f>
        <v>112.59</v>
      </c>
      <c r="D288" s="166">
        <f>C288/3</f>
        <v>37.53</v>
      </c>
      <c r="E288" s="166"/>
      <c r="F288" s="301"/>
      <c r="G288" s="302" t="s">
        <v>54</v>
      </c>
      <c r="H288" s="303"/>
      <c r="I288" s="311"/>
      <c r="J288" s="312" t="str">
        <f>G288</f>
        <v>3 PCS</v>
      </c>
      <c r="K288" s="312">
        <f>D288*8</f>
        <v>300.24</v>
      </c>
      <c r="L288" s="166"/>
      <c r="M288" s="166"/>
      <c r="N288" s="66">
        <f t="shared" si="20"/>
        <v>0</v>
      </c>
      <c r="O288" s="316"/>
      <c r="P288" s="279"/>
      <c r="Q288" s="279"/>
      <c r="R288" s="279"/>
      <c r="S288" s="279"/>
      <c r="T288" s="279"/>
      <c r="U288" s="279"/>
    </row>
    <row r="289" spans="1:21">
      <c r="A289" s="299" t="s">
        <v>523</v>
      </c>
      <c r="B289" s="300" t="s">
        <v>439</v>
      </c>
      <c r="C289" s="166">
        <v>402.02</v>
      </c>
      <c r="D289" s="166">
        <f>C289/14</f>
        <v>28.7157142857143</v>
      </c>
      <c r="E289" s="166">
        <v>35</v>
      </c>
      <c r="F289" s="301"/>
      <c r="G289" s="302" t="s">
        <v>524</v>
      </c>
      <c r="H289" s="303" t="s">
        <v>524</v>
      </c>
      <c r="I289" s="311"/>
      <c r="J289" s="312" t="s">
        <v>409</v>
      </c>
      <c r="K289" s="312">
        <f>D289*28</f>
        <v>804.04</v>
      </c>
      <c r="L289" s="166">
        <f>28-M289</f>
        <v>8</v>
      </c>
      <c r="M289" s="166">
        <v>20</v>
      </c>
      <c r="N289" s="320">
        <f t="shared" si="20"/>
        <v>280</v>
      </c>
      <c r="O289" s="316"/>
      <c r="P289" s="279">
        <f>N289-280</f>
        <v>0</v>
      </c>
      <c r="Q289" s="279"/>
      <c r="R289" s="279"/>
      <c r="S289" s="279"/>
      <c r="T289" s="279"/>
      <c r="U289" s="279"/>
    </row>
    <row r="290" spans="1:21">
      <c r="A290" s="299" t="s">
        <v>525</v>
      </c>
      <c r="B290" s="300" t="s">
        <v>439</v>
      </c>
      <c r="C290" s="166">
        <v>568.58</v>
      </c>
      <c r="D290" s="166">
        <v>40.6128571428571</v>
      </c>
      <c r="E290" s="166">
        <v>48</v>
      </c>
      <c r="F290" s="301"/>
      <c r="G290" s="302"/>
      <c r="H290" s="303" t="s">
        <v>524</v>
      </c>
      <c r="I290" s="311"/>
      <c r="J290" s="312" t="s">
        <v>524</v>
      </c>
      <c r="K290" s="312">
        <f>D290*14</f>
        <v>568.579999999999</v>
      </c>
      <c r="L290" s="166">
        <f>14-M290</f>
        <v>1</v>
      </c>
      <c r="M290" s="166">
        <v>13</v>
      </c>
      <c r="N290" s="66">
        <f t="shared" si="20"/>
        <v>48</v>
      </c>
      <c r="O290" s="316"/>
      <c r="P290" s="279"/>
      <c r="Q290" s="279"/>
      <c r="R290" s="279"/>
      <c r="S290" s="279"/>
      <c r="T290" s="279"/>
      <c r="U290" s="279"/>
    </row>
    <row r="291" spans="1:21">
      <c r="A291" s="299" t="s">
        <v>526</v>
      </c>
      <c r="B291" s="300" t="s">
        <v>161</v>
      </c>
      <c r="C291" s="166">
        <f>157*1</f>
        <v>157</v>
      </c>
      <c r="D291" s="166">
        <v>157</v>
      </c>
      <c r="E291" s="166">
        <v>170</v>
      </c>
      <c r="F291" s="301" t="s">
        <v>88</v>
      </c>
      <c r="G291" s="302"/>
      <c r="H291" s="303"/>
      <c r="I291" s="311"/>
      <c r="J291" s="312" t="str">
        <f>F291</f>
        <v>1 BOTTLE</v>
      </c>
      <c r="K291" s="312">
        <f>D291*1</f>
        <v>157</v>
      </c>
      <c r="L291" s="166">
        <f>1-M291</f>
        <v>0</v>
      </c>
      <c r="M291" s="166">
        <v>1</v>
      </c>
      <c r="N291" s="66">
        <f t="shared" si="20"/>
        <v>0</v>
      </c>
      <c r="O291" s="316"/>
      <c r="P291" s="279"/>
      <c r="Q291" s="279"/>
      <c r="R291" s="279"/>
      <c r="S291" s="279"/>
      <c r="T291" s="279"/>
      <c r="U291" s="279"/>
    </row>
    <row r="292" hidden="1" spans="1:21">
      <c r="A292" s="304" t="s">
        <v>527</v>
      </c>
      <c r="B292" s="300" t="s">
        <v>162</v>
      </c>
      <c r="C292" s="171">
        <v>276.33</v>
      </c>
      <c r="D292" s="171">
        <v>92.11</v>
      </c>
      <c r="E292" s="171"/>
      <c r="F292" s="301"/>
      <c r="G292" s="302"/>
      <c r="H292" s="303"/>
      <c r="I292" s="311"/>
      <c r="J292" s="312"/>
      <c r="K292" s="312"/>
      <c r="L292" s="166"/>
      <c r="M292" s="166"/>
      <c r="N292" s="66">
        <f t="shared" si="20"/>
        <v>0</v>
      </c>
      <c r="O292" s="316"/>
      <c r="P292" s="279"/>
      <c r="Q292" s="279"/>
      <c r="R292" s="279"/>
      <c r="S292" s="279"/>
      <c r="T292" s="279"/>
      <c r="U292" s="279"/>
    </row>
    <row r="293" spans="1:21">
      <c r="A293" s="299" t="s">
        <v>528</v>
      </c>
      <c r="B293" s="300" t="s">
        <v>159</v>
      </c>
      <c r="C293" s="166">
        <f>99.75*2</f>
        <v>199.5</v>
      </c>
      <c r="D293" s="166">
        <f>C293/2</f>
        <v>99.75</v>
      </c>
      <c r="E293" s="166">
        <v>110</v>
      </c>
      <c r="F293" s="301" t="s">
        <v>159</v>
      </c>
      <c r="G293" s="302"/>
      <c r="H293" s="303"/>
      <c r="I293" s="311" t="s">
        <v>162</v>
      </c>
      <c r="J293" s="312" t="s">
        <v>16</v>
      </c>
      <c r="K293" s="312">
        <f>D293*5</f>
        <v>498.75</v>
      </c>
      <c r="L293" s="166">
        <f>5-M293</f>
        <v>1</v>
      </c>
      <c r="M293" s="166">
        <v>4</v>
      </c>
      <c r="N293" s="66">
        <f t="shared" si="20"/>
        <v>110</v>
      </c>
      <c r="O293" s="316"/>
      <c r="P293" s="279"/>
      <c r="Q293" s="279"/>
      <c r="R293" s="279"/>
      <c r="S293" s="279"/>
      <c r="T293" s="279"/>
      <c r="U293" s="279"/>
    </row>
    <row r="294" spans="1:21">
      <c r="A294" s="299" t="s">
        <v>529</v>
      </c>
      <c r="B294" s="300" t="s">
        <v>149</v>
      </c>
      <c r="C294" s="166">
        <f>11*10</f>
        <v>110</v>
      </c>
      <c r="D294" s="166">
        <f>C294/10</f>
        <v>11</v>
      </c>
      <c r="E294" s="166">
        <v>13</v>
      </c>
      <c r="F294" s="301" t="s">
        <v>150</v>
      </c>
      <c r="G294" s="302"/>
      <c r="H294" s="303"/>
      <c r="I294" s="311"/>
      <c r="J294" s="312" t="str">
        <f>F294</f>
        <v>10 CAPS</v>
      </c>
      <c r="K294" s="312">
        <f>D294*10</f>
        <v>110</v>
      </c>
      <c r="L294" s="166">
        <f>10-M294</f>
        <v>1</v>
      </c>
      <c r="M294" s="166">
        <v>9</v>
      </c>
      <c r="N294" s="66">
        <f t="shared" si="20"/>
        <v>13</v>
      </c>
      <c r="O294" s="316"/>
      <c r="P294" s="279"/>
      <c r="Q294" s="279"/>
      <c r="R294" s="279"/>
      <c r="S294" s="279"/>
      <c r="T294" s="279"/>
      <c r="U294" s="279"/>
    </row>
    <row r="295" spans="1:21">
      <c r="A295" s="299" t="s">
        <v>530</v>
      </c>
      <c r="B295" s="300" t="s">
        <v>205</v>
      </c>
      <c r="C295" s="166">
        <f>38.4*5</f>
        <v>192</v>
      </c>
      <c r="D295" s="166">
        <f>C295/5</f>
        <v>38.4</v>
      </c>
      <c r="E295" s="166">
        <v>44</v>
      </c>
      <c r="F295" s="301"/>
      <c r="G295" s="302" t="s">
        <v>205</v>
      </c>
      <c r="H295" s="303"/>
      <c r="I295" s="311"/>
      <c r="J295" s="312" t="str">
        <f>G295</f>
        <v>5 PCS</v>
      </c>
      <c r="K295" s="312">
        <f>D295*5</f>
        <v>192</v>
      </c>
      <c r="L295" s="166">
        <f>5-M295</f>
        <v>2</v>
      </c>
      <c r="M295" s="166">
        <v>3</v>
      </c>
      <c r="N295" s="66">
        <f t="shared" si="20"/>
        <v>88</v>
      </c>
      <c r="O295" s="316"/>
      <c r="P295" s="279"/>
      <c r="Q295" s="279"/>
      <c r="R295" s="279"/>
      <c r="S295" s="279"/>
      <c r="T295" s="279"/>
      <c r="U295" s="279"/>
    </row>
    <row r="296" ht="22.5" spans="1:21">
      <c r="A296" s="299" t="s">
        <v>531</v>
      </c>
      <c r="B296" s="300" t="s">
        <v>382</v>
      </c>
      <c r="C296" s="166">
        <f>40.95*3</f>
        <v>122.85</v>
      </c>
      <c r="D296" s="166">
        <f>C296/3</f>
        <v>40.95</v>
      </c>
      <c r="E296" s="166"/>
      <c r="F296" s="315" t="s">
        <v>532</v>
      </c>
      <c r="G296" s="302"/>
      <c r="H296" s="303"/>
      <c r="I296" s="311"/>
      <c r="J296" s="313" t="str">
        <f>F296</f>
        <v>3 PACKS( 10 PATCHES)</v>
      </c>
      <c r="K296" s="313">
        <f>D296*3</f>
        <v>122.85</v>
      </c>
      <c r="L296" s="166"/>
      <c r="M296" s="166"/>
      <c r="N296" s="66">
        <f t="shared" si="20"/>
        <v>0</v>
      </c>
      <c r="O296" s="316"/>
      <c r="P296" s="279"/>
      <c r="Q296" s="279"/>
      <c r="R296" s="279"/>
      <c r="S296" s="279"/>
      <c r="T296" s="279"/>
      <c r="U296" s="279"/>
    </row>
    <row r="297" spans="1:21">
      <c r="A297" s="299" t="s">
        <v>533</v>
      </c>
      <c r="B297" s="300" t="s">
        <v>233</v>
      </c>
      <c r="C297" s="166">
        <f>12.69*20</f>
        <v>253.8</v>
      </c>
      <c r="D297" s="166">
        <f>C297/20</f>
        <v>12.69</v>
      </c>
      <c r="E297" s="166">
        <v>15</v>
      </c>
      <c r="F297" s="301"/>
      <c r="G297" s="302" t="s">
        <v>233</v>
      </c>
      <c r="H297" s="303"/>
      <c r="I297" s="311"/>
      <c r="J297" s="312" t="str">
        <f>G297</f>
        <v>20 TABS</v>
      </c>
      <c r="K297" s="312">
        <f>D297*20</f>
        <v>253.8</v>
      </c>
      <c r="L297" s="166"/>
      <c r="M297" s="166">
        <v>20</v>
      </c>
      <c r="N297" s="66">
        <f t="shared" si="20"/>
        <v>0</v>
      </c>
      <c r="O297" s="316"/>
      <c r="P297" s="279"/>
      <c r="Q297" s="279"/>
      <c r="R297" s="279"/>
      <c r="S297" s="279"/>
      <c r="T297" s="279"/>
      <c r="U297" s="279"/>
    </row>
    <row r="298" spans="1:21">
      <c r="A298" s="299" t="s">
        <v>534</v>
      </c>
      <c r="B298" s="300" t="s">
        <v>347</v>
      </c>
      <c r="C298" s="166">
        <f>45.26*25</f>
        <v>1131.5</v>
      </c>
      <c r="D298" s="166">
        <f>C298/25</f>
        <v>45.26</v>
      </c>
      <c r="E298" s="166"/>
      <c r="F298" s="301" t="s">
        <v>303</v>
      </c>
      <c r="G298" s="302"/>
      <c r="H298" s="303"/>
      <c r="I298" s="311"/>
      <c r="J298" s="312" t="str">
        <f>F298</f>
        <v>25 TABS</v>
      </c>
      <c r="K298" s="312">
        <f>D298*25</f>
        <v>1131.5</v>
      </c>
      <c r="L298" s="166"/>
      <c r="M298" s="166"/>
      <c r="N298" s="66">
        <f t="shared" si="20"/>
        <v>0</v>
      </c>
      <c r="O298" s="316"/>
      <c r="P298" s="279"/>
      <c r="Q298" s="279"/>
      <c r="R298" s="279"/>
      <c r="S298" s="279"/>
      <c r="T298" s="279"/>
      <c r="U298" s="279"/>
    </row>
    <row r="299" spans="1:21">
      <c r="A299" s="299" t="s">
        <v>535</v>
      </c>
      <c r="B299" s="300" t="s">
        <v>347</v>
      </c>
      <c r="C299" s="166">
        <f>37.86*25</f>
        <v>946.5</v>
      </c>
      <c r="D299" s="166">
        <f>C299/25</f>
        <v>37.86</v>
      </c>
      <c r="E299" s="166"/>
      <c r="F299" s="301" t="s">
        <v>303</v>
      </c>
      <c r="G299" s="302"/>
      <c r="H299" s="303"/>
      <c r="I299" s="311"/>
      <c r="J299" s="312" t="str">
        <f>F299</f>
        <v>25 TABS</v>
      </c>
      <c r="K299" s="312">
        <f>D299*25</f>
        <v>946.5</v>
      </c>
      <c r="L299" s="166"/>
      <c r="M299" s="166"/>
      <c r="N299" s="66">
        <f t="shared" si="20"/>
        <v>0</v>
      </c>
      <c r="O299" s="316"/>
      <c r="P299" s="279"/>
      <c r="Q299" s="279"/>
      <c r="R299" s="279"/>
      <c r="S299" s="279"/>
      <c r="T299" s="279"/>
      <c r="U299" s="279"/>
    </row>
    <row r="300" spans="1:21">
      <c r="A300" s="299" t="s">
        <v>536</v>
      </c>
      <c r="B300" s="300" t="s">
        <v>205</v>
      </c>
      <c r="C300" s="166">
        <f>37.24*5</f>
        <v>186.2</v>
      </c>
      <c r="D300" s="166">
        <f>C300/5</f>
        <v>37.24</v>
      </c>
      <c r="E300" s="166">
        <v>43</v>
      </c>
      <c r="F300" s="301"/>
      <c r="G300" s="302" t="s">
        <v>205</v>
      </c>
      <c r="H300" s="303"/>
      <c r="I300" s="311"/>
      <c r="J300" s="312" t="str">
        <f>G300</f>
        <v>5 PCS</v>
      </c>
      <c r="K300" s="312">
        <f>D300*5</f>
        <v>186.2</v>
      </c>
      <c r="L300" s="166">
        <f>5-M300</f>
        <v>0</v>
      </c>
      <c r="M300" s="166">
        <v>5</v>
      </c>
      <c r="N300" s="66">
        <f t="shared" si="20"/>
        <v>0</v>
      </c>
      <c r="O300" s="316"/>
      <c r="P300" s="279"/>
      <c r="Q300" s="279"/>
      <c r="R300" s="279"/>
      <c r="S300" s="279"/>
      <c r="T300" s="279"/>
      <c r="U300" s="279"/>
    </row>
    <row r="301" spans="1:21">
      <c r="A301" s="299" t="s">
        <v>537</v>
      </c>
      <c r="B301" s="300" t="s">
        <v>205</v>
      </c>
      <c r="C301" s="166">
        <v>168.55</v>
      </c>
      <c r="D301" s="166">
        <f>C301/5</f>
        <v>33.71</v>
      </c>
      <c r="E301" s="166">
        <v>39</v>
      </c>
      <c r="F301" s="301"/>
      <c r="G301" s="302" t="s">
        <v>205</v>
      </c>
      <c r="H301" s="303"/>
      <c r="I301" s="311" t="s">
        <v>157</v>
      </c>
      <c r="J301" s="312" t="str">
        <f>G301</f>
        <v>5 PCS</v>
      </c>
      <c r="K301" s="312">
        <f>D301*5</f>
        <v>168.55</v>
      </c>
      <c r="L301" s="166">
        <f>5-M301</f>
        <v>2</v>
      </c>
      <c r="M301" s="166">
        <v>3</v>
      </c>
      <c r="N301" s="66">
        <f t="shared" si="20"/>
        <v>78</v>
      </c>
      <c r="O301" s="316"/>
      <c r="P301" s="279"/>
      <c r="Q301" s="279"/>
      <c r="R301" s="279"/>
      <c r="S301" s="279"/>
      <c r="T301" s="279"/>
      <c r="U301" s="279"/>
    </row>
    <row r="302" spans="1:21">
      <c r="A302" s="299" t="s">
        <v>538</v>
      </c>
      <c r="B302" s="300" t="s">
        <v>233</v>
      </c>
      <c r="C302" s="166">
        <f>17.75*20</f>
        <v>355</v>
      </c>
      <c r="D302" s="166">
        <f>C302/20</f>
        <v>17.75</v>
      </c>
      <c r="E302" s="166">
        <v>20</v>
      </c>
      <c r="F302" s="301" t="s">
        <v>233</v>
      </c>
      <c r="G302" s="302" t="s">
        <v>233</v>
      </c>
      <c r="H302" s="303"/>
      <c r="I302" s="311"/>
      <c r="J302" s="312" t="s">
        <v>167</v>
      </c>
      <c r="K302" s="312">
        <f>D302*40</f>
        <v>710</v>
      </c>
      <c r="L302" s="166"/>
      <c r="M302" s="166">
        <v>40</v>
      </c>
      <c r="N302" s="66">
        <f t="shared" si="20"/>
        <v>0</v>
      </c>
      <c r="O302" s="316"/>
      <c r="P302" s="279"/>
      <c r="Q302" s="279"/>
      <c r="R302" s="279"/>
      <c r="S302" s="279"/>
      <c r="T302" s="279"/>
      <c r="U302" s="279"/>
    </row>
    <row r="303" spans="1:21">
      <c r="A303" s="299" t="s">
        <v>539</v>
      </c>
      <c r="B303" s="300" t="s">
        <v>303</v>
      </c>
      <c r="C303" s="166">
        <f>10.5*25</f>
        <v>262.5</v>
      </c>
      <c r="D303" s="166">
        <f>C303/25</f>
        <v>10.5</v>
      </c>
      <c r="E303" s="166"/>
      <c r="F303" s="301"/>
      <c r="G303" s="302" t="s">
        <v>303</v>
      </c>
      <c r="H303" s="303"/>
      <c r="I303" s="311"/>
      <c r="J303" s="312" t="str">
        <f>G303</f>
        <v>25 TABS</v>
      </c>
      <c r="K303" s="312">
        <f>D303*25</f>
        <v>262.5</v>
      </c>
      <c r="L303" s="166"/>
      <c r="M303" s="166"/>
      <c r="N303" s="66">
        <f t="shared" si="20"/>
        <v>0</v>
      </c>
      <c r="O303" s="316"/>
      <c r="P303" s="279"/>
      <c r="Q303" s="279"/>
      <c r="R303" s="279"/>
      <c r="S303" s="279"/>
      <c r="T303" s="279"/>
      <c r="U303" s="279"/>
    </row>
    <row r="304" spans="1:21">
      <c r="A304" s="299" t="s">
        <v>540</v>
      </c>
      <c r="B304" s="300" t="s">
        <v>233</v>
      </c>
      <c r="C304" s="166">
        <f>16.89*20</f>
        <v>337.8</v>
      </c>
      <c r="D304" s="166">
        <f>C304/20</f>
        <v>16.89</v>
      </c>
      <c r="E304" s="166"/>
      <c r="F304" s="301"/>
      <c r="G304" s="302" t="s">
        <v>233</v>
      </c>
      <c r="H304" s="303"/>
      <c r="I304" s="311"/>
      <c r="J304" s="312" t="str">
        <f>G304</f>
        <v>20 TABS</v>
      </c>
      <c r="K304" s="312">
        <f>D304*20</f>
        <v>337.8</v>
      </c>
      <c r="L304" s="166"/>
      <c r="M304" s="166"/>
      <c r="N304" s="66">
        <f t="shared" si="20"/>
        <v>0</v>
      </c>
      <c r="O304" s="316"/>
      <c r="P304" s="279"/>
      <c r="Q304" s="279"/>
      <c r="R304" s="279"/>
      <c r="S304" s="279"/>
      <c r="T304" s="279"/>
      <c r="U304" s="279"/>
    </row>
    <row r="305" spans="1:21">
      <c r="A305" s="299" t="s">
        <v>521</v>
      </c>
      <c r="B305" s="300" t="s">
        <v>271</v>
      </c>
      <c r="C305" s="166">
        <f>9.04*20</f>
        <v>180.8</v>
      </c>
      <c r="D305" s="166">
        <f>C305/20</f>
        <v>9.04</v>
      </c>
      <c r="E305" s="166">
        <v>10.5</v>
      </c>
      <c r="F305" s="301" t="s">
        <v>156</v>
      </c>
      <c r="G305" s="302"/>
      <c r="H305" s="303" t="s">
        <v>156</v>
      </c>
      <c r="I305" s="311"/>
      <c r="J305" s="312" t="s">
        <v>152</v>
      </c>
      <c r="K305" s="312">
        <f>D305*40</f>
        <v>361.6</v>
      </c>
      <c r="L305" s="171">
        <v>29</v>
      </c>
      <c r="M305" s="171">
        <v>9</v>
      </c>
      <c r="N305" s="319">
        <f t="shared" si="20"/>
        <v>304.5</v>
      </c>
      <c r="O305" s="316"/>
      <c r="P305" s="279"/>
      <c r="Q305" s="279"/>
      <c r="R305" s="279"/>
      <c r="S305" s="279"/>
      <c r="T305" s="279"/>
      <c r="U305" s="279"/>
    </row>
    <row r="306" spans="1:21">
      <c r="A306" s="299" t="s">
        <v>541</v>
      </c>
      <c r="B306" s="300" t="s">
        <v>159</v>
      </c>
      <c r="C306" s="166">
        <f>83.22*2</f>
        <v>166.44</v>
      </c>
      <c r="D306" s="166">
        <f>C306/2</f>
        <v>83.22</v>
      </c>
      <c r="E306" s="166">
        <v>95</v>
      </c>
      <c r="F306" s="301" t="s">
        <v>159</v>
      </c>
      <c r="G306" s="302"/>
      <c r="H306" s="303"/>
      <c r="I306" s="311"/>
      <c r="J306" s="312" t="str">
        <f>F306</f>
        <v>2 BOTTLES</v>
      </c>
      <c r="K306" s="312">
        <f>D306*2</f>
        <v>166.44</v>
      </c>
      <c r="L306" s="166">
        <f>2-M306</f>
        <v>0</v>
      </c>
      <c r="M306" s="166">
        <v>2</v>
      </c>
      <c r="N306" s="66">
        <f t="shared" si="20"/>
        <v>0</v>
      </c>
      <c r="O306" s="316"/>
      <c r="P306" s="279"/>
      <c r="Q306" s="279"/>
      <c r="R306" s="279"/>
      <c r="S306" s="279"/>
      <c r="T306" s="279"/>
      <c r="U306" s="279"/>
    </row>
    <row r="307" spans="1:21">
      <c r="A307" s="299" t="s">
        <v>542</v>
      </c>
      <c r="B307" s="300" t="s">
        <v>161</v>
      </c>
      <c r="C307" s="166">
        <v>113.57</v>
      </c>
      <c r="D307" s="166">
        <v>113.57</v>
      </c>
      <c r="E307" s="166">
        <v>125</v>
      </c>
      <c r="F307" s="301" t="s">
        <v>88</v>
      </c>
      <c r="G307" s="302"/>
      <c r="H307" s="303"/>
      <c r="I307" s="311"/>
      <c r="J307" s="312" t="str">
        <f>F307</f>
        <v>1 BOTTLE</v>
      </c>
      <c r="K307" s="312">
        <f>D307*1</f>
        <v>113.57</v>
      </c>
      <c r="L307" s="166">
        <f>1-M307</f>
        <v>0</v>
      </c>
      <c r="M307" s="166">
        <v>1</v>
      </c>
      <c r="N307" s="66">
        <f t="shared" si="20"/>
        <v>0</v>
      </c>
      <c r="O307" s="316"/>
      <c r="P307" s="279"/>
      <c r="Q307" s="279"/>
      <c r="R307" s="279"/>
      <c r="S307" s="279"/>
      <c r="T307" s="279"/>
      <c r="U307" s="279"/>
    </row>
    <row r="308" spans="1:21">
      <c r="A308" s="299" t="s">
        <v>543</v>
      </c>
      <c r="B308" s="300" t="s">
        <v>159</v>
      </c>
      <c r="C308" s="166">
        <f>81.64*2</f>
        <v>163.28</v>
      </c>
      <c r="D308" s="166">
        <f>C308/2</f>
        <v>81.64</v>
      </c>
      <c r="E308" s="166">
        <v>93</v>
      </c>
      <c r="F308" s="301" t="s">
        <v>159</v>
      </c>
      <c r="G308" s="302"/>
      <c r="H308" s="303"/>
      <c r="I308" s="311"/>
      <c r="J308" s="312" t="str">
        <f>F308</f>
        <v>2 BOTTLES</v>
      </c>
      <c r="K308" s="312">
        <f>D308*2</f>
        <v>163.28</v>
      </c>
      <c r="L308" s="166">
        <f>2-M308</f>
        <v>0</v>
      </c>
      <c r="M308" s="166">
        <v>2</v>
      </c>
      <c r="N308" s="66">
        <f t="shared" si="20"/>
        <v>0</v>
      </c>
      <c r="O308" s="316"/>
      <c r="P308" s="279"/>
      <c r="Q308" s="279"/>
      <c r="R308" s="279"/>
      <c r="S308" s="279"/>
      <c r="T308" s="279"/>
      <c r="U308" s="279"/>
    </row>
    <row r="309" spans="1:21">
      <c r="A309" s="299" t="s">
        <v>527</v>
      </c>
      <c r="B309" s="300" t="s">
        <v>159</v>
      </c>
      <c r="C309" s="166">
        <f>92.11*2</f>
        <v>184.22</v>
      </c>
      <c r="D309" s="166">
        <f>C309/2</f>
        <v>92.11</v>
      </c>
      <c r="E309" s="166">
        <v>110</v>
      </c>
      <c r="F309" s="301" t="s">
        <v>159</v>
      </c>
      <c r="G309" s="302"/>
      <c r="H309" s="303" t="s">
        <v>162</v>
      </c>
      <c r="I309" s="311"/>
      <c r="J309" s="312" t="s">
        <v>16</v>
      </c>
      <c r="K309" s="312">
        <f>D309*5</f>
        <v>460.55</v>
      </c>
      <c r="L309" s="166">
        <f>5-M309</f>
        <v>2</v>
      </c>
      <c r="M309" s="166">
        <v>3</v>
      </c>
      <c r="N309" s="66">
        <f t="shared" si="20"/>
        <v>220</v>
      </c>
      <c r="O309" s="316"/>
      <c r="P309" s="279"/>
      <c r="Q309" s="279"/>
      <c r="R309" s="279"/>
      <c r="S309" s="279"/>
      <c r="T309" s="279"/>
      <c r="U309" s="279"/>
    </row>
    <row r="310" spans="1:21">
      <c r="A310" s="299" t="s">
        <v>544</v>
      </c>
      <c r="B310" s="300" t="s">
        <v>545</v>
      </c>
      <c r="C310" s="166">
        <f>49.57*3</f>
        <v>148.71</v>
      </c>
      <c r="D310" s="166">
        <f>C310/3</f>
        <v>49.57</v>
      </c>
      <c r="E310" s="166"/>
      <c r="F310" s="301"/>
      <c r="G310" s="302" t="s">
        <v>545</v>
      </c>
      <c r="H310" s="303"/>
      <c r="I310" s="311"/>
      <c r="J310" s="312" t="str">
        <f>G310</f>
        <v>3 SACHETS</v>
      </c>
      <c r="K310" s="312">
        <f>D310*3</f>
        <v>148.71</v>
      </c>
      <c r="L310" s="166"/>
      <c r="M310" s="166"/>
      <c r="N310" s="66">
        <f t="shared" si="20"/>
        <v>0</v>
      </c>
      <c r="O310" s="316"/>
      <c r="P310" s="279"/>
      <c r="Q310" s="279"/>
      <c r="R310" s="279"/>
      <c r="S310" s="279"/>
      <c r="T310" s="279"/>
      <c r="U310" s="279"/>
    </row>
    <row r="311" spans="1:21">
      <c r="A311" s="299" t="s">
        <v>546</v>
      </c>
      <c r="B311" s="300" t="s">
        <v>545</v>
      </c>
      <c r="C311" s="166">
        <f>49.57*3</f>
        <v>148.71</v>
      </c>
      <c r="D311" s="166">
        <f>C311/3</f>
        <v>49.57</v>
      </c>
      <c r="E311" s="166"/>
      <c r="F311" s="301"/>
      <c r="G311" s="302" t="s">
        <v>545</v>
      </c>
      <c r="H311" s="303"/>
      <c r="I311" s="311"/>
      <c r="J311" s="312" t="str">
        <f>G311</f>
        <v>3 SACHETS</v>
      </c>
      <c r="K311" s="312">
        <f>D311*3</f>
        <v>148.71</v>
      </c>
      <c r="L311" s="166"/>
      <c r="M311" s="166"/>
      <c r="N311" s="66">
        <f t="shared" si="20"/>
        <v>0</v>
      </c>
      <c r="O311" s="316"/>
      <c r="P311" s="279"/>
      <c r="Q311" s="279"/>
      <c r="R311" s="279"/>
      <c r="S311" s="279"/>
      <c r="T311" s="279"/>
      <c r="U311" s="279"/>
    </row>
    <row r="312" spans="1:21">
      <c r="A312" s="299" t="s">
        <v>547</v>
      </c>
      <c r="B312" s="300" t="s">
        <v>545</v>
      </c>
      <c r="C312" s="166">
        <f>49.57*3</f>
        <v>148.71</v>
      </c>
      <c r="D312" s="166">
        <f>C312/3</f>
        <v>49.57</v>
      </c>
      <c r="E312" s="166"/>
      <c r="F312" s="301"/>
      <c r="G312" s="302" t="s">
        <v>545</v>
      </c>
      <c r="H312" s="303"/>
      <c r="I312" s="311"/>
      <c r="J312" s="312" t="str">
        <f>G312</f>
        <v>3 SACHETS</v>
      </c>
      <c r="K312" s="312">
        <f>D312*3</f>
        <v>148.71</v>
      </c>
      <c r="L312" s="166"/>
      <c r="M312" s="166"/>
      <c r="N312" s="66">
        <f t="shared" si="20"/>
        <v>0</v>
      </c>
      <c r="O312" s="316"/>
      <c r="P312" s="279"/>
      <c r="Q312" s="279"/>
      <c r="R312" s="279"/>
      <c r="S312" s="279"/>
      <c r="T312" s="279"/>
      <c r="U312" s="279"/>
    </row>
    <row r="313" spans="1:21">
      <c r="A313" s="299" t="s">
        <v>548</v>
      </c>
      <c r="B313" s="300" t="s">
        <v>545</v>
      </c>
      <c r="C313" s="166">
        <f>49.57*3</f>
        <v>148.71</v>
      </c>
      <c r="D313" s="166">
        <f>C313/3</f>
        <v>49.57</v>
      </c>
      <c r="E313" s="166"/>
      <c r="F313" s="301"/>
      <c r="G313" s="302" t="s">
        <v>545</v>
      </c>
      <c r="H313" s="303"/>
      <c r="I313" s="311"/>
      <c r="J313" s="312" t="str">
        <f>G313</f>
        <v>3 SACHETS</v>
      </c>
      <c r="K313" s="312">
        <f>D313*3</f>
        <v>148.71</v>
      </c>
      <c r="L313" s="166"/>
      <c r="M313" s="166"/>
      <c r="N313" s="66">
        <f t="shared" si="20"/>
        <v>0</v>
      </c>
      <c r="O313" s="316"/>
      <c r="P313" s="279"/>
      <c r="Q313" s="279"/>
      <c r="R313" s="279"/>
      <c r="S313" s="279"/>
      <c r="T313" s="279"/>
      <c r="U313" s="279"/>
    </row>
    <row r="314" spans="1:21">
      <c r="A314" s="299" t="s">
        <v>549</v>
      </c>
      <c r="B314" s="300" t="s">
        <v>288</v>
      </c>
      <c r="C314" s="166">
        <f>71.42*10</f>
        <v>714.2</v>
      </c>
      <c r="D314" s="166">
        <f>C314/10</f>
        <v>71.42</v>
      </c>
      <c r="E314" s="166">
        <v>80</v>
      </c>
      <c r="F314" s="301" t="s">
        <v>288</v>
      </c>
      <c r="G314" s="302"/>
      <c r="H314" s="303"/>
      <c r="I314" s="311"/>
      <c r="J314" s="312" t="str">
        <f>F314</f>
        <v>10 BOTTLES</v>
      </c>
      <c r="K314" s="312">
        <f>D314*10</f>
        <v>714.2</v>
      </c>
      <c r="L314" s="166">
        <f>10-M314</f>
        <v>0</v>
      </c>
      <c r="M314" s="166">
        <v>10</v>
      </c>
      <c r="N314" s="66">
        <f t="shared" si="20"/>
        <v>0</v>
      </c>
      <c r="O314" s="316"/>
      <c r="P314" s="279"/>
      <c r="Q314" s="279"/>
      <c r="R314" s="279"/>
      <c r="S314" s="279"/>
      <c r="T314" s="279"/>
      <c r="U314" s="279"/>
    </row>
    <row r="315" spans="1:21">
      <c r="A315" s="299" t="s">
        <v>550</v>
      </c>
      <c r="B315" s="300" t="s">
        <v>288</v>
      </c>
      <c r="C315" s="166">
        <f>124.42*10</f>
        <v>1244.2</v>
      </c>
      <c r="D315" s="166">
        <f>C315/10</f>
        <v>124.42</v>
      </c>
      <c r="E315" s="166">
        <v>140</v>
      </c>
      <c r="F315" s="301" t="s">
        <v>288</v>
      </c>
      <c r="G315" s="302"/>
      <c r="H315" s="303"/>
      <c r="I315" s="311"/>
      <c r="J315" s="312" t="str">
        <f>F315</f>
        <v>10 BOTTLES</v>
      </c>
      <c r="K315" s="312">
        <f>D315*10</f>
        <v>1244.2</v>
      </c>
      <c r="L315" s="166">
        <f>10-M315</f>
        <v>1</v>
      </c>
      <c r="M315" s="166">
        <v>9</v>
      </c>
      <c r="N315" s="66">
        <f t="shared" si="20"/>
        <v>140</v>
      </c>
      <c r="O315" s="316"/>
      <c r="P315" s="279"/>
      <c r="Q315" s="279"/>
      <c r="R315" s="279"/>
      <c r="S315" s="279"/>
      <c r="T315" s="279"/>
      <c r="U315" s="279"/>
    </row>
    <row r="316" spans="1:21">
      <c r="A316" s="299" t="s">
        <v>551</v>
      </c>
      <c r="B316" s="300" t="s">
        <v>288</v>
      </c>
      <c r="C316" s="166">
        <f>82.58*10</f>
        <v>825.8</v>
      </c>
      <c r="D316" s="166">
        <f>C316/10</f>
        <v>82.58</v>
      </c>
      <c r="E316" s="166">
        <v>91</v>
      </c>
      <c r="F316" s="301" t="s">
        <v>288</v>
      </c>
      <c r="G316" s="302"/>
      <c r="H316" s="303"/>
      <c r="I316" s="311"/>
      <c r="J316" s="312" t="str">
        <f>F316</f>
        <v>10 BOTTLES</v>
      </c>
      <c r="K316" s="312">
        <f>D316*10</f>
        <v>825.8</v>
      </c>
      <c r="L316" s="166">
        <f>10-M316</f>
        <v>1</v>
      </c>
      <c r="M316" s="166">
        <v>9</v>
      </c>
      <c r="N316" s="66">
        <f t="shared" si="20"/>
        <v>91</v>
      </c>
      <c r="O316" s="316"/>
      <c r="P316" s="279"/>
      <c r="Q316" s="279"/>
      <c r="R316" s="279"/>
      <c r="S316" s="279"/>
      <c r="T316" s="279"/>
      <c r="U316" s="279"/>
    </row>
    <row r="317" spans="1:21">
      <c r="A317" s="299" t="s">
        <v>552</v>
      </c>
      <c r="B317" s="300" t="s">
        <v>288</v>
      </c>
      <c r="C317" s="166">
        <f>82.58*10</f>
        <v>825.8</v>
      </c>
      <c r="D317" s="166">
        <f>C317/10</f>
        <v>82.58</v>
      </c>
      <c r="E317" s="166">
        <v>91</v>
      </c>
      <c r="F317" s="301" t="s">
        <v>288</v>
      </c>
      <c r="G317" s="302"/>
      <c r="H317" s="303"/>
      <c r="I317" s="311"/>
      <c r="J317" s="312" t="str">
        <f>F317</f>
        <v>10 BOTTLES</v>
      </c>
      <c r="K317" s="312">
        <f>D317*10</f>
        <v>825.8</v>
      </c>
      <c r="L317" s="166"/>
      <c r="M317" s="166">
        <v>10</v>
      </c>
      <c r="N317" s="66">
        <f t="shared" si="20"/>
        <v>0</v>
      </c>
      <c r="O317" s="316"/>
      <c r="P317" s="279"/>
      <c r="Q317" s="279"/>
      <c r="R317" s="279"/>
      <c r="S317" s="279"/>
      <c r="T317" s="279"/>
      <c r="U317" s="279"/>
    </row>
    <row r="318" spans="1:21">
      <c r="A318" s="299" t="s">
        <v>553</v>
      </c>
      <c r="B318" s="300" t="s">
        <v>554</v>
      </c>
      <c r="C318" s="166">
        <f>11.9*5</f>
        <v>59.5</v>
      </c>
      <c r="D318" s="166">
        <f>C318/5</f>
        <v>11.9</v>
      </c>
      <c r="E318" s="166">
        <v>15</v>
      </c>
      <c r="F318" s="301"/>
      <c r="G318" s="302" t="s">
        <v>205</v>
      </c>
      <c r="H318" s="303"/>
      <c r="I318" s="311"/>
      <c r="J318" s="312" t="str">
        <f>G318</f>
        <v>5 PCS</v>
      </c>
      <c r="K318" s="312">
        <f>D318*5</f>
        <v>59.5</v>
      </c>
      <c r="L318" s="166"/>
      <c r="M318" s="166">
        <v>5</v>
      </c>
      <c r="N318" s="66">
        <f t="shared" si="20"/>
        <v>0</v>
      </c>
      <c r="O318" s="316"/>
      <c r="P318" s="279"/>
      <c r="Q318" s="279"/>
      <c r="R318" s="279"/>
      <c r="S318" s="279"/>
      <c r="T318" s="279"/>
      <c r="U318" s="279"/>
    </row>
    <row r="319" spans="1:21">
      <c r="A319" s="299" t="s">
        <v>555</v>
      </c>
      <c r="B319" s="300" t="s">
        <v>159</v>
      </c>
      <c r="C319" s="166">
        <f>44.87*2</f>
        <v>89.74</v>
      </c>
      <c r="D319" s="166">
        <f>C319/2</f>
        <v>44.87</v>
      </c>
      <c r="E319" s="166">
        <v>50</v>
      </c>
      <c r="F319" s="301" t="s">
        <v>159</v>
      </c>
      <c r="G319" s="302"/>
      <c r="H319" s="303"/>
      <c r="I319" s="311"/>
      <c r="J319" s="312" t="str">
        <f>F319</f>
        <v>2 BOTTLES</v>
      </c>
      <c r="K319" s="312">
        <f>D319*2</f>
        <v>89.74</v>
      </c>
      <c r="L319" s="166">
        <f>2-M319</f>
        <v>0</v>
      </c>
      <c r="M319" s="166">
        <v>2</v>
      </c>
      <c r="N319" s="66">
        <f t="shared" si="20"/>
        <v>0</v>
      </c>
      <c r="O319" s="316"/>
      <c r="P319" s="279"/>
      <c r="Q319" s="279"/>
      <c r="R319" s="279"/>
      <c r="S319" s="279"/>
      <c r="T319" s="279"/>
      <c r="U319" s="279"/>
    </row>
    <row r="320" spans="1:21">
      <c r="A320" s="299" t="s">
        <v>556</v>
      </c>
      <c r="B320" s="300" t="s">
        <v>159</v>
      </c>
      <c r="C320" s="166">
        <f>71.14*2</f>
        <v>142.28</v>
      </c>
      <c r="D320" s="166">
        <f>C320/2</f>
        <v>71.14</v>
      </c>
      <c r="E320" s="166">
        <v>80</v>
      </c>
      <c r="F320" s="301" t="s">
        <v>159</v>
      </c>
      <c r="G320" s="302"/>
      <c r="H320" s="303"/>
      <c r="I320" s="311"/>
      <c r="J320" s="312" t="str">
        <f>F320</f>
        <v>2 BOTTLES</v>
      </c>
      <c r="K320" s="312">
        <f>D320*2</f>
        <v>142.28</v>
      </c>
      <c r="L320" s="166">
        <f>2-M320</f>
        <v>0</v>
      </c>
      <c r="M320" s="166">
        <v>2</v>
      </c>
      <c r="N320" s="66">
        <f t="shared" si="20"/>
        <v>0</v>
      </c>
      <c r="O320" s="316"/>
      <c r="P320" s="279"/>
      <c r="Q320" s="279"/>
      <c r="R320" s="279"/>
      <c r="S320" s="279"/>
      <c r="T320" s="279"/>
      <c r="U320" s="279"/>
    </row>
    <row r="321" spans="1:21">
      <c r="A321" s="299" t="s">
        <v>557</v>
      </c>
      <c r="B321" s="300" t="s">
        <v>159</v>
      </c>
      <c r="C321" s="166">
        <f>104.09*2</f>
        <v>208.18</v>
      </c>
      <c r="D321" s="166">
        <f>C321/2</f>
        <v>104.09</v>
      </c>
      <c r="E321" s="166">
        <v>119</v>
      </c>
      <c r="F321" s="301" t="s">
        <v>159</v>
      </c>
      <c r="G321" s="302"/>
      <c r="H321" s="303"/>
      <c r="I321" s="311"/>
      <c r="J321" s="312" t="str">
        <f>F321</f>
        <v>2 BOTTLES</v>
      </c>
      <c r="K321" s="312">
        <f>D321*2</f>
        <v>208.18</v>
      </c>
      <c r="L321" s="166">
        <f>2-M321</f>
        <v>0</v>
      </c>
      <c r="M321" s="166">
        <v>2</v>
      </c>
      <c r="N321" s="66">
        <f t="shared" si="20"/>
        <v>0</v>
      </c>
      <c r="O321" s="316"/>
      <c r="P321" s="279"/>
      <c r="Q321" s="279"/>
      <c r="R321" s="279"/>
      <c r="S321" s="279"/>
      <c r="T321" s="279"/>
      <c r="U321" s="279"/>
    </row>
    <row r="322" spans="1:21">
      <c r="A322" s="299" t="s">
        <v>558</v>
      </c>
      <c r="B322" s="300" t="s">
        <v>159</v>
      </c>
      <c r="C322" s="166">
        <f>56.22*2</f>
        <v>112.44</v>
      </c>
      <c r="D322" s="166">
        <f>C322/2</f>
        <v>56.22</v>
      </c>
      <c r="E322" s="166">
        <v>64</v>
      </c>
      <c r="F322" s="301" t="s">
        <v>159</v>
      </c>
      <c r="G322" s="302"/>
      <c r="H322" s="303"/>
      <c r="I322" s="311"/>
      <c r="J322" s="312" t="str">
        <f>F322</f>
        <v>2 BOTTLES</v>
      </c>
      <c r="K322" s="312">
        <f>D322*2</f>
        <v>112.44</v>
      </c>
      <c r="L322" s="166">
        <f>2-M322</f>
        <v>0</v>
      </c>
      <c r="M322" s="166">
        <v>2</v>
      </c>
      <c r="N322" s="66">
        <f t="shared" si="20"/>
        <v>0</v>
      </c>
      <c r="O322" s="316"/>
      <c r="P322" s="279"/>
      <c r="Q322" s="279"/>
      <c r="R322" s="279"/>
      <c r="S322" s="279"/>
      <c r="T322" s="279"/>
      <c r="U322" s="279"/>
    </row>
    <row r="323" spans="1:21">
      <c r="A323" s="299" t="s">
        <v>559</v>
      </c>
      <c r="B323" s="300" t="s">
        <v>313</v>
      </c>
      <c r="C323" s="166">
        <f>1689.43</f>
        <v>1689.43</v>
      </c>
      <c r="D323" s="166">
        <f>C323/30</f>
        <v>56.3143333333333</v>
      </c>
      <c r="E323" s="166">
        <v>62</v>
      </c>
      <c r="F323" s="301"/>
      <c r="G323" s="302" t="s">
        <v>319</v>
      </c>
      <c r="H323" s="303"/>
      <c r="I323" s="311"/>
      <c r="J323" s="312" t="str">
        <f>G323</f>
        <v>3O TABS</v>
      </c>
      <c r="K323" s="312">
        <f>D323*30</f>
        <v>1689.43</v>
      </c>
      <c r="L323" s="166"/>
      <c r="M323" s="166">
        <v>30</v>
      </c>
      <c r="N323" s="66">
        <f t="shared" si="20"/>
        <v>0</v>
      </c>
      <c r="O323" s="316"/>
      <c r="P323" s="279"/>
      <c r="Q323" s="279"/>
      <c r="R323" s="279"/>
      <c r="S323" s="279"/>
      <c r="T323" s="279"/>
      <c r="U323" s="279"/>
    </row>
    <row r="324" spans="1:21">
      <c r="A324" s="299" t="s">
        <v>560</v>
      </c>
      <c r="B324" s="300" t="s">
        <v>271</v>
      </c>
      <c r="C324" s="166">
        <f>8.8*20</f>
        <v>176</v>
      </c>
      <c r="D324" s="166">
        <f>C324/20</f>
        <v>8.8</v>
      </c>
      <c r="E324" s="166"/>
      <c r="F324" s="301" t="s">
        <v>156</v>
      </c>
      <c r="G324" s="302"/>
      <c r="H324" s="303"/>
      <c r="I324" s="311"/>
      <c r="J324" s="312" t="str">
        <f>F324</f>
        <v>20 CAPS</v>
      </c>
      <c r="K324" s="312">
        <f>D324*20</f>
        <v>176</v>
      </c>
      <c r="L324" s="166"/>
      <c r="M324" s="166"/>
      <c r="N324" s="66">
        <f t="shared" ref="N324:N342" si="22">L324*E324</f>
        <v>0</v>
      </c>
      <c r="O324" s="316"/>
      <c r="P324" s="279"/>
      <c r="Q324" s="279"/>
      <c r="R324" s="279"/>
      <c r="S324" s="279"/>
      <c r="T324" s="279"/>
      <c r="U324" s="279"/>
    </row>
    <row r="325" spans="1:21">
      <c r="A325" s="299" t="s">
        <v>561</v>
      </c>
      <c r="B325" s="300" t="s">
        <v>313</v>
      </c>
      <c r="C325" s="166">
        <v>1146.6</v>
      </c>
      <c r="D325" s="166">
        <f>C325/30</f>
        <v>38.22</v>
      </c>
      <c r="E325" s="166"/>
      <c r="F325" s="301"/>
      <c r="G325" s="302" t="s">
        <v>166</v>
      </c>
      <c r="H325" s="303"/>
      <c r="I325" s="311"/>
      <c r="J325" s="312" t="str">
        <f>G325</f>
        <v>30 TABS</v>
      </c>
      <c r="K325" s="312">
        <f>D325*30</f>
        <v>1146.6</v>
      </c>
      <c r="L325" s="166"/>
      <c r="M325" s="166"/>
      <c r="N325" s="66">
        <f t="shared" si="22"/>
        <v>0</v>
      </c>
      <c r="O325" s="316"/>
      <c r="P325" s="279"/>
      <c r="Q325" s="279"/>
      <c r="R325" s="279"/>
      <c r="S325" s="279"/>
      <c r="T325" s="279"/>
      <c r="U325" s="279"/>
    </row>
    <row r="326" spans="1:21">
      <c r="A326" s="299" t="s">
        <v>562</v>
      </c>
      <c r="B326" s="300" t="s">
        <v>162</v>
      </c>
      <c r="C326" s="166">
        <f>121.7*3</f>
        <v>365.1</v>
      </c>
      <c r="D326" s="166">
        <f>C326/3</f>
        <v>121.7</v>
      </c>
      <c r="E326" s="166">
        <v>130</v>
      </c>
      <c r="F326" s="301" t="s">
        <v>162</v>
      </c>
      <c r="G326" s="302"/>
      <c r="H326" s="303"/>
      <c r="I326" s="311"/>
      <c r="J326" s="312" t="str">
        <f>F326</f>
        <v>3 BOTTLES</v>
      </c>
      <c r="K326" s="312">
        <f>D326*3</f>
        <v>365.1</v>
      </c>
      <c r="L326" s="166"/>
      <c r="M326" s="166">
        <v>3</v>
      </c>
      <c r="N326" s="66">
        <f t="shared" si="22"/>
        <v>0</v>
      </c>
      <c r="O326" s="316"/>
      <c r="P326" s="279"/>
      <c r="Q326" s="279"/>
      <c r="R326" s="279"/>
      <c r="S326" s="279"/>
      <c r="T326" s="279"/>
      <c r="U326" s="279"/>
    </row>
    <row r="327" spans="1:21">
      <c r="A327" s="299" t="s">
        <v>563</v>
      </c>
      <c r="B327" s="300" t="s">
        <v>238</v>
      </c>
      <c r="C327" s="166">
        <v>668</v>
      </c>
      <c r="D327" s="166">
        <f>C327/20</f>
        <v>33.4</v>
      </c>
      <c r="E327" s="166"/>
      <c r="F327" s="301"/>
      <c r="G327" s="302" t="s">
        <v>564</v>
      </c>
      <c r="H327" s="303"/>
      <c r="I327" s="311"/>
      <c r="J327" s="312" t="str">
        <f>G327</f>
        <v>20 NEBS</v>
      </c>
      <c r="K327" s="312">
        <f>D327*20</f>
        <v>668</v>
      </c>
      <c r="L327" s="166"/>
      <c r="M327" s="166"/>
      <c r="N327" s="66">
        <f t="shared" si="22"/>
        <v>0</v>
      </c>
      <c r="O327" s="316"/>
      <c r="P327" s="279"/>
      <c r="Q327" s="279"/>
      <c r="R327" s="279"/>
      <c r="S327" s="279"/>
      <c r="T327" s="279"/>
      <c r="U327" s="279"/>
    </row>
    <row r="328" spans="1:21">
      <c r="A328" s="299" t="s">
        <v>565</v>
      </c>
      <c r="B328" s="300" t="s">
        <v>161</v>
      </c>
      <c r="C328" s="166">
        <v>132.49</v>
      </c>
      <c r="D328" s="166">
        <v>132.49</v>
      </c>
      <c r="E328" s="166"/>
      <c r="F328" s="301" t="s">
        <v>88</v>
      </c>
      <c r="G328" s="302"/>
      <c r="H328" s="303"/>
      <c r="I328" s="311"/>
      <c r="J328" s="312" t="str">
        <f t="shared" ref="J328:J333" si="23">F328</f>
        <v>1 BOTTLE</v>
      </c>
      <c r="K328" s="312">
        <f>D328*1</f>
        <v>132.49</v>
      </c>
      <c r="L328" s="166"/>
      <c r="M328" s="166"/>
      <c r="N328" s="66">
        <f t="shared" si="22"/>
        <v>0</v>
      </c>
      <c r="O328" s="316"/>
      <c r="P328" s="279"/>
      <c r="Q328" s="279"/>
      <c r="R328" s="279"/>
      <c r="S328" s="279"/>
      <c r="T328" s="279"/>
      <c r="U328" s="279"/>
    </row>
    <row r="329" spans="1:21">
      <c r="A329" s="299" t="s">
        <v>566</v>
      </c>
      <c r="B329" s="300" t="s">
        <v>161</v>
      </c>
      <c r="C329" s="166">
        <v>113.92</v>
      </c>
      <c r="D329" s="166">
        <v>113.92</v>
      </c>
      <c r="E329" s="166">
        <v>130</v>
      </c>
      <c r="F329" s="301" t="s">
        <v>88</v>
      </c>
      <c r="G329" s="302"/>
      <c r="H329" s="303"/>
      <c r="I329" s="311"/>
      <c r="J329" s="312" t="str">
        <f t="shared" si="23"/>
        <v>1 BOTTLE</v>
      </c>
      <c r="K329" s="312">
        <f>D329*1</f>
        <v>113.92</v>
      </c>
      <c r="L329" s="166">
        <f>1-M329</f>
        <v>0</v>
      </c>
      <c r="M329" s="166">
        <v>1</v>
      </c>
      <c r="N329" s="66">
        <f t="shared" si="22"/>
        <v>0</v>
      </c>
      <c r="O329" s="316"/>
      <c r="P329" s="279"/>
      <c r="Q329" s="279"/>
      <c r="R329" s="279"/>
      <c r="S329" s="279"/>
      <c r="T329" s="279"/>
      <c r="U329" s="279"/>
    </row>
    <row r="330" spans="1:21">
      <c r="A330" s="299" t="s">
        <v>567</v>
      </c>
      <c r="B330" s="300" t="s">
        <v>159</v>
      </c>
      <c r="C330" s="166">
        <f>83.59*2</f>
        <v>167.18</v>
      </c>
      <c r="D330" s="166">
        <f>C330/2</f>
        <v>83.59</v>
      </c>
      <c r="E330" s="166">
        <v>96</v>
      </c>
      <c r="F330" s="301" t="s">
        <v>159</v>
      </c>
      <c r="G330" s="302"/>
      <c r="H330" s="303"/>
      <c r="I330" s="311"/>
      <c r="J330" s="312" t="str">
        <f t="shared" si="23"/>
        <v>2 BOTTLES</v>
      </c>
      <c r="K330" s="312">
        <f>D330*2</f>
        <v>167.18</v>
      </c>
      <c r="L330" s="166">
        <f>2-M330</f>
        <v>0</v>
      </c>
      <c r="M330" s="166">
        <v>2</v>
      </c>
      <c r="N330" s="66">
        <f t="shared" si="22"/>
        <v>0</v>
      </c>
      <c r="O330" s="316"/>
      <c r="P330" s="279"/>
      <c r="Q330" s="279"/>
      <c r="R330" s="279"/>
      <c r="S330" s="279"/>
      <c r="T330" s="279"/>
      <c r="U330" s="279"/>
    </row>
    <row r="331" spans="1:15">
      <c r="A331" s="299" t="s">
        <v>568</v>
      </c>
      <c r="B331" s="300" t="s">
        <v>569</v>
      </c>
      <c r="C331" s="166">
        <f>369.51</f>
        <v>369.51</v>
      </c>
      <c r="D331" s="166">
        <f>C331/6</f>
        <v>61.585</v>
      </c>
      <c r="E331" s="166"/>
      <c r="F331" s="301" t="s">
        <v>309</v>
      </c>
      <c r="G331" s="302"/>
      <c r="H331" s="303"/>
      <c r="I331" s="311"/>
      <c r="J331" s="312" t="str">
        <f t="shared" si="23"/>
        <v>6 PCS</v>
      </c>
      <c r="K331" s="312">
        <f>D331*6</f>
        <v>369.51</v>
      </c>
      <c r="L331" s="166"/>
      <c r="M331" s="166"/>
      <c r="N331" s="66">
        <f t="shared" si="22"/>
        <v>0</v>
      </c>
      <c r="O331" s="191"/>
    </row>
    <row r="332" spans="1:15">
      <c r="A332" s="299" t="s">
        <v>570</v>
      </c>
      <c r="B332" s="300" t="s">
        <v>309</v>
      </c>
      <c r="C332" s="166">
        <f>42.02*6</f>
        <v>252.12</v>
      </c>
      <c r="D332" s="166">
        <f>C332/6</f>
        <v>42.02</v>
      </c>
      <c r="E332" s="166">
        <v>48</v>
      </c>
      <c r="F332" s="301" t="s">
        <v>309</v>
      </c>
      <c r="G332" s="302"/>
      <c r="H332" s="303"/>
      <c r="I332" s="311"/>
      <c r="J332" s="312" t="str">
        <f t="shared" si="23"/>
        <v>6 PCS</v>
      </c>
      <c r="K332" s="312">
        <f>D332*6</f>
        <v>252.12</v>
      </c>
      <c r="L332" s="166">
        <f>6-M332</f>
        <v>0</v>
      </c>
      <c r="M332" s="166">
        <v>6</v>
      </c>
      <c r="N332" s="66">
        <f t="shared" si="22"/>
        <v>0</v>
      </c>
      <c r="O332" s="191"/>
    </row>
    <row r="333" spans="1:15">
      <c r="A333" s="299" t="s">
        <v>571</v>
      </c>
      <c r="B333" s="300" t="s">
        <v>67</v>
      </c>
      <c r="C333" s="166">
        <f>23.28*12</f>
        <v>279.36</v>
      </c>
      <c r="D333" s="166">
        <f>C333/12</f>
        <v>23.28</v>
      </c>
      <c r="E333" s="166">
        <v>28</v>
      </c>
      <c r="F333" s="301" t="s">
        <v>67</v>
      </c>
      <c r="G333" s="302"/>
      <c r="H333" s="303"/>
      <c r="I333" s="311"/>
      <c r="J333" s="312" t="str">
        <f t="shared" si="23"/>
        <v>12 PCS</v>
      </c>
      <c r="K333" s="312">
        <f>D333*12</f>
        <v>279.36</v>
      </c>
      <c r="L333" s="166">
        <f>12-M333</f>
        <v>6</v>
      </c>
      <c r="M333" s="166">
        <v>6</v>
      </c>
      <c r="N333" s="66">
        <f t="shared" si="22"/>
        <v>168</v>
      </c>
      <c r="O333" s="191"/>
    </row>
    <row r="334" spans="1:15">
      <c r="A334" s="299" t="s">
        <v>572</v>
      </c>
      <c r="B334" s="300" t="s">
        <v>573</v>
      </c>
      <c r="C334" s="166">
        <f>35.82*3</f>
        <v>107.46</v>
      </c>
      <c r="D334" s="166">
        <f>C334/3</f>
        <v>35.82</v>
      </c>
      <c r="E334" s="166">
        <v>42</v>
      </c>
      <c r="F334" s="301"/>
      <c r="G334" s="302" t="s">
        <v>209</v>
      </c>
      <c r="H334" s="303"/>
      <c r="I334" s="311"/>
      <c r="J334" s="312" t="str">
        <f>G334</f>
        <v>3 PACKS</v>
      </c>
      <c r="K334" s="312">
        <f>D334*3</f>
        <v>107.46</v>
      </c>
      <c r="L334" s="166"/>
      <c r="M334" s="166">
        <v>3</v>
      </c>
      <c r="N334" s="66">
        <f t="shared" si="22"/>
        <v>0</v>
      </c>
      <c r="O334" s="191"/>
    </row>
    <row r="335" spans="1:15">
      <c r="A335" s="299" t="s">
        <v>574</v>
      </c>
      <c r="B335" s="300" t="s">
        <v>54</v>
      </c>
      <c r="C335" s="166">
        <f>40.17*3</f>
        <v>120.51</v>
      </c>
      <c r="D335" s="166">
        <f>C335/3</f>
        <v>40.17</v>
      </c>
      <c r="E335" s="166">
        <v>47</v>
      </c>
      <c r="F335" s="301"/>
      <c r="G335" s="302" t="s">
        <v>209</v>
      </c>
      <c r="H335" s="303"/>
      <c r="I335" s="311"/>
      <c r="J335" s="312" t="str">
        <f>G335</f>
        <v>3 PACKS</v>
      </c>
      <c r="K335" s="312">
        <f>D335*3</f>
        <v>120.51</v>
      </c>
      <c r="L335" s="166"/>
      <c r="M335" s="166">
        <v>3</v>
      </c>
      <c r="N335" s="66">
        <f t="shared" si="22"/>
        <v>0</v>
      </c>
      <c r="O335" s="191"/>
    </row>
    <row r="336" spans="1:15">
      <c r="A336" s="299" t="s">
        <v>575</v>
      </c>
      <c r="B336" s="300" t="s">
        <v>54</v>
      </c>
      <c r="C336" s="166">
        <f>41.15*3</f>
        <v>123.45</v>
      </c>
      <c r="D336" s="166">
        <f>C336/3</f>
        <v>41.15</v>
      </c>
      <c r="E336" s="166">
        <v>48</v>
      </c>
      <c r="F336" s="301"/>
      <c r="G336" s="302" t="s">
        <v>209</v>
      </c>
      <c r="H336" s="303"/>
      <c r="I336" s="311"/>
      <c r="J336" s="312" t="str">
        <f>G336</f>
        <v>3 PACKS</v>
      </c>
      <c r="K336" s="312">
        <f>D336*3</f>
        <v>123.45</v>
      </c>
      <c r="L336" s="166"/>
      <c r="M336" s="166">
        <v>3</v>
      </c>
      <c r="N336" s="66">
        <f t="shared" si="22"/>
        <v>0</v>
      </c>
      <c r="O336" s="191"/>
    </row>
    <row r="337" spans="1:15">
      <c r="A337" s="299" t="s">
        <v>576</v>
      </c>
      <c r="B337" s="300" t="s">
        <v>144</v>
      </c>
      <c r="C337" s="166">
        <v>393.76</v>
      </c>
      <c r="D337" s="166">
        <f>C337/12</f>
        <v>32.8133333333333</v>
      </c>
      <c r="E337" s="166"/>
      <c r="F337" s="301" t="s">
        <v>67</v>
      </c>
      <c r="G337" s="302"/>
      <c r="H337" s="303"/>
      <c r="I337" s="311"/>
      <c r="J337" s="312" t="str">
        <f>F337</f>
        <v>12 PCS</v>
      </c>
      <c r="K337" s="312">
        <f>D337*12</f>
        <v>393.76</v>
      </c>
      <c r="L337" s="166"/>
      <c r="M337" s="166"/>
      <c r="N337" s="66">
        <f t="shared" si="22"/>
        <v>0</v>
      </c>
      <c r="O337" s="191"/>
    </row>
    <row r="338" spans="1:15">
      <c r="A338" s="299" t="s">
        <v>577</v>
      </c>
      <c r="B338" s="300" t="s">
        <v>578</v>
      </c>
      <c r="C338" s="166">
        <f>63.7*12</f>
        <v>764.4</v>
      </c>
      <c r="D338" s="166">
        <f>C338/12</f>
        <v>63.7</v>
      </c>
      <c r="E338" s="166"/>
      <c r="F338" s="301"/>
      <c r="G338" s="302" t="s">
        <v>578</v>
      </c>
      <c r="H338" s="303"/>
      <c r="I338" s="311"/>
      <c r="J338" s="312" t="str">
        <f>G338</f>
        <v>12 CAPS</v>
      </c>
      <c r="K338" s="312">
        <f>D338*12</f>
        <v>764.4</v>
      </c>
      <c r="L338" s="166"/>
      <c r="M338" s="166"/>
      <c r="N338" s="66">
        <f t="shared" si="22"/>
        <v>0</v>
      </c>
      <c r="O338" s="191"/>
    </row>
    <row r="339" spans="1:15">
      <c r="A339" s="299" t="s">
        <v>579</v>
      </c>
      <c r="B339" s="300" t="s">
        <v>88</v>
      </c>
      <c r="C339" s="166">
        <v>329.6</v>
      </c>
      <c r="D339" s="166">
        <v>329.6</v>
      </c>
      <c r="E339" s="166"/>
      <c r="F339" s="301"/>
      <c r="G339" s="302" t="s">
        <v>88</v>
      </c>
      <c r="H339" s="303"/>
      <c r="I339" s="311"/>
      <c r="J339" s="312" t="str">
        <f>G339</f>
        <v>1 BOTTLE</v>
      </c>
      <c r="K339" s="312">
        <f>D339*1</f>
        <v>329.6</v>
      </c>
      <c r="L339" s="166"/>
      <c r="M339" s="166"/>
      <c r="N339" s="66">
        <f t="shared" si="22"/>
        <v>0</v>
      </c>
      <c r="O339" s="191"/>
    </row>
    <row r="340" spans="1:15">
      <c r="A340" s="299" t="s">
        <v>580</v>
      </c>
      <c r="B340" s="300" t="s">
        <v>88</v>
      </c>
      <c r="C340" s="166">
        <v>498.6</v>
      </c>
      <c r="D340" s="166">
        <v>498.6</v>
      </c>
      <c r="E340" s="166"/>
      <c r="F340" s="301"/>
      <c r="G340" s="302" t="s">
        <v>88</v>
      </c>
      <c r="H340" s="303"/>
      <c r="I340" s="311"/>
      <c r="J340" s="312" t="str">
        <f>G340</f>
        <v>1 BOTTLE</v>
      </c>
      <c r="K340" s="312">
        <f>D340*1</f>
        <v>498.6</v>
      </c>
      <c r="L340" s="166"/>
      <c r="M340" s="166"/>
      <c r="N340" s="66">
        <f t="shared" si="22"/>
        <v>0</v>
      </c>
      <c r="O340" s="191"/>
    </row>
    <row r="341" spans="1:15">
      <c r="A341" s="299" t="s">
        <v>581</v>
      </c>
      <c r="B341" s="300" t="s">
        <v>330</v>
      </c>
      <c r="C341" s="166">
        <v>1586</v>
      </c>
      <c r="D341" s="166">
        <f>C341/24</f>
        <v>66.0833333333333</v>
      </c>
      <c r="E341" s="166"/>
      <c r="F341" s="301"/>
      <c r="G341" s="302" t="s">
        <v>197</v>
      </c>
      <c r="H341" s="303"/>
      <c r="I341" s="311"/>
      <c r="J341" s="312" t="str">
        <f>G341</f>
        <v>24 PCS</v>
      </c>
      <c r="K341" s="312">
        <f>D341*24</f>
        <v>1586</v>
      </c>
      <c r="L341" s="166"/>
      <c r="M341" s="166"/>
      <c r="N341" s="66">
        <f t="shared" si="22"/>
        <v>0</v>
      </c>
      <c r="O341" s="191"/>
    </row>
    <row r="342" ht="15.75" spans="1:15">
      <c r="A342" s="321" t="s">
        <v>582</v>
      </c>
      <c r="B342" s="322" t="s">
        <v>313</v>
      </c>
      <c r="C342" s="323">
        <v>831.98</v>
      </c>
      <c r="D342" s="323">
        <v>27.7326666666667</v>
      </c>
      <c r="E342" s="323">
        <v>32</v>
      </c>
      <c r="F342" s="324"/>
      <c r="G342" s="325"/>
      <c r="H342" s="326" t="s">
        <v>166</v>
      </c>
      <c r="I342" s="328"/>
      <c r="J342" s="329" t="str">
        <f>H342</f>
        <v>30 TABS</v>
      </c>
      <c r="K342" s="329">
        <f>D342*30</f>
        <v>831.980000000001</v>
      </c>
      <c r="L342" s="323"/>
      <c r="M342" s="323"/>
      <c r="N342" s="67">
        <f t="shared" si="22"/>
        <v>0</v>
      </c>
      <c r="O342" s="191"/>
    </row>
    <row r="343" spans="1:16">
      <c r="A343" s="128"/>
      <c r="B343" s="327"/>
      <c r="C343" s="188"/>
      <c r="D343" s="188"/>
      <c r="E343" s="188"/>
      <c r="F343" s="188"/>
      <c r="G343" s="188"/>
      <c r="H343" s="188"/>
      <c r="I343" s="188"/>
      <c r="J343" s="189"/>
      <c r="K343" s="189">
        <f>SUM(K3:K342)</f>
        <v>101774.004285714</v>
      </c>
      <c r="L343" s="188"/>
      <c r="M343" s="188"/>
      <c r="N343" s="188" t="e">
        <f>SUM(N3:N342)</f>
        <v>#VALUE!</v>
      </c>
      <c r="O343" s="330"/>
      <c r="P343" s="141"/>
    </row>
    <row r="344" spans="1:16">
      <c r="A344" s="128"/>
      <c r="B344" s="327"/>
      <c r="C344" s="188"/>
      <c r="D344" s="188"/>
      <c r="E344" s="188"/>
      <c r="F344" s="188"/>
      <c r="G344" s="188"/>
      <c r="H344" s="188"/>
      <c r="I344" s="188"/>
      <c r="J344" s="189"/>
      <c r="K344" s="189"/>
      <c r="L344" s="188"/>
      <c r="M344" s="327"/>
      <c r="N344" s="327"/>
      <c r="O344" s="330"/>
      <c r="P344" s="141"/>
    </row>
    <row r="345" spans="1:16">
      <c r="A345" s="128"/>
      <c r="B345" s="327"/>
      <c r="C345" s="188"/>
      <c r="D345" s="188"/>
      <c r="E345" s="188"/>
      <c r="F345" s="188"/>
      <c r="G345" s="188"/>
      <c r="H345" s="188"/>
      <c r="I345" s="188"/>
      <c r="J345" s="189"/>
      <c r="K345" s="189"/>
      <c r="L345" s="188">
        <v>5686.25</v>
      </c>
      <c r="M345" s="327"/>
      <c r="N345" s="327"/>
      <c r="O345" s="330"/>
      <c r="P345" s="141"/>
    </row>
    <row r="346" spans="1:16">
      <c r="A346" s="128"/>
      <c r="B346" s="327"/>
      <c r="C346" s="188"/>
      <c r="D346" s="188"/>
      <c r="E346" s="188"/>
      <c r="F346" s="188"/>
      <c r="G346" s="188"/>
      <c r="H346" s="188"/>
      <c r="I346" s="188"/>
      <c r="J346" s="189"/>
      <c r="K346" s="189"/>
      <c r="L346" s="188">
        <v>10165.89</v>
      </c>
      <c r="M346" s="327"/>
      <c r="N346" s="327"/>
      <c r="O346" s="330"/>
      <c r="P346" s="141"/>
    </row>
    <row r="347" spans="1:16">
      <c r="A347" s="128"/>
      <c r="B347" s="327"/>
      <c r="C347" s="188"/>
      <c r="D347" s="188"/>
      <c r="E347" s="188"/>
      <c r="F347" s="188"/>
      <c r="G347" s="188"/>
      <c r="H347" s="188"/>
      <c r="I347" s="188"/>
      <c r="J347" s="189"/>
      <c r="K347" s="189"/>
      <c r="L347" s="188">
        <v>37447.13</v>
      </c>
      <c r="M347" s="327"/>
      <c r="N347" s="327"/>
      <c r="O347" s="330"/>
      <c r="P347" s="141"/>
    </row>
    <row r="348" spans="1:16">
      <c r="A348" s="128"/>
      <c r="B348" s="327"/>
      <c r="C348" s="188"/>
      <c r="D348" s="188"/>
      <c r="E348" s="188"/>
      <c r="F348" s="188"/>
      <c r="G348" s="188"/>
      <c r="H348" s="188"/>
      <c r="I348" s="188"/>
      <c r="J348" s="189"/>
      <c r="K348" s="189"/>
      <c r="L348" s="188">
        <v>45140.87</v>
      </c>
      <c r="M348" s="327"/>
      <c r="N348" s="327"/>
      <c r="O348" s="330"/>
      <c r="P348" s="141"/>
    </row>
    <row r="349" spans="1:16">
      <c r="A349" s="128"/>
      <c r="B349" s="327"/>
      <c r="C349" s="188"/>
      <c r="D349" s="188"/>
      <c r="E349" s="188"/>
      <c r="F349" s="188"/>
      <c r="G349" s="188"/>
      <c r="H349" s="188"/>
      <c r="I349" s="188"/>
      <c r="J349" s="189"/>
      <c r="K349" s="189"/>
      <c r="L349" s="188">
        <f>SUM(L345:L348)</f>
        <v>98440.14</v>
      </c>
      <c r="M349" s="327"/>
      <c r="N349" s="327"/>
      <c r="O349" s="330"/>
      <c r="P349" s="141"/>
    </row>
    <row r="350" spans="1:16">
      <c r="A350" s="128"/>
      <c r="B350" s="327"/>
      <c r="C350" s="188"/>
      <c r="D350" s="188"/>
      <c r="E350" s="188"/>
      <c r="F350" s="188"/>
      <c r="G350" s="188"/>
      <c r="H350" s="188"/>
      <c r="I350" s="188"/>
      <c r="J350" s="189"/>
      <c r="K350" s="189"/>
      <c r="L350" s="188">
        <f>L349-K343</f>
        <v>-3333.86428571436</v>
      </c>
      <c r="M350" s="327"/>
      <c r="N350" s="327"/>
      <c r="O350" s="330"/>
      <c r="P350" s="141"/>
    </row>
    <row r="351" spans="1:16">
      <c r="A351" s="128"/>
      <c r="B351" s="327"/>
      <c r="C351" s="188"/>
      <c r="D351" s="188"/>
      <c r="E351" s="188"/>
      <c r="F351" s="188"/>
      <c r="G351" s="188"/>
      <c r="H351" s="188"/>
      <c r="I351" s="188"/>
      <c r="J351" s="189"/>
      <c r="K351" s="189"/>
      <c r="L351" s="188"/>
      <c r="M351" s="327"/>
      <c r="N351" s="327"/>
      <c r="O351" s="330"/>
      <c r="P351" s="141"/>
    </row>
    <row r="352" spans="1:16">
      <c r="A352" s="128"/>
      <c r="B352" s="327"/>
      <c r="C352" s="188"/>
      <c r="D352" s="188"/>
      <c r="E352" s="188"/>
      <c r="F352" s="188"/>
      <c r="G352" s="188"/>
      <c r="H352" s="188"/>
      <c r="I352" s="188"/>
      <c r="J352" s="189"/>
      <c r="K352" s="189"/>
      <c r="L352" s="188"/>
      <c r="M352" s="327"/>
      <c r="N352" s="327"/>
      <c r="O352" s="330"/>
      <c r="P352" s="141"/>
    </row>
    <row r="353" spans="1:16">
      <c r="A353" s="128"/>
      <c r="B353" s="327"/>
      <c r="C353" s="188"/>
      <c r="D353" s="188"/>
      <c r="E353" s="188"/>
      <c r="F353" s="188"/>
      <c r="G353" s="188"/>
      <c r="H353" s="188"/>
      <c r="I353" s="188"/>
      <c r="J353" s="189"/>
      <c r="K353" s="189"/>
      <c r="L353" s="188"/>
      <c r="M353" s="327"/>
      <c r="N353" s="327"/>
      <c r="O353" s="330"/>
      <c r="P353" s="141"/>
    </row>
    <row r="354" spans="1:16">
      <c r="A354" s="128"/>
      <c r="B354" s="327"/>
      <c r="C354" s="188"/>
      <c r="D354" s="188"/>
      <c r="E354" s="188"/>
      <c r="F354" s="188"/>
      <c r="G354" s="188"/>
      <c r="H354" s="188"/>
      <c r="I354" s="188"/>
      <c r="J354" s="189"/>
      <c r="K354" s="189"/>
      <c r="L354" s="188"/>
      <c r="M354" s="327"/>
      <c r="N354" s="327"/>
      <c r="O354" s="330"/>
      <c r="P354" s="141"/>
    </row>
    <row r="355" spans="1:16">
      <c r="A355" s="128"/>
      <c r="B355" s="327"/>
      <c r="C355" s="188"/>
      <c r="D355" s="188"/>
      <c r="E355" s="188"/>
      <c r="F355" s="188"/>
      <c r="G355" s="188"/>
      <c r="H355" s="188"/>
      <c r="I355" s="188"/>
      <c r="J355" s="189"/>
      <c r="K355" s="189"/>
      <c r="L355" s="188"/>
      <c r="M355" s="327"/>
      <c r="N355" s="327"/>
      <c r="O355" s="330"/>
      <c r="P355" s="141"/>
    </row>
    <row r="356" spans="1:16">
      <c r="A356" s="128"/>
      <c r="B356" s="327"/>
      <c r="C356" s="188"/>
      <c r="D356" s="188"/>
      <c r="E356" s="188"/>
      <c r="F356" s="188"/>
      <c r="G356" s="188"/>
      <c r="H356" s="188"/>
      <c r="I356" s="188"/>
      <c r="J356" s="189"/>
      <c r="K356" s="189"/>
      <c r="L356" s="188"/>
      <c r="M356" s="327"/>
      <c r="N356" s="327"/>
      <c r="O356" s="330"/>
      <c r="P356" s="141"/>
    </row>
    <row r="357" spans="1:16">
      <c r="A357" s="128"/>
      <c r="B357" s="327"/>
      <c r="C357" s="188"/>
      <c r="D357" s="188"/>
      <c r="E357" s="188"/>
      <c r="F357" s="188"/>
      <c r="G357" s="188"/>
      <c r="H357" s="188"/>
      <c r="I357" s="188"/>
      <c r="J357" s="189"/>
      <c r="K357" s="189"/>
      <c r="L357" s="188"/>
      <c r="M357" s="327"/>
      <c r="N357" s="327"/>
      <c r="O357" s="330"/>
      <c r="P357" s="141"/>
    </row>
    <row r="358" spans="1:16">
      <c r="A358" s="128" t="s">
        <v>583</v>
      </c>
      <c r="B358" s="327"/>
      <c r="C358" s="188"/>
      <c r="D358" s="188">
        <v>121.08</v>
      </c>
      <c r="E358" s="188">
        <v>133</v>
      </c>
      <c r="F358" s="188"/>
      <c r="G358" s="188"/>
      <c r="H358" s="188"/>
      <c r="I358" s="188"/>
      <c r="J358" s="189"/>
      <c r="K358" s="189"/>
      <c r="L358" s="188"/>
      <c r="M358" s="327"/>
      <c r="N358" s="327"/>
      <c r="O358" s="330"/>
      <c r="P358" s="141"/>
    </row>
    <row r="359" spans="1:16">
      <c r="A359" s="128" t="s">
        <v>584</v>
      </c>
      <c r="B359" s="129"/>
      <c r="C359" s="129"/>
      <c r="D359" s="130">
        <v>61.965</v>
      </c>
      <c r="E359" s="130">
        <v>72</v>
      </c>
      <c r="F359" s="129"/>
      <c r="G359" s="129"/>
      <c r="H359" s="129"/>
      <c r="I359" s="129"/>
      <c r="J359" s="128"/>
      <c r="K359" s="128"/>
      <c r="L359" s="129"/>
      <c r="M359" s="129"/>
      <c r="N359" s="129"/>
      <c r="O359" s="141"/>
      <c r="P359" s="141"/>
    </row>
    <row r="360" spans="1:16">
      <c r="A360" s="128" t="s">
        <v>585</v>
      </c>
      <c r="B360" s="129"/>
      <c r="C360" s="129"/>
      <c r="D360" s="130">
        <v>3.2571</v>
      </c>
      <c r="E360" s="130">
        <v>4</v>
      </c>
      <c r="F360" s="129"/>
      <c r="G360" s="129"/>
      <c r="H360" s="129"/>
      <c r="I360" s="129"/>
      <c r="J360" s="128"/>
      <c r="K360" s="128"/>
      <c r="L360" s="129"/>
      <c r="M360" s="129"/>
      <c r="N360" s="129"/>
      <c r="O360" s="141"/>
      <c r="P360" s="141"/>
    </row>
    <row r="361" spans="1:16">
      <c r="A361" s="128" t="s">
        <v>586</v>
      </c>
      <c r="B361" s="129"/>
      <c r="C361" s="129"/>
      <c r="D361" s="130">
        <v>597.07</v>
      </c>
      <c r="E361" s="130">
        <v>650</v>
      </c>
      <c r="F361" s="129"/>
      <c r="G361" s="129"/>
      <c r="H361" s="129"/>
      <c r="I361" s="129"/>
      <c r="J361" s="128"/>
      <c r="K361" s="128"/>
      <c r="L361" s="129"/>
      <c r="M361" s="129"/>
      <c r="N361" s="129"/>
      <c r="O361" s="141"/>
      <c r="P361" s="141"/>
    </row>
    <row r="362" spans="1:16">
      <c r="A362" s="128" t="s">
        <v>587</v>
      </c>
      <c r="B362" s="129"/>
      <c r="C362" s="129"/>
      <c r="D362" s="130">
        <v>54.88</v>
      </c>
      <c r="E362" s="130">
        <v>64</v>
      </c>
      <c r="F362" s="129"/>
      <c r="G362" s="129"/>
      <c r="H362" s="129"/>
      <c r="I362" s="129"/>
      <c r="J362" s="128"/>
      <c r="K362" s="128"/>
      <c r="L362" s="129"/>
      <c r="M362" s="129"/>
      <c r="N362" s="129"/>
      <c r="O362" s="141"/>
      <c r="P362" s="141"/>
    </row>
    <row r="363" spans="1:16">
      <c r="A363" s="128" t="s">
        <v>588</v>
      </c>
      <c r="B363" s="129"/>
      <c r="C363" s="129"/>
      <c r="D363" s="130">
        <v>5.79</v>
      </c>
      <c r="E363" s="130">
        <v>7</v>
      </c>
      <c r="F363" s="129"/>
      <c r="G363" s="129"/>
      <c r="H363" s="129"/>
      <c r="I363" s="129"/>
      <c r="J363" s="128"/>
      <c r="K363" s="128"/>
      <c r="L363" s="129"/>
      <c r="M363" s="129"/>
      <c r="N363" s="129"/>
      <c r="O363" s="141"/>
      <c r="P363" s="141"/>
    </row>
    <row r="364" spans="1:16">
      <c r="A364" s="128" t="s">
        <v>589</v>
      </c>
      <c r="B364" s="129"/>
      <c r="C364" s="129"/>
      <c r="D364" s="130">
        <v>81.31</v>
      </c>
      <c r="E364" s="130">
        <v>95</v>
      </c>
      <c r="F364" s="129"/>
      <c r="G364" s="129"/>
      <c r="H364" s="129"/>
      <c r="I364" s="129"/>
      <c r="J364" s="128"/>
      <c r="K364" s="128"/>
      <c r="L364" s="129"/>
      <c r="M364" s="129"/>
      <c r="N364" s="129"/>
      <c r="O364" s="141"/>
      <c r="P364" s="141"/>
    </row>
    <row r="365" spans="1:16">
      <c r="A365" s="128" t="s">
        <v>590</v>
      </c>
      <c r="B365" s="129"/>
      <c r="C365" s="129"/>
      <c r="D365" s="130">
        <v>27.41</v>
      </c>
      <c r="E365" s="130">
        <v>35</v>
      </c>
      <c r="F365" s="129"/>
      <c r="G365" s="129"/>
      <c r="H365" s="129"/>
      <c r="I365" s="129"/>
      <c r="J365" s="128"/>
      <c r="K365" s="128"/>
      <c r="L365" s="129"/>
      <c r="M365" s="129"/>
      <c r="N365" s="129"/>
      <c r="O365" s="141"/>
      <c r="P365" s="141"/>
    </row>
    <row r="366" spans="1:16">
      <c r="A366" s="128" t="s">
        <v>591</v>
      </c>
      <c r="B366" s="129"/>
      <c r="C366" s="129"/>
      <c r="D366" s="130">
        <v>42.61</v>
      </c>
      <c r="E366" s="130">
        <v>52</v>
      </c>
      <c r="F366" s="129"/>
      <c r="G366" s="129"/>
      <c r="H366" s="129"/>
      <c r="I366" s="129"/>
      <c r="J366" s="128"/>
      <c r="K366" s="128"/>
      <c r="L366" s="129"/>
      <c r="M366" s="129"/>
      <c r="N366" s="129"/>
      <c r="O366" s="141"/>
      <c r="P366" s="141"/>
    </row>
    <row r="367" spans="1:16">
      <c r="A367" s="128" t="s">
        <v>592</v>
      </c>
      <c r="B367" s="129"/>
      <c r="C367" s="129"/>
      <c r="D367" s="130">
        <v>3.239</v>
      </c>
      <c r="E367" s="130">
        <v>4</v>
      </c>
      <c r="F367" s="129"/>
      <c r="G367" s="129"/>
      <c r="H367" s="129"/>
      <c r="I367" s="129"/>
      <c r="J367" s="128"/>
      <c r="K367" s="128"/>
      <c r="L367" s="129"/>
      <c r="M367" s="129"/>
      <c r="N367" s="129"/>
      <c r="O367" s="141"/>
      <c r="P367" s="141"/>
    </row>
    <row r="368" spans="1:16">
      <c r="A368" s="128" t="s">
        <v>593</v>
      </c>
      <c r="B368" s="129"/>
      <c r="C368" s="129"/>
      <c r="D368" s="130">
        <v>57</v>
      </c>
      <c r="E368" s="130">
        <v>65</v>
      </c>
      <c r="F368" s="129"/>
      <c r="G368" s="129"/>
      <c r="H368" s="129"/>
      <c r="I368" s="129"/>
      <c r="J368" s="128"/>
      <c r="K368" s="128"/>
      <c r="L368" s="129"/>
      <c r="M368" s="129"/>
      <c r="N368" s="129"/>
      <c r="O368" s="141"/>
      <c r="P368" s="141"/>
    </row>
    <row r="369" spans="1:16">
      <c r="A369" s="128" t="s">
        <v>594</v>
      </c>
      <c r="B369" s="129"/>
      <c r="C369" s="129"/>
      <c r="D369" s="130">
        <v>8.62</v>
      </c>
      <c r="E369" s="130">
        <v>10</v>
      </c>
      <c r="F369" s="129"/>
      <c r="G369" s="129"/>
      <c r="H369" s="129"/>
      <c r="I369" s="129"/>
      <c r="J369" s="128"/>
      <c r="K369" s="128"/>
      <c r="L369" s="129"/>
      <c r="M369" s="129"/>
      <c r="N369" s="129"/>
      <c r="O369" s="141"/>
      <c r="P369" s="141"/>
    </row>
    <row r="370" spans="1:16">
      <c r="A370" s="128" t="s">
        <v>595</v>
      </c>
      <c r="B370" s="129"/>
      <c r="C370" s="129"/>
      <c r="D370" s="130">
        <v>19.56</v>
      </c>
      <c r="E370" s="130">
        <v>22</v>
      </c>
      <c r="F370" s="129"/>
      <c r="G370" s="129"/>
      <c r="H370" s="129"/>
      <c r="I370" s="129"/>
      <c r="J370" s="128"/>
      <c r="K370" s="128"/>
      <c r="L370" s="129"/>
      <c r="M370" s="129"/>
      <c r="N370" s="129"/>
      <c r="O370" s="141"/>
      <c r="P370" s="141"/>
    </row>
    <row r="371" spans="1:16">
      <c r="A371" s="128" t="s">
        <v>596</v>
      </c>
      <c r="B371" s="129"/>
      <c r="C371" s="129"/>
      <c r="D371" s="130">
        <v>8.33</v>
      </c>
      <c r="E371" s="130">
        <v>10</v>
      </c>
      <c r="F371" s="129"/>
      <c r="G371" s="129"/>
      <c r="H371" s="129"/>
      <c r="I371" s="129"/>
      <c r="J371" s="128"/>
      <c r="K371" s="128"/>
      <c r="L371" s="129"/>
      <c r="M371" s="129"/>
      <c r="N371" s="129"/>
      <c r="O371" s="141"/>
      <c r="P371" s="141"/>
    </row>
    <row r="372" spans="1:16">
      <c r="A372" s="128" t="s">
        <v>597</v>
      </c>
      <c r="B372" s="129"/>
      <c r="C372" s="129"/>
      <c r="D372" s="130">
        <v>30.393</v>
      </c>
      <c r="E372" s="130">
        <v>34</v>
      </c>
      <c r="F372" s="129"/>
      <c r="G372" s="129"/>
      <c r="H372" s="129"/>
      <c r="I372" s="129"/>
      <c r="J372" s="128"/>
      <c r="K372" s="128"/>
      <c r="L372" s="129"/>
      <c r="M372" s="129"/>
      <c r="N372" s="129"/>
      <c r="O372" s="141"/>
      <c r="P372" s="141"/>
    </row>
    <row r="373" spans="1:16">
      <c r="A373" s="128" t="s">
        <v>598</v>
      </c>
      <c r="B373" s="129"/>
      <c r="C373" s="129"/>
      <c r="D373" s="130">
        <v>38.22</v>
      </c>
      <c r="E373" s="130">
        <v>42</v>
      </c>
      <c r="F373" s="129"/>
      <c r="G373" s="129"/>
      <c r="H373" s="129"/>
      <c r="I373" s="129"/>
      <c r="J373" s="128"/>
      <c r="K373" s="128"/>
      <c r="L373" s="129"/>
      <c r="M373" s="129"/>
      <c r="N373" s="129"/>
      <c r="O373" s="141"/>
      <c r="P373" s="141"/>
    </row>
    <row r="374" spans="1:16">
      <c r="A374" s="128" t="s">
        <v>599</v>
      </c>
      <c r="B374" s="129"/>
      <c r="C374" s="129"/>
      <c r="D374" s="130">
        <v>413.71</v>
      </c>
      <c r="E374" s="130">
        <v>435</v>
      </c>
      <c r="F374" s="129"/>
      <c r="G374" s="129"/>
      <c r="H374" s="129"/>
      <c r="I374" s="129"/>
      <c r="J374" s="128"/>
      <c r="K374" s="128"/>
      <c r="L374" s="129"/>
      <c r="M374" s="129"/>
      <c r="N374" s="129"/>
      <c r="O374" s="141"/>
      <c r="P374" s="141"/>
    </row>
    <row r="375" spans="1:16">
      <c r="A375" s="128" t="s">
        <v>600</v>
      </c>
      <c r="B375" s="129"/>
      <c r="C375" s="129"/>
      <c r="D375" s="130">
        <v>4.66</v>
      </c>
      <c r="E375" s="130">
        <v>6</v>
      </c>
      <c r="F375" s="129"/>
      <c r="G375" s="129"/>
      <c r="H375" s="129"/>
      <c r="I375" s="129"/>
      <c r="J375" s="128"/>
      <c r="K375" s="128"/>
      <c r="L375" s="129"/>
      <c r="M375" s="129"/>
      <c r="N375" s="129"/>
      <c r="O375" s="141"/>
      <c r="P375" s="141"/>
    </row>
    <row r="376" spans="1:16">
      <c r="A376" s="128" t="s">
        <v>601</v>
      </c>
      <c r="B376" s="129"/>
      <c r="C376" s="129"/>
      <c r="D376" s="130">
        <v>12.1762</v>
      </c>
      <c r="E376" s="130">
        <v>14</v>
      </c>
      <c r="F376" s="129"/>
      <c r="G376" s="129"/>
      <c r="H376" s="129"/>
      <c r="I376" s="129"/>
      <c r="J376" s="128"/>
      <c r="K376" s="128"/>
      <c r="L376" s="129"/>
      <c r="M376" s="129"/>
      <c r="N376" s="129"/>
      <c r="O376" s="141"/>
      <c r="P376" s="141"/>
    </row>
    <row r="377" spans="1:16">
      <c r="A377" s="128" t="s">
        <v>602</v>
      </c>
      <c r="B377" s="129"/>
      <c r="C377" s="129"/>
      <c r="D377" s="130">
        <v>15.99</v>
      </c>
      <c r="E377" s="130">
        <v>18</v>
      </c>
      <c r="F377" s="129"/>
      <c r="G377" s="129"/>
      <c r="H377" s="129"/>
      <c r="I377" s="129"/>
      <c r="J377" s="128"/>
      <c r="K377" s="128"/>
      <c r="L377" s="129"/>
      <c r="M377" s="129"/>
      <c r="N377" s="129"/>
      <c r="O377" s="141"/>
      <c r="P377" s="141"/>
    </row>
    <row r="378" spans="1:16">
      <c r="A378" s="128" t="s">
        <v>603</v>
      </c>
      <c r="B378" s="129"/>
      <c r="C378" s="129"/>
      <c r="D378" s="130">
        <v>151.9</v>
      </c>
      <c r="E378" s="130">
        <v>170</v>
      </c>
      <c r="F378" s="129"/>
      <c r="G378" s="129"/>
      <c r="H378" s="129"/>
      <c r="I378" s="129"/>
      <c r="J378" s="128"/>
      <c r="K378" s="128"/>
      <c r="L378" s="129"/>
      <c r="M378" s="129"/>
      <c r="N378" s="129"/>
      <c r="O378" s="141"/>
      <c r="P378" s="141"/>
    </row>
    <row r="379" spans="1:16">
      <c r="A379" s="128" t="s">
        <v>604</v>
      </c>
      <c r="B379" s="129"/>
      <c r="C379" s="129"/>
      <c r="D379" s="130">
        <v>274.4</v>
      </c>
      <c r="E379" s="130">
        <v>295</v>
      </c>
      <c r="F379" s="129"/>
      <c r="G379" s="129"/>
      <c r="H379" s="129"/>
      <c r="I379" s="129"/>
      <c r="J379" s="128"/>
      <c r="K379" s="128"/>
      <c r="L379" s="129"/>
      <c r="M379" s="129"/>
      <c r="N379" s="129"/>
      <c r="O379" s="141"/>
      <c r="P379" s="141"/>
    </row>
    <row r="380" spans="1:16">
      <c r="A380" s="128" t="s">
        <v>605</v>
      </c>
      <c r="B380" s="129"/>
      <c r="C380" s="129"/>
      <c r="D380" s="130">
        <v>14.2608333333333</v>
      </c>
      <c r="E380" s="130">
        <v>18</v>
      </c>
      <c r="F380" s="129"/>
      <c r="G380" s="129"/>
      <c r="H380" s="129"/>
      <c r="I380" s="129"/>
      <c r="J380" s="128"/>
      <c r="K380" s="128"/>
      <c r="L380" s="129"/>
      <c r="M380" s="129"/>
      <c r="N380" s="129"/>
      <c r="O380" s="141"/>
      <c r="P380" s="141"/>
    </row>
    <row r="381" spans="1:16">
      <c r="A381" s="128" t="s">
        <v>606</v>
      </c>
      <c r="B381" s="129"/>
      <c r="C381" s="129"/>
      <c r="D381" s="130">
        <v>14.2608333333333</v>
      </c>
      <c r="E381" s="130">
        <v>18</v>
      </c>
      <c r="F381" s="129"/>
      <c r="G381" s="129"/>
      <c r="H381" s="129"/>
      <c r="I381" s="129"/>
      <c r="J381" s="128"/>
      <c r="K381" s="128"/>
      <c r="L381" s="129"/>
      <c r="M381" s="129"/>
      <c r="N381" s="129"/>
      <c r="O381" s="141"/>
      <c r="P381" s="141"/>
    </row>
    <row r="382" spans="1:16">
      <c r="A382" s="128" t="s">
        <v>607</v>
      </c>
      <c r="B382" s="129"/>
      <c r="C382" s="129"/>
      <c r="D382" s="130">
        <v>4.88</v>
      </c>
      <c r="E382" s="130">
        <v>6</v>
      </c>
      <c r="F382" s="129"/>
      <c r="G382" s="129"/>
      <c r="H382" s="129"/>
      <c r="I382" s="129"/>
      <c r="J382" s="128"/>
      <c r="K382" s="128"/>
      <c r="L382" s="129"/>
      <c r="M382" s="129"/>
      <c r="N382" s="129"/>
      <c r="O382" s="141"/>
      <c r="P382" s="141"/>
    </row>
    <row r="383" spans="1:16">
      <c r="A383" s="128" t="s">
        <v>608</v>
      </c>
      <c r="B383" s="129"/>
      <c r="C383" s="129"/>
      <c r="D383" s="130">
        <v>72.18</v>
      </c>
      <c r="E383" s="130">
        <v>83</v>
      </c>
      <c r="F383" s="129"/>
      <c r="G383" s="129"/>
      <c r="H383" s="129"/>
      <c r="I383" s="129"/>
      <c r="J383" s="128"/>
      <c r="K383" s="128"/>
      <c r="L383" s="129"/>
      <c r="M383" s="129"/>
      <c r="N383" s="129"/>
      <c r="O383" s="141"/>
      <c r="P383" s="141"/>
    </row>
    <row r="384" spans="1:16">
      <c r="A384" s="128" t="s">
        <v>609</v>
      </c>
      <c r="B384" s="129"/>
      <c r="C384" s="129"/>
      <c r="D384" s="130">
        <v>134.33</v>
      </c>
      <c r="E384" s="130">
        <v>150</v>
      </c>
      <c r="F384" s="129"/>
      <c r="G384" s="129"/>
      <c r="H384" s="129"/>
      <c r="I384" s="129"/>
      <c r="J384" s="128"/>
      <c r="K384" s="128"/>
      <c r="L384" s="129"/>
      <c r="M384" s="129"/>
      <c r="N384" s="129"/>
      <c r="O384" s="141"/>
      <c r="P384" s="141"/>
    </row>
    <row r="385" spans="1:16">
      <c r="A385" s="128" t="s">
        <v>387</v>
      </c>
      <c r="B385" s="129"/>
      <c r="C385" s="129"/>
      <c r="D385" s="130">
        <v>60.46</v>
      </c>
      <c r="E385" s="130">
        <v>66</v>
      </c>
      <c r="F385" s="129"/>
      <c r="G385" s="129"/>
      <c r="H385" s="129"/>
      <c r="I385" s="129"/>
      <c r="J385" s="128"/>
      <c r="K385" s="128"/>
      <c r="L385" s="129"/>
      <c r="M385" s="129"/>
      <c r="N385" s="129"/>
      <c r="O385" s="141"/>
      <c r="P385" s="141"/>
    </row>
    <row r="386" spans="1:16">
      <c r="A386" s="128" t="s">
        <v>610</v>
      </c>
      <c r="B386" s="129"/>
      <c r="C386" s="129"/>
      <c r="D386" s="130">
        <v>20.7</v>
      </c>
      <c r="E386" s="130">
        <v>23</v>
      </c>
      <c r="F386" s="129"/>
      <c r="G386" s="129"/>
      <c r="H386" s="129"/>
      <c r="I386" s="129"/>
      <c r="J386" s="128"/>
      <c r="K386" s="128"/>
      <c r="L386" s="129"/>
      <c r="M386" s="129"/>
      <c r="N386" s="129"/>
      <c r="O386" s="141"/>
      <c r="P386" s="141"/>
    </row>
    <row r="387" spans="1:16">
      <c r="A387" s="128" t="s">
        <v>611</v>
      </c>
      <c r="B387" s="129"/>
      <c r="C387" s="129"/>
      <c r="D387" s="130">
        <v>113.62</v>
      </c>
      <c r="E387" s="130">
        <v>125</v>
      </c>
      <c r="F387" s="129"/>
      <c r="G387" s="129"/>
      <c r="H387" s="129"/>
      <c r="I387" s="129"/>
      <c r="J387" s="128"/>
      <c r="K387" s="128"/>
      <c r="L387" s="129"/>
      <c r="M387" s="129"/>
      <c r="N387" s="129"/>
      <c r="O387" s="141"/>
      <c r="P387" s="141"/>
    </row>
    <row r="388" spans="1:16">
      <c r="A388" s="128" t="s">
        <v>612</v>
      </c>
      <c r="B388" s="129"/>
      <c r="C388" s="129"/>
      <c r="D388" s="130">
        <v>27.88</v>
      </c>
      <c r="E388" s="130">
        <v>33</v>
      </c>
      <c r="F388" s="129"/>
      <c r="G388" s="129"/>
      <c r="H388" s="129"/>
      <c r="I388" s="129"/>
      <c r="J388" s="128"/>
      <c r="K388" s="128"/>
      <c r="L388" s="129"/>
      <c r="M388" s="129"/>
      <c r="N388" s="129"/>
      <c r="O388" s="141"/>
      <c r="P388" s="141"/>
    </row>
    <row r="389" spans="1:16">
      <c r="A389" s="128" t="s">
        <v>613</v>
      </c>
      <c r="B389" s="129"/>
      <c r="C389" s="129"/>
      <c r="D389" s="130">
        <v>48.88</v>
      </c>
      <c r="E389" s="130">
        <v>57</v>
      </c>
      <c r="F389" s="129"/>
      <c r="G389" s="129"/>
      <c r="H389" s="129"/>
      <c r="I389" s="129"/>
      <c r="J389" s="128"/>
      <c r="K389" s="128"/>
      <c r="L389" s="129"/>
      <c r="M389" s="129"/>
      <c r="N389" s="129"/>
      <c r="O389" s="141"/>
      <c r="P389" s="141"/>
    </row>
    <row r="390" spans="1:16">
      <c r="A390" s="128" t="s">
        <v>614</v>
      </c>
      <c r="B390" s="129"/>
      <c r="C390" s="129"/>
      <c r="D390" s="130">
        <v>29.07</v>
      </c>
      <c r="E390" s="130">
        <v>35</v>
      </c>
      <c r="F390" s="129"/>
      <c r="G390" s="129"/>
      <c r="H390" s="129"/>
      <c r="I390" s="129"/>
      <c r="J390" s="128"/>
      <c r="K390" s="128"/>
      <c r="L390" s="129"/>
      <c r="M390" s="129"/>
      <c r="N390" s="129"/>
      <c r="O390" s="141"/>
      <c r="P390" s="141"/>
    </row>
    <row r="391" spans="1:16">
      <c r="A391" s="128" t="s">
        <v>615</v>
      </c>
      <c r="B391" s="129"/>
      <c r="C391" s="129"/>
      <c r="D391" s="130">
        <v>52.35</v>
      </c>
      <c r="E391" s="130">
        <v>60</v>
      </c>
      <c r="F391" s="129"/>
      <c r="G391" s="129"/>
      <c r="H391" s="129"/>
      <c r="I391" s="129"/>
      <c r="J391" s="128"/>
      <c r="K391" s="128"/>
      <c r="L391" s="129"/>
      <c r="M391" s="129"/>
      <c r="N391" s="129"/>
      <c r="O391" s="141"/>
      <c r="P391" s="141"/>
    </row>
    <row r="392" spans="1:16">
      <c r="A392" s="128" t="s">
        <v>616</v>
      </c>
      <c r="B392" s="129"/>
      <c r="C392" s="129"/>
      <c r="D392" s="130">
        <v>34.91</v>
      </c>
      <c r="E392" s="130">
        <v>40</v>
      </c>
      <c r="F392" s="129"/>
      <c r="G392" s="129"/>
      <c r="H392" s="129"/>
      <c r="I392" s="129"/>
      <c r="J392" s="128"/>
      <c r="K392" s="128"/>
      <c r="L392" s="129"/>
      <c r="M392" s="129"/>
      <c r="N392" s="129"/>
      <c r="O392" s="141"/>
      <c r="P392" s="141"/>
    </row>
    <row r="393" spans="1:16">
      <c r="A393" s="128" t="s">
        <v>617</v>
      </c>
      <c r="B393" s="129"/>
      <c r="C393" s="129"/>
      <c r="D393" s="130">
        <v>55.81</v>
      </c>
      <c r="E393" s="130">
        <v>65</v>
      </c>
      <c r="F393" s="129"/>
      <c r="G393" s="129"/>
      <c r="H393" s="129"/>
      <c r="I393" s="129"/>
      <c r="J393" s="128"/>
      <c r="K393" s="128"/>
      <c r="L393" s="129"/>
      <c r="M393" s="129"/>
      <c r="N393" s="129"/>
      <c r="O393" s="141"/>
      <c r="P393" s="141"/>
    </row>
    <row r="394" spans="1:16">
      <c r="A394" s="128" t="s">
        <v>618</v>
      </c>
      <c r="B394" s="129"/>
      <c r="C394" s="129"/>
      <c r="D394" s="130">
        <v>25.99</v>
      </c>
      <c r="E394" s="130">
        <v>29</v>
      </c>
      <c r="F394" s="129"/>
      <c r="G394" s="129"/>
      <c r="H394" s="129"/>
      <c r="I394" s="129"/>
      <c r="J394" s="128"/>
      <c r="K394" s="128"/>
      <c r="L394" s="129"/>
      <c r="M394" s="129"/>
      <c r="N394" s="129"/>
      <c r="O394" s="141"/>
      <c r="P394" s="141"/>
    </row>
    <row r="395" spans="1:16">
      <c r="A395" s="128" t="s">
        <v>619</v>
      </c>
      <c r="B395" s="129"/>
      <c r="C395" s="129"/>
      <c r="D395" s="130">
        <v>31.82</v>
      </c>
      <c r="E395" s="130">
        <v>46</v>
      </c>
      <c r="F395" s="129"/>
      <c r="G395" s="129"/>
      <c r="H395" s="129"/>
      <c r="I395" s="129"/>
      <c r="J395" s="128"/>
      <c r="K395" s="128"/>
      <c r="L395" s="129"/>
      <c r="M395" s="129"/>
      <c r="N395" s="129"/>
      <c r="O395" s="141"/>
      <c r="P395" s="141"/>
    </row>
    <row r="396" spans="1:16">
      <c r="A396" s="128" t="s">
        <v>620</v>
      </c>
      <c r="B396" s="129"/>
      <c r="C396" s="129"/>
      <c r="D396" s="130">
        <v>27.111</v>
      </c>
      <c r="E396" s="130">
        <v>32</v>
      </c>
      <c r="F396" s="129"/>
      <c r="G396" s="129"/>
      <c r="H396" s="129"/>
      <c r="I396" s="129"/>
      <c r="J396" s="128"/>
      <c r="K396" s="128"/>
      <c r="L396" s="129"/>
      <c r="M396" s="129"/>
      <c r="N396" s="129"/>
      <c r="O396" s="141"/>
      <c r="P396" s="141"/>
    </row>
    <row r="397" spans="1:16">
      <c r="A397" s="128" t="s">
        <v>621</v>
      </c>
      <c r="B397" s="129"/>
      <c r="C397" s="129"/>
      <c r="D397" s="130">
        <v>95.03</v>
      </c>
      <c r="E397" s="130">
        <v>107</v>
      </c>
      <c r="F397" s="129"/>
      <c r="G397" s="129"/>
      <c r="H397" s="129"/>
      <c r="I397" s="129"/>
      <c r="J397" s="128"/>
      <c r="K397" s="128"/>
      <c r="L397" s="129"/>
      <c r="M397" s="129"/>
      <c r="N397" s="129"/>
      <c r="O397" s="141"/>
      <c r="P397" s="141"/>
    </row>
    <row r="398" spans="1:16">
      <c r="A398" s="128" t="s">
        <v>622</v>
      </c>
      <c r="B398" s="129"/>
      <c r="C398" s="129"/>
      <c r="D398" s="130">
        <v>243.41</v>
      </c>
      <c r="E398" s="130">
        <v>270</v>
      </c>
      <c r="F398" s="129"/>
      <c r="G398" s="129"/>
      <c r="H398" s="129"/>
      <c r="I398" s="129"/>
      <c r="J398" s="128"/>
      <c r="K398" s="128"/>
      <c r="L398" s="129"/>
      <c r="M398" s="129"/>
      <c r="N398" s="129"/>
      <c r="O398" s="141"/>
      <c r="P398" s="141"/>
    </row>
    <row r="399" spans="1:16">
      <c r="A399" s="128" t="s">
        <v>623</v>
      </c>
      <c r="B399" s="129"/>
      <c r="C399" s="129"/>
      <c r="D399" s="130">
        <v>96.9</v>
      </c>
      <c r="E399" s="130">
        <v>100</v>
      </c>
      <c r="F399" s="129"/>
      <c r="G399" s="129"/>
      <c r="H399" s="129"/>
      <c r="I399" s="129"/>
      <c r="J399" s="128"/>
      <c r="K399" s="128"/>
      <c r="L399" s="129"/>
      <c r="M399" s="129"/>
      <c r="N399" s="129"/>
      <c r="O399" s="141"/>
      <c r="P399" s="141"/>
    </row>
    <row r="400" spans="1:16">
      <c r="A400" s="128" t="s">
        <v>624</v>
      </c>
      <c r="B400" s="129"/>
      <c r="C400" s="129"/>
      <c r="D400" s="130">
        <v>27.3</v>
      </c>
      <c r="E400" s="130">
        <v>35</v>
      </c>
      <c r="F400" s="129"/>
      <c r="G400" s="129"/>
      <c r="H400" s="129"/>
      <c r="I400" s="129"/>
      <c r="J400" s="128"/>
      <c r="K400" s="128"/>
      <c r="L400" s="129"/>
      <c r="M400" s="129"/>
      <c r="N400" s="129"/>
      <c r="O400" s="141"/>
      <c r="P400" s="141"/>
    </row>
    <row r="401" spans="1:16">
      <c r="A401" s="128" t="s">
        <v>625</v>
      </c>
      <c r="B401" s="129"/>
      <c r="C401" s="129"/>
      <c r="D401" s="130">
        <v>29.48</v>
      </c>
      <c r="E401" s="130">
        <v>32</v>
      </c>
      <c r="F401" s="129"/>
      <c r="G401" s="129"/>
      <c r="H401" s="129"/>
      <c r="I401" s="129"/>
      <c r="J401" s="128"/>
      <c r="K401" s="128"/>
      <c r="L401" s="129"/>
      <c r="M401" s="129"/>
      <c r="N401" s="129"/>
      <c r="O401" s="141"/>
      <c r="P401" s="141"/>
    </row>
    <row r="402" spans="1:16">
      <c r="A402" s="128" t="s">
        <v>626</v>
      </c>
      <c r="B402" s="129"/>
      <c r="C402" s="129"/>
      <c r="D402" s="130">
        <v>3.81</v>
      </c>
      <c r="E402" s="130">
        <v>5</v>
      </c>
      <c r="F402" s="129"/>
      <c r="G402" s="129"/>
      <c r="H402" s="129"/>
      <c r="I402" s="129"/>
      <c r="J402" s="128"/>
      <c r="K402" s="128"/>
      <c r="L402" s="129"/>
      <c r="M402" s="129"/>
      <c r="N402" s="129"/>
      <c r="O402" s="141"/>
      <c r="P402" s="141"/>
    </row>
    <row r="403" spans="1:16">
      <c r="A403" s="128" t="s">
        <v>627</v>
      </c>
      <c r="B403" s="129"/>
      <c r="C403" s="129"/>
      <c r="D403" s="130">
        <v>9.62</v>
      </c>
      <c r="E403" s="130">
        <v>11</v>
      </c>
      <c r="F403" s="129"/>
      <c r="G403" s="129"/>
      <c r="H403" s="129"/>
      <c r="I403" s="129"/>
      <c r="J403" s="128"/>
      <c r="K403" s="128"/>
      <c r="L403" s="129"/>
      <c r="M403" s="129"/>
      <c r="N403" s="129"/>
      <c r="O403" s="141"/>
      <c r="P403" s="141"/>
    </row>
    <row r="404" spans="1:16">
      <c r="A404" s="128" t="s">
        <v>628</v>
      </c>
      <c r="B404" s="129"/>
      <c r="C404" s="129"/>
      <c r="D404" s="130">
        <v>24.58</v>
      </c>
      <c r="E404" s="130">
        <v>27</v>
      </c>
      <c r="F404" s="129"/>
      <c r="G404" s="129"/>
      <c r="H404" s="129"/>
      <c r="I404" s="129"/>
      <c r="J404" s="128"/>
      <c r="K404" s="128"/>
      <c r="L404" s="129"/>
      <c r="M404" s="129"/>
      <c r="N404" s="129"/>
      <c r="O404" s="141"/>
      <c r="P404" s="141"/>
    </row>
    <row r="405" spans="1:16">
      <c r="A405" s="128"/>
      <c r="B405" s="129"/>
      <c r="C405" s="129"/>
      <c r="D405" s="129"/>
      <c r="E405" s="129"/>
      <c r="F405" s="129"/>
      <c r="G405" s="129"/>
      <c r="H405" s="129"/>
      <c r="I405" s="129"/>
      <c r="J405" s="128"/>
      <c r="K405" s="128"/>
      <c r="L405" s="129"/>
      <c r="M405" s="129"/>
      <c r="N405" s="129"/>
      <c r="O405" s="141"/>
      <c r="P405" s="141"/>
    </row>
    <row r="406" spans="1:16">
      <c r="A406" s="128"/>
      <c r="B406" s="129"/>
      <c r="C406" s="129"/>
      <c r="D406" s="129"/>
      <c r="E406" s="129"/>
      <c r="F406" s="129"/>
      <c r="G406" s="129"/>
      <c r="H406" s="129"/>
      <c r="I406" s="129"/>
      <c r="J406" s="128"/>
      <c r="K406" s="128"/>
      <c r="L406" s="129"/>
      <c r="M406" s="129"/>
      <c r="N406" s="129"/>
      <c r="O406" s="141"/>
      <c r="P406" s="141"/>
    </row>
    <row r="407" spans="1:16">
      <c r="A407" s="128"/>
      <c r="B407" s="129"/>
      <c r="C407" s="129"/>
      <c r="D407" s="129"/>
      <c r="E407" s="129"/>
      <c r="F407" s="129"/>
      <c r="G407" s="129"/>
      <c r="H407" s="129"/>
      <c r="I407" s="129"/>
      <c r="J407" s="128"/>
      <c r="K407" s="128"/>
      <c r="L407" s="129"/>
      <c r="M407" s="129"/>
      <c r="N407" s="129"/>
      <c r="O407" s="141"/>
      <c r="P407" s="141"/>
    </row>
    <row r="408" spans="1:16">
      <c r="A408" s="128"/>
      <c r="B408" s="129"/>
      <c r="C408" s="129"/>
      <c r="D408" s="129"/>
      <c r="E408" s="129"/>
      <c r="F408" s="129"/>
      <c r="G408" s="129"/>
      <c r="H408" s="129"/>
      <c r="I408" s="129"/>
      <c r="J408" s="128"/>
      <c r="K408" s="128"/>
      <c r="L408" s="129"/>
      <c r="M408" s="129"/>
      <c r="N408" s="129"/>
      <c r="O408" s="141"/>
      <c r="P408" s="141"/>
    </row>
    <row r="409" spans="1:16">
      <c r="A409" s="128"/>
      <c r="B409" s="129"/>
      <c r="C409" s="129"/>
      <c r="D409" s="129"/>
      <c r="E409" s="129"/>
      <c r="F409" s="129"/>
      <c r="G409" s="129"/>
      <c r="H409" s="129"/>
      <c r="I409" s="129"/>
      <c r="J409" s="128"/>
      <c r="K409" s="128"/>
      <c r="L409" s="129"/>
      <c r="M409" s="129"/>
      <c r="N409" s="129"/>
      <c r="O409" s="141"/>
      <c r="P409" s="141"/>
    </row>
    <row r="410" spans="1:16">
      <c r="A410" s="128"/>
      <c r="B410" s="129"/>
      <c r="C410" s="129"/>
      <c r="D410" s="129"/>
      <c r="E410" s="129"/>
      <c r="F410" s="129"/>
      <c r="G410" s="129"/>
      <c r="H410" s="129"/>
      <c r="I410" s="129"/>
      <c r="J410" s="128"/>
      <c r="K410" s="128"/>
      <c r="L410" s="129"/>
      <c r="M410" s="129"/>
      <c r="N410" s="129"/>
      <c r="O410" s="141"/>
      <c r="P410" s="141"/>
    </row>
    <row r="411" spans="1:16">
      <c r="A411" s="128"/>
      <c r="B411" s="129"/>
      <c r="C411" s="129"/>
      <c r="D411" s="129"/>
      <c r="E411" s="129"/>
      <c r="F411" s="129"/>
      <c r="G411" s="129"/>
      <c r="H411" s="129"/>
      <c r="I411" s="129"/>
      <c r="J411" s="128"/>
      <c r="K411" s="128"/>
      <c r="L411" s="129"/>
      <c r="M411" s="129"/>
      <c r="N411" s="129"/>
      <c r="O411" s="141"/>
      <c r="P411" s="141"/>
    </row>
    <row r="412" spans="1:16">
      <c r="A412" s="128"/>
      <c r="B412" s="129"/>
      <c r="C412" s="129"/>
      <c r="D412" s="129"/>
      <c r="E412" s="129"/>
      <c r="F412" s="129"/>
      <c r="G412" s="129"/>
      <c r="H412" s="129"/>
      <c r="I412" s="129"/>
      <c r="J412" s="128"/>
      <c r="K412" s="128"/>
      <c r="L412" s="129"/>
      <c r="M412" s="129"/>
      <c r="N412" s="129"/>
      <c r="O412" s="141"/>
      <c r="P412" s="141"/>
    </row>
    <row r="413" spans="1:16">
      <c r="A413" s="128"/>
      <c r="B413" s="129"/>
      <c r="C413" s="129"/>
      <c r="D413" s="129"/>
      <c r="E413" s="129"/>
      <c r="F413" s="129"/>
      <c r="G413" s="129"/>
      <c r="H413" s="129"/>
      <c r="I413" s="129"/>
      <c r="J413" s="128"/>
      <c r="K413" s="128"/>
      <c r="L413" s="129"/>
      <c r="M413" s="129"/>
      <c r="N413" s="129"/>
      <c r="O413" s="141"/>
      <c r="P413" s="141"/>
    </row>
    <row r="414" spans="1:16">
      <c r="A414" s="128"/>
      <c r="B414" s="129"/>
      <c r="C414" s="129"/>
      <c r="D414" s="129"/>
      <c r="E414" s="129"/>
      <c r="F414" s="129"/>
      <c r="G414" s="129"/>
      <c r="H414" s="129"/>
      <c r="I414" s="129"/>
      <c r="J414" s="128"/>
      <c r="K414" s="128"/>
      <c r="L414" s="129"/>
      <c r="M414" s="129"/>
      <c r="N414" s="129"/>
      <c r="O414" s="141"/>
      <c r="P414" s="141"/>
    </row>
    <row r="415" spans="1:16">
      <c r="A415" s="128"/>
      <c r="B415" s="129"/>
      <c r="C415" s="129"/>
      <c r="D415" s="129"/>
      <c r="E415" s="129"/>
      <c r="F415" s="129"/>
      <c r="G415" s="129"/>
      <c r="H415" s="129"/>
      <c r="I415" s="129"/>
      <c r="J415" s="128"/>
      <c r="K415" s="128"/>
      <c r="L415" s="129"/>
      <c r="M415" s="129"/>
      <c r="N415" s="129"/>
      <c r="O415" s="141"/>
      <c r="P415" s="141"/>
    </row>
    <row r="416" spans="1:16">
      <c r="A416" s="128"/>
      <c r="B416" s="129"/>
      <c r="C416" s="129"/>
      <c r="D416" s="129"/>
      <c r="E416" s="129"/>
      <c r="F416" s="129"/>
      <c r="G416" s="129"/>
      <c r="H416" s="129"/>
      <c r="I416" s="129"/>
      <c r="J416" s="128"/>
      <c r="K416" s="128"/>
      <c r="L416" s="129"/>
      <c r="M416" s="129"/>
      <c r="N416" s="129"/>
      <c r="O416" s="141"/>
      <c r="P416" s="141"/>
    </row>
    <row r="417" spans="1:16">
      <c r="A417" s="128"/>
      <c r="B417" s="129"/>
      <c r="C417" s="129"/>
      <c r="D417" s="129"/>
      <c r="E417" s="129"/>
      <c r="F417" s="129"/>
      <c r="G417" s="129"/>
      <c r="H417" s="129"/>
      <c r="I417" s="129"/>
      <c r="J417" s="128"/>
      <c r="K417" s="128"/>
      <c r="L417" s="129"/>
      <c r="M417" s="129"/>
      <c r="N417" s="129"/>
      <c r="O417" s="141"/>
      <c r="P417" s="141"/>
    </row>
    <row r="418" spans="1:16">
      <c r="A418" s="128"/>
      <c r="B418" s="129"/>
      <c r="C418" s="129"/>
      <c r="D418" s="129"/>
      <c r="E418" s="129"/>
      <c r="F418" s="129"/>
      <c r="G418" s="129"/>
      <c r="H418" s="129"/>
      <c r="I418" s="129"/>
      <c r="J418" s="128"/>
      <c r="K418" s="128"/>
      <c r="L418" s="129"/>
      <c r="M418" s="129"/>
      <c r="N418" s="129"/>
      <c r="O418" s="141"/>
      <c r="P418" s="141"/>
    </row>
    <row r="419" spans="1:16">
      <c r="A419" s="128"/>
      <c r="B419" s="129"/>
      <c r="C419" s="129"/>
      <c r="D419" s="129"/>
      <c r="E419" s="129"/>
      <c r="F419" s="129"/>
      <c r="G419" s="129"/>
      <c r="H419" s="129"/>
      <c r="I419" s="129"/>
      <c r="J419" s="128"/>
      <c r="K419" s="128"/>
      <c r="L419" s="129"/>
      <c r="M419" s="129"/>
      <c r="N419" s="129"/>
      <c r="O419" s="141"/>
      <c r="P419" s="141"/>
    </row>
    <row r="420" spans="1:16">
      <c r="A420" s="128"/>
      <c r="B420" s="129"/>
      <c r="C420" s="129"/>
      <c r="D420" s="129"/>
      <c r="E420" s="129"/>
      <c r="F420" s="129"/>
      <c r="G420" s="129"/>
      <c r="H420" s="129"/>
      <c r="I420" s="129"/>
      <c r="J420" s="128"/>
      <c r="K420" s="128"/>
      <c r="L420" s="129"/>
      <c r="M420" s="129"/>
      <c r="N420" s="129"/>
      <c r="O420" s="141"/>
      <c r="P420" s="141"/>
    </row>
    <row r="421" spans="1:16">
      <c r="A421" s="128"/>
      <c r="B421" s="129"/>
      <c r="C421" s="129"/>
      <c r="D421" s="129"/>
      <c r="E421" s="129"/>
      <c r="F421" s="129"/>
      <c r="G421" s="129"/>
      <c r="H421" s="129"/>
      <c r="I421" s="129"/>
      <c r="J421" s="128"/>
      <c r="K421" s="128"/>
      <c r="L421" s="129"/>
      <c r="M421" s="129"/>
      <c r="N421" s="129"/>
      <c r="O421" s="141"/>
      <c r="P421" s="141"/>
    </row>
    <row r="422" spans="1:16">
      <c r="A422" s="128"/>
      <c r="B422" s="129"/>
      <c r="C422" s="129"/>
      <c r="D422" s="129"/>
      <c r="E422" s="129"/>
      <c r="F422" s="129"/>
      <c r="G422" s="129"/>
      <c r="H422" s="129"/>
      <c r="I422" s="129"/>
      <c r="J422" s="128"/>
      <c r="K422" s="128"/>
      <c r="L422" s="129"/>
      <c r="M422" s="129"/>
      <c r="N422" s="129"/>
      <c r="O422" s="141"/>
      <c r="P422" s="141"/>
    </row>
    <row r="423" spans="1:16">
      <c r="A423" s="128"/>
      <c r="B423" s="129"/>
      <c r="C423" s="129"/>
      <c r="D423" s="129"/>
      <c r="E423" s="129"/>
      <c r="F423" s="129"/>
      <c r="G423" s="129"/>
      <c r="H423" s="129"/>
      <c r="I423" s="129"/>
      <c r="J423" s="128"/>
      <c r="K423" s="128"/>
      <c r="L423" s="129"/>
      <c r="M423" s="129"/>
      <c r="N423" s="129"/>
      <c r="O423" s="141"/>
      <c r="P423" s="141"/>
    </row>
    <row r="424" spans="1:16">
      <c r="A424" s="128"/>
      <c r="B424" s="129"/>
      <c r="C424" s="129"/>
      <c r="D424" s="129"/>
      <c r="E424" s="129"/>
      <c r="F424" s="129"/>
      <c r="G424" s="129"/>
      <c r="H424" s="129"/>
      <c r="I424" s="129"/>
      <c r="J424" s="128"/>
      <c r="K424" s="128"/>
      <c r="L424" s="129"/>
      <c r="M424" s="129"/>
      <c r="N424" s="129"/>
      <c r="O424" s="141"/>
      <c r="P424" s="141"/>
    </row>
    <row r="425" spans="1:16">
      <c r="A425" s="128"/>
      <c r="B425" s="129"/>
      <c r="C425" s="129"/>
      <c r="D425" s="129"/>
      <c r="E425" s="129"/>
      <c r="F425" s="129"/>
      <c r="G425" s="129"/>
      <c r="H425" s="129"/>
      <c r="I425" s="129"/>
      <c r="J425" s="128"/>
      <c r="K425" s="128"/>
      <c r="L425" s="129"/>
      <c r="M425" s="129"/>
      <c r="N425" s="129"/>
      <c r="O425" s="141"/>
      <c r="P425" s="141"/>
    </row>
    <row r="426" spans="1:16">
      <c r="A426" s="128"/>
      <c r="B426" s="129"/>
      <c r="C426" s="129"/>
      <c r="D426" s="129"/>
      <c r="E426" s="129"/>
      <c r="F426" s="129"/>
      <c r="G426" s="129"/>
      <c r="H426" s="129"/>
      <c r="I426" s="129"/>
      <c r="J426" s="128"/>
      <c r="K426" s="128"/>
      <c r="L426" s="129"/>
      <c r="M426" s="129"/>
      <c r="N426" s="129"/>
      <c r="O426" s="141"/>
      <c r="P426" s="141"/>
    </row>
    <row r="427" spans="1:16">
      <c r="A427" s="128"/>
      <c r="B427" s="129"/>
      <c r="C427" s="129"/>
      <c r="D427" s="129"/>
      <c r="E427" s="129"/>
      <c r="F427" s="129"/>
      <c r="G427" s="129"/>
      <c r="H427" s="129"/>
      <c r="I427" s="129"/>
      <c r="J427" s="128"/>
      <c r="K427" s="128"/>
      <c r="L427" s="129"/>
      <c r="M427" s="129"/>
      <c r="N427" s="129"/>
      <c r="O427" s="141"/>
      <c r="P427" s="141"/>
    </row>
    <row r="428" spans="1:16">
      <c r="A428" s="128"/>
      <c r="B428" s="129"/>
      <c r="C428" s="129"/>
      <c r="D428" s="129"/>
      <c r="E428" s="129"/>
      <c r="F428" s="129"/>
      <c r="G428" s="129"/>
      <c r="H428" s="129"/>
      <c r="I428" s="129"/>
      <c r="J428" s="128"/>
      <c r="K428" s="128"/>
      <c r="L428" s="129"/>
      <c r="M428" s="129"/>
      <c r="N428" s="129"/>
      <c r="O428" s="141"/>
      <c r="P428" s="141"/>
    </row>
    <row r="429" spans="1:16">
      <c r="A429" s="128"/>
      <c r="B429" s="129"/>
      <c r="C429" s="129"/>
      <c r="D429" s="129"/>
      <c r="E429" s="129"/>
      <c r="F429" s="129"/>
      <c r="G429" s="129"/>
      <c r="H429" s="129"/>
      <c r="I429" s="129"/>
      <c r="J429" s="128"/>
      <c r="K429" s="128"/>
      <c r="L429" s="129"/>
      <c r="M429" s="129"/>
      <c r="N429" s="129"/>
      <c r="O429" s="141"/>
      <c r="P429" s="141"/>
    </row>
    <row r="430" spans="1:16">
      <c r="A430" s="128"/>
      <c r="B430" s="129"/>
      <c r="C430" s="129"/>
      <c r="D430" s="129"/>
      <c r="E430" s="129"/>
      <c r="F430" s="129"/>
      <c r="G430" s="129"/>
      <c r="H430" s="129"/>
      <c r="I430" s="129"/>
      <c r="J430" s="128"/>
      <c r="K430" s="128"/>
      <c r="L430" s="129"/>
      <c r="M430" s="129"/>
      <c r="N430" s="129"/>
      <c r="O430" s="141"/>
      <c r="P430" s="141"/>
    </row>
    <row r="431" spans="1:16">
      <c r="A431" s="128"/>
      <c r="B431" s="129"/>
      <c r="C431" s="129"/>
      <c r="D431" s="129"/>
      <c r="E431" s="129"/>
      <c r="F431" s="129"/>
      <c r="G431" s="129"/>
      <c r="H431" s="129"/>
      <c r="I431" s="129"/>
      <c r="J431" s="128"/>
      <c r="K431" s="128"/>
      <c r="L431" s="129"/>
      <c r="M431" s="129"/>
      <c r="N431" s="129"/>
      <c r="O431" s="141"/>
      <c r="P431" s="141"/>
    </row>
    <row r="432" spans="1:16">
      <c r="A432" s="128"/>
      <c r="B432" s="129"/>
      <c r="C432" s="129"/>
      <c r="D432" s="129"/>
      <c r="E432" s="129"/>
      <c r="F432" s="129"/>
      <c r="G432" s="129"/>
      <c r="H432" s="129"/>
      <c r="I432" s="129"/>
      <c r="J432" s="128"/>
      <c r="K432" s="128"/>
      <c r="L432" s="129"/>
      <c r="M432" s="129"/>
      <c r="N432" s="129"/>
      <c r="O432" s="141"/>
      <c r="P432" s="141"/>
    </row>
    <row r="433" spans="1:16">
      <c r="A433" s="128"/>
      <c r="B433" s="129"/>
      <c r="C433" s="129"/>
      <c r="D433" s="129"/>
      <c r="E433" s="129"/>
      <c r="F433" s="129"/>
      <c r="G433" s="129"/>
      <c r="H433" s="129"/>
      <c r="I433" s="129"/>
      <c r="J433" s="128"/>
      <c r="K433" s="128"/>
      <c r="L433" s="129"/>
      <c r="M433" s="129"/>
      <c r="N433" s="129"/>
      <c r="O433" s="141"/>
      <c r="P433" s="141"/>
    </row>
    <row r="434" spans="1:16">
      <c r="A434" s="128"/>
      <c r="B434" s="129"/>
      <c r="C434" s="129"/>
      <c r="D434" s="129"/>
      <c r="E434" s="129"/>
      <c r="F434" s="129"/>
      <c r="G434" s="129"/>
      <c r="H434" s="129"/>
      <c r="I434" s="129"/>
      <c r="J434" s="128"/>
      <c r="K434" s="128"/>
      <c r="L434" s="129"/>
      <c r="M434" s="129"/>
      <c r="N434" s="129"/>
      <c r="O434" s="141"/>
      <c r="P434" s="141"/>
    </row>
    <row r="435" spans="1:16">
      <c r="A435" s="128"/>
      <c r="B435" s="129"/>
      <c r="C435" s="129"/>
      <c r="D435" s="129"/>
      <c r="E435" s="129"/>
      <c r="F435" s="129"/>
      <c r="G435" s="129"/>
      <c r="H435" s="129"/>
      <c r="I435" s="129"/>
      <c r="J435" s="128"/>
      <c r="K435" s="128"/>
      <c r="L435" s="129"/>
      <c r="M435" s="129"/>
      <c r="N435" s="129"/>
      <c r="O435" s="141"/>
      <c r="P435" s="141"/>
    </row>
    <row r="436" spans="1:16">
      <c r="A436" s="128"/>
      <c r="B436" s="129"/>
      <c r="C436" s="129"/>
      <c r="D436" s="129"/>
      <c r="E436" s="129"/>
      <c r="F436" s="129"/>
      <c r="G436" s="129"/>
      <c r="H436" s="129"/>
      <c r="I436" s="129"/>
      <c r="J436" s="128"/>
      <c r="K436" s="128"/>
      <c r="L436" s="129"/>
      <c r="M436" s="129"/>
      <c r="N436" s="129"/>
      <c r="O436" s="141"/>
      <c r="P436" s="141"/>
    </row>
    <row r="437" spans="1:16">
      <c r="A437" s="128"/>
      <c r="B437" s="129"/>
      <c r="C437" s="129"/>
      <c r="D437" s="129"/>
      <c r="E437" s="129"/>
      <c r="F437" s="129"/>
      <c r="G437" s="129"/>
      <c r="H437" s="129"/>
      <c r="I437" s="129"/>
      <c r="J437" s="128"/>
      <c r="K437" s="128"/>
      <c r="L437" s="129"/>
      <c r="M437" s="129"/>
      <c r="N437" s="129"/>
      <c r="O437" s="141"/>
      <c r="P437" s="141"/>
    </row>
    <row r="438" spans="1:16">
      <c r="A438" s="128"/>
      <c r="B438" s="129"/>
      <c r="C438" s="129"/>
      <c r="D438" s="129"/>
      <c r="E438" s="129"/>
      <c r="F438" s="129"/>
      <c r="G438" s="129"/>
      <c r="H438" s="129"/>
      <c r="I438" s="129"/>
      <c r="J438" s="128"/>
      <c r="K438" s="128"/>
      <c r="L438" s="129"/>
      <c r="M438" s="129"/>
      <c r="N438" s="129"/>
      <c r="O438" s="141"/>
      <c r="P438" s="141"/>
    </row>
    <row r="439" spans="1:16">
      <c r="A439" s="128"/>
      <c r="B439" s="129"/>
      <c r="C439" s="129"/>
      <c r="D439" s="129"/>
      <c r="E439" s="129"/>
      <c r="F439" s="129"/>
      <c r="G439" s="129"/>
      <c r="H439" s="129"/>
      <c r="I439" s="129"/>
      <c r="J439" s="128"/>
      <c r="K439" s="128"/>
      <c r="L439" s="129"/>
      <c r="M439" s="129"/>
      <c r="N439" s="129"/>
      <c r="O439" s="141"/>
      <c r="P439" s="141"/>
    </row>
    <row r="440" spans="1:16">
      <c r="A440" s="128"/>
      <c r="B440" s="129"/>
      <c r="C440" s="129"/>
      <c r="D440" s="129"/>
      <c r="E440" s="129"/>
      <c r="F440" s="129"/>
      <c r="G440" s="129"/>
      <c r="H440" s="129"/>
      <c r="I440" s="129"/>
      <c r="J440" s="128"/>
      <c r="K440" s="128"/>
      <c r="L440" s="129"/>
      <c r="M440" s="129"/>
      <c r="N440" s="129"/>
      <c r="O440" s="141"/>
      <c r="P440" s="141"/>
    </row>
    <row r="441" spans="1:16">
      <c r="A441" s="128"/>
      <c r="B441" s="129"/>
      <c r="C441" s="129"/>
      <c r="D441" s="129"/>
      <c r="E441" s="129"/>
      <c r="F441" s="129"/>
      <c r="G441" s="129"/>
      <c r="H441" s="129"/>
      <c r="I441" s="129"/>
      <c r="J441" s="128"/>
      <c r="K441" s="128"/>
      <c r="L441" s="129"/>
      <c r="M441" s="129"/>
      <c r="N441" s="129"/>
      <c r="O441" s="141"/>
      <c r="P441" s="141"/>
    </row>
  </sheetData>
  <mergeCells count="1">
    <mergeCell ref="A1:N1"/>
  </mergeCells>
  <pageMargins left="0.749305555555556" right="0.432638888888889" top="0.471527777777778" bottom="0.471527777777778" header="0.354166666666667" footer="0.354166666666667"/>
  <pageSetup paperSize="14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D4" sqref="D4:D12"/>
    </sheetView>
  </sheetViews>
  <sheetFormatPr defaultColWidth="9.14285714285714" defaultRowHeight="15"/>
  <cols>
    <col min="1" max="1" width="41.5714285714286" customWidth="1"/>
    <col min="2" max="2" width="14" style="191" customWidth="1"/>
    <col min="3" max="3" width="8.42857142857143" customWidth="1"/>
    <col min="4" max="5" width="7.85714285714286" customWidth="1"/>
    <col min="6" max="12" width="8.71428571428571" customWidth="1"/>
  </cols>
  <sheetData>
    <row r="1" ht="19.5" spans="1:12">
      <c r="A1" s="192" t="s">
        <v>629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18"/>
    </row>
    <row r="2" ht="26.25" spans="1:12">
      <c r="A2" s="145" t="s">
        <v>1</v>
      </c>
      <c r="B2" s="220" t="s">
        <v>2</v>
      </c>
      <c r="C2" s="147" t="s">
        <v>3</v>
      </c>
      <c r="D2" s="148" t="s">
        <v>4</v>
      </c>
      <c r="E2" s="149" t="s">
        <v>5</v>
      </c>
      <c r="F2" s="151" t="s">
        <v>630</v>
      </c>
      <c r="G2" s="150" t="s">
        <v>631</v>
      </c>
      <c r="H2" s="151" t="s">
        <v>632</v>
      </c>
      <c r="I2" s="150" t="s">
        <v>633</v>
      </c>
      <c r="J2" s="149" t="s">
        <v>7</v>
      </c>
      <c r="K2" s="149" t="s">
        <v>8</v>
      </c>
      <c r="L2" s="186" t="s">
        <v>9</v>
      </c>
    </row>
    <row r="3" ht="15.75" spans="1:17">
      <c r="A3" s="152"/>
      <c r="B3" s="249"/>
      <c r="C3" s="154"/>
      <c r="D3" s="155"/>
      <c r="E3" s="156"/>
      <c r="F3" s="158" t="s">
        <v>634</v>
      </c>
      <c r="G3" s="158" t="s">
        <v>634</v>
      </c>
      <c r="H3" s="158" t="s">
        <v>634</v>
      </c>
      <c r="I3" s="158" t="s">
        <v>634</v>
      </c>
      <c r="J3" s="156"/>
      <c r="K3" s="156"/>
      <c r="L3" s="187"/>
      <c r="M3" s="135"/>
      <c r="N3" s="135"/>
      <c r="O3" s="135"/>
      <c r="P3" s="135"/>
      <c r="Q3" s="135"/>
    </row>
    <row r="4" spans="1:12">
      <c r="A4" s="250" t="s">
        <v>110</v>
      </c>
      <c r="B4" s="251">
        <v>1</v>
      </c>
      <c r="C4" s="19">
        <v>450</v>
      </c>
      <c r="D4" s="19">
        <v>450</v>
      </c>
      <c r="E4" s="19"/>
      <c r="F4" s="17"/>
      <c r="G4" s="17"/>
      <c r="H4" s="17"/>
      <c r="I4" s="17"/>
      <c r="J4" s="17"/>
      <c r="K4" s="17"/>
      <c r="L4" s="31"/>
    </row>
    <row r="5" spans="1:12">
      <c r="A5" s="231" t="s">
        <v>109</v>
      </c>
      <c r="B5" s="232">
        <v>1</v>
      </c>
      <c r="C5" s="23">
        <v>150</v>
      </c>
      <c r="D5" s="23">
        <v>150</v>
      </c>
      <c r="E5" s="23"/>
      <c r="F5" s="21"/>
      <c r="G5" s="21"/>
      <c r="H5" s="21"/>
      <c r="I5" s="21"/>
      <c r="J5" s="21"/>
      <c r="K5" s="21"/>
      <c r="L5" s="32"/>
    </row>
    <row r="6" spans="1:12">
      <c r="A6" s="231" t="s">
        <v>114</v>
      </c>
      <c r="B6" s="232">
        <v>2</v>
      </c>
      <c r="C6" s="23">
        <f>B6*700</f>
        <v>1400</v>
      </c>
      <c r="D6" s="23">
        <v>700</v>
      </c>
      <c r="E6" s="23"/>
      <c r="F6" s="21"/>
      <c r="G6" s="21"/>
      <c r="H6" s="21"/>
      <c r="I6" s="21"/>
      <c r="J6" s="21"/>
      <c r="K6" s="21"/>
      <c r="L6" s="32"/>
    </row>
    <row r="7" spans="1:12">
      <c r="A7" s="231" t="s">
        <v>135</v>
      </c>
      <c r="B7" s="232">
        <v>1</v>
      </c>
      <c r="C7" s="23">
        <v>700</v>
      </c>
      <c r="D7" s="23">
        <v>700</v>
      </c>
      <c r="E7" s="23"/>
      <c r="F7" s="21"/>
      <c r="G7" s="21"/>
      <c r="H7" s="21"/>
      <c r="I7" s="21"/>
      <c r="J7" s="21"/>
      <c r="K7" s="21"/>
      <c r="L7" s="32"/>
    </row>
    <row r="8" spans="1:12">
      <c r="A8" s="231" t="s">
        <v>139</v>
      </c>
      <c r="B8" s="232">
        <v>1</v>
      </c>
      <c r="C8" s="23">
        <v>1920</v>
      </c>
      <c r="D8" s="23">
        <v>1920</v>
      </c>
      <c r="E8" s="23"/>
      <c r="F8" s="21"/>
      <c r="G8" s="21"/>
      <c r="H8" s="21"/>
      <c r="I8" s="21"/>
      <c r="J8" s="21"/>
      <c r="K8" s="21"/>
      <c r="L8" s="32"/>
    </row>
    <row r="9" spans="1:12">
      <c r="A9" s="231" t="s">
        <v>112</v>
      </c>
      <c r="B9" s="232">
        <v>1</v>
      </c>
      <c r="C9" s="23">
        <v>420</v>
      </c>
      <c r="D9" s="23">
        <v>420</v>
      </c>
      <c r="E9" s="23"/>
      <c r="F9" s="21"/>
      <c r="G9" s="21"/>
      <c r="H9" s="21"/>
      <c r="I9" s="21"/>
      <c r="J9" s="21"/>
      <c r="K9" s="21"/>
      <c r="L9" s="32"/>
    </row>
    <row r="10" spans="1:12">
      <c r="A10" s="231" t="s">
        <v>111</v>
      </c>
      <c r="B10" s="232">
        <v>1</v>
      </c>
      <c r="C10" s="23">
        <v>350</v>
      </c>
      <c r="D10" s="23">
        <v>350</v>
      </c>
      <c r="E10" s="23"/>
      <c r="F10" s="21"/>
      <c r="G10" s="21"/>
      <c r="H10" s="21"/>
      <c r="I10" s="21"/>
      <c r="J10" s="21"/>
      <c r="K10" s="21"/>
      <c r="L10" s="32"/>
    </row>
    <row r="11" spans="1:12">
      <c r="A11" s="231" t="s">
        <v>128</v>
      </c>
      <c r="B11" s="232" t="s">
        <v>635</v>
      </c>
      <c r="C11" s="23">
        <v>95</v>
      </c>
      <c r="D11" s="23">
        <v>95</v>
      </c>
      <c r="E11" s="23"/>
      <c r="F11" s="21"/>
      <c r="G11" s="21"/>
      <c r="H11" s="21"/>
      <c r="I11" s="21"/>
      <c r="J11" s="21"/>
      <c r="K11" s="21"/>
      <c r="L11" s="32"/>
    </row>
    <row r="12" ht="15.75" spans="1:12">
      <c r="A12" s="252" t="s">
        <v>129</v>
      </c>
      <c r="B12" s="253">
        <v>1</v>
      </c>
      <c r="C12" s="38">
        <v>1480</v>
      </c>
      <c r="D12" s="38">
        <v>1480</v>
      </c>
      <c r="E12" s="38"/>
      <c r="F12" s="36"/>
      <c r="G12" s="36"/>
      <c r="H12" s="36"/>
      <c r="I12" s="36"/>
      <c r="J12" s="36"/>
      <c r="K12" s="36"/>
      <c r="L12" s="41"/>
    </row>
    <row r="13" ht="15.75" spans="1:12">
      <c r="A13" s="179" t="s">
        <v>105</v>
      </c>
      <c r="B13" s="254"/>
      <c r="C13" s="255">
        <f>SUM(C4:C12)</f>
        <v>6965</v>
      </c>
      <c r="D13" s="256"/>
      <c r="E13" s="255"/>
      <c r="F13" s="257"/>
      <c r="G13" s="258"/>
      <c r="H13" s="257"/>
      <c r="I13" s="258"/>
      <c r="J13" s="257"/>
      <c r="K13" s="257"/>
      <c r="L13" s="273"/>
    </row>
    <row r="14" ht="15.75"/>
    <row r="15" ht="19.5" spans="1:12">
      <c r="A15" s="192" t="s">
        <v>636</v>
      </c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218"/>
    </row>
    <row r="16" ht="26.25" spans="1:12">
      <c r="A16" s="145" t="s">
        <v>1</v>
      </c>
      <c r="B16" s="220" t="s">
        <v>2</v>
      </c>
      <c r="C16" s="147" t="s">
        <v>3</v>
      </c>
      <c r="D16" s="148" t="s">
        <v>4</v>
      </c>
      <c r="E16" s="149" t="s">
        <v>5</v>
      </c>
      <c r="F16" s="151" t="s">
        <v>630</v>
      </c>
      <c r="G16" s="150" t="s">
        <v>631</v>
      </c>
      <c r="H16" s="151" t="s">
        <v>632</v>
      </c>
      <c r="I16" s="150" t="s">
        <v>633</v>
      </c>
      <c r="J16" s="149" t="s">
        <v>7</v>
      </c>
      <c r="K16" s="149" t="s">
        <v>8</v>
      </c>
      <c r="L16" s="186" t="s">
        <v>9</v>
      </c>
    </row>
    <row r="17" ht="15.75" spans="1:12">
      <c r="A17" s="221"/>
      <c r="B17" s="222"/>
      <c r="C17" s="223"/>
      <c r="D17" s="224"/>
      <c r="E17" s="225"/>
      <c r="F17" s="226" t="s">
        <v>634</v>
      </c>
      <c r="G17" s="226" t="s">
        <v>634</v>
      </c>
      <c r="H17" s="226" t="s">
        <v>634</v>
      </c>
      <c r="I17" s="226" t="s">
        <v>634</v>
      </c>
      <c r="J17" s="225"/>
      <c r="K17" s="225"/>
      <c r="L17" s="237"/>
    </row>
    <row r="18" spans="1:12">
      <c r="A18" s="259" t="s">
        <v>31</v>
      </c>
      <c r="B18" s="260" t="s">
        <v>54</v>
      </c>
      <c r="C18" s="261">
        <v>54</v>
      </c>
      <c r="D18" s="261">
        <v>18</v>
      </c>
      <c r="E18" s="262"/>
      <c r="F18" s="260"/>
      <c r="G18" s="260"/>
      <c r="H18" s="260"/>
      <c r="I18" s="274"/>
      <c r="J18" s="275"/>
      <c r="K18" s="275"/>
      <c r="L18" s="276"/>
    </row>
    <row r="19" spans="1:12">
      <c r="A19" s="227" t="s">
        <v>637</v>
      </c>
      <c r="B19" s="228" t="s">
        <v>638</v>
      </c>
      <c r="C19" s="263">
        <v>30</v>
      </c>
      <c r="D19" s="263">
        <f>C19/100</f>
        <v>0.3</v>
      </c>
      <c r="E19" s="263"/>
      <c r="F19" s="230"/>
      <c r="G19" s="230"/>
      <c r="H19" s="230"/>
      <c r="I19" s="230"/>
      <c r="J19" s="230"/>
      <c r="K19" s="230"/>
      <c r="L19" s="238"/>
    </row>
    <row r="20" spans="1:12">
      <c r="A20" s="231" t="s">
        <v>639</v>
      </c>
      <c r="B20" s="232" t="s">
        <v>638</v>
      </c>
      <c r="C20" s="23">
        <v>285</v>
      </c>
      <c r="D20" s="23">
        <f>C20/100</f>
        <v>2.85</v>
      </c>
      <c r="E20" s="23"/>
      <c r="F20" s="21"/>
      <c r="G20" s="21"/>
      <c r="H20" s="21"/>
      <c r="I20" s="21"/>
      <c r="J20" s="21"/>
      <c r="K20" s="21"/>
      <c r="L20" s="32"/>
    </row>
    <row r="21" spans="1:12">
      <c r="A21" s="231" t="s">
        <v>640</v>
      </c>
      <c r="B21" s="232" t="s">
        <v>205</v>
      </c>
      <c r="C21" s="23">
        <v>10</v>
      </c>
      <c r="D21" s="23">
        <v>2</v>
      </c>
      <c r="E21" s="23"/>
      <c r="F21" s="21"/>
      <c r="G21" s="21"/>
      <c r="H21" s="21"/>
      <c r="I21" s="21"/>
      <c r="J21" s="21"/>
      <c r="K21" s="21"/>
      <c r="L21" s="32"/>
    </row>
    <row r="22" ht="15.75" spans="1:12">
      <c r="A22" s="252" t="s">
        <v>641</v>
      </c>
      <c r="B22" s="253" t="s">
        <v>642</v>
      </c>
      <c r="C22" s="38">
        <v>85</v>
      </c>
      <c r="D22" s="38">
        <f>C22/100</f>
        <v>0.85</v>
      </c>
      <c r="E22" s="38"/>
      <c r="F22" s="36"/>
      <c r="G22" s="36"/>
      <c r="H22" s="36"/>
      <c r="I22" s="36"/>
      <c r="J22" s="36"/>
      <c r="K22" s="36"/>
      <c r="L22" s="41"/>
    </row>
    <row r="23" ht="15.75" spans="1:12">
      <c r="A23" s="179" t="s">
        <v>105</v>
      </c>
      <c r="B23" s="264"/>
      <c r="C23" s="256">
        <f>SUM(C18:C22)</f>
        <v>464</v>
      </c>
      <c r="D23" s="265"/>
      <c r="E23" s="266"/>
      <c r="F23" s="265"/>
      <c r="G23" s="266"/>
      <c r="H23" s="265"/>
      <c r="I23" s="266"/>
      <c r="J23" s="265"/>
      <c r="K23" s="266"/>
      <c r="L23" s="277"/>
    </row>
    <row r="24" ht="15.75" spans="1:1">
      <c r="A24" s="139"/>
    </row>
    <row r="25" ht="19.5" spans="1:12">
      <c r="A25" s="192" t="s">
        <v>643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218"/>
    </row>
    <row r="26" ht="26.25" spans="1:12">
      <c r="A26" s="145" t="s">
        <v>1</v>
      </c>
      <c r="B26" s="220" t="s">
        <v>2</v>
      </c>
      <c r="C26" s="147" t="s">
        <v>3</v>
      </c>
      <c r="D26" s="148" t="s">
        <v>4</v>
      </c>
      <c r="E26" s="149" t="s">
        <v>5</v>
      </c>
      <c r="F26" s="151" t="s">
        <v>630</v>
      </c>
      <c r="G26" s="150" t="s">
        <v>631</v>
      </c>
      <c r="H26" s="151" t="s">
        <v>632</v>
      </c>
      <c r="I26" s="150" t="s">
        <v>633</v>
      </c>
      <c r="J26" s="149" t="s">
        <v>7</v>
      </c>
      <c r="K26" s="149" t="s">
        <v>8</v>
      </c>
      <c r="L26" s="186" t="s">
        <v>9</v>
      </c>
    </row>
    <row r="27" ht="15.75" spans="1:12">
      <c r="A27" s="152"/>
      <c r="B27" s="249"/>
      <c r="C27" s="154"/>
      <c r="D27" s="155"/>
      <c r="E27" s="156"/>
      <c r="F27" s="158" t="s">
        <v>634</v>
      </c>
      <c r="G27" s="158" t="s">
        <v>634</v>
      </c>
      <c r="H27" s="158" t="s">
        <v>634</v>
      </c>
      <c r="I27" s="158" t="s">
        <v>634</v>
      </c>
      <c r="J27" s="156"/>
      <c r="K27" s="156"/>
      <c r="L27" s="187"/>
    </row>
    <row r="28" spans="1:12">
      <c r="A28" s="250" t="s">
        <v>644</v>
      </c>
      <c r="B28" s="251" t="s">
        <v>638</v>
      </c>
      <c r="C28" s="19">
        <v>460</v>
      </c>
      <c r="D28" s="19">
        <f>C28/100</f>
        <v>4.6</v>
      </c>
      <c r="E28" s="19"/>
      <c r="F28" s="17"/>
      <c r="G28" s="17"/>
      <c r="H28" s="17"/>
      <c r="I28" s="17"/>
      <c r="J28" s="17"/>
      <c r="K28" s="17"/>
      <c r="L28" s="31"/>
    </row>
    <row r="29" ht="15.75" spans="1:12">
      <c r="A29" s="252" t="s">
        <v>645</v>
      </c>
      <c r="B29" s="253" t="s">
        <v>646</v>
      </c>
      <c r="C29" s="38">
        <v>336</v>
      </c>
      <c r="D29" s="38">
        <f>C29/32</f>
        <v>10.5</v>
      </c>
      <c r="E29" s="38"/>
      <c r="F29" s="36"/>
      <c r="G29" s="36"/>
      <c r="H29" s="36"/>
      <c r="I29" s="36"/>
      <c r="J29" s="36"/>
      <c r="K29" s="36"/>
      <c r="L29" s="41"/>
    </row>
    <row r="30" ht="15.75" spans="1:12">
      <c r="A30" s="179" t="s">
        <v>105</v>
      </c>
      <c r="B30" s="267"/>
      <c r="C30" s="256">
        <f>SUM(C28:C29)</f>
        <v>796</v>
      </c>
      <c r="D30" s="255"/>
      <c r="E30" s="256"/>
      <c r="F30" s="268"/>
      <c r="G30" s="269"/>
      <c r="H30" s="268"/>
      <c r="I30" s="269"/>
      <c r="J30" s="268"/>
      <c r="K30" s="269"/>
      <c r="L30" s="278"/>
    </row>
    <row r="32" spans="1:2">
      <c r="A32" s="139" t="s">
        <v>647</v>
      </c>
      <c r="B32" s="270">
        <f>C30+C23+C13</f>
        <v>8225</v>
      </c>
    </row>
    <row r="33" spans="1:2">
      <c r="A33" s="271" t="s">
        <v>648</v>
      </c>
      <c r="B33" s="272"/>
    </row>
  </sheetData>
  <mergeCells count="27">
    <mergeCell ref="A1:L1"/>
    <mergeCell ref="A15:L15"/>
    <mergeCell ref="A25:L25"/>
    <mergeCell ref="A2:A3"/>
    <mergeCell ref="A16:A17"/>
    <mergeCell ref="A26:A27"/>
    <mergeCell ref="B2:B3"/>
    <mergeCell ref="B16:B17"/>
    <mergeCell ref="B26:B27"/>
    <mergeCell ref="C2:C3"/>
    <mergeCell ref="C16:C17"/>
    <mergeCell ref="C26:C27"/>
    <mergeCell ref="D2:D3"/>
    <mergeCell ref="D16:D17"/>
    <mergeCell ref="D26:D27"/>
    <mergeCell ref="E2:E3"/>
    <mergeCell ref="E16:E17"/>
    <mergeCell ref="E26:E27"/>
    <mergeCell ref="J2:J3"/>
    <mergeCell ref="J16:J17"/>
    <mergeCell ref="J26:J27"/>
    <mergeCell ref="K2:K3"/>
    <mergeCell ref="K16:K17"/>
    <mergeCell ref="K26:K27"/>
    <mergeCell ref="L2:L3"/>
    <mergeCell ref="L16:L17"/>
    <mergeCell ref="L26:L27"/>
  </mergeCells>
  <pageMargins left="0.749305555555556" right="0.749305555555556" top="0.55" bottom="0.313888888888889" header="0.354166666666667" footer="0.15625"/>
  <pageSetup paperSize="14" orientation="landscape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0"/>
  <sheetViews>
    <sheetView topLeftCell="A49" workbookViewId="0">
      <selection activeCell="A4" sqref="A4:D108"/>
    </sheetView>
  </sheetViews>
  <sheetFormatPr defaultColWidth="9.14285714285714" defaultRowHeight="15"/>
  <cols>
    <col min="1" max="1" width="44.2857142857143" style="219" customWidth="1"/>
    <col min="2" max="2" width="14" style="191" customWidth="1"/>
    <col min="3" max="3" width="8.42857142857143" style="191" customWidth="1"/>
    <col min="4" max="4" width="7.85714285714286" style="191" customWidth="1"/>
    <col min="5" max="5" width="8.85714285714286" style="191" customWidth="1"/>
    <col min="6" max="12" width="8.71428571428571" customWidth="1"/>
    <col min="14" max="14" width="10.5714285714286"/>
  </cols>
  <sheetData>
    <row r="1" ht="16.5" spans="1:12">
      <c r="A1" s="142" t="s">
        <v>649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85"/>
    </row>
    <row r="2" ht="26.25" spans="1:12">
      <c r="A2" s="145" t="s">
        <v>1</v>
      </c>
      <c r="B2" s="220" t="s">
        <v>2</v>
      </c>
      <c r="C2" s="147" t="s">
        <v>3</v>
      </c>
      <c r="D2" s="148" t="s">
        <v>4</v>
      </c>
      <c r="E2" s="149" t="s">
        <v>5</v>
      </c>
      <c r="F2" s="151" t="s">
        <v>630</v>
      </c>
      <c r="G2" s="150" t="s">
        <v>631</v>
      </c>
      <c r="H2" s="151" t="s">
        <v>632</v>
      </c>
      <c r="I2" s="150" t="s">
        <v>633</v>
      </c>
      <c r="J2" s="149" t="s">
        <v>7</v>
      </c>
      <c r="K2" s="149" t="s">
        <v>8</v>
      </c>
      <c r="L2" s="186" t="s">
        <v>9</v>
      </c>
    </row>
    <row r="3" ht="15.75" spans="1:12">
      <c r="A3" s="221"/>
      <c r="B3" s="222"/>
      <c r="C3" s="223"/>
      <c r="D3" s="224"/>
      <c r="E3" s="225"/>
      <c r="F3" s="226" t="s">
        <v>634</v>
      </c>
      <c r="G3" s="226" t="s">
        <v>634</v>
      </c>
      <c r="H3" s="226" t="s">
        <v>634</v>
      </c>
      <c r="I3" s="226" t="s">
        <v>634</v>
      </c>
      <c r="J3" s="225"/>
      <c r="K3" s="225"/>
      <c r="L3" s="237"/>
    </row>
    <row r="4" spans="1:13">
      <c r="A4" s="227" t="s">
        <v>168</v>
      </c>
      <c r="B4" s="228" t="s">
        <v>164</v>
      </c>
      <c r="C4" s="229">
        <f>24.66*10</f>
        <v>246.6</v>
      </c>
      <c r="D4" s="229">
        <f>C4/10</f>
        <v>24.66</v>
      </c>
      <c r="E4" s="229">
        <v>28</v>
      </c>
      <c r="F4" s="230"/>
      <c r="G4" s="230"/>
      <c r="H4" s="230"/>
      <c r="I4" s="230"/>
      <c r="J4" s="230"/>
      <c r="K4" s="230"/>
      <c r="L4" s="238"/>
      <c r="M4" s="33"/>
    </row>
    <row r="5" spans="1:13">
      <c r="A5" s="231" t="s">
        <v>169</v>
      </c>
      <c r="B5" s="232" t="s">
        <v>159</v>
      </c>
      <c r="C5" s="205">
        <f>144.32*2</f>
        <v>288.64</v>
      </c>
      <c r="D5" s="205">
        <f>C5/2</f>
        <v>144.32</v>
      </c>
      <c r="E5" s="205">
        <v>162</v>
      </c>
      <c r="F5" s="21"/>
      <c r="G5" s="21"/>
      <c r="H5" s="21"/>
      <c r="I5" s="21"/>
      <c r="J5" s="21"/>
      <c r="K5" s="21"/>
      <c r="L5" s="32"/>
      <c r="M5" s="33"/>
    </row>
    <row r="6" spans="1:13">
      <c r="A6" s="231" t="s">
        <v>170</v>
      </c>
      <c r="B6" s="232" t="s">
        <v>159</v>
      </c>
      <c r="C6" s="205">
        <f>131.78*2</f>
        <v>263.56</v>
      </c>
      <c r="D6" s="205">
        <f>C6/2</f>
        <v>131.78</v>
      </c>
      <c r="E6" s="205">
        <v>149</v>
      </c>
      <c r="F6" s="21"/>
      <c r="G6" s="21"/>
      <c r="H6" s="21"/>
      <c r="I6" s="21"/>
      <c r="J6" s="21"/>
      <c r="K6" s="21"/>
      <c r="L6" s="32"/>
      <c r="M6" s="33"/>
    </row>
    <row r="7" spans="1:13">
      <c r="A7" s="231" t="s">
        <v>171</v>
      </c>
      <c r="B7" s="232" t="s">
        <v>165</v>
      </c>
      <c r="C7" s="205">
        <f>18.26*10</f>
        <v>182.6</v>
      </c>
      <c r="D7" s="205">
        <f>C7/10</f>
        <v>18.26</v>
      </c>
      <c r="E7" s="205">
        <v>22</v>
      </c>
      <c r="F7" s="21"/>
      <c r="G7" s="21"/>
      <c r="H7" s="21"/>
      <c r="I7" s="21"/>
      <c r="J7" s="21"/>
      <c r="K7" s="21"/>
      <c r="L7" s="32"/>
      <c r="M7" s="33"/>
    </row>
    <row r="8" spans="1:13">
      <c r="A8" s="231" t="s">
        <v>172</v>
      </c>
      <c r="B8" s="232" t="s">
        <v>173</v>
      </c>
      <c r="C8" s="205">
        <v>374.21</v>
      </c>
      <c r="D8" s="205">
        <v>374.21</v>
      </c>
      <c r="E8" s="205">
        <v>395</v>
      </c>
      <c r="F8" s="21"/>
      <c r="G8" s="21"/>
      <c r="H8" s="21"/>
      <c r="I8" s="21"/>
      <c r="J8" s="21"/>
      <c r="K8" s="21"/>
      <c r="L8" s="32"/>
      <c r="M8" s="33"/>
    </row>
    <row r="9" spans="1:13">
      <c r="A9" s="231" t="s">
        <v>184</v>
      </c>
      <c r="B9" s="232" t="s">
        <v>159</v>
      </c>
      <c r="C9" s="205">
        <f>192.75*2</f>
        <v>385.5</v>
      </c>
      <c r="D9" s="205">
        <f>C9/2</f>
        <v>192.75</v>
      </c>
      <c r="E9" s="205">
        <v>210</v>
      </c>
      <c r="F9" s="21"/>
      <c r="G9" s="21"/>
      <c r="H9" s="21"/>
      <c r="I9" s="21"/>
      <c r="J9" s="21"/>
      <c r="K9" s="21"/>
      <c r="L9" s="32"/>
      <c r="M9" s="33"/>
    </row>
    <row r="10" spans="1:13">
      <c r="A10" s="231" t="s">
        <v>185</v>
      </c>
      <c r="B10" s="232" t="s">
        <v>165</v>
      </c>
      <c r="C10" s="205">
        <f>37.71*10</f>
        <v>377.1</v>
      </c>
      <c r="D10" s="205">
        <f>C10/10</f>
        <v>37.71</v>
      </c>
      <c r="E10" s="205">
        <v>40</v>
      </c>
      <c r="F10" s="21"/>
      <c r="G10" s="21"/>
      <c r="H10" s="21"/>
      <c r="I10" s="21"/>
      <c r="J10" s="21"/>
      <c r="K10" s="21"/>
      <c r="L10" s="32"/>
      <c r="M10" s="33"/>
    </row>
    <row r="11" spans="1:13">
      <c r="A11" s="231" t="s">
        <v>186</v>
      </c>
      <c r="B11" s="232" t="s">
        <v>165</v>
      </c>
      <c r="C11" s="205">
        <f>46.35*10</f>
        <v>463.5</v>
      </c>
      <c r="D11" s="205">
        <f>C11/10</f>
        <v>46.35</v>
      </c>
      <c r="E11" s="205">
        <v>49</v>
      </c>
      <c r="F11" s="21"/>
      <c r="G11" s="21"/>
      <c r="H11" s="21"/>
      <c r="I11" s="21"/>
      <c r="J11" s="21"/>
      <c r="K11" s="21"/>
      <c r="L11" s="32"/>
      <c r="M11" s="33"/>
    </row>
    <row r="12" spans="1:13">
      <c r="A12" s="231" t="s">
        <v>187</v>
      </c>
      <c r="B12" s="232" t="s">
        <v>162</v>
      </c>
      <c r="C12" s="205">
        <f>129.89*3</f>
        <v>389.67</v>
      </c>
      <c r="D12" s="205">
        <f>C12/3</f>
        <v>129.89</v>
      </c>
      <c r="E12" s="205">
        <v>148</v>
      </c>
      <c r="F12" s="21"/>
      <c r="G12" s="21"/>
      <c r="H12" s="21"/>
      <c r="I12" s="21"/>
      <c r="J12" s="21"/>
      <c r="K12" s="21"/>
      <c r="L12" s="32"/>
      <c r="M12" s="33"/>
    </row>
    <row r="13" spans="1:13">
      <c r="A13" s="231" t="s">
        <v>188</v>
      </c>
      <c r="B13" s="232" t="s">
        <v>162</v>
      </c>
      <c r="C13" s="205">
        <f>79.13*3</f>
        <v>237.39</v>
      </c>
      <c r="D13" s="205">
        <f>C13/3</f>
        <v>79.13</v>
      </c>
      <c r="E13" s="205">
        <v>92</v>
      </c>
      <c r="F13" s="21"/>
      <c r="G13" s="21"/>
      <c r="H13" s="21"/>
      <c r="I13" s="21"/>
      <c r="J13" s="21"/>
      <c r="K13" s="21"/>
      <c r="L13" s="32"/>
      <c r="M13" s="33"/>
    </row>
    <row r="14" spans="1:13">
      <c r="A14" s="231" t="s">
        <v>194</v>
      </c>
      <c r="B14" s="232" t="s">
        <v>195</v>
      </c>
      <c r="C14" s="205">
        <f>89.96*6</f>
        <v>539.76</v>
      </c>
      <c r="D14" s="205">
        <f>C14/6</f>
        <v>89.96</v>
      </c>
      <c r="E14" s="205">
        <v>103</v>
      </c>
      <c r="F14" s="21"/>
      <c r="G14" s="21"/>
      <c r="H14" s="21"/>
      <c r="I14" s="21"/>
      <c r="J14" s="21"/>
      <c r="K14" s="21"/>
      <c r="L14" s="32"/>
      <c r="M14" s="33"/>
    </row>
    <row r="15" ht="22.5" spans="1:13">
      <c r="A15" s="231" t="s">
        <v>198</v>
      </c>
      <c r="B15" s="232" t="s">
        <v>199</v>
      </c>
      <c r="C15" s="205">
        <f>142.5*2</f>
        <v>285</v>
      </c>
      <c r="D15" s="233" t="s">
        <v>200</v>
      </c>
      <c r="E15" s="234" t="s">
        <v>650</v>
      </c>
      <c r="F15" s="21"/>
      <c r="G15" s="21"/>
      <c r="H15" s="21"/>
      <c r="I15" s="21"/>
      <c r="J15" s="21"/>
      <c r="K15" s="21"/>
      <c r="L15" s="32"/>
      <c r="M15" s="33"/>
    </row>
    <row r="16" spans="1:13">
      <c r="A16" s="231" t="s">
        <v>203</v>
      </c>
      <c r="B16" s="232" t="s">
        <v>204</v>
      </c>
      <c r="C16" s="205">
        <f>33.76*5</f>
        <v>168.8</v>
      </c>
      <c r="D16" s="205">
        <f>C16/5</f>
        <v>33.76</v>
      </c>
      <c r="E16" s="205">
        <v>38</v>
      </c>
      <c r="F16" s="21"/>
      <c r="G16" s="21"/>
      <c r="H16" s="21"/>
      <c r="I16" s="21"/>
      <c r="J16" s="21"/>
      <c r="K16" s="21"/>
      <c r="L16" s="32"/>
      <c r="M16" s="33"/>
    </row>
    <row r="17" spans="1:13">
      <c r="A17" s="231" t="s">
        <v>206</v>
      </c>
      <c r="B17" s="232" t="s">
        <v>204</v>
      </c>
      <c r="C17" s="205">
        <f>33.76*5</f>
        <v>168.8</v>
      </c>
      <c r="D17" s="205">
        <f>C17/5</f>
        <v>33.76</v>
      </c>
      <c r="E17" s="205">
        <v>38</v>
      </c>
      <c r="F17" s="21"/>
      <c r="G17" s="21"/>
      <c r="H17" s="21"/>
      <c r="I17" s="21"/>
      <c r="J17" s="21"/>
      <c r="K17" s="21"/>
      <c r="L17" s="32"/>
      <c r="M17" s="33"/>
    </row>
    <row r="18" spans="1:13">
      <c r="A18" s="231" t="s">
        <v>207</v>
      </c>
      <c r="B18" s="232" t="s">
        <v>204</v>
      </c>
      <c r="C18" s="205">
        <f>33.76*5</f>
        <v>168.8</v>
      </c>
      <c r="D18" s="205">
        <f>C18/5</f>
        <v>33.76</v>
      </c>
      <c r="E18" s="205">
        <v>38</v>
      </c>
      <c r="F18" s="21"/>
      <c r="G18" s="21"/>
      <c r="H18" s="21"/>
      <c r="I18" s="21"/>
      <c r="J18" s="21"/>
      <c r="K18" s="21"/>
      <c r="L18" s="32"/>
      <c r="M18" s="33"/>
    </row>
    <row r="19" spans="1:13">
      <c r="A19" s="231" t="s">
        <v>208</v>
      </c>
      <c r="B19" s="232" t="s">
        <v>209</v>
      </c>
      <c r="C19" s="205">
        <f>33.76*3</f>
        <v>101.28</v>
      </c>
      <c r="D19" s="205">
        <f>C19/3</f>
        <v>33.76</v>
      </c>
      <c r="E19" s="205">
        <v>38</v>
      </c>
      <c r="F19" s="21"/>
      <c r="G19" s="21"/>
      <c r="H19" s="21"/>
      <c r="I19" s="21" t="s">
        <v>157</v>
      </c>
      <c r="J19" s="21"/>
      <c r="K19" s="21"/>
      <c r="L19" s="32"/>
      <c r="M19" s="33"/>
    </row>
    <row r="20" spans="1:13">
      <c r="A20" s="231" t="s">
        <v>210</v>
      </c>
      <c r="B20" s="232" t="s">
        <v>209</v>
      </c>
      <c r="C20" s="205">
        <f>33.76*3</f>
        <v>101.28</v>
      </c>
      <c r="D20" s="205">
        <f>C20/3</f>
        <v>33.76</v>
      </c>
      <c r="E20" s="205">
        <v>38</v>
      </c>
      <c r="F20" s="21"/>
      <c r="G20" s="21"/>
      <c r="H20" s="21"/>
      <c r="I20" s="21"/>
      <c r="J20" s="21"/>
      <c r="K20" s="21"/>
      <c r="L20" s="32"/>
      <c r="M20" s="33"/>
    </row>
    <row r="21" ht="22.5" spans="1:13">
      <c r="A21" s="231" t="s">
        <v>211</v>
      </c>
      <c r="B21" s="232" t="s">
        <v>212</v>
      </c>
      <c r="C21" s="205">
        <f>139.04*2</f>
        <v>278.08</v>
      </c>
      <c r="D21" s="233" t="s">
        <v>213</v>
      </c>
      <c r="E21" s="234" t="s">
        <v>651</v>
      </c>
      <c r="F21" s="21"/>
      <c r="G21" s="21"/>
      <c r="H21" s="21"/>
      <c r="I21" s="21"/>
      <c r="J21" s="21"/>
      <c r="K21" s="21"/>
      <c r="L21" s="32"/>
      <c r="M21" s="33"/>
    </row>
    <row r="22" spans="1:13">
      <c r="A22" s="235" t="s">
        <v>224</v>
      </c>
      <c r="B22" s="236" t="s">
        <v>225</v>
      </c>
      <c r="C22" s="201">
        <v>1568.72</v>
      </c>
      <c r="D22" s="201">
        <f>C22/500</f>
        <v>3.13744</v>
      </c>
      <c r="E22" s="201">
        <v>4</v>
      </c>
      <c r="F22" s="25"/>
      <c r="G22" s="25"/>
      <c r="H22" s="25"/>
      <c r="I22" s="25"/>
      <c r="J22" s="25"/>
      <c r="K22" s="25"/>
      <c r="L22" s="239"/>
      <c r="M22" s="33"/>
    </row>
    <row r="23" spans="1:13">
      <c r="A23" s="231" t="s">
        <v>226</v>
      </c>
      <c r="B23" s="232" t="s">
        <v>205</v>
      </c>
      <c r="C23" s="205">
        <f>26.32*5</f>
        <v>131.6</v>
      </c>
      <c r="D23" s="205">
        <f>C23/5</f>
        <v>26.32</v>
      </c>
      <c r="E23" s="205">
        <v>31</v>
      </c>
      <c r="F23" s="21"/>
      <c r="G23" s="21"/>
      <c r="H23" s="21"/>
      <c r="I23" s="21"/>
      <c r="J23" s="21"/>
      <c r="K23" s="21"/>
      <c r="L23" s="32"/>
      <c r="M23" s="33"/>
    </row>
    <row r="24" spans="1:13">
      <c r="A24" s="231" t="s">
        <v>227</v>
      </c>
      <c r="B24" s="232" t="s">
        <v>205</v>
      </c>
      <c r="C24" s="205">
        <f>33.6*5</f>
        <v>168</v>
      </c>
      <c r="D24" s="205">
        <f>C24/5</f>
        <v>33.6</v>
      </c>
      <c r="E24" s="205">
        <v>38</v>
      </c>
      <c r="F24" s="21"/>
      <c r="G24" s="21"/>
      <c r="H24" s="21"/>
      <c r="I24" s="21"/>
      <c r="J24" s="21"/>
      <c r="K24" s="21"/>
      <c r="L24" s="32"/>
      <c r="M24" s="33"/>
    </row>
    <row r="25" spans="1:13">
      <c r="A25" s="231" t="s">
        <v>232</v>
      </c>
      <c r="B25" s="232" t="s">
        <v>233</v>
      </c>
      <c r="C25" s="205">
        <f>25.99*20</f>
        <v>519.8</v>
      </c>
      <c r="D25" s="205">
        <f>C25/10</f>
        <v>51.98</v>
      </c>
      <c r="E25" s="205">
        <v>29</v>
      </c>
      <c r="F25" s="21"/>
      <c r="G25" s="21"/>
      <c r="H25" s="21"/>
      <c r="I25" s="21"/>
      <c r="J25" s="21"/>
      <c r="K25" s="21"/>
      <c r="L25" s="32"/>
      <c r="M25" s="33"/>
    </row>
    <row r="26" spans="1:13">
      <c r="A26" s="231" t="s">
        <v>243</v>
      </c>
      <c r="B26" s="232" t="s">
        <v>205</v>
      </c>
      <c r="C26" s="205">
        <f>24.88*5</f>
        <v>124.4</v>
      </c>
      <c r="D26" s="205">
        <f>C26/5</f>
        <v>24.88</v>
      </c>
      <c r="E26" s="205">
        <v>33</v>
      </c>
      <c r="F26" s="21"/>
      <c r="G26" s="21"/>
      <c r="H26" s="21"/>
      <c r="I26" s="21"/>
      <c r="J26" s="21"/>
      <c r="K26" s="21"/>
      <c r="L26" s="32"/>
      <c r="M26" s="33"/>
    </row>
    <row r="27" spans="1:13">
      <c r="A27" s="231" t="s">
        <v>244</v>
      </c>
      <c r="B27" s="232" t="s">
        <v>205</v>
      </c>
      <c r="C27" s="205">
        <f>34.44*5</f>
        <v>172.2</v>
      </c>
      <c r="D27" s="205">
        <f>C27/5</f>
        <v>34.44</v>
      </c>
      <c r="E27" s="205">
        <v>44</v>
      </c>
      <c r="F27" s="21"/>
      <c r="G27" s="21"/>
      <c r="H27" s="21"/>
      <c r="I27" s="21"/>
      <c r="J27" s="21"/>
      <c r="K27" s="21"/>
      <c r="L27" s="32"/>
      <c r="M27" s="33"/>
    </row>
    <row r="28" spans="1:13">
      <c r="A28" s="231" t="s">
        <v>247</v>
      </c>
      <c r="B28" s="232" t="s">
        <v>144</v>
      </c>
      <c r="C28" s="205">
        <v>53.01</v>
      </c>
      <c r="D28" s="205">
        <f>C28/12</f>
        <v>4.4175</v>
      </c>
      <c r="E28" s="205">
        <v>8</v>
      </c>
      <c r="F28" s="21"/>
      <c r="G28" s="21"/>
      <c r="H28" s="21"/>
      <c r="I28" s="21"/>
      <c r="J28" s="21"/>
      <c r="K28" s="21"/>
      <c r="L28" s="32"/>
      <c r="M28" s="33"/>
    </row>
    <row r="29" spans="1:13">
      <c r="A29" s="231" t="s">
        <v>256</v>
      </c>
      <c r="B29" s="232" t="s">
        <v>150</v>
      </c>
      <c r="C29" s="205">
        <f>37.11*10</f>
        <v>371.1</v>
      </c>
      <c r="D29" s="205">
        <f>C29/10</f>
        <v>37.11</v>
      </c>
      <c r="E29" s="205">
        <v>47</v>
      </c>
      <c r="F29" s="21"/>
      <c r="G29" s="21"/>
      <c r="H29" s="21"/>
      <c r="I29" s="21"/>
      <c r="J29" s="21"/>
      <c r="K29" s="21"/>
      <c r="L29" s="32"/>
      <c r="M29" s="33"/>
    </row>
    <row r="30" spans="1:13">
      <c r="A30" s="231" t="s">
        <v>257</v>
      </c>
      <c r="B30" s="232" t="s">
        <v>150</v>
      </c>
      <c r="C30" s="205">
        <f>49.38*10</f>
        <v>493.8</v>
      </c>
      <c r="D30" s="205">
        <f>C30/10</f>
        <v>49.38</v>
      </c>
      <c r="E30" s="205">
        <v>61</v>
      </c>
      <c r="F30" s="21"/>
      <c r="G30" s="21"/>
      <c r="H30" s="21"/>
      <c r="I30" s="21"/>
      <c r="J30" s="21"/>
      <c r="K30" s="21"/>
      <c r="L30" s="32"/>
      <c r="M30" s="33"/>
    </row>
    <row r="31" spans="1:13">
      <c r="A31" s="231" t="s">
        <v>258</v>
      </c>
      <c r="B31" s="232" t="s">
        <v>205</v>
      </c>
      <c r="C31" s="205">
        <f>22.96*5</f>
        <v>114.8</v>
      </c>
      <c r="D31" s="205">
        <f>C31/5</f>
        <v>22.96</v>
      </c>
      <c r="E31" s="205">
        <v>28</v>
      </c>
      <c r="F31" s="21"/>
      <c r="G31" s="21"/>
      <c r="H31" s="21"/>
      <c r="I31" s="21"/>
      <c r="J31" s="21"/>
      <c r="K31" s="21"/>
      <c r="L31" s="32"/>
      <c r="M31" s="33"/>
    </row>
    <row r="32" spans="1:13">
      <c r="A32" s="231" t="s">
        <v>259</v>
      </c>
      <c r="B32" s="232" t="s">
        <v>260</v>
      </c>
      <c r="C32" s="205">
        <f>43.59*5</f>
        <v>217.95</v>
      </c>
      <c r="D32" s="205">
        <f>C32/5</f>
        <v>43.59</v>
      </c>
      <c r="E32" s="205">
        <v>50</v>
      </c>
      <c r="F32" s="21"/>
      <c r="G32" s="21"/>
      <c r="H32" s="21"/>
      <c r="I32" s="21"/>
      <c r="J32" s="21"/>
      <c r="K32" s="21"/>
      <c r="L32" s="32"/>
      <c r="M32" s="33"/>
    </row>
    <row r="33" spans="1:13">
      <c r="A33" s="231" t="s">
        <v>261</v>
      </c>
      <c r="B33" s="232" t="s">
        <v>144</v>
      </c>
      <c r="C33" s="205">
        <v>75</v>
      </c>
      <c r="D33" s="205">
        <f>C33/12</f>
        <v>6.25</v>
      </c>
      <c r="E33" s="205">
        <v>8</v>
      </c>
      <c r="F33" s="21"/>
      <c r="G33" s="21"/>
      <c r="H33" s="21"/>
      <c r="I33" s="21"/>
      <c r="J33" s="21"/>
      <c r="K33" s="21"/>
      <c r="L33" s="32"/>
      <c r="M33" s="33"/>
    </row>
    <row r="34" spans="1:13">
      <c r="A34" s="231" t="s">
        <v>263</v>
      </c>
      <c r="B34" s="232" t="s">
        <v>238</v>
      </c>
      <c r="C34" s="205">
        <v>1045.5</v>
      </c>
      <c r="D34" s="205">
        <f>C34/20</f>
        <v>52.275</v>
      </c>
      <c r="E34" s="205">
        <v>60</v>
      </c>
      <c r="F34" s="21"/>
      <c r="G34" s="21"/>
      <c r="H34" s="21"/>
      <c r="I34" s="21"/>
      <c r="J34" s="21"/>
      <c r="K34" s="21"/>
      <c r="L34" s="32"/>
      <c r="M34" s="33"/>
    </row>
    <row r="35" spans="1:13">
      <c r="A35" s="231" t="s">
        <v>264</v>
      </c>
      <c r="B35" s="232" t="s">
        <v>265</v>
      </c>
      <c r="C35" s="205">
        <f>81.21*15</f>
        <v>1218.15</v>
      </c>
      <c r="D35" s="205">
        <f>C35/15</f>
        <v>81.21</v>
      </c>
      <c r="E35" s="205">
        <v>92</v>
      </c>
      <c r="F35" s="21"/>
      <c r="G35" s="21"/>
      <c r="H35" s="21"/>
      <c r="I35" s="21"/>
      <c r="J35" s="21"/>
      <c r="K35" s="21"/>
      <c r="L35" s="32"/>
      <c r="M35" s="33"/>
    </row>
    <row r="36" spans="1:13">
      <c r="A36" s="231" t="s">
        <v>266</v>
      </c>
      <c r="B36" s="232" t="s">
        <v>150</v>
      </c>
      <c r="C36" s="205">
        <f>59.36*10</f>
        <v>593.6</v>
      </c>
      <c r="D36" s="205">
        <f>C36/10</f>
        <v>59.36</v>
      </c>
      <c r="E36" s="205">
        <v>68</v>
      </c>
      <c r="F36" s="21"/>
      <c r="G36" s="21"/>
      <c r="H36" s="21"/>
      <c r="I36" s="21"/>
      <c r="J36" s="21"/>
      <c r="K36" s="21"/>
      <c r="L36" s="32"/>
      <c r="M36" s="33"/>
    </row>
    <row r="37" spans="1:13">
      <c r="A37" s="231" t="s">
        <v>267</v>
      </c>
      <c r="B37" s="232" t="s">
        <v>150</v>
      </c>
      <c r="C37" s="205">
        <f>86.31*10</f>
        <v>863.1</v>
      </c>
      <c r="D37" s="205">
        <f>C37/10</f>
        <v>86.31</v>
      </c>
      <c r="E37" s="205">
        <v>98</v>
      </c>
      <c r="F37" s="21"/>
      <c r="G37" s="21"/>
      <c r="H37" s="21"/>
      <c r="I37" s="21"/>
      <c r="J37" s="21"/>
      <c r="K37" s="21"/>
      <c r="L37" s="32"/>
      <c r="M37" s="33"/>
    </row>
    <row r="38" spans="1:13">
      <c r="A38" s="231" t="s">
        <v>268</v>
      </c>
      <c r="B38" s="232" t="s">
        <v>165</v>
      </c>
      <c r="C38" s="205">
        <f>26.24*10</f>
        <v>262.4</v>
      </c>
      <c r="D38" s="205">
        <f>C38/10</f>
        <v>26.24</v>
      </c>
      <c r="E38" s="205">
        <v>30</v>
      </c>
      <c r="F38" s="21"/>
      <c r="G38" s="21"/>
      <c r="H38" s="21"/>
      <c r="I38" s="21"/>
      <c r="J38" s="21"/>
      <c r="K38" s="21"/>
      <c r="L38" s="32"/>
      <c r="M38" s="33"/>
    </row>
    <row r="39" spans="1:13">
      <c r="A39" s="231" t="s">
        <v>269</v>
      </c>
      <c r="B39" s="232" t="s">
        <v>233</v>
      </c>
      <c r="C39" s="205">
        <f>20*6.82</f>
        <v>136.4</v>
      </c>
      <c r="D39" s="205">
        <f>C39/20</f>
        <v>6.82</v>
      </c>
      <c r="E39" s="205">
        <v>8.5</v>
      </c>
      <c r="F39" s="21"/>
      <c r="G39" s="21"/>
      <c r="H39" s="21"/>
      <c r="I39" s="21"/>
      <c r="J39" s="21"/>
      <c r="K39" s="21"/>
      <c r="L39" s="32"/>
      <c r="M39" s="33"/>
    </row>
    <row r="40" spans="1:13">
      <c r="A40" s="231" t="s">
        <v>286</v>
      </c>
      <c r="B40" s="232" t="s">
        <v>287</v>
      </c>
      <c r="C40" s="205">
        <f>338.64</f>
        <v>338.64</v>
      </c>
      <c r="D40" s="205">
        <f>C40/10</f>
        <v>33.864</v>
      </c>
      <c r="E40" s="205">
        <v>38</v>
      </c>
      <c r="F40" s="21"/>
      <c r="G40" s="21"/>
      <c r="H40" s="21"/>
      <c r="I40" s="21"/>
      <c r="J40" s="21"/>
      <c r="K40" s="21"/>
      <c r="L40" s="32"/>
      <c r="M40" s="33"/>
    </row>
    <row r="41" spans="1:13">
      <c r="A41" s="231" t="s">
        <v>302</v>
      </c>
      <c r="B41" s="232" t="s">
        <v>303</v>
      </c>
      <c r="C41" s="205">
        <f>12.5*25</f>
        <v>312.5</v>
      </c>
      <c r="D41" s="205">
        <f>C41/25</f>
        <v>12.5</v>
      </c>
      <c r="E41" s="205">
        <v>15</v>
      </c>
      <c r="F41" s="21"/>
      <c r="G41" s="21"/>
      <c r="H41" s="21"/>
      <c r="I41" s="21"/>
      <c r="J41" s="21"/>
      <c r="K41" s="21"/>
      <c r="L41" s="32"/>
      <c r="M41" s="33"/>
    </row>
    <row r="42" spans="1:13">
      <c r="A42" s="231" t="s">
        <v>304</v>
      </c>
      <c r="B42" s="232" t="s">
        <v>303</v>
      </c>
      <c r="C42" s="205">
        <f>19.41*25</f>
        <v>485.25</v>
      </c>
      <c r="D42" s="205">
        <f>C42/25</f>
        <v>19.41</v>
      </c>
      <c r="E42" s="205">
        <v>22</v>
      </c>
      <c r="F42" s="21"/>
      <c r="G42" s="21"/>
      <c r="H42" s="21"/>
      <c r="I42" s="21"/>
      <c r="J42" s="21"/>
      <c r="K42" s="21"/>
      <c r="L42" s="32"/>
      <c r="M42" s="33"/>
    </row>
    <row r="43" spans="1:13">
      <c r="A43" s="231" t="s">
        <v>305</v>
      </c>
      <c r="B43" s="232" t="s">
        <v>303</v>
      </c>
      <c r="C43" s="205">
        <f>5.14*25</f>
        <v>128.5</v>
      </c>
      <c r="D43" s="205">
        <f>C43/25</f>
        <v>5.14</v>
      </c>
      <c r="E43" s="205">
        <v>8</v>
      </c>
      <c r="F43" s="21"/>
      <c r="G43" s="21"/>
      <c r="H43" s="21"/>
      <c r="I43" s="21"/>
      <c r="J43" s="21"/>
      <c r="K43" s="21"/>
      <c r="L43" s="32"/>
      <c r="M43" s="33"/>
    </row>
    <row r="44" spans="1:13">
      <c r="A44" s="231" t="s">
        <v>306</v>
      </c>
      <c r="B44" s="232" t="s">
        <v>303</v>
      </c>
      <c r="C44" s="205">
        <f>6.67*25</f>
        <v>166.75</v>
      </c>
      <c r="D44" s="205">
        <f>C44/25</f>
        <v>6.67</v>
      </c>
      <c r="E44" s="205">
        <v>10</v>
      </c>
      <c r="F44" s="21"/>
      <c r="G44" s="21"/>
      <c r="H44" s="21"/>
      <c r="I44" s="21"/>
      <c r="J44" s="21"/>
      <c r="K44" s="21"/>
      <c r="L44" s="32"/>
      <c r="M44" s="33"/>
    </row>
    <row r="45" spans="1:13">
      <c r="A45" s="231" t="s">
        <v>307</v>
      </c>
      <c r="B45" s="232" t="s">
        <v>162</v>
      </c>
      <c r="C45" s="205">
        <f>21.94*3</f>
        <v>65.82</v>
      </c>
      <c r="D45" s="205">
        <f>C45/3</f>
        <v>21.94</v>
      </c>
      <c r="E45" s="205">
        <v>26</v>
      </c>
      <c r="F45" s="21"/>
      <c r="G45" s="21"/>
      <c r="H45" s="21"/>
      <c r="I45" s="21"/>
      <c r="J45" s="21"/>
      <c r="K45" s="21"/>
      <c r="L45" s="32"/>
      <c r="M45" s="33"/>
    </row>
    <row r="46" spans="1:13">
      <c r="A46" s="231" t="s">
        <v>308</v>
      </c>
      <c r="B46" s="232" t="s">
        <v>309</v>
      </c>
      <c r="C46" s="205">
        <f>29.25*6</f>
        <v>175.5</v>
      </c>
      <c r="D46" s="205">
        <f>C46/6</f>
        <v>29.25</v>
      </c>
      <c r="E46" s="205">
        <v>35</v>
      </c>
      <c r="F46" s="21"/>
      <c r="G46" s="21"/>
      <c r="H46" s="21"/>
      <c r="I46" s="21"/>
      <c r="J46" s="21"/>
      <c r="K46" s="21"/>
      <c r="L46" s="32"/>
      <c r="M46" s="33"/>
    </row>
    <row r="47" spans="1:13">
      <c r="A47" s="231" t="s">
        <v>310</v>
      </c>
      <c r="B47" s="232" t="s">
        <v>309</v>
      </c>
      <c r="C47" s="205">
        <f>29.25*6</f>
        <v>175.5</v>
      </c>
      <c r="D47" s="205">
        <f>C47/6</f>
        <v>29.25</v>
      </c>
      <c r="E47" s="205">
        <v>35</v>
      </c>
      <c r="F47" s="21"/>
      <c r="G47" s="21"/>
      <c r="H47" s="21"/>
      <c r="I47" s="21"/>
      <c r="J47" s="21"/>
      <c r="K47" s="21"/>
      <c r="L47" s="32"/>
      <c r="M47" s="33"/>
    </row>
    <row r="48" spans="1:13">
      <c r="A48" s="231" t="s">
        <v>318</v>
      </c>
      <c r="B48" s="232" t="s">
        <v>313</v>
      </c>
      <c r="C48" s="205">
        <f>969.82</f>
        <v>969.82</v>
      </c>
      <c r="D48" s="205">
        <f>C48/30</f>
        <v>32.3273333333333</v>
      </c>
      <c r="E48" s="205">
        <v>36</v>
      </c>
      <c r="F48" s="21"/>
      <c r="G48" s="21"/>
      <c r="H48" s="21"/>
      <c r="I48" s="21"/>
      <c r="J48" s="21"/>
      <c r="K48" s="21"/>
      <c r="L48" s="32"/>
      <c r="M48" s="33"/>
    </row>
    <row r="49" spans="1:13">
      <c r="A49" s="231" t="s">
        <v>321</v>
      </c>
      <c r="B49" s="232" t="s">
        <v>52</v>
      </c>
      <c r="C49" s="205">
        <f>438.85</f>
        <v>438.85</v>
      </c>
      <c r="D49" s="205">
        <f>C49/24</f>
        <v>18.2854166666667</v>
      </c>
      <c r="E49" s="205">
        <v>22</v>
      </c>
      <c r="F49" s="21"/>
      <c r="G49" s="21"/>
      <c r="H49" s="21"/>
      <c r="I49" s="21"/>
      <c r="J49" s="21"/>
      <c r="K49" s="21"/>
      <c r="L49" s="32"/>
      <c r="M49" s="33"/>
    </row>
    <row r="50" spans="1:13">
      <c r="A50" s="231" t="s">
        <v>322</v>
      </c>
      <c r="B50" s="232" t="s">
        <v>230</v>
      </c>
      <c r="C50" s="205">
        <f>9.66*60</f>
        <v>579.6</v>
      </c>
      <c r="D50" s="205">
        <f>C50/60</f>
        <v>9.66</v>
      </c>
      <c r="E50" s="205">
        <v>12</v>
      </c>
      <c r="F50" s="21"/>
      <c r="G50" s="21"/>
      <c r="H50" s="21"/>
      <c r="I50" s="21"/>
      <c r="J50" s="21"/>
      <c r="K50" s="21"/>
      <c r="L50" s="32"/>
      <c r="M50" s="33"/>
    </row>
    <row r="51" spans="1:13">
      <c r="A51" s="231" t="s">
        <v>323</v>
      </c>
      <c r="B51" s="232" t="s">
        <v>159</v>
      </c>
      <c r="C51" s="205">
        <f>24.65*2</f>
        <v>49.3</v>
      </c>
      <c r="D51" s="205">
        <f>C51/2</f>
        <v>24.65</v>
      </c>
      <c r="E51" s="205">
        <v>33</v>
      </c>
      <c r="F51" s="21"/>
      <c r="G51" s="21"/>
      <c r="H51" s="21"/>
      <c r="I51" s="21"/>
      <c r="J51" s="21"/>
      <c r="K51" s="21"/>
      <c r="L51" s="32"/>
      <c r="M51" s="33"/>
    </row>
    <row r="52" spans="1:13">
      <c r="A52" s="231" t="s">
        <v>324</v>
      </c>
      <c r="B52" s="232" t="s">
        <v>159</v>
      </c>
      <c r="C52" s="205">
        <f>34.55*2</f>
        <v>69.1</v>
      </c>
      <c r="D52" s="205">
        <f>C52/2</f>
        <v>34.55</v>
      </c>
      <c r="E52" s="205">
        <v>44</v>
      </c>
      <c r="F52" s="21"/>
      <c r="G52" s="21"/>
      <c r="H52" s="21"/>
      <c r="I52" s="21"/>
      <c r="J52" s="21"/>
      <c r="K52" s="21"/>
      <c r="L52" s="32"/>
      <c r="M52" s="33"/>
    </row>
    <row r="53" spans="1:13">
      <c r="A53" s="231" t="s">
        <v>325</v>
      </c>
      <c r="B53" s="232" t="s">
        <v>159</v>
      </c>
      <c r="C53" s="205">
        <f>16.56*2</f>
        <v>33.12</v>
      </c>
      <c r="D53" s="205">
        <f>C53/2</f>
        <v>16.56</v>
      </c>
      <c r="E53" s="205">
        <v>22</v>
      </c>
      <c r="F53" s="21"/>
      <c r="G53" s="21"/>
      <c r="H53" s="21"/>
      <c r="I53" s="21"/>
      <c r="J53" s="21"/>
      <c r="K53" s="21"/>
      <c r="L53" s="32"/>
      <c r="M53" s="33"/>
    </row>
    <row r="54" spans="1:13">
      <c r="A54" s="231" t="s">
        <v>340</v>
      </c>
      <c r="B54" s="232" t="s">
        <v>341</v>
      </c>
      <c r="C54" s="205">
        <f>13.77*10</f>
        <v>137.7</v>
      </c>
      <c r="D54" s="205">
        <f>C54/10</f>
        <v>13.77</v>
      </c>
      <c r="E54" s="205">
        <v>17</v>
      </c>
      <c r="F54" s="21"/>
      <c r="G54" s="21"/>
      <c r="H54" s="21"/>
      <c r="I54" s="21"/>
      <c r="J54" s="21"/>
      <c r="K54" s="21"/>
      <c r="L54" s="32"/>
      <c r="M54" s="33"/>
    </row>
    <row r="55" spans="1:13">
      <c r="A55" s="231" t="s">
        <v>360</v>
      </c>
      <c r="B55" s="232" t="s">
        <v>205</v>
      </c>
      <c r="C55" s="205">
        <f>25.1*5</f>
        <v>125.5</v>
      </c>
      <c r="D55" s="205">
        <f>C55/5</f>
        <v>25.1</v>
      </c>
      <c r="E55" s="205">
        <v>31</v>
      </c>
      <c r="F55" s="21"/>
      <c r="G55" s="21"/>
      <c r="H55" s="21"/>
      <c r="I55" s="21"/>
      <c r="J55" s="21"/>
      <c r="K55" s="21"/>
      <c r="L55" s="32"/>
      <c r="M55" s="33"/>
    </row>
    <row r="56" spans="1:13">
      <c r="A56" s="231" t="s">
        <v>361</v>
      </c>
      <c r="B56" s="232" t="s">
        <v>162</v>
      </c>
      <c r="C56" s="205">
        <f>62.35*3</f>
        <v>187.05</v>
      </c>
      <c r="D56" s="205">
        <f>C56/3</f>
        <v>62.35</v>
      </c>
      <c r="E56" s="205">
        <v>70</v>
      </c>
      <c r="F56" s="21"/>
      <c r="G56" s="21"/>
      <c r="H56" s="21"/>
      <c r="I56" s="21"/>
      <c r="J56" s="21"/>
      <c r="K56" s="21"/>
      <c r="L56" s="32"/>
      <c r="M56" s="33"/>
    </row>
    <row r="57" spans="1:13">
      <c r="A57" s="231" t="s">
        <v>362</v>
      </c>
      <c r="B57" s="232" t="s">
        <v>204</v>
      </c>
      <c r="C57" s="205">
        <f>22.7*5</f>
        <v>113.5</v>
      </c>
      <c r="D57" s="205">
        <f>C57/5</f>
        <v>22.7</v>
      </c>
      <c r="E57" s="205">
        <v>28</v>
      </c>
      <c r="F57" s="21"/>
      <c r="G57" s="21"/>
      <c r="H57" s="21"/>
      <c r="I57" s="21"/>
      <c r="J57" s="21"/>
      <c r="K57" s="21"/>
      <c r="L57" s="32"/>
      <c r="M57" s="33"/>
    </row>
    <row r="58" spans="1:13">
      <c r="A58" s="231" t="s">
        <v>652</v>
      </c>
      <c r="B58" s="232" t="s">
        <v>379</v>
      </c>
      <c r="C58" s="205">
        <f>646.21</f>
        <v>646.21</v>
      </c>
      <c r="D58" s="205">
        <f>C58/28</f>
        <v>23.0789285714286</v>
      </c>
      <c r="E58" s="205">
        <v>26</v>
      </c>
      <c r="F58" s="21"/>
      <c r="G58" s="21"/>
      <c r="H58" s="21"/>
      <c r="I58" s="21"/>
      <c r="J58" s="21"/>
      <c r="K58" s="21"/>
      <c r="L58" s="32"/>
      <c r="M58" s="33"/>
    </row>
    <row r="59" spans="1:13">
      <c r="A59" s="231" t="s">
        <v>398</v>
      </c>
      <c r="B59" s="232" t="s">
        <v>162</v>
      </c>
      <c r="C59" s="205">
        <f>67.62*3</f>
        <v>202.86</v>
      </c>
      <c r="D59" s="205">
        <f>C59/3</f>
        <v>67.62</v>
      </c>
      <c r="E59" s="205">
        <v>78</v>
      </c>
      <c r="F59" s="21"/>
      <c r="G59" s="21"/>
      <c r="H59" s="21"/>
      <c r="I59" s="21"/>
      <c r="J59" s="21"/>
      <c r="K59" s="21"/>
      <c r="L59" s="32"/>
      <c r="M59" s="33"/>
    </row>
    <row r="60" spans="1:13">
      <c r="A60" s="231" t="s">
        <v>399</v>
      </c>
      <c r="B60" s="232" t="s">
        <v>233</v>
      </c>
      <c r="C60" s="205">
        <f>5.06*20</f>
        <v>101.2</v>
      </c>
      <c r="D60" s="205">
        <f>C60/20</f>
        <v>5.06</v>
      </c>
      <c r="E60" s="205">
        <v>6.5</v>
      </c>
      <c r="F60" s="21"/>
      <c r="G60" s="21"/>
      <c r="H60" s="21"/>
      <c r="I60" s="21"/>
      <c r="J60" s="21"/>
      <c r="K60" s="21"/>
      <c r="L60" s="32"/>
      <c r="M60" s="33"/>
    </row>
    <row r="61" spans="1:13">
      <c r="A61" s="231" t="s">
        <v>400</v>
      </c>
      <c r="B61" s="232" t="s">
        <v>88</v>
      </c>
      <c r="C61" s="205">
        <v>212</v>
      </c>
      <c r="D61" s="205">
        <v>212</v>
      </c>
      <c r="E61" s="205">
        <v>240</v>
      </c>
      <c r="F61" s="21"/>
      <c r="G61" s="21"/>
      <c r="H61" s="21"/>
      <c r="I61" s="21"/>
      <c r="J61" s="21"/>
      <c r="K61" s="21"/>
      <c r="L61" s="32"/>
      <c r="M61" s="33"/>
    </row>
    <row r="62" spans="1:13">
      <c r="A62" s="231" t="s">
        <v>401</v>
      </c>
      <c r="B62" s="232" t="s">
        <v>88</v>
      </c>
      <c r="C62" s="205">
        <v>152.73</v>
      </c>
      <c r="D62" s="205">
        <v>152.73</v>
      </c>
      <c r="E62" s="205">
        <v>159</v>
      </c>
      <c r="F62" s="21"/>
      <c r="G62" s="21"/>
      <c r="H62" s="21"/>
      <c r="I62" s="21"/>
      <c r="J62" s="21"/>
      <c r="K62" s="21"/>
      <c r="L62" s="32"/>
      <c r="M62" s="33"/>
    </row>
    <row r="63" spans="1:13">
      <c r="A63" s="235" t="s">
        <v>384</v>
      </c>
      <c r="B63" s="236" t="s">
        <v>165</v>
      </c>
      <c r="C63" s="201">
        <f>32.45*10</f>
        <v>324.5</v>
      </c>
      <c r="D63" s="201">
        <f>C63/10</f>
        <v>32.45</v>
      </c>
      <c r="E63" s="201"/>
      <c r="F63" s="25"/>
      <c r="G63" s="25"/>
      <c r="H63" s="25"/>
      <c r="I63" s="25"/>
      <c r="J63" s="25"/>
      <c r="K63" s="25"/>
      <c r="L63" s="239"/>
      <c r="M63" s="33"/>
    </row>
    <row r="64" spans="1:13">
      <c r="A64" s="231" t="s">
        <v>389</v>
      </c>
      <c r="B64" s="232" t="s">
        <v>167</v>
      </c>
      <c r="C64" s="205">
        <f>40*41.88</f>
        <v>1675.2</v>
      </c>
      <c r="D64" s="205">
        <f>C64/40</f>
        <v>41.88</v>
      </c>
      <c r="E64" s="205">
        <v>52</v>
      </c>
      <c r="F64" s="21"/>
      <c r="G64" s="21"/>
      <c r="H64" s="21"/>
      <c r="I64" s="21"/>
      <c r="J64" s="21"/>
      <c r="K64" s="21"/>
      <c r="L64" s="32"/>
      <c r="M64" s="33"/>
    </row>
    <row r="65" spans="1:13">
      <c r="A65" s="231" t="s">
        <v>403</v>
      </c>
      <c r="B65" s="232" t="s">
        <v>162</v>
      </c>
      <c r="C65" s="205">
        <f>56.19*3</f>
        <v>168.57</v>
      </c>
      <c r="D65" s="205">
        <f>C65/3</f>
        <v>56.19</v>
      </c>
      <c r="E65" s="205">
        <v>65</v>
      </c>
      <c r="F65" s="21"/>
      <c r="G65" s="21"/>
      <c r="H65" s="21"/>
      <c r="I65" s="21"/>
      <c r="J65" s="21"/>
      <c r="K65" s="21"/>
      <c r="L65" s="32"/>
      <c r="M65" s="33"/>
    </row>
    <row r="66" spans="1:13">
      <c r="A66" s="231" t="s">
        <v>404</v>
      </c>
      <c r="B66" s="232" t="s">
        <v>162</v>
      </c>
      <c r="C66" s="205">
        <f>56.19*3</f>
        <v>168.57</v>
      </c>
      <c r="D66" s="205">
        <f>C66/3</f>
        <v>56.19</v>
      </c>
      <c r="E66" s="205">
        <v>65</v>
      </c>
      <c r="F66" s="21"/>
      <c r="G66" s="21"/>
      <c r="H66" s="21"/>
      <c r="I66" s="21"/>
      <c r="J66" s="21"/>
      <c r="K66" s="21"/>
      <c r="L66" s="32"/>
      <c r="M66" s="33"/>
    </row>
    <row r="67" spans="1:13">
      <c r="A67" s="231" t="s">
        <v>405</v>
      </c>
      <c r="B67" s="232" t="s">
        <v>233</v>
      </c>
      <c r="C67" s="205">
        <f>10.32*20</f>
        <v>206.4</v>
      </c>
      <c r="D67" s="205">
        <f>C67/20</f>
        <v>10.32</v>
      </c>
      <c r="E67" s="205">
        <v>13</v>
      </c>
      <c r="F67" s="21"/>
      <c r="G67" s="21"/>
      <c r="H67" s="21"/>
      <c r="I67" s="21"/>
      <c r="J67" s="21"/>
      <c r="K67" s="21"/>
      <c r="L67" s="32"/>
      <c r="M67" s="33"/>
    </row>
    <row r="68" spans="1:13">
      <c r="A68" s="231" t="s">
        <v>406</v>
      </c>
      <c r="B68" s="232" t="s">
        <v>236</v>
      </c>
      <c r="C68" s="205">
        <f>31.31*12</f>
        <v>375.72</v>
      </c>
      <c r="D68" s="205">
        <f>C68/12</f>
        <v>31.31</v>
      </c>
      <c r="E68" s="205">
        <v>35</v>
      </c>
      <c r="F68" s="21"/>
      <c r="G68" s="21"/>
      <c r="H68" s="21"/>
      <c r="I68" s="21"/>
      <c r="J68" s="21"/>
      <c r="K68" s="21"/>
      <c r="L68" s="32"/>
      <c r="M68" s="33"/>
    </row>
    <row r="69" spans="1:13">
      <c r="A69" s="231" t="s">
        <v>408</v>
      </c>
      <c r="B69" s="232" t="s">
        <v>409</v>
      </c>
      <c r="C69" s="205">
        <f>71.45*28</f>
        <v>2000.6</v>
      </c>
      <c r="D69" s="205">
        <f>C69/28</f>
        <v>71.45</v>
      </c>
      <c r="E69" s="205">
        <v>82</v>
      </c>
      <c r="F69" s="21"/>
      <c r="G69" s="21"/>
      <c r="H69" s="21"/>
      <c r="I69" s="21"/>
      <c r="J69" s="21"/>
      <c r="K69" s="21"/>
      <c r="L69" s="32"/>
      <c r="M69" s="33"/>
    </row>
    <row r="70" spans="1:13">
      <c r="A70" s="231" t="s">
        <v>438</v>
      </c>
      <c r="B70" s="232" t="s">
        <v>439</v>
      </c>
      <c r="C70" s="205">
        <f>435.27</f>
        <v>435.27</v>
      </c>
      <c r="D70" s="205">
        <f>C70/14</f>
        <v>31.0907142857143</v>
      </c>
      <c r="E70" s="205">
        <v>35</v>
      </c>
      <c r="F70" s="21"/>
      <c r="G70" s="21"/>
      <c r="H70" s="21"/>
      <c r="I70" s="21"/>
      <c r="J70" s="21"/>
      <c r="K70" s="21"/>
      <c r="L70" s="32"/>
      <c r="M70" s="33"/>
    </row>
    <row r="71" spans="1:13">
      <c r="A71" s="231" t="s">
        <v>442</v>
      </c>
      <c r="B71" s="232" t="s">
        <v>439</v>
      </c>
      <c r="C71" s="205">
        <f>226.85</f>
        <v>226.85</v>
      </c>
      <c r="D71" s="205">
        <f>C71/14</f>
        <v>16.2035714285714</v>
      </c>
      <c r="E71" s="205">
        <v>19</v>
      </c>
      <c r="F71" s="21"/>
      <c r="G71" s="21"/>
      <c r="H71" s="21"/>
      <c r="I71" s="21"/>
      <c r="J71" s="21"/>
      <c r="K71" s="21"/>
      <c r="L71" s="32"/>
      <c r="M71" s="33"/>
    </row>
    <row r="72" spans="1:13">
      <c r="A72" s="231" t="s">
        <v>443</v>
      </c>
      <c r="B72" s="232" t="s">
        <v>439</v>
      </c>
      <c r="C72" s="205">
        <v>307.26</v>
      </c>
      <c r="D72" s="205">
        <f>C72/14</f>
        <v>21.9471428571429</v>
      </c>
      <c r="E72" s="205">
        <v>26</v>
      </c>
      <c r="F72" s="21"/>
      <c r="G72" s="21"/>
      <c r="H72" s="21"/>
      <c r="I72" s="21"/>
      <c r="J72" s="21"/>
      <c r="K72" s="21"/>
      <c r="L72" s="32"/>
      <c r="M72" s="33"/>
    </row>
    <row r="73" spans="1:13">
      <c r="A73" s="231" t="s">
        <v>445</v>
      </c>
      <c r="B73" s="232" t="s">
        <v>439</v>
      </c>
      <c r="C73" s="205">
        <v>275.67</v>
      </c>
      <c r="D73" s="205">
        <f>C73/14</f>
        <v>19.6907142857143</v>
      </c>
      <c r="E73" s="205">
        <v>23</v>
      </c>
      <c r="F73" s="21"/>
      <c r="G73" s="21"/>
      <c r="H73" s="21"/>
      <c r="I73" s="21"/>
      <c r="J73" s="21"/>
      <c r="K73" s="21"/>
      <c r="L73" s="32"/>
      <c r="M73" s="33"/>
    </row>
    <row r="74" spans="1:13">
      <c r="A74" s="227" t="s">
        <v>453</v>
      </c>
      <c r="B74" s="228" t="s">
        <v>144</v>
      </c>
      <c r="C74" s="229">
        <v>46</v>
      </c>
      <c r="D74" s="229">
        <f>C74/12</f>
        <v>3.83333333333333</v>
      </c>
      <c r="E74" s="229">
        <v>6</v>
      </c>
      <c r="F74" s="230"/>
      <c r="G74" s="230"/>
      <c r="H74" s="230"/>
      <c r="I74" s="230"/>
      <c r="J74" s="230"/>
      <c r="K74" s="230"/>
      <c r="L74" s="238"/>
      <c r="M74" s="33"/>
    </row>
    <row r="75" spans="1:13">
      <c r="A75" s="235" t="s">
        <v>441</v>
      </c>
      <c r="B75" s="236" t="s">
        <v>221</v>
      </c>
      <c r="C75" s="201">
        <v>408</v>
      </c>
      <c r="D75" s="201">
        <f>C75/100</f>
        <v>4.08</v>
      </c>
      <c r="E75" s="201"/>
      <c r="F75" s="25"/>
      <c r="G75" s="25"/>
      <c r="H75" s="25"/>
      <c r="I75" s="25"/>
      <c r="J75" s="25"/>
      <c r="K75" s="25"/>
      <c r="L75" s="239"/>
      <c r="M75" s="63"/>
    </row>
    <row r="76" spans="1:13">
      <c r="A76" s="235" t="s">
        <v>444</v>
      </c>
      <c r="B76" s="236" t="s">
        <v>162</v>
      </c>
      <c r="C76" s="201">
        <f>82.96*3</f>
        <v>248.88</v>
      </c>
      <c r="D76" s="201">
        <f>C76/3</f>
        <v>82.96</v>
      </c>
      <c r="E76" s="201"/>
      <c r="F76" s="25"/>
      <c r="G76" s="25"/>
      <c r="H76" s="25"/>
      <c r="I76" s="25"/>
      <c r="J76" s="25"/>
      <c r="K76" s="25"/>
      <c r="L76" s="239"/>
      <c r="M76" s="63"/>
    </row>
    <row r="77" spans="1:13">
      <c r="A77" s="231" t="s">
        <v>455</v>
      </c>
      <c r="B77" s="232" t="s">
        <v>233</v>
      </c>
      <c r="C77" s="205">
        <f>19.59*20</f>
        <v>391.8</v>
      </c>
      <c r="D77" s="205">
        <f>C77/20</f>
        <v>19.59</v>
      </c>
      <c r="E77" s="205"/>
      <c r="F77" s="21"/>
      <c r="G77" s="21"/>
      <c r="H77" s="21"/>
      <c r="I77" s="21"/>
      <c r="J77" s="21"/>
      <c r="K77" s="21"/>
      <c r="L77" s="32"/>
      <c r="M77" s="63"/>
    </row>
    <row r="78" spans="1:13">
      <c r="A78" s="231" t="s">
        <v>473</v>
      </c>
      <c r="B78" s="232" t="s">
        <v>474</v>
      </c>
      <c r="C78" s="205">
        <f>123.97*3</f>
        <v>371.91</v>
      </c>
      <c r="D78" s="205">
        <f>C78/3</f>
        <v>123.97</v>
      </c>
      <c r="E78" s="205">
        <v>133</v>
      </c>
      <c r="F78" s="21"/>
      <c r="G78" s="21"/>
      <c r="H78" s="21"/>
      <c r="I78" s="21"/>
      <c r="J78" s="21"/>
      <c r="K78" s="21"/>
      <c r="L78" s="32"/>
      <c r="M78" s="63"/>
    </row>
    <row r="79" spans="1:13">
      <c r="A79" s="231" t="s">
        <v>475</v>
      </c>
      <c r="B79" s="232" t="s">
        <v>162</v>
      </c>
      <c r="C79" s="205">
        <f>145.09*3</f>
        <v>435.27</v>
      </c>
      <c r="D79" s="205">
        <f>C79/3</f>
        <v>145.09</v>
      </c>
      <c r="E79" s="205">
        <v>155</v>
      </c>
      <c r="F79" s="21"/>
      <c r="G79" s="21"/>
      <c r="H79" s="21"/>
      <c r="I79" s="21"/>
      <c r="J79" s="21"/>
      <c r="K79" s="21"/>
      <c r="L79" s="32"/>
      <c r="M79" s="63"/>
    </row>
    <row r="80" spans="1:13">
      <c r="A80" s="231" t="s">
        <v>500</v>
      </c>
      <c r="B80" s="232" t="s">
        <v>150</v>
      </c>
      <c r="C80" s="205">
        <f>35.2*10</f>
        <v>352</v>
      </c>
      <c r="D80" s="205">
        <f>C80/10</f>
        <v>35.2</v>
      </c>
      <c r="E80" s="205">
        <v>38</v>
      </c>
      <c r="F80" s="21"/>
      <c r="G80" s="21"/>
      <c r="H80" s="21"/>
      <c r="I80" s="21"/>
      <c r="J80" s="21"/>
      <c r="K80" s="21"/>
      <c r="L80" s="32"/>
      <c r="M80" s="63"/>
    </row>
    <row r="81" spans="1:13">
      <c r="A81" s="231" t="s">
        <v>505</v>
      </c>
      <c r="B81" s="232" t="s">
        <v>233</v>
      </c>
      <c r="C81" s="205">
        <f>4.66*20</f>
        <v>93.2</v>
      </c>
      <c r="D81" s="205">
        <f>C81/20</f>
        <v>4.66</v>
      </c>
      <c r="E81" s="205">
        <v>6</v>
      </c>
      <c r="F81" s="21"/>
      <c r="G81" s="21"/>
      <c r="H81" s="21"/>
      <c r="I81" s="21"/>
      <c r="J81" s="21"/>
      <c r="K81" s="21"/>
      <c r="L81" s="32"/>
      <c r="M81" s="33"/>
    </row>
    <row r="82" spans="1:13">
      <c r="A82" s="231" t="s">
        <v>517</v>
      </c>
      <c r="B82" s="232" t="s">
        <v>54</v>
      </c>
      <c r="C82" s="205">
        <f>37.53*3</f>
        <v>112.59</v>
      </c>
      <c r="D82" s="205">
        <f>C82/3</f>
        <v>37.53</v>
      </c>
      <c r="E82" s="205">
        <v>46</v>
      </c>
      <c r="F82" s="21"/>
      <c r="G82" s="21"/>
      <c r="H82" s="21"/>
      <c r="I82" s="21"/>
      <c r="J82" s="21"/>
      <c r="K82" s="21"/>
      <c r="L82" s="32"/>
      <c r="M82" s="33"/>
    </row>
    <row r="83" spans="1:13">
      <c r="A83" s="231" t="s">
        <v>519</v>
      </c>
      <c r="B83" s="232" t="s">
        <v>54</v>
      </c>
      <c r="C83" s="205">
        <f>37.53*3</f>
        <v>112.59</v>
      </c>
      <c r="D83" s="205">
        <f>C83/3</f>
        <v>37.53</v>
      </c>
      <c r="E83" s="205">
        <v>46</v>
      </c>
      <c r="F83" s="21"/>
      <c r="G83" s="21"/>
      <c r="H83" s="21"/>
      <c r="I83" s="21"/>
      <c r="J83" s="21"/>
      <c r="K83" s="21"/>
      <c r="L83" s="32"/>
      <c r="M83" s="33"/>
    </row>
    <row r="84" spans="1:13">
      <c r="A84" s="231" t="s">
        <v>520</v>
      </c>
      <c r="B84" s="232" t="s">
        <v>54</v>
      </c>
      <c r="C84" s="205">
        <f>37.53*3</f>
        <v>112.59</v>
      </c>
      <c r="D84" s="205">
        <f>C84/3</f>
        <v>37.53</v>
      </c>
      <c r="E84" s="205">
        <v>46</v>
      </c>
      <c r="F84" s="21"/>
      <c r="G84" s="21"/>
      <c r="H84" s="21"/>
      <c r="I84" s="21"/>
      <c r="J84" s="21"/>
      <c r="K84" s="21"/>
      <c r="L84" s="32"/>
      <c r="M84" s="33"/>
    </row>
    <row r="85" spans="1:13">
      <c r="A85" s="231" t="s">
        <v>522</v>
      </c>
      <c r="B85" s="232" t="s">
        <v>54</v>
      </c>
      <c r="C85" s="205">
        <f>37.53*3</f>
        <v>112.59</v>
      </c>
      <c r="D85" s="205">
        <f>C85/3</f>
        <v>37.53</v>
      </c>
      <c r="E85" s="205">
        <v>46</v>
      </c>
      <c r="F85" s="21"/>
      <c r="G85" s="21"/>
      <c r="H85" s="21"/>
      <c r="I85" s="21"/>
      <c r="J85" s="21"/>
      <c r="K85" s="21"/>
      <c r="L85" s="32"/>
      <c r="M85" s="33"/>
    </row>
    <row r="86" spans="1:13">
      <c r="A86" s="231" t="s">
        <v>523</v>
      </c>
      <c r="B86" s="232" t="s">
        <v>439</v>
      </c>
      <c r="C86" s="205">
        <v>402.02</v>
      </c>
      <c r="D86" s="205">
        <f>C86/14</f>
        <v>28.7157142857143</v>
      </c>
      <c r="E86" s="205">
        <v>35</v>
      </c>
      <c r="F86" s="21"/>
      <c r="G86" s="21"/>
      <c r="H86" s="21"/>
      <c r="I86" s="21"/>
      <c r="J86" s="21"/>
      <c r="K86" s="21"/>
      <c r="L86" s="32"/>
      <c r="M86" s="33"/>
    </row>
    <row r="87" spans="1:13">
      <c r="A87" s="231" t="s">
        <v>530</v>
      </c>
      <c r="B87" s="232" t="s">
        <v>205</v>
      </c>
      <c r="C87" s="205">
        <f>38.4*5</f>
        <v>192</v>
      </c>
      <c r="D87" s="205">
        <f>C87/5</f>
        <v>38.4</v>
      </c>
      <c r="E87" s="205">
        <v>44</v>
      </c>
      <c r="F87" s="21"/>
      <c r="G87" s="21"/>
      <c r="H87" s="21"/>
      <c r="I87" s="21"/>
      <c r="J87" s="21"/>
      <c r="K87" s="21"/>
      <c r="L87" s="32"/>
      <c r="M87" s="33"/>
    </row>
    <row r="88" spans="1:13">
      <c r="A88" s="231" t="s">
        <v>533</v>
      </c>
      <c r="B88" s="232" t="s">
        <v>233</v>
      </c>
      <c r="C88" s="205">
        <f>12.69*20</f>
        <v>253.8</v>
      </c>
      <c r="D88" s="205">
        <f>C88/20</f>
        <v>12.69</v>
      </c>
      <c r="E88" s="205">
        <v>15</v>
      </c>
      <c r="F88" s="21"/>
      <c r="G88" s="21"/>
      <c r="H88" s="21"/>
      <c r="I88" s="21"/>
      <c r="J88" s="21"/>
      <c r="K88" s="21"/>
      <c r="L88" s="32"/>
      <c r="M88" s="33"/>
    </row>
    <row r="89" spans="1:13">
      <c r="A89" s="231" t="s">
        <v>536</v>
      </c>
      <c r="B89" s="232" t="s">
        <v>205</v>
      </c>
      <c r="C89" s="205">
        <f>37.24*5</f>
        <v>186.2</v>
      </c>
      <c r="D89" s="205">
        <f>C89/5</f>
        <v>37.24</v>
      </c>
      <c r="E89" s="205">
        <v>43</v>
      </c>
      <c r="F89" s="21"/>
      <c r="G89" s="21"/>
      <c r="H89" s="21"/>
      <c r="I89" s="21"/>
      <c r="J89" s="21"/>
      <c r="K89" s="21"/>
      <c r="L89" s="32"/>
      <c r="M89" s="33"/>
    </row>
    <row r="90" spans="1:13">
      <c r="A90" s="231" t="s">
        <v>537</v>
      </c>
      <c r="B90" s="232" t="s">
        <v>205</v>
      </c>
      <c r="C90" s="205">
        <v>168.55</v>
      </c>
      <c r="D90" s="205">
        <f>C90/5</f>
        <v>33.71</v>
      </c>
      <c r="E90" s="205">
        <v>39</v>
      </c>
      <c r="F90" s="21"/>
      <c r="G90" s="21"/>
      <c r="H90" s="21"/>
      <c r="I90" s="21"/>
      <c r="J90" s="21"/>
      <c r="K90" s="21"/>
      <c r="L90" s="32"/>
      <c r="M90" s="33"/>
    </row>
    <row r="91" spans="1:13">
      <c r="A91" s="231" t="s">
        <v>538</v>
      </c>
      <c r="B91" s="232" t="s">
        <v>233</v>
      </c>
      <c r="C91" s="205">
        <f>17.75*20</f>
        <v>355</v>
      </c>
      <c r="D91" s="205">
        <f>C91/20</f>
        <v>17.75</v>
      </c>
      <c r="E91" s="205">
        <v>19</v>
      </c>
      <c r="F91" s="21"/>
      <c r="G91" s="21"/>
      <c r="H91" s="21"/>
      <c r="I91" s="21"/>
      <c r="J91" s="21"/>
      <c r="K91" s="21"/>
      <c r="L91" s="32"/>
      <c r="M91" s="33"/>
    </row>
    <row r="92" spans="1:13">
      <c r="A92" s="231" t="s">
        <v>539</v>
      </c>
      <c r="B92" s="232" t="s">
        <v>303</v>
      </c>
      <c r="C92" s="205">
        <f>10.5*25</f>
        <v>262.5</v>
      </c>
      <c r="D92" s="205">
        <f>C92/25</f>
        <v>10.5</v>
      </c>
      <c r="E92" s="205">
        <v>12.5</v>
      </c>
      <c r="F92" s="21"/>
      <c r="G92" s="21"/>
      <c r="H92" s="21"/>
      <c r="I92" s="21"/>
      <c r="J92" s="21"/>
      <c r="K92" s="21"/>
      <c r="L92" s="32"/>
      <c r="M92" s="33"/>
    </row>
    <row r="93" spans="1:13">
      <c r="A93" s="231" t="s">
        <v>540</v>
      </c>
      <c r="B93" s="232" t="s">
        <v>233</v>
      </c>
      <c r="C93" s="205">
        <f>16.89*20</f>
        <v>337.8</v>
      </c>
      <c r="D93" s="205">
        <f>C93/20</f>
        <v>16.89</v>
      </c>
      <c r="E93" s="205">
        <v>21</v>
      </c>
      <c r="F93" s="21"/>
      <c r="G93" s="21"/>
      <c r="H93" s="21"/>
      <c r="I93" s="21"/>
      <c r="J93" s="21"/>
      <c r="K93" s="21"/>
      <c r="L93" s="32"/>
      <c r="M93" s="33"/>
    </row>
    <row r="94" spans="1:13">
      <c r="A94" s="231" t="s">
        <v>544</v>
      </c>
      <c r="B94" s="232" t="s">
        <v>545</v>
      </c>
      <c r="C94" s="205">
        <f>49.57*3</f>
        <v>148.71</v>
      </c>
      <c r="D94" s="205">
        <f>C94/3</f>
        <v>49.57</v>
      </c>
      <c r="E94" s="205">
        <v>60</v>
      </c>
      <c r="F94" s="21"/>
      <c r="G94" s="21"/>
      <c r="H94" s="21"/>
      <c r="I94" s="21"/>
      <c r="J94" s="21"/>
      <c r="K94" s="21"/>
      <c r="L94" s="32"/>
      <c r="M94" s="33"/>
    </row>
    <row r="95" spans="1:13">
      <c r="A95" s="231" t="s">
        <v>546</v>
      </c>
      <c r="B95" s="232" t="s">
        <v>545</v>
      </c>
      <c r="C95" s="205">
        <f>49.57*3</f>
        <v>148.71</v>
      </c>
      <c r="D95" s="205">
        <f>C95/3</f>
        <v>49.57</v>
      </c>
      <c r="E95" s="205">
        <v>60</v>
      </c>
      <c r="F95" s="21"/>
      <c r="G95" s="21"/>
      <c r="H95" s="21"/>
      <c r="I95" s="21"/>
      <c r="J95" s="21"/>
      <c r="K95" s="21"/>
      <c r="L95" s="32"/>
      <c r="M95" s="33"/>
    </row>
    <row r="96" spans="1:13">
      <c r="A96" s="231" t="s">
        <v>547</v>
      </c>
      <c r="B96" s="232" t="s">
        <v>545</v>
      </c>
      <c r="C96" s="205">
        <f>49.57*3</f>
        <v>148.71</v>
      </c>
      <c r="D96" s="205">
        <f>C96/3</f>
        <v>49.57</v>
      </c>
      <c r="E96" s="205">
        <v>60</v>
      </c>
      <c r="F96" s="21"/>
      <c r="G96" s="21"/>
      <c r="H96" s="21"/>
      <c r="I96" s="21"/>
      <c r="J96" s="21"/>
      <c r="K96" s="21"/>
      <c r="L96" s="32"/>
      <c r="M96" s="33"/>
    </row>
    <row r="97" spans="1:13">
      <c r="A97" s="231" t="s">
        <v>548</v>
      </c>
      <c r="B97" s="232" t="s">
        <v>545</v>
      </c>
      <c r="C97" s="205">
        <f>49.57*3</f>
        <v>148.71</v>
      </c>
      <c r="D97" s="205">
        <f>C97/3</f>
        <v>49.57</v>
      </c>
      <c r="E97" s="205">
        <v>60</v>
      </c>
      <c r="F97" s="21"/>
      <c r="G97" s="21"/>
      <c r="H97" s="21"/>
      <c r="I97" s="21"/>
      <c r="J97" s="21"/>
      <c r="K97" s="21"/>
      <c r="L97" s="32"/>
      <c r="M97" s="33"/>
    </row>
    <row r="98" spans="1:13">
      <c r="A98" s="231" t="s">
        <v>553</v>
      </c>
      <c r="B98" s="232" t="s">
        <v>554</v>
      </c>
      <c r="C98" s="205">
        <f>11.9*5</f>
        <v>59.5</v>
      </c>
      <c r="D98" s="205">
        <f>C98/5</f>
        <v>11.9</v>
      </c>
      <c r="E98" s="205">
        <v>15</v>
      </c>
      <c r="F98" s="21"/>
      <c r="G98" s="21"/>
      <c r="H98" s="21"/>
      <c r="I98" s="21"/>
      <c r="J98" s="21"/>
      <c r="K98" s="21"/>
      <c r="L98" s="32"/>
      <c r="M98" s="33"/>
    </row>
    <row r="99" spans="1:13">
      <c r="A99" s="231" t="s">
        <v>559</v>
      </c>
      <c r="B99" s="232" t="s">
        <v>313</v>
      </c>
      <c r="C99" s="205">
        <f>1689.43</f>
        <v>1689.43</v>
      </c>
      <c r="D99" s="205">
        <f>C99/30</f>
        <v>56.3143333333333</v>
      </c>
      <c r="E99" s="205">
        <v>62</v>
      </c>
      <c r="F99" s="21"/>
      <c r="G99" s="21"/>
      <c r="H99" s="21"/>
      <c r="I99" s="21"/>
      <c r="J99" s="21"/>
      <c r="K99" s="21"/>
      <c r="L99" s="32"/>
      <c r="M99" s="33"/>
    </row>
    <row r="100" spans="1:13">
      <c r="A100" s="231" t="s">
        <v>561</v>
      </c>
      <c r="B100" s="232" t="s">
        <v>313</v>
      </c>
      <c r="C100" s="205">
        <v>1146.6</v>
      </c>
      <c r="D100" s="205">
        <f>C100/30</f>
        <v>38.22</v>
      </c>
      <c r="E100" s="205">
        <v>43</v>
      </c>
      <c r="F100" s="21"/>
      <c r="G100" s="21"/>
      <c r="H100" s="21"/>
      <c r="I100" s="21"/>
      <c r="J100" s="21"/>
      <c r="K100" s="21"/>
      <c r="L100" s="32"/>
      <c r="M100" s="33"/>
    </row>
    <row r="101" spans="1:13">
      <c r="A101" s="231" t="s">
        <v>563</v>
      </c>
      <c r="B101" s="232" t="s">
        <v>238</v>
      </c>
      <c r="C101" s="205">
        <v>668</v>
      </c>
      <c r="D101" s="205">
        <f>C101/20</f>
        <v>33.4</v>
      </c>
      <c r="E101" s="205">
        <v>36</v>
      </c>
      <c r="F101" s="21"/>
      <c r="G101" s="21"/>
      <c r="H101" s="21"/>
      <c r="I101" s="21"/>
      <c r="J101" s="21"/>
      <c r="K101" s="21"/>
      <c r="L101" s="32"/>
      <c r="M101" s="33"/>
    </row>
    <row r="102" ht="22.5" spans="1:13">
      <c r="A102" s="231" t="s">
        <v>572</v>
      </c>
      <c r="B102" s="232" t="s">
        <v>573</v>
      </c>
      <c r="C102" s="205">
        <f>35.82*3</f>
        <v>107.46</v>
      </c>
      <c r="D102" s="205">
        <f>C102/3</f>
        <v>35.82</v>
      </c>
      <c r="E102" s="234" t="s">
        <v>653</v>
      </c>
      <c r="F102" s="21"/>
      <c r="G102" s="21"/>
      <c r="H102" s="21"/>
      <c r="I102" s="21"/>
      <c r="J102" s="21"/>
      <c r="K102" s="21"/>
      <c r="L102" s="32"/>
      <c r="M102" s="33"/>
    </row>
    <row r="103" ht="22.5" spans="1:13">
      <c r="A103" s="231" t="s">
        <v>574</v>
      </c>
      <c r="B103" s="232" t="s">
        <v>54</v>
      </c>
      <c r="C103" s="205">
        <f>40.17*3</f>
        <v>120.51</v>
      </c>
      <c r="D103" s="205">
        <f>C103/3</f>
        <v>40.17</v>
      </c>
      <c r="E103" s="234" t="s">
        <v>654</v>
      </c>
      <c r="F103" s="21"/>
      <c r="G103" s="21"/>
      <c r="H103" s="21"/>
      <c r="I103" s="21"/>
      <c r="J103" s="21"/>
      <c r="K103" s="21"/>
      <c r="L103" s="32"/>
      <c r="M103" s="33"/>
    </row>
    <row r="104" ht="22.5" spans="1:13">
      <c r="A104" s="231" t="s">
        <v>575</v>
      </c>
      <c r="B104" s="232" t="s">
        <v>54</v>
      </c>
      <c r="C104" s="205">
        <f>41.15*3</f>
        <v>123.45</v>
      </c>
      <c r="D104" s="205">
        <f>C104/3</f>
        <v>41.15</v>
      </c>
      <c r="E104" s="234" t="s">
        <v>655</v>
      </c>
      <c r="F104" s="21"/>
      <c r="G104" s="21"/>
      <c r="H104" s="21"/>
      <c r="I104" s="21"/>
      <c r="J104" s="21"/>
      <c r="K104" s="21"/>
      <c r="L104" s="32"/>
      <c r="M104" s="33"/>
    </row>
    <row r="105" spans="1:13">
      <c r="A105" s="231" t="s">
        <v>577</v>
      </c>
      <c r="B105" s="232" t="s">
        <v>578</v>
      </c>
      <c r="C105" s="205">
        <f>63.7*12</f>
        <v>764.4</v>
      </c>
      <c r="D105" s="205">
        <f>C105/12</f>
        <v>63.7</v>
      </c>
      <c r="E105" s="205">
        <v>70</v>
      </c>
      <c r="F105" s="21"/>
      <c r="G105" s="21"/>
      <c r="H105" s="21"/>
      <c r="I105" s="21"/>
      <c r="J105" s="21"/>
      <c r="K105" s="21"/>
      <c r="L105" s="32"/>
      <c r="M105" s="33"/>
    </row>
    <row r="106" spans="1:14">
      <c r="A106" s="231" t="s">
        <v>579</v>
      </c>
      <c r="B106" s="232" t="s">
        <v>88</v>
      </c>
      <c r="C106" s="205">
        <v>329.6</v>
      </c>
      <c r="D106" s="205">
        <v>329.6</v>
      </c>
      <c r="E106" s="205">
        <v>355</v>
      </c>
      <c r="F106" s="21"/>
      <c r="G106" s="21"/>
      <c r="H106" s="21"/>
      <c r="I106" s="21"/>
      <c r="J106" s="21"/>
      <c r="K106" s="21"/>
      <c r="L106" s="32"/>
      <c r="M106" s="33"/>
      <c r="N106" s="40"/>
    </row>
    <row r="107" spans="1:14">
      <c r="A107" s="231" t="s">
        <v>580</v>
      </c>
      <c r="B107" s="232" t="s">
        <v>88</v>
      </c>
      <c r="C107" s="205">
        <v>498.6</v>
      </c>
      <c r="D107" s="205">
        <v>498.6</v>
      </c>
      <c r="E107" s="205">
        <v>540</v>
      </c>
      <c r="F107" s="21"/>
      <c r="G107" s="21"/>
      <c r="H107" s="21"/>
      <c r="I107" s="21"/>
      <c r="J107" s="21"/>
      <c r="K107" s="21"/>
      <c r="L107" s="32"/>
      <c r="M107" s="33"/>
      <c r="N107" s="40"/>
    </row>
    <row r="108" spans="1:14">
      <c r="A108" s="231" t="s">
        <v>581</v>
      </c>
      <c r="B108" s="232" t="s">
        <v>330</v>
      </c>
      <c r="C108" s="205">
        <v>1586</v>
      </c>
      <c r="D108" s="205">
        <f>C108/24</f>
        <v>66.0833333333333</v>
      </c>
      <c r="E108" s="205">
        <v>72</v>
      </c>
      <c r="F108" s="21"/>
      <c r="G108" s="21"/>
      <c r="H108" s="21"/>
      <c r="I108" s="21"/>
      <c r="J108" s="21"/>
      <c r="K108" s="21"/>
      <c r="L108" s="32"/>
      <c r="M108" s="33"/>
      <c r="N108" s="40"/>
    </row>
    <row r="109" ht="15.75" spans="1:14">
      <c r="A109" s="240" t="s">
        <v>656</v>
      </c>
      <c r="B109" s="241"/>
      <c r="C109" s="242">
        <f>SUM(C4:C108)</f>
        <v>37825.39</v>
      </c>
      <c r="D109" s="242"/>
      <c r="E109" s="242"/>
      <c r="F109" s="243"/>
      <c r="G109" s="243"/>
      <c r="H109" s="243"/>
      <c r="I109" s="243"/>
      <c r="J109" s="243"/>
      <c r="K109" s="243"/>
      <c r="L109" s="248"/>
      <c r="M109" s="33"/>
      <c r="N109" s="40"/>
    </row>
    <row r="110" spans="2:13">
      <c r="B110" s="244"/>
      <c r="C110" s="245"/>
      <c r="D110" s="245"/>
      <c r="E110" s="245"/>
      <c r="F110" s="33"/>
      <c r="G110" s="33"/>
      <c r="H110" s="33"/>
      <c r="I110" s="33"/>
      <c r="J110" s="33"/>
      <c r="K110" s="33"/>
      <c r="L110" s="33"/>
      <c r="M110" s="33"/>
    </row>
    <row r="111" spans="2:13">
      <c r="B111" s="244"/>
      <c r="C111" s="245"/>
      <c r="D111" s="245"/>
      <c r="E111" s="245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139" t="s">
        <v>647</v>
      </c>
      <c r="B112" s="245">
        <f>C109</f>
        <v>37825.39</v>
      </c>
      <c r="C112" s="246">
        <v>0.01</v>
      </c>
      <c r="D112" s="245">
        <f>B112*C112</f>
        <v>378.2539</v>
      </c>
      <c r="E112" s="247">
        <f>B112-D112</f>
        <v>37447.1361</v>
      </c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219" t="s">
        <v>657</v>
      </c>
      <c r="B113" s="244"/>
      <c r="C113" s="245"/>
      <c r="D113" s="245"/>
      <c r="E113" s="245"/>
      <c r="F113" s="33"/>
      <c r="G113" s="33"/>
      <c r="H113" s="33"/>
      <c r="I113" s="33"/>
      <c r="J113" s="33"/>
      <c r="K113" s="33"/>
      <c r="L113" s="33"/>
      <c r="M113" s="33"/>
    </row>
    <row r="114" spans="2:13">
      <c r="B114" s="244"/>
      <c r="C114" s="245"/>
      <c r="D114" s="245"/>
      <c r="E114" s="245"/>
      <c r="F114" s="33"/>
      <c r="G114" s="33"/>
      <c r="H114" s="33"/>
      <c r="I114" s="33"/>
      <c r="J114" s="33"/>
      <c r="K114" s="33"/>
      <c r="L114" s="33"/>
      <c r="M114" s="33"/>
    </row>
    <row r="115" spans="2:13">
      <c r="B115" s="244"/>
      <c r="C115" s="245"/>
      <c r="D115" s="245"/>
      <c r="E115" s="245"/>
      <c r="F115" s="33"/>
      <c r="G115" s="33"/>
      <c r="H115" s="33"/>
      <c r="I115" s="33"/>
      <c r="J115" s="33"/>
      <c r="K115" s="33"/>
      <c r="L115" s="33"/>
      <c r="M115" s="33"/>
    </row>
    <row r="116" spans="2:13">
      <c r="B116" s="244"/>
      <c r="C116" s="245"/>
      <c r="D116" s="245"/>
      <c r="E116" s="245"/>
      <c r="F116" s="33"/>
      <c r="G116" s="33"/>
      <c r="H116" s="33"/>
      <c r="I116" s="33"/>
      <c r="J116" s="33"/>
      <c r="K116" s="33"/>
      <c r="L116" s="33"/>
      <c r="M116" s="33"/>
    </row>
    <row r="117" spans="2:13">
      <c r="B117" s="244"/>
      <c r="C117" s="245"/>
      <c r="D117" s="245"/>
      <c r="E117" s="245"/>
      <c r="F117" s="33"/>
      <c r="G117" s="33"/>
      <c r="H117" s="33"/>
      <c r="I117" s="33"/>
      <c r="J117" s="33"/>
      <c r="K117" s="33"/>
      <c r="L117" s="33"/>
      <c r="M117" s="33"/>
    </row>
    <row r="118" spans="2:13">
      <c r="B118" s="244"/>
      <c r="C118" s="245"/>
      <c r="D118" s="245"/>
      <c r="E118" s="245"/>
      <c r="F118" s="33"/>
      <c r="G118" s="33"/>
      <c r="H118" s="33"/>
      <c r="I118" s="33"/>
      <c r="J118" s="33"/>
      <c r="K118" s="33"/>
      <c r="L118" s="33"/>
      <c r="M118" s="33"/>
    </row>
    <row r="119" spans="2:13">
      <c r="B119" s="244"/>
      <c r="C119" s="245"/>
      <c r="D119" s="245"/>
      <c r="E119" s="245"/>
      <c r="F119" s="33"/>
      <c r="G119" s="33"/>
      <c r="H119" s="33"/>
      <c r="I119" s="33"/>
      <c r="J119" s="33"/>
      <c r="K119" s="33"/>
      <c r="L119" s="33"/>
      <c r="M119" s="33"/>
    </row>
    <row r="120" spans="2:13">
      <c r="B120" s="244"/>
      <c r="C120" s="245"/>
      <c r="D120" s="245"/>
      <c r="E120" s="245"/>
      <c r="F120" s="33"/>
      <c r="G120" s="33"/>
      <c r="H120" s="33"/>
      <c r="I120" s="33"/>
      <c r="J120" s="33"/>
      <c r="K120" s="33"/>
      <c r="L120" s="33"/>
      <c r="M120" s="33"/>
    </row>
    <row r="121" spans="2:13">
      <c r="B121" s="244"/>
      <c r="C121" s="245"/>
      <c r="D121" s="245"/>
      <c r="E121" s="245"/>
      <c r="F121" s="33"/>
      <c r="G121" s="33"/>
      <c r="H121" s="33"/>
      <c r="I121" s="33"/>
      <c r="J121" s="33"/>
      <c r="K121" s="33"/>
      <c r="L121" s="33"/>
      <c r="M121" s="33"/>
    </row>
    <row r="122" spans="2:13">
      <c r="B122" s="244"/>
      <c r="C122" s="245"/>
      <c r="D122" s="245"/>
      <c r="E122" s="245"/>
      <c r="F122" s="33"/>
      <c r="G122" s="33"/>
      <c r="H122" s="33"/>
      <c r="I122" s="33"/>
      <c r="J122" s="33"/>
      <c r="K122" s="33"/>
      <c r="L122" s="33"/>
      <c r="M122" s="33"/>
    </row>
    <row r="123" spans="2:13">
      <c r="B123" s="244"/>
      <c r="C123" s="245"/>
      <c r="D123" s="245"/>
      <c r="E123" s="245"/>
      <c r="F123" s="33"/>
      <c r="G123" s="33"/>
      <c r="H123" s="33"/>
      <c r="I123" s="33"/>
      <c r="J123" s="33"/>
      <c r="K123" s="33"/>
      <c r="L123" s="33"/>
      <c r="M123" s="33"/>
    </row>
    <row r="124" spans="2:13">
      <c r="B124" s="244"/>
      <c r="C124" s="245"/>
      <c r="D124" s="245"/>
      <c r="E124" s="245"/>
      <c r="F124" s="33"/>
      <c r="G124" s="33"/>
      <c r="H124" s="33"/>
      <c r="I124" s="33"/>
      <c r="J124" s="33"/>
      <c r="K124" s="33"/>
      <c r="L124" s="33"/>
      <c r="M124" s="33"/>
    </row>
    <row r="125" spans="2:13">
      <c r="B125" s="244"/>
      <c r="C125" s="245"/>
      <c r="D125" s="245"/>
      <c r="E125" s="245"/>
      <c r="F125" s="33"/>
      <c r="G125" s="33"/>
      <c r="H125" s="33"/>
      <c r="I125" s="33"/>
      <c r="J125" s="33"/>
      <c r="K125" s="33"/>
      <c r="L125" s="33"/>
      <c r="M125" s="33"/>
    </row>
    <row r="126" spans="2:13">
      <c r="B126" s="244"/>
      <c r="C126" s="245"/>
      <c r="D126" s="245"/>
      <c r="E126" s="245"/>
      <c r="F126" s="33"/>
      <c r="G126" s="33"/>
      <c r="H126" s="33"/>
      <c r="I126" s="33"/>
      <c r="J126" s="33"/>
      <c r="K126" s="33"/>
      <c r="L126" s="33"/>
      <c r="M126" s="33"/>
    </row>
    <row r="127" spans="2:13">
      <c r="B127" s="244"/>
      <c r="C127" s="245"/>
      <c r="D127" s="245"/>
      <c r="E127" s="245"/>
      <c r="F127" s="33"/>
      <c r="G127" s="33"/>
      <c r="H127" s="33"/>
      <c r="I127" s="33"/>
      <c r="J127" s="33"/>
      <c r="K127" s="33"/>
      <c r="L127" s="33"/>
      <c r="M127" s="63"/>
    </row>
    <row r="128" spans="2:13">
      <c r="B128" s="244"/>
      <c r="C128" s="245"/>
      <c r="D128" s="245"/>
      <c r="E128" s="245"/>
      <c r="F128" s="33"/>
      <c r="G128" s="33"/>
      <c r="H128" s="33"/>
      <c r="I128" s="33"/>
      <c r="J128" s="33"/>
      <c r="K128" s="33"/>
      <c r="L128" s="33"/>
      <c r="M128" s="63"/>
    </row>
    <row r="129" spans="2:13">
      <c r="B129" s="244"/>
      <c r="C129" s="245"/>
      <c r="D129" s="245"/>
      <c r="E129" s="245"/>
      <c r="F129" s="33"/>
      <c r="G129" s="33"/>
      <c r="H129" s="33"/>
      <c r="I129" s="33"/>
      <c r="J129" s="33"/>
      <c r="K129" s="33"/>
      <c r="L129" s="33"/>
      <c r="M129" s="63"/>
    </row>
    <row r="130" spans="2:13">
      <c r="B130" s="244"/>
      <c r="C130" s="245"/>
      <c r="D130" s="245"/>
      <c r="E130" s="245"/>
      <c r="F130" s="33"/>
      <c r="G130" s="33"/>
      <c r="H130" s="33"/>
      <c r="I130" s="33"/>
      <c r="J130" s="33"/>
      <c r="K130" s="33"/>
      <c r="L130" s="33"/>
      <c r="M130" s="63"/>
    </row>
    <row r="131" spans="2:13">
      <c r="B131" s="244"/>
      <c r="C131" s="245"/>
      <c r="D131" s="245"/>
      <c r="E131" s="245"/>
      <c r="F131" s="33"/>
      <c r="G131" s="33"/>
      <c r="H131" s="33"/>
      <c r="I131" s="33"/>
      <c r="J131" s="33"/>
      <c r="K131" s="33"/>
      <c r="L131" s="33"/>
      <c r="M131" s="63"/>
    </row>
    <row r="132" spans="2:13">
      <c r="B132" s="244"/>
      <c r="C132" s="245"/>
      <c r="D132" s="245"/>
      <c r="E132" s="245"/>
      <c r="F132" s="33"/>
      <c r="G132" s="33"/>
      <c r="H132" s="33"/>
      <c r="I132" s="33"/>
      <c r="J132" s="33"/>
      <c r="K132" s="33"/>
      <c r="L132" s="33"/>
      <c r="M132" s="63"/>
    </row>
    <row r="133" spans="2:13">
      <c r="B133" s="244"/>
      <c r="C133" s="245"/>
      <c r="D133" s="245"/>
      <c r="E133" s="245"/>
      <c r="F133" s="33"/>
      <c r="G133" s="33"/>
      <c r="H133" s="33"/>
      <c r="I133" s="33"/>
      <c r="J133" s="33"/>
      <c r="K133" s="33"/>
      <c r="L133" s="33"/>
      <c r="M133" s="63"/>
    </row>
    <row r="134" spans="2:13">
      <c r="B134" s="244"/>
      <c r="C134" s="245"/>
      <c r="D134" s="245"/>
      <c r="E134" s="245"/>
      <c r="F134" s="33"/>
      <c r="G134" s="33"/>
      <c r="H134" s="33"/>
      <c r="I134" s="33"/>
      <c r="J134" s="33"/>
      <c r="K134" s="33"/>
      <c r="L134" s="33"/>
      <c r="M134" s="63"/>
    </row>
    <row r="135" spans="2:13">
      <c r="B135" s="244"/>
      <c r="C135" s="245"/>
      <c r="D135" s="245"/>
      <c r="E135" s="245"/>
      <c r="F135" s="33"/>
      <c r="G135" s="33"/>
      <c r="H135" s="33"/>
      <c r="I135" s="33"/>
      <c r="J135" s="33"/>
      <c r="K135" s="33"/>
      <c r="L135" s="33"/>
      <c r="M135" s="63"/>
    </row>
    <row r="136" spans="2:13">
      <c r="B136" s="140"/>
      <c r="C136" s="184"/>
      <c r="D136" s="184"/>
      <c r="E136" s="184"/>
      <c r="F136" s="63"/>
      <c r="G136" s="63"/>
      <c r="H136" s="63"/>
      <c r="I136" s="63"/>
      <c r="J136" s="63"/>
      <c r="K136" s="63"/>
      <c r="L136" s="63"/>
      <c r="M136" s="63"/>
    </row>
    <row r="137" spans="2:13">
      <c r="B137" s="140"/>
      <c r="C137" s="184"/>
      <c r="D137" s="184"/>
      <c r="E137" s="184"/>
      <c r="F137" s="63"/>
      <c r="G137" s="63"/>
      <c r="H137" s="63"/>
      <c r="I137" s="63"/>
      <c r="J137" s="63"/>
      <c r="K137" s="63"/>
      <c r="L137" s="63"/>
      <c r="M137" s="63"/>
    </row>
    <row r="138" spans="2:13">
      <c r="B138" s="140"/>
      <c r="C138" s="184"/>
      <c r="D138" s="184"/>
      <c r="E138" s="184"/>
      <c r="F138" s="63"/>
      <c r="G138" s="63"/>
      <c r="H138" s="63"/>
      <c r="I138" s="63"/>
      <c r="J138" s="63"/>
      <c r="K138" s="63"/>
      <c r="L138" s="63"/>
      <c r="M138" s="63"/>
    </row>
    <row r="139" spans="2:13">
      <c r="B139" s="140"/>
      <c r="C139" s="184"/>
      <c r="D139" s="184"/>
      <c r="E139" s="184"/>
      <c r="F139" s="63"/>
      <c r="G139" s="63"/>
      <c r="H139" s="63"/>
      <c r="I139" s="63"/>
      <c r="J139" s="63"/>
      <c r="K139" s="63"/>
      <c r="L139" s="63"/>
      <c r="M139" s="63"/>
    </row>
    <row r="140" spans="2:13">
      <c r="B140" s="140"/>
      <c r="C140" s="184"/>
      <c r="D140" s="184"/>
      <c r="E140" s="184"/>
      <c r="F140" s="63"/>
      <c r="G140" s="63"/>
      <c r="H140" s="63"/>
      <c r="I140" s="63"/>
      <c r="J140" s="63"/>
      <c r="K140" s="63"/>
      <c r="L140" s="63"/>
      <c r="M140" s="63"/>
    </row>
    <row r="141" spans="2:13">
      <c r="B141" s="140"/>
      <c r="C141" s="184"/>
      <c r="D141" s="184"/>
      <c r="E141" s="184"/>
      <c r="F141" s="63"/>
      <c r="G141" s="63"/>
      <c r="H141" s="63"/>
      <c r="I141" s="63"/>
      <c r="J141" s="63"/>
      <c r="K141" s="63"/>
      <c r="L141" s="63"/>
      <c r="M141" s="63"/>
    </row>
    <row r="142" spans="2:13">
      <c r="B142" s="140"/>
      <c r="C142" s="184"/>
      <c r="D142" s="184"/>
      <c r="E142" s="184"/>
      <c r="F142" s="63"/>
      <c r="G142" s="63"/>
      <c r="H142" s="63"/>
      <c r="I142" s="63"/>
      <c r="J142" s="63"/>
      <c r="K142" s="63"/>
      <c r="L142" s="63"/>
      <c r="M142" s="63"/>
    </row>
    <row r="143" spans="2:13">
      <c r="B143" s="140"/>
      <c r="C143" s="184"/>
      <c r="D143" s="184"/>
      <c r="E143" s="184"/>
      <c r="F143" s="63"/>
      <c r="G143" s="63"/>
      <c r="H143" s="63"/>
      <c r="I143" s="63"/>
      <c r="J143" s="63"/>
      <c r="K143" s="63"/>
      <c r="L143" s="63"/>
      <c r="M143" s="63"/>
    </row>
    <row r="144" spans="2:13">
      <c r="B144" s="140"/>
      <c r="C144" s="184"/>
      <c r="D144" s="184"/>
      <c r="E144" s="184"/>
      <c r="F144" s="63"/>
      <c r="G144" s="63"/>
      <c r="H144" s="63"/>
      <c r="I144" s="63"/>
      <c r="J144" s="63"/>
      <c r="K144" s="63"/>
      <c r="L144" s="63"/>
      <c r="M144" s="63"/>
    </row>
    <row r="145" spans="2:13">
      <c r="B145" s="140"/>
      <c r="C145" s="184"/>
      <c r="D145" s="184"/>
      <c r="E145" s="184"/>
      <c r="F145" s="63"/>
      <c r="G145" s="63"/>
      <c r="H145" s="63"/>
      <c r="I145" s="63"/>
      <c r="J145" s="63"/>
      <c r="K145" s="63"/>
      <c r="L145" s="63"/>
      <c r="M145" s="63"/>
    </row>
    <row r="146" spans="2:13">
      <c r="B146" s="140"/>
      <c r="C146" s="184"/>
      <c r="D146" s="184"/>
      <c r="E146" s="184"/>
      <c r="F146" s="63"/>
      <c r="G146" s="63"/>
      <c r="H146" s="63"/>
      <c r="I146" s="63"/>
      <c r="J146" s="63"/>
      <c r="K146" s="63"/>
      <c r="L146" s="63"/>
      <c r="M146" s="63"/>
    </row>
    <row r="147" spans="2:13">
      <c r="B147" s="140"/>
      <c r="C147" s="184"/>
      <c r="D147" s="184"/>
      <c r="E147" s="184"/>
      <c r="F147" s="63"/>
      <c r="G147" s="63"/>
      <c r="H147" s="63"/>
      <c r="I147" s="63"/>
      <c r="J147" s="63"/>
      <c r="K147" s="63"/>
      <c r="L147" s="63"/>
      <c r="M147" s="63"/>
    </row>
    <row r="148" spans="2:13">
      <c r="B148" s="140"/>
      <c r="C148" s="184"/>
      <c r="D148" s="184"/>
      <c r="E148" s="184"/>
      <c r="F148" s="63"/>
      <c r="G148" s="63"/>
      <c r="H148" s="63"/>
      <c r="I148" s="63"/>
      <c r="J148" s="63"/>
      <c r="K148" s="63"/>
      <c r="L148" s="63"/>
      <c r="M148" s="63"/>
    </row>
    <row r="149" spans="3:5">
      <c r="C149" s="217"/>
      <c r="D149" s="217"/>
      <c r="E149" s="217"/>
    </row>
    <row r="150" spans="3:5">
      <c r="C150" s="217"/>
      <c r="D150" s="217"/>
      <c r="E150" s="217"/>
    </row>
    <row r="151" spans="3:5">
      <c r="C151" s="217"/>
      <c r="D151" s="217"/>
      <c r="E151" s="217"/>
    </row>
    <row r="152" spans="3:5">
      <c r="C152" s="217"/>
      <c r="D152" s="217"/>
      <c r="E152" s="217"/>
    </row>
    <row r="153" spans="3:5">
      <c r="C153" s="217"/>
      <c r="D153" s="217"/>
      <c r="E153" s="217"/>
    </row>
    <row r="154" spans="3:5">
      <c r="C154" s="217"/>
      <c r="D154" s="217"/>
      <c r="E154" s="217"/>
    </row>
    <row r="155" spans="3:5">
      <c r="C155" s="217"/>
      <c r="D155" s="217"/>
      <c r="E155" s="217"/>
    </row>
    <row r="156" spans="3:5">
      <c r="C156" s="217"/>
      <c r="D156" s="217"/>
      <c r="E156" s="217"/>
    </row>
    <row r="157" spans="3:5">
      <c r="C157" s="217"/>
      <c r="D157" s="217"/>
      <c r="E157" s="217"/>
    </row>
    <row r="158" spans="3:5">
      <c r="C158" s="217"/>
      <c r="D158" s="217"/>
      <c r="E158" s="217"/>
    </row>
    <row r="159" spans="3:5">
      <c r="C159" s="217"/>
      <c r="D159" s="217"/>
      <c r="E159" s="217"/>
    </row>
    <row r="160" spans="3:5">
      <c r="C160" s="217"/>
      <c r="D160" s="217"/>
      <c r="E160" s="217"/>
    </row>
  </sheetData>
  <mergeCells count="9">
    <mergeCell ref="A1:L1"/>
    <mergeCell ref="A2:A3"/>
    <mergeCell ref="B2:B3"/>
    <mergeCell ref="C2:C3"/>
    <mergeCell ref="D2:D3"/>
    <mergeCell ref="E2:E3"/>
    <mergeCell ref="J2:J3"/>
    <mergeCell ref="K2:K3"/>
    <mergeCell ref="L2:L3"/>
  </mergeCells>
  <pageMargins left="0.749305555555556" right="0.749305555555556" top="0.999305555555556" bottom="0.999305555555556" header="0.509027777777778" footer="0.509027777777778"/>
  <pageSetup paperSize="14" orientation="landscape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B18" sqref="B18"/>
    </sheetView>
  </sheetViews>
  <sheetFormatPr defaultColWidth="9.14285714285714" defaultRowHeight="15"/>
  <cols>
    <col min="1" max="1" width="38" customWidth="1"/>
    <col min="2" max="2" width="10.2857142857143" style="191" customWidth="1"/>
    <col min="3" max="3" width="8.42857142857143" style="191" customWidth="1"/>
    <col min="4" max="5" width="7.85714285714286" style="191" customWidth="1"/>
    <col min="6" max="11" width="8.71428571428571" style="191" customWidth="1"/>
  </cols>
  <sheetData>
    <row r="1" ht="19.5" spans="1:11">
      <c r="A1" s="192" t="s">
        <v>658</v>
      </c>
      <c r="B1" s="193"/>
      <c r="C1" s="193"/>
      <c r="D1" s="193"/>
      <c r="E1" s="193"/>
      <c r="F1" s="193"/>
      <c r="G1" s="193"/>
      <c r="H1" s="193"/>
      <c r="I1" s="193"/>
      <c r="J1" s="193"/>
      <c r="K1" s="218"/>
    </row>
    <row r="2" ht="26.25" spans="1:11">
      <c r="A2" s="145" t="s">
        <v>1</v>
      </c>
      <c r="B2" s="194" t="s">
        <v>2</v>
      </c>
      <c r="C2" s="147" t="s">
        <v>3</v>
      </c>
      <c r="D2" s="148" t="s">
        <v>4</v>
      </c>
      <c r="E2" s="149" t="s">
        <v>5</v>
      </c>
      <c r="F2" s="150" t="s">
        <v>659</v>
      </c>
      <c r="G2" s="151" t="s">
        <v>632</v>
      </c>
      <c r="H2" s="150" t="s">
        <v>633</v>
      </c>
      <c r="I2" s="149" t="s">
        <v>7</v>
      </c>
      <c r="J2" s="149" t="s">
        <v>8</v>
      </c>
      <c r="K2" s="186" t="s">
        <v>9</v>
      </c>
    </row>
    <row r="3" ht="15.75" spans="1:11">
      <c r="A3" s="152"/>
      <c r="B3" s="195"/>
      <c r="C3" s="154"/>
      <c r="D3" s="155"/>
      <c r="E3" s="156"/>
      <c r="F3" s="157" t="s">
        <v>634</v>
      </c>
      <c r="G3" s="158" t="s">
        <v>634</v>
      </c>
      <c r="H3" s="158" t="s">
        <v>634</v>
      </c>
      <c r="I3" s="156"/>
      <c r="J3" s="156"/>
      <c r="K3" s="187"/>
    </row>
    <row r="4" spans="1:11">
      <c r="A4" s="159" t="s">
        <v>113</v>
      </c>
      <c r="B4" s="196">
        <v>12</v>
      </c>
      <c r="C4" s="197">
        <f>92.86*12</f>
        <v>1114.32</v>
      </c>
      <c r="D4" s="197">
        <f>C4/12</f>
        <v>92.86</v>
      </c>
      <c r="E4" s="198">
        <v>100</v>
      </c>
      <c r="F4" s="199"/>
      <c r="G4" s="197"/>
      <c r="H4" s="197"/>
      <c r="I4" s="197"/>
      <c r="J4" s="197"/>
      <c r="K4" s="198"/>
    </row>
    <row r="5" spans="1:11">
      <c r="A5" s="169" t="s">
        <v>118</v>
      </c>
      <c r="B5" s="200">
        <v>7</v>
      </c>
      <c r="C5" s="201">
        <f>207*7</f>
        <v>1449</v>
      </c>
      <c r="D5" s="201">
        <f>C5/7</f>
        <v>207</v>
      </c>
      <c r="E5" s="202">
        <v>214</v>
      </c>
      <c r="F5" s="203"/>
      <c r="G5" s="201"/>
      <c r="H5" s="201"/>
      <c r="I5" s="201"/>
      <c r="J5" s="201"/>
      <c r="K5" s="202"/>
    </row>
    <row r="6" spans="1:11">
      <c r="A6" s="164" t="s">
        <v>116</v>
      </c>
      <c r="B6" s="204">
        <v>12</v>
      </c>
      <c r="C6" s="205">
        <f>92.19*12</f>
        <v>1106.28</v>
      </c>
      <c r="D6" s="205">
        <f>C6/12</f>
        <v>92.19</v>
      </c>
      <c r="E6" s="206">
        <v>100</v>
      </c>
      <c r="F6" s="207"/>
      <c r="G6" s="205"/>
      <c r="H6" s="205"/>
      <c r="I6" s="205"/>
      <c r="J6" s="205"/>
      <c r="K6" s="206"/>
    </row>
    <row r="7" spans="1:11">
      <c r="A7" s="164" t="s">
        <v>117</v>
      </c>
      <c r="B7" s="204">
        <v>7</v>
      </c>
      <c r="C7" s="205">
        <f>205.23*7</f>
        <v>1436.61</v>
      </c>
      <c r="D7" s="205">
        <f>C7/7</f>
        <v>205.23</v>
      </c>
      <c r="E7" s="206">
        <v>215</v>
      </c>
      <c r="F7" s="207"/>
      <c r="G7" s="205"/>
      <c r="H7" s="205"/>
      <c r="I7" s="205"/>
      <c r="J7" s="205"/>
      <c r="K7" s="206"/>
    </row>
    <row r="8" spans="1:11">
      <c r="A8" s="169" t="s">
        <v>119</v>
      </c>
      <c r="B8" s="200">
        <v>12</v>
      </c>
      <c r="C8" s="201">
        <f>B8*92.99</f>
        <v>1115.88</v>
      </c>
      <c r="D8" s="201">
        <f>C8/12</f>
        <v>92.99</v>
      </c>
      <c r="E8" s="202">
        <v>100</v>
      </c>
      <c r="F8" s="203"/>
      <c r="G8" s="201"/>
      <c r="H8" s="201"/>
      <c r="I8" s="201"/>
      <c r="J8" s="201"/>
      <c r="K8" s="202"/>
    </row>
    <row r="9" spans="1:11">
      <c r="A9" s="169" t="s">
        <v>120</v>
      </c>
      <c r="B9" s="200">
        <v>7</v>
      </c>
      <c r="C9" s="201">
        <f>203*7</f>
        <v>1421</v>
      </c>
      <c r="D9" s="201">
        <f>C9/7</f>
        <v>203</v>
      </c>
      <c r="E9" s="202">
        <v>211</v>
      </c>
      <c r="F9" s="203"/>
      <c r="G9" s="201"/>
      <c r="H9" s="201"/>
      <c r="I9" s="201"/>
      <c r="J9" s="201"/>
      <c r="K9" s="202"/>
    </row>
    <row r="10" spans="1:11">
      <c r="A10" s="169" t="s">
        <v>121</v>
      </c>
      <c r="B10" s="200">
        <v>12</v>
      </c>
      <c r="C10" s="201">
        <f>12*91.69</f>
        <v>1100.28</v>
      </c>
      <c r="D10" s="201">
        <f>C10/12</f>
        <v>91.69</v>
      </c>
      <c r="E10" s="202">
        <v>100</v>
      </c>
      <c r="F10" s="203"/>
      <c r="G10" s="201"/>
      <c r="H10" s="201"/>
      <c r="I10" s="201"/>
      <c r="J10" s="201"/>
      <c r="K10" s="202"/>
    </row>
    <row r="11" spans="1:11">
      <c r="A11" s="169" t="s">
        <v>122</v>
      </c>
      <c r="B11" s="200">
        <v>7</v>
      </c>
      <c r="C11" s="201">
        <f>7*203</f>
        <v>1421</v>
      </c>
      <c r="D11" s="201">
        <f>C11/7</f>
        <v>203</v>
      </c>
      <c r="E11" s="202">
        <v>213</v>
      </c>
      <c r="F11" s="203"/>
      <c r="G11" s="201"/>
      <c r="H11" s="201"/>
      <c r="I11" s="201"/>
      <c r="J11" s="201"/>
      <c r="K11" s="202"/>
    </row>
    <row r="12" spans="1:11">
      <c r="A12" s="169" t="s">
        <v>130</v>
      </c>
      <c r="B12" s="200">
        <v>12</v>
      </c>
      <c r="C12" s="201">
        <f>12*80</f>
        <v>960</v>
      </c>
      <c r="D12" s="201">
        <f>C12/12</f>
        <v>80</v>
      </c>
      <c r="E12" s="202">
        <v>88</v>
      </c>
      <c r="F12" s="203"/>
      <c r="G12" s="201"/>
      <c r="H12" s="201"/>
      <c r="I12" s="201"/>
      <c r="J12" s="201"/>
      <c r="K12" s="202"/>
    </row>
    <row r="13" spans="1:11">
      <c r="A13" s="164" t="s">
        <v>132</v>
      </c>
      <c r="B13" s="204">
        <v>12</v>
      </c>
      <c r="C13" s="205">
        <f>12*88.5</f>
        <v>1062</v>
      </c>
      <c r="D13" s="205">
        <f>C13/12</f>
        <v>88.5</v>
      </c>
      <c r="E13" s="206">
        <v>96</v>
      </c>
      <c r="F13" s="207"/>
      <c r="G13" s="205"/>
      <c r="H13" s="205"/>
      <c r="I13" s="205"/>
      <c r="J13" s="205"/>
      <c r="K13" s="206"/>
    </row>
    <row r="14" spans="1:11">
      <c r="A14" s="164" t="s">
        <v>131</v>
      </c>
      <c r="B14" s="204">
        <v>1</v>
      </c>
      <c r="C14" s="205">
        <v>760</v>
      </c>
      <c r="D14" s="205">
        <v>740</v>
      </c>
      <c r="E14" s="206"/>
      <c r="F14" s="207"/>
      <c r="G14" s="205"/>
      <c r="H14" s="205"/>
      <c r="I14" s="205"/>
      <c r="J14" s="205"/>
      <c r="K14" s="206"/>
    </row>
    <row r="15" spans="1:11">
      <c r="A15" s="164" t="s">
        <v>138</v>
      </c>
      <c r="B15" s="204">
        <v>2</v>
      </c>
      <c r="C15" s="205">
        <f>1690*2</f>
        <v>3380</v>
      </c>
      <c r="D15" s="205">
        <v>1640</v>
      </c>
      <c r="E15" s="206"/>
      <c r="F15" s="207"/>
      <c r="G15" s="205"/>
      <c r="H15" s="205"/>
      <c r="I15" s="205"/>
      <c r="J15" s="205"/>
      <c r="K15" s="206"/>
    </row>
    <row r="16" spans="1:11">
      <c r="A16" s="164" t="s">
        <v>140</v>
      </c>
      <c r="B16" s="204">
        <v>2</v>
      </c>
      <c r="C16" s="205">
        <f>1992.96*2</f>
        <v>3985.92</v>
      </c>
      <c r="D16" s="205">
        <f>C16/2</f>
        <v>1992.96</v>
      </c>
      <c r="E16" s="206"/>
      <c r="F16" s="207"/>
      <c r="G16" s="205"/>
      <c r="H16" s="205"/>
      <c r="I16" s="205"/>
      <c r="J16" s="205"/>
      <c r="K16" s="206"/>
    </row>
    <row r="17" spans="1:11">
      <c r="A17" s="164" t="s">
        <v>141</v>
      </c>
      <c r="B17" s="204">
        <v>2</v>
      </c>
      <c r="C17" s="205">
        <f>1569.6*2</f>
        <v>3139.2</v>
      </c>
      <c r="D17" s="205">
        <f>C17/2</f>
        <v>1569.6</v>
      </c>
      <c r="E17" s="206"/>
      <c r="F17" s="207"/>
      <c r="G17" s="205"/>
      <c r="H17" s="205"/>
      <c r="I17" s="205"/>
      <c r="J17" s="205"/>
      <c r="K17" s="206"/>
    </row>
    <row r="18" ht="15.75" spans="1:11">
      <c r="A18" s="208" t="s">
        <v>115</v>
      </c>
      <c r="B18" s="209">
        <v>1</v>
      </c>
      <c r="C18" s="210">
        <v>700</v>
      </c>
      <c r="D18" s="210">
        <v>700</v>
      </c>
      <c r="E18" s="211"/>
      <c r="F18" s="212"/>
      <c r="G18" s="210"/>
      <c r="H18" s="210"/>
      <c r="I18" s="210"/>
      <c r="J18" s="210"/>
      <c r="K18" s="211"/>
    </row>
    <row r="19" ht="15.75" spans="1:11">
      <c r="A19" s="179" t="s">
        <v>105</v>
      </c>
      <c r="B19" s="213">
        <f>SUM(B4:B18)</f>
        <v>108</v>
      </c>
      <c r="C19" s="214">
        <f>SUM(C4:C18)</f>
        <v>24151.49</v>
      </c>
      <c r="D19" s="214"/>
      <c r="E19" s="215"/>
      <c r="F19" s="216"/>
      <c r="G19" s="214"/>
      <c r="H19" s="214"/>
      <c r="I19" s="214"/>
      <c r="J19" s="214"/>
      <c r="K19" s="215"/>
    </row>
    <row r="20" spans="2:11">
      <c r="B20" s="217"/>
      <c r="C20" s="217"/>
      <c r="D20" s="217"/>
      <c r="E20" s="217"/>
      <c r="F20" s="217"/>
      <c r="G20" s="217"/>
      <c r="H20" s="217"/>
      <c r="I20" s="217"/>
      <c r="J20" s="217"/>
      <c r="K20" s="217"/>
    </row>
    <row r="21" spans="2:11">
      <c r="B21" s="217"/>
      <c r="C21" s="217"/>
      <c r="D21" s="217"/>
      <c r="E21" s="217"/>
      <c r="F21" s="217"/>
      <c r="G21" s="217"/>
      <c r="H21" s="217"/>
      <c r="I21" s="217"/>
      <c r="J21" s="217"/>
      <c r="K21" s="217"/>
    </row>
    <row r="22" spans="2:11">
      <c r="B22" s="217"/>
      <c r="C22" s="217"/>
      <c r="D22" s="217"/>
      <c r="E22" s="217"/>
      <c r="F22" s="217"/>
      <c r="G22" s="217"/>
      <c r="H22" s="217"/>
      <c r="I22" s="217"/>
      <c r="J22" s="217"/>
      <c r="K22" s="217"/>
    </row>
    <row r="23" spans="2:11">
      <c r="B23" s="217"/>
      <c r="C23" s="217"/>
      <c r="D23" s="217"/>
      <c r="E23" s="217"/>
      <c r="F23" s="217"/>
      <c r="G23" s="217"/>
      <c r="H23" s="217"/>
      <c r="I23" s="217"/>
      <c r="J23" s="217"/>
      <c r="K23" s="217"/>
    </row>
    <row r="24" spans="2:11">
      <c r="B24" s="217"/>
      <c r="C24" s="217"/>
      <c r="D24" s="217"/>
      <c r="E24" s="217"/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/>
      <c r="F25" s="217"/>
      <c r="G25" s="217"/>
      <c r="H25" s="217"/>
      <c r="I25" s="217"/>
      <c r="J25" s="217"/>
      <c r="K25" s="217"/>
    </row>
    <row r="26" spans="2:11">
      <c r="B26" s="217"/>
      <c r="C26" s="217"/>
      <c r="D26" s="217"/>
      <c r="E26" s="217"/>
      <c r="F26" s="217"/>
      <c r="G26" s="217"/>
      <c r="H26" s="217"/>
      <c r="I26" s="217"/>
      <c r="J26" s="217"/>
      <c r="K26" s="217"/>
    </row>
    <row r="27" spans="2:11">
      <c r="B27" s="217"/>
      <c r="C27" s="217"/>
      <c r="D27" s="217"/>
      <c r="E27" s="217"/>
      <c r="F27" s="217"/>
      <c r="G27" s="217"/>
      <c r="H27" s="217"/>
      <c r="I27" s="217"/>
      <c r="J27" s="217"/>
      <c r="K27" s="217"/>
    </row>
    <row r="28" spans="1:11">
      <c r="A28" s="63" t="s">
        <v>660</v>
      </c>
      <c r="B28" s="217"/>
      <c r="C28" s="217"/>
      <c r="D28" s="217"/>
      <c r="E28" s="217"/>
      <c r="F28" s="217"/>
      <c r="G28" s="217"/>
      <c r="H28" s="217"/>
      <c r="I28" s="217"/>
      <c r="J28" s="217"/>
      <c r="K28" s="217"/>
    </row>
    <row r="29" spans="2:11">
      <c r="B29" s="217"/>
      <c r="C29" s="217"/>
      <c r="D29" s="217"/>
      <c r="E29" s="217"/>
      <c r="F29" s="217"/>
      <c r="G29" s="217"/>
      <c r="H29" s="217"/>
      <c r="I29" s="217"/>
      <c r="J29" s="217"/>
      <c r="K29" s="217"/>
    </row>
  </sheetData>
  <mergeCells count="9">
    <mergeCell ref="A1:K1"/>
    <mergeCell ref="A2:A3"/>
    <mergeCell ref="B2:B3"/>
    <mergeCell ref="C2:C3"/>
    <mergeCell ref="D2:D3"/>
    <mergeCell ref="E2:E3"/>
    <mergeCell ref="I2:I3"/>
    <mergeCell ref="J2:J3"/>
    <mergeCell ref="K2:K3"/>
  </mergeCells>
  <pageMargins left="0.749305555555556" right="0.749305555555556" top="0.999305555555556" bottom="0.999305555555556" header="0.509027777777778" footer="0.509027777777778"/>
  <pageSetup paperSize="14" orientation="landscape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1"/>
  <sheetViews>
    <sheetView workbookViewId="0">
      <selection activeCell="I16" sqref="I16"/>
    </sheetView>
  </sheetViews>
  <sheetFormatPr defaultColWidth="9.14285714285714" defaultRowHeight="15"/>
  <cols>
    <col min="1" max="1" width="34.2857142857143" customWidth="1"/>
    <col min="2" max="2" width="10.1428571428571" style="140" customWidth="1"/>
    <col min="3" max="3" width="8.42857142857143" customWidth="1"/>
    <col min="4" max="4" width="7.85714285714286" customWidth="1"/>
    <col min="5" max="5" width="8.85714285714286" customWidth="1"/>
    <col min="6" max="11" width="8.71428571428571" customWidth="1"/>
    <col min="12" max="34" width="9.14285714285714" style="141"/>
  </cols>
  <sheetData>
    <row r="1" ht="16.5" spans="1:11">
      <c r="A1" s="142" t="s">
        <v>661</v>
      </c>
      <c r="B1" s="143"/>
      <c r="C1" s="144"/>
      <c r="D1" s="144"/>
      <c r="E1" s="144"/>
      <c r="F1" s="144"/>
      <c r="G1" s="144"/>
      <c r="H1" s="144"/>
      <c r="I1" s="144"/>
      <c r="J1" s="144"/>
      <c r="K1" s="185"/>
    </row>
    <row r="2" ht="26.25" spans="1:11">
      <c r="A2" s="145" t="s">
        <v>1</v>
      </c>
      <c r="B2" s="146" t="s">
        <v>2</v>
      </c>
      <c r="C2" s="147" t="s">
        <v>3</v>
      </c>
      <c r="D2" s="148" t="s">
        <v>4</v>
      </c>
      <c r="E2" s="149" t="s">
        <v>5</v>
      </c>
      <c r="F2" s="150" t="s">
        <v>659</v>
      </c>
      <c r="G2" s="151" t="s">
        <v>632</v>
      </c>
      <c r="H2" s="150" t="s">
        <v>633</v>
      </c>
      <c r="I2" s="149" t="s">
        <v>7</v>
      </c>
      <c r="J2" s="149" t="s">
        <v>8</v>
      </c>
      <c r="K2" s="186" t="s">
        <v>9</v>
      </c>
    </row>
    <row r="3" ht="15.75" spans="1:11">
      <c r="A3" s="152"/>
      <c r="B3" s="153"/>
      <c r="C3" s="154"/>
      <c r="D3" s="155"/>
      <c r="E3" s="156"/>
      <c r="F3" s="157" t="s">
        <v>634</v>
      </c>
      <c r="G3" s="158" t="s">
        <v>634</v>
      </c>
      <c r="H3" s="158" t="s">
        <v>634</v>
      </c>
      <c r="I3" s="156"/>
      <c r="J3" s="156"/>
      <c r="K3" s="187"/>
    </row>
    <row r="4" spans="1:14">
      <c r="A4" s="159" t="s">
        <v>153</v>
      </c>
      <c r="B4" s="160" t="s">
        <v>151</v>
      </c>
      <c r="C4" s="161">
        <f>30*7.83</f>
        <v>234.9</v>
      </c>
      <c r="D4" s="161">
        <f>C4/30</f>
        <v>7.83</v>
      </c>
      <c r="E4" s="162"/>
      <c r="F4" s="163"/>
      <c r="G4" s="161"/>
      <c r="H4" s="161"/>
      <c r="I4" s="161"/>
      <c r="J4" s="161"/>
      <c r="K4" s="162"/>
      <c r="L4" s="188"/>
      <c r="M4" s="188"/>
      <c r="N4" s="188"/>
    </row>
    <row r="5" spans="1:14">
      <c r="A5" s="164" t="s">
        <v>196</v>
      </c>
      <c r="B5" s="165">
        <v>24</v>
      </c>
      <c r="C5" s="166">
        <f>322.42</f>
        <v>322.42</v>
      </c>
      <c r="D5" s="166">
        <f>C5/24</f>
        <v>13.4341666666667</v>
      </c>
      <c r="E5" s="167">
        <v>20</v>
      </c>
      <c r="F5" s="168"/>
      <c r="G5" s="166"/>
      <c r="H5" s="166"/>
      <c r="I5" s="166"/>
      <c r="J5" s="166"/>
      <c r="K5" s="167"/>
      <c r="L5" s="188"/>
      <c r="M5" s="188"/>
      <c r="N5" s="188"/>
    </row>
    <row r="6" spans="1:14">
      <c r="A6" s="164" t="s">
        <v>189</v>
      </c>
      <c r="B6" s="165" t="s">
        <v>164</v>
      </c>
      <c r="C6" s="166">
        <f>32.12*10</f>
        <v>321.2</v>
      </c>
      <c r="D6" s="166">
        <f>C6/10</f>
        <v>32.12</v>
      </c>
      <c r="E6" s="167">
        <v>36</v>
      </c>
      <c r="F6" s="168"/>
      <c r="G6" s="166"/>
      <c r="H6" s="166"/>
      <c r="I6" s="166"/>
      <c r="J6" s="166"/>
      <c r="K6" s="167"/>
      <c r="L6" s="188"/>
      <c r="M6" s="188"/>
      <c r="N6" s="188"/>
    </row>
    <row r="7" spans="1:14">
      <c r="A7" s="164" t="s">
        <v>237</v>
      </c>
      <c r="B7" s="165" t="s">
        <v>238</v>
      </c>
      <c r="C7" s="166">
        <f>636.12</f>
        <v>636.12</v>
      </c>
      <c r="D7" s="166">
        <f>C7/20</f>
        <v>31.806</v>
      </c>
      <c r="E7" s="167">
        <v>37</v>
      </c>
      <c r="F7" s="168"/>
      <c r="G7" s="166"/>
      <c r="H7" s="166"/>
      <c r="I7" s="166"/>
      <c r="J7" s="166"/>
      <c r="K7" s="167"/>
      <c r="L7" s="188"/>
      <c r="M7" s="188"/>
      <c r="N7" s="188"/>
    </row>
    <row r="8" spans="1:14">
      <c r="A8" s="164" t="s">
        <v>283</v>
      </c>
      <c r="B8" s="165" t="s">
        <v>284</v>
      </c>
      <c r="C8" s="166">
        <f>5.36*24</f>
        <v>128.64</v>
      </c>
      <c r="D8" s="166">
        <f>C8/24</f>
        <v>5.36</v>
      </c>
      <c r="E8" s="167">
        <v>6.5</v>
      </c>
      <c r="F8" s="168"/>
      <c r="G8" s="166"/>
      <c r="H8" s="166"/>
      <c r="I8" s="166"/>
      <c r="J8" s="166"/>
      <c r="K8" s="167"/>
      <c r="L8" s="188"/>
      <c r="M8" s="188"/>
      <c r="N8" s="188"/>
    </row>
    <row r="9" spans="1:14">
      <c r="A9" s="164" t="s">
        <v>320</v>
      </c>
      <c r="B9" s="165" t="s">
        <v>144</v>
      </c>
      <c r="C9" s="166">
        <f>799.9/2</f>
        <v>399.95</v>
      </c>
      <c r="D9" s="166">
        <f>C9/12</f>
        <v>33.3291666666667</v>
      </c>
      <c r="E9" s="167">
        <v>40</v>
      </c>
      <c r="F9" s="168"/>
      <c r="G9" s="166"/>
      <c r="H9" s="166"/>
      <c r="I9" s="166"/>
      <c r="J9" s="166"/>
      <c r="K9" s="167"/>
      <c r="L9" s="188"/>
      <c r="M9" s="188"/>
      <c r="N9" s="188"/>
    </row>
    <row r="10" spans="1:14">
      <c r="A10" s="169" t="s">
        <v>367</v>
      </c>
      <c r="B10" s="170" t="s">
        <v>144</v>
      </c>
      <c r="C10" s="171">
        <v>199.58</v>
      </c>
      <c r="D10" s="171"/>
      <c r="E10" s="172"/>
      <c r="F10" s="173"/>
      <c r="G10" s="171"/>
      <c r="H10" s="171"/>
      <c r="I10" s="171"/>
      <c r="J10" s="171"/>
      <c r="K10" s="172"/>
      <c r="L10" s="188"/>
      <c r="M10" s="188"/>
      <c r="N10" s="188"/>
    </row>
    <row r="11" spans="1:14">
      <c r="A11" s="169" t="s">
        <v>373</v>
      </c>
      <c r="B11" s="170" t="s">
        <v>374</v>
      </c>
      <c r="C11" s="171">
        <f>5.31*32</f>
        <v>169.92</v>
      </c>
      <c r="D11" s="171">
        <f>C11/32</f>
        <v>5.31</v>
      </c>
      <c r="E11" s="172"/>
      <c r="F11" s="173"/>
      <c r="G11" s="171"/>
      <c r="H11" s="171"/>
      <c r="I11" s="171"/>
      <c r="J11" s="171"/>
      <c r="K11" s="172"/>
      <c r="L11" s="188"/>
      <c r="M11" s="188"/>
      <c r="N11" s="188"/>
    </row>
    <row r="12" spans="1:14">
      <c r="A12" s="169" t="s">
        <v>386</v>
      </c>
      <c r="B12" s="170" t="s">
        <v>233</v>
      </c>
      <c r="C12" s="171">
        <f>32.45*20</f>
        <v>649</v>
      </c>
      <c r="D12" s="171">
        <f>C12/20</f>
        <v>32.45</v>
      </c>
      <c r="E12" s="172"/>
      <c r="F12" s="173"/>
      <c r="G12" s="171"/>
      <c r="H12" s="171"/>
      <c r="I12" s="171"/>
      <c r="J12" s="171"/>
      <c r="K12" s="172"/>
      <c r="L12" s="188"/>
      <c r="M12" s="188"/>
      <c r="N12" s="188"/>
    </row>
    <row r="13" spans="1:14">
      <c r="A13" s="169" t="s">
        <v>389</v>
      </c>
      <c r="B13" s="170" t="s">
        <v>233</v>
      </c>
      <c r="C13" s="171">
        <f>41.88*20</f>
        <v>837.6</v>
      </c>
      <c r="D13" s="171">
        <f>C13/20</f>
        <v>41.88</v>
      </c>
      <c r="E13" s="172"/>
      <c r="F13" s="173"/>
      <c r="G13" s="171"/>
      <c r="H13" s="171"/>
      <c r="I13" s="171"/>
      <c r="J13" s="171"/>
      <c r="K13" s="172"/>
      <c r="L13" s="188"/>
      <c r="M13" s="188"/>
      <c r="N13" s="188"/>
    </row>
    <row r="14" spans="1:14">
      <c r="A14" s="164" t="s">
        <v>446</v>
      </c>
      <c r="B14" s="165" t="s">
        <v>150</v>
      </c>
      <c r="C14" s="166">
        <f>38.17*10</f>
        <v>381.7</v>
      </c>
      <c r="D14" s="166">
        <f>C14/10</f>
        <v>38.17</v>
      </c>
      <c r="E14" s="167">
        <v>42</v>
      </c>
      <c r="F14" s="168"/>
      <c r="G14" s="166"/>
      <c r="H14" s="166"/>
      <c r="I14" s="166"/>
      <c r="J14" s="166"/>
      <c r="K14" s="167"/>
      <c r="L14" s="188"/>
      <c r="M14" s="188"/>
      <c r="N14" s="188"/>
    </row>
    <row r="15" spans="1:14">
      <c r="A15" s="164" t="s">
        <v>447</v>
      </c>
      <c r="B15" s="165" t="s">
        <v>150</v>
      </c>
      <c r="C15" s="166">
        <f>14.28*10</f>
        <v>142.8</v>
      </c>
      <c r="D15" s="166">
        <f>C15/10</f>
        <v>14.28</v>
      </c>
      <c r="E15" s="167">
        <v>16.5</v>
      </c>
      <c r="F15" s="168"/>
      <c r="G15" s="166"/>
      <c r="H15" s="166"/>
      <c r="I15" s="166"/>
      <c r="J15" s="166"/>
      <c r="K15" s="167"/>
      <c r="L15" s="188"/>
      <c r="M15" s="188"/>
      <c r="N15" s="188"/>
    </row>
    <row r="16" spans="1:14">
      <c r="A16" s="164" t="s">
        <v>450</v>
      </c>
      <c r="B16" s="165" t="s">
        <v>451</v>
      </c>
      <c r="C16" s="166">
        <f>10.79*32</f>
        <v>345.28</v>
      </c>
      <c r="D16" s="166">
        <f>C16/32</f>
        <v>10.79</v>
      </c>
      <c r="E16" s="167">
        <v>12</v>
      </c>
      <c r="F16" s="168"/>
      <c r="G16" s="166"/>
      <c r="H16" s="166"/>
      <c r="I16" s="166"/>
      <c r="J16" s="166"/>
      <c r="K16" s="167"/>
      <c r="L16" s="188"/>
      <c r="M16" s="188"/>
      <c r="N16" s="188"/>
    </row>
    <row r="17" s="138" customFormat="1" spans="1:34">
      <c r="A17" s="169" t="s">
        <v>465</v>
      </c>
      <c r="B17" s="170" t="s">
        <v>233</v>
      </c>
      <c r="C17" s="171">
        <f>12.43*20</f>
        <v>248.6</v>
      </c>
      <c r="D17" s="171">
        <f>C17/20</f>
        <v>12.43</v>
      </c>
      <c r="E17" s="172"/>
      <c r="F17" s="173"/>
      <c r="G17" s="171"/>
      <c r="H17" s="171"/>
      <c r="I17" s="171"/>
      <c r="J17" s="171"/>
      <c r="K17" s="172"/>
      <c r="L17" s="188"/>
      <c r="M17" s="188"/>
      <c r="N17" s="188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</row>
    <row r="18" spans="1:14">
      <c r="A18" s="164" t="s">
        <v>468</v>
      </c>
      <c r="B18" s="165" t="s">
        <v>439</v>
      </c>
      <c r="C18" s="166">
        <f>1671.47</f>
        <v>1671.47</v>
      </c>
      <c r="D18" s="166">
        <f>C18/14</f>
        <v>119.390714285714</v>
      </c>
      <c r="E18" s="167">
        <v>138</v>
      </c>
      <c r="F18" s="168"/>
      <c r="G18" s="166"/>
      <c r="H18" s="166"/>
      <c r="I18" s="166"/>
      <c r="J18" s="166"/>
      <c r="K18" s="167"/>
      <c r="L18" s="188"/>
      <c r="M18" s="188"/>
      <c r="N18" s="188"/>
    </row>
    <row r="19" s="138" customFormat="1" spans="1:34">
      <c r="A19" s="169" t="s">
        <v>452</v>
      </c>
      <c r="B19" s="170" t="s">
        <v>164</v>
      </c>
      <c r="C19" s="171">
        <f>31.61*10</f>
        <v>316.1</v>
      </c>
      <c r="D19" s="171">
        <f>C19/10</f>
        <v>31.61</v>
      </c>
      <c r="E19" s="172"/>
      <c r="F19" s="173"/>
      <c r="G19" s="171"/>
      <c r="H19" s="171"/>
      <c r="I19" s="171"/>
      <c r="J19" s="171"/>
      <c r="K19" s="172"/>
      <c r="L19" s="188"/>
      <c r="M19" s="188"/>
      <c r="N19" s="188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</row>
    <row r="20" s="138" customFormat="1" spans="1:34">
      <c r="A20" s="169" t="s">
        <v>454</v>
      </c>
      <c r="B20" s="170" t="s">
        <v>233</v>
      </c>
      <c r="C20" s="171">
        <f>20.63*20</f>
        <v>412.6</v>
      </c>
      <c r="D20" s="171">
        <f>C20/20</f>
        <v>20.63</v>
      </c>
      <c r="E20" s="172"/>
      <c r="F20" s="173"/>
      <c r="G20" s="171"/>
      <c r="H20" s="171"/>
      <c r="I20" s="171"/>
      <c r="J20" s="171"/>
      <c r="K20" s="172"/>
      <c r="L20" s="188"/>
      <c r="M20" s="188"/>
      <c r="N20" s="188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</row>
    <row r="21" spans="1:14">
      <c r="A21" s="164" t="s">
        <v>509</v>
      </c>
      <c r="B21" s="165" t="s">
        <v>236</v>
      </c>
      <c r="C21" s="166">
        <f>6.96*12</f>
        <v>83.52</v>
      </c>
      <c r="D21" s="166">
        <f>C21/12</f>
        <v>6.96</v>
      </c>
      <c r="E21" s="167">
        <v>8.5</v>
      </c>
      <c r="F21" s="168"/>
      <c r="G21" s="166"/>
      <c r="H21" s="166"/>
      <c r="I21" s="166"/>
      <c r="J21" s="166"/>
      <c r="K21" s="167"/>
      <c r="L21" s="188"/>
      <c r="M21" s="188"/>
      <c r="N21" s="188"/>
    </row>
    <row r="22" spans="1:14">
      <c r="A22" s="164" t="s">
        <v>510</v>
      </c>
      <c r="B22" s="165" t="s">
        <v>285</v>
      </c>
      <c r="C22" s="166">
        <f>4.48*24</f>
        <v>107.52</v>
      </c>
      <c r="D22" s="166">
        <f>C22/24</f>
        <v>4.48</v>
      </c>
      <c r="E22" s="167">
        <v>5.5</v>
      </c>
      <c r="F22" s="168"/>
      <c r="G22" s="166"/>
      <c r="H22" s="166"/>
      <c r="I22" s="166"/>
      <c r="J22" s="166"/>
      <c r="K22" s="167"/>
      <c r="L22" s="188"/>
      <c r="M22" s="188"/>
      <c r="N22" s="188"/>
    </row>
    <row r="23" s="138" customFormat="1" spans="1:34">
      <c r="A23" s="169" t="s">
        <v>502</v>
      </c>
      <c r="B23" s="170" t="s">
        <v>439</v>
      </c>
      <c r="C23" s="171">
        <f>402.02</f>
        <v>402.02</v>
      </c>
      <c r="D23" s="171">
        <f>C23/14</f>
        <v>28.7157142857143</v>
      </c>
      <c r="E23" s="172"/>
      <c r="F23" s="173"/>
      <c r="G23" s="171"/>
      <c r="H23" s="171"/>
      <c r="I23" s="171"/>
      <c r="J23" s="171"/>
      <c r="K23" s="172"/>
      <c r="L23" s="188"/>
      <c r="M23" s="188"/>
      <c r="N23" s="188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</row>
    <row r="24" spans="1:14">
      <c r="A24" s="164" t="s">
        <v>525</v>
      </c>
      <c r="B24" s="165" t="s">
        <v>439</v>
      </c>
      <c r="C24" s="166">
        <f>568.58</f>
        <v>568.58</v>
      </c>
      <c r="D24" s="166">
        <f>C24/14</f>
        <v>40.6128571428571</v>
      </c>
      <c r="E24" s="167">
        <v>48</v>
      </c>
      <c r="F24" s="168"/>
      <c r="G24" s="166"/>
      <c r="H24" s="166"/>
      <c r="I24" s="166"/>
      <c r="J24" s="166"/>
      <c r="K24" s="167"/>
      <c r="L24" s="188"/>
      <c r="M24" s="188"/>
      <c r="N24" s="188"/>
    </row>
    <row r="25" s="138" customFormat="1" spans="1:34">
      <c r="A25" s="169" t="s">
        <v>521</v>
      </c>
      <c r="B25" s="170" t="s">
        <v>156</v>
      </c>
      <c r="C25" s="171">
        <f>9.04*20</f>
        <v>180.8</v>
      </c>
      <c r="D25" s="171">
        <f>C25/20</f>
        <v>9.04</v>
      </c>
      <c r="E25" s="172"/>
      <c r="F25" s="173"/>
      <c r="G25" s="171"/>
      <c r="H25" s="171"/>
      <c r="I25" s="171"/>
      <c r="J25" s="171"/>
      <c r="K25" s="172"/>
      <c r="L25" s="188"/>
      <c r="M25" s="188"/>
      <c r="N25" s="188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="138" customFormat="1" spans="1:34">
      <c r="A26" s="169" t="s">
        <v>527</v>
      </c>
      <c r="B26" s="170" t="s">
        <v>162</v>
      </c>
      <c r="C26" s="171">
        <f>92.11*3</f>
        <v>276.33</v>
      </c>
      <c r="D26" s="171">
        <f>C26/3</f>
        <v>92.11</v>
      </c>
      <c r="E26" s="172"/>
      <c r="F26" s="173"/>
      <c r="G26" s="171"/>
      <c r="H26" s="171"/>
      <c r="I26" s="171"/>
      <c r="J26" s="171"/>
      <c r="K26" s="172"/>
      <c r="L26" s="188"/>
      <c r="M26" s="188"/>
      <c r="N26" s="18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</row>
    <row r="27" ht="15.75" spans="1:14">
      <c r="A27" s="174" t="s">
        <v>582</v>
      </c>
      <c r="B27" s="175" t="s">
        <v>313</v>
      </c>
      <c r="C27" s="176">
        <f>831.98</f>
        <v>831.98</v>
      </c>
      <c r="D27" s="176">
        <f>C27/30</f>
        <v>27.7326666666667</v>
      </c>
      <c r="E27" s="177">
        <v>32</v>
      </c>
      <c r="F27" s="178"/>
      <c r="G27" s="176"/>
      <c r="H27" s="176"/>
      <c r="I27" s="176"/>
      <c r="J27" s="176"/>
      <c r="K27" s="177"/>
      <c r="L27" s="188"/>
      <c r="M27" s="188"/>
      <c r="N27" s="188"/>
    </row>
    <row r="28" s="139" customFormat="1" ht="15.75" spans="1:34">
      <c r="A28" s="179" t="s">
        <v>105</v>
      </c>
      <c r="B28" s="180"/>
      <c r="C28" s="181">
        <f>SUM(C4:C27)</f>
        <v>9868.63</v>
      </c>
      <c r="D28" s="181"/>
      <c r="E28" s="182"/>
      <c r="F28" s="183"/>
      <c r="G28" s="181"/>
      <c r="H28" s="181"/>
      <c r="I28" s="181"/>
      <c r="J28" s="181"/>
      <c r="K28" s="182"/>
      <c r="L28" s="189"/>
      <c r="M28" s="189"/>
      <c r="N28" s="189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</row>
    <row r="29" ht="15.75" spans="3:14">
      <c r="C29" s="184"/>
      <c r="D29" s="184"/>
      <c r="E29" s="184"/>
      <c r="F29" s="184"/>
      <c r="G29" s="184"/>
      <c r="H29" s="181"/>
      <c r="I29" s="184"/>
      <c r="J29" s="184"/>
      <c r="K29" s="184"/>
      <c r="L29" s="188"/>
      <c r="M29" s="188"/>
      <c r="N29" s="188"/>
    </row>
    <row r="30" spans="1:14">
      <c r="A30" s="63" t="s">
        <v>660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8"/>
      <c r="M30" s="188"/>
      <c r="N30" s="188"/>
    </row>
    <row r="31" spans="3:14">
      <c r="C31" s="184"/>
      <c r="D31" s="184"/>
      <c r="E31" s="184"/>
      <c r="F31" s="184"/>
      <c r="G31" s="184"/>
      <c r="H31" s="184"/>
      <c r="I31" s="184"/>
      <c r="J31" s="184"/>
      <c r="K31" s="184"/>
      <c r="L31" s="188"/>
      <c r="M31" s="188"/>
      <c r="N31" s="188"/>
    </row>
    <row r="32" spans="3:14">
      <c r="C32" s="184"/>
      <c r="D32" s="184"/>
      <c r="E32" s="184"/>
      <c r="F32" s="184"/>
      <c r="G32" s="184"/>
      <c r="H32" s="184"/>
      <c r="I32" s="184"/>
      <c r="J32" s="184"/>
      <c r="K32" s="184"/>
      <c r="L32" s="188"/>
      <c r="M32" s="188"/>
      <c r="N32" s="188"/>
    </row>
    <row r="33" spans="3:14">
      <c r="C33" s="184"/>
      <c r="D33" s="184"/>
      <c r="E33" s="184"/>
      <c r="F33" s="184"/>
      <c r="G33" s="184"/>
      <c r="H33" s="184"/>
      <c r="I33" s="184"/>
      <c r="J33" s="184"/>
      <c r="K33" s="184"/>
      <c r="L33" s="188"/>
      <c r="M33" s="188"/>
      <c r="N33" s="188"/>
    </row>
    <row r="34" spans="3:14">
      <c r="C34" s="184"/>
      <c r="D34" s="184"/>
      <c r="E34" s="184"/>
      <c r="F34" s="184"/>
      <c r="G34" s="184"/>
      <c r="H34" s="184"/>
      <c r="I34" s="184"/>
      <c r="J34" s="184"/>
      <c r="K34" s="184"/>
      <c r="L34" s="188"/>
      <c r="M34" s="188"/>
      <c r="N34" s="188"/>
    </row>
    <row r="35" spans="3:14">
      <c r="C35" s="184"/>
      <c r="D35" s="184"/>
      <c r="E35" s="184"/>
      <c r="F35" s="184"/>
      <c r="G35" s="184"/>
      <c r="H35" s="184"/>
      <c r="I35" s="184"/>
      <c r="J35" s="184"/>
      <c r="K35" s="184"/>
      <c r="L35" s="188"/>
      <c r="M35" s="188"/>
      <c r="N35" s="188"/>
    </row>
    <row r="36" spans="3:14">
      <c r="C36" s="184"/>
      <c r="D36" s="184"/>
      <c r="E36" s="184"/>
      <c r="F36" s="184"/>
      <c r="G36" s="184"/>
      <c r="H36" s="184"/>
      <c r="I36" s="184"/>
      <c r="J36" s="184"/>
      <c r="K36" s="184"/>
      <c r="L36" s="188"/>
      <c r="M36" s="188"/>
      <c r="N36" s="188"/>
    </row>
    <row r="37" spans="3:14">
      <c r="C37" s="184"/>
      <c r="D37" s="184"/>
      <c r="E37" s="184"/>
      <c r="F37" s="184"/>
      <c r="G37" s="184"/>
      <c r="H37" s="184"/>
      <c r="I37" s="184"/>
      <c r="J37" s="184"/>
      <c r="K37" s="184"/>
      <c r="L37" s="188"/>
      <c r="M37" s="188"/>
      <c r="N37" s="188"/>
    </row>
    <row r="38" spans="3:14">
      <c r="C38" s="184"/>
      <c r="D38" s="184"/>
      <c r="E38" s="184"/>
      <c r="F38" s="184"/>
      <c r="G38" s="184"/>
      <c r="H38" s="184"/>
      <c r="I38" s="184"/>
      <c r="J38" s="184"/>
      <c r="K38" s="184"/>
      <c r="L38" s="188"/>
      <c r="M38" s="188"/>
      <c r="N38" s="188"/>
    </row>
    <row r="39" spans="3:14">
      <c r="C39" s="184"/>
      <c r="D39" s="184"/>
      <c r="E39" s="184"/>
      <c r="F39" s="184"/>
      <c r="G39" s="184"/>
      <c r="H39" s="184"/>
      <c r="I39" s="184"/>
      <c r="J39" s="184"/>
      <c r="K39" s="184"/>
      <c r="L39" s="188"/>
      <c r="M39" s="188"/>
      <c r="N39" s="188"/>
    </row>
    <row r="40" spans="3:14">
      <c r="C40" s="184"/>
      <c r="D40" s="184"/>
      <c r="E40" s="184"/>
      <c r="F40" s="184"/>
      <c r="G40" s="184"/>
      <c r="H40" s="184"/>
      <c r="I40" s="184"/>
      <c r="J40" s="184"/>
      <c r="K40" s="184"/>
      <c r="L40" s="188"/>
      <c r="M40" s="188"/>
      <c r="N40" s="188"/>
    </row>
    <row r="41" spans="3:14">
      <c r="C41" s="184"/>
      <c r="D41" s="184"/>
      <c r="E41" s="184"/>
      <c r="F41" s="184"/>
      <c r="G41" s="184"/>
      <c r="H41" s="184"/>
      <c r="I41" s="184"/>
      <c r="J41" s="184"/>
      <c r="K41" s="184"/>
      <c r="L41" s="188"/>
      <c r="M41" s="188"/>
      <c r="N41" s="188"/>
    </row>
    <row r="42" spans="3:14">
      <c r="C42" s="184"/>
      <c r="D42" s="184"/>
      <c r="E42" s="184"/>
      <c r="F42" s="184"/>
      <c r="G42" s="184"/>
      <c r="H42" s="184"/>
      <c r="I42" s="184"/>
      <c r="J42" s="184"/>
      <c r="K42" s="184"/>
      <c r="L42" s="188"/>
      <c r="M42" s="188"/>
      <c r="N42" s="188"/>
    </row>
    <row r="43" spans="3:14">
      <c r="C43" s="184"/>
      <c r="D43" s="184"/>
      <c r="E43" s="184"/>
      <c r="F43" s="184"/>
      <c r="G43" s="184"/>
      <c r="H43" s="184"/>
      <c r="I43" s="184"/>
      <c r="J43" s="184"/>
      <c r="K43" s="184"/>
      <c r="L43" s="188"/>
      <c r="M43" s="188"/>
      <c r="N43" s="188"/>
    </row>
    <row r="44" spans="3:14">
      <c r="C44" s="184"/>
      <c r="D44" s="184"/>
      <c r="E44" s="184"/>
      <c r="F44" s="184"/>
      <c r="G44" s="184"/>
      <c r="H44" s="184"/>
      <c r="I44" s="184"/>
      <c r="J44" s="184"/>
      <c r="K44" s="184"/>
      <c r="L44" s="188"/>
      <c r="M44" s="188"/>
      <c r="N44" s="188"/>
    </row>
    <row r="45" spans="3:14">
      <c r="C45" s="184"/>
      <c r="D45" s="184"/>
      <c r="E45" s="184"/>
      <c r="F45" s="184"/>
      <c r="G45" s="184"/>
      <c r="H45" s="184"/>
      <c r="I45" s="184"/>
      <c r="J45" s="184"/>
      <c r="K45" s="184"/>
      <c r="L45" s="188"/>
      <c r="M45" s="188"/>
      <c r="N45" s="188"/>
    </row>
    <row r="46" spans="3:14">
      <c r="C46" s="184"/>
      <c r="D46" s="184"/>
      <c r="E46" s="184"/>
      <c r="F46" s="184"/>
      <c r="G46" s="184"/>
      <c r="H46" s="184"/>
      <c r="I46" s="184"/>
      <c r="J46" s="184"/>
      <c r="K46" s="184"/>
      <c r="L46" s="188"/>
      <c r="M46" s="188"/>
      <c r="N46" s="188"/>
    </row>
    <row r="47" spans="3:14">
      <c r="C47" s="184"/>
      <c r="D47" s="184"/>
      <c r="E47" s="184"/>
      <c r="F47" s="184"/>
      <c r="G47" s="184"/>
      <c r="H47" s="184"/>
      <c r="I47" s="184"/>
      <c r="J47" s="184"/>
      <c r="K47" s="184"/>
      <c r="L47" s="188"/>
      <c r="M47" s="188"/>
      <c r="N47" s="188"/>
    </row>
    <row r="48" spans="3:14">
      <c r="C48" s="184"/>
      <c r="D48" s="184"/>
      <c r="E48" s="184"/>
      <c r="F48" s="184"/>
      <c r="G48" s="184"/>
      <c r="H48" s="184"/>
      <c r="I48" s="184"/>
      <c r="J48" s="184"/>
      <c r="K48" s="184"/>
      <c r="L48" s="188"/>
      <c r="M48" s="188"/>
      <c r="N48" s="188"/>
    </row>
    <row r="49" spans="3:14">
      <c r="C49" s="184"/>
      <c r="D49" s="184"/>
      <c r="E49" s="184"/>
      <c r="F49" s="184"/>
      <c r="G49" s="184"/>
      <c r="H49" s="184"/>
      <c r="I49" s="184"/>
      <c r="J49" s="184"/>
      <c r="K49" s="184"/>
      <c r="L49" s="188"/>
      <c r="M49" s="188"/>
      <c r="N49" s="188"/>
    </row>
    <row r="50" spans="3:14">
      <c r="C50" s="184"/>
      <c r="D50" s="184"/>
      <c r="E50" s="184"/>
      <c r="F50" s="184"/>
      <c r="G50" s="184"/>
      <c r="H50" s="184"/>
      <c r="I50" s="184"/>
      <c r="J50" s="184"/>
      <c r="K50" s="184"/>
      <c r="L50" s="188"/>
      <c r="M50" s="188"/>
      <c r="N50" s="188"/>
    </row>
    <row r="51" spans="3:14">
      <c r="C51" s="184"/>
      <c r="D51" s="184"/>
      <c r="E51" s="184"/>
      <c r="F51" s="184"/>
      <c r="G51" s="184"/>
      <c r="H51" s="184"/>
      <c r="I51" s="184"/>
      <c r="J51" s="184"/>
      <c r="K51" s="184"/>
      <c r="L51" s="188"/>
      <c r="M51" s="188"/>
      <c r="N51" s="188"/>
    </row>
    <row r="52" spans="3:14">
      <c r="C52" s="184"/>
      <c r="D52" s="184"/>
      <c r="E52" s="184"/>
      <c r="F52" s="184"/>
      <c r="G52" s="184"/>
      <c r="H52" s="184"/>
      <c r="I52" s="184"/>
      <c r="J52" s="184"/>
      <c r="K52" s="184"/>
      <c r="L52" s="188"/>
      <c r="M52" s="188"/>
      <c r="N52" s="188"/>
    </row>
    <row r="53" spans="3:14">
      <c r="C53" s="184"/>
      <c r="D53" s="184"/>
      <c r="E53" s="184"/>
      <c r="F53" s="184"/>
      <c r="G53" s="184"/>
      <c r="H53" s="184"/>
      <c r="I53" s="184"/>
      <c r="J53" s="184"/>
      <c r="K53" s="184"/>
      <c r="L53" s="188"/>
      <c r="M53" s="188"/>
      <c r="N53" s="188"/>
    </row>
    <row r="54" spans="3:14">
      <c r="C54" s="184"/>
      <c r="D54" s="184"/>
      <c r="E54" s="184"/>
      <c r="F54" s="184"/>
      <c r="G54" s="184"/>
      <c r="H54" s="184"/>
      <c r="I54" s="184"/>
      <c r="J54" s="184"/>
      <c r="K54" s="184"/>
      <c r="L54" s="188"/>
      <c r="M54" s="188"/>
      <c r="N54" s="188"/>
    </row>
    <row r="55" spans="3:14">
      <c r="C55" s="184"/>
      <c r="D55" s="184"/>
      <c r="E55" s="184"/>
      <c r="F55" s="184"/>
      <c r="G55" s="184"/>
      <c r="H55" s="184"/>
      <c r="I55" s="184"/>
      <c r="J55" s="184"/>
      <c r="K55" s="184"/>
      <c r="L55" s="188"/>
      <c r="M55" s="188"/>
      <c r="N55" s="188"/>
    </row>
    <row r="56" spans="3:14">
      <c r="C56" s="184"/>
      <c r="D56" s="184"/>
      <c r="E56" s="184"/>
      <c r="F56" s="184"/>
      <c r="G56" s="184"/>
      <c r="H56" s="184"/>
      <c r="I56" s="184"/>
      <c r="J56" s="184"/>
      <c r="K56" s="184"/>
      <c r="L56" s="188"/>
      <c r="M56" s="188"/>
      <c r="N56" s="188"/>
    </row>
    <row r="57" spans="3:14">
      <c r="C57" s="184"/>
      <c r="D57" s="184"/>
      <c r="E57" s="184"/>
      <c r="F57" s="184"/>
      <c r="G57" s="184"/>
      <c r="H57" s="184"/>
      <c r="I57" s="184"/>
      <c r="J57" s="184"/>
      <c r="K57" s="184"/>
      <c r="L57" s="188"/>
      <c r="M57" s="188"/>
      <c r="N57" s="188"/>
    </row>
    <row r="58" spans="3:14">
      <c r="C58" s="184"/>
      <c r="D58" s="184"/>
      <c r="E58" s="184"/>
      <c r="F58" s="184"/>
      <c r="G58" s="184"/>
      <c r="H58" s="184"/>
      <c r="I58" s="184"/>
      <c r="J58" s="184"/>
      <c r="K58" s="184"/>
      <c r="L58" s="188"/>
      <c r="M58" s="188"/>
      <c r="N58" s="188"/>
    </row>
    <row r="59" spans="3:14">
      <c r="C59" s="184"/>
      <c r="D59" s="184"/>
      <c r="E59" s="184"/>
      <c r="F59" s="184"/>
      <c r="G59" s="184"/>
      <c r="H59" s="184"/>
      <c r="I59" s="184"/>
      <c r="J59" s="184"/>
      <c r="K59" s="184"/>
      <c r="L59" s="188"/>
      <c r="M59" s="188"/>
      <c r="N59" s="188"/>
    </row>
    <row r="60" spans="3:14">
      <c r="C60" s="184"/>
      <c r="D60" s="184"/>
      <c r="E60" s="184"/>
      <c r="F60" s="184"/>
      <c r="G60" s="184"/>
      <c r="H60" s="184"/>
      <c r="I60" s="184"/>
      <c r="J60" s="184"/>
      <c r="K60" s="184"/>
      <c r="L60" s="188"/>
      <c r="M60" s="188"/>
      <c r="N60" s="188"/>
    </row>
    <row r="61" spans="3:14">
      <c r="C61" s="184"/>
      <c r="D61" s="184"/>
      <c r="E61" s="184"/>
      <c r="F61" s="184"/>
      <c r="G61" s="184"/>
      <c r="H61" s="184"/>
      <c r="I61" s="184"/>
      <c r="J61" s="184"/>
      <c r="K61" s="184"/>
      <c r="L61" s="188"/>
      <c r="M61" s="188"/>
      <c r="N61" s="188"/>
    </row>
  </sheetData>
  <mergeCells count="9">
    <mergeCell ref="A1:K1"/>
    <mergeCell ref="A2:A3"/>
    <mergeCell ref="B2:B3"/>
    <mergeCell ref="C2:C3"/>
    <mergeCell ref="D2:D3"/>
    <mergeCell ref="E2:E3"/>
    <mergeCell ref="I2:I3"/>
    <mergeCell ref="J2:J3"/>
    <mergeCell ref="K2:K3"/>
  </mergeCells>
  <pageMargins left="0.75" right="0.75" top="1" bottom="1" header="0.511805555555556" footer="0.511805555555556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L16" sqref="L16"/>
    </sheetView>
  </sheetViews>
  <sheetFormatPr defaultColWidth="9.14285714285714" defaultRowHeight="15"/>
  <cols>
    <col min="1" max="1" width="16.7142857142857" customWidth="1"/>
    <col min="2" max="2" width="7.28571428571429" customWidth="1"/>
    <col min="3" max="4" width="8.85714285714286" customWidth="1"/>
    <col min="5" max="5" width="9" customWidth="1"/>
    <col min="6" max="6" width="9.14285714285714" style="133"/>
    <col min="7" max="7" width="9.14285714285714" style="134"/>
  </cols>
  <sheetData>
    <row r="1" ht="30" spans="2:7">
      <c r="B1" s="135" t="s">
        <v>662</v>
      </c>
      <c r="C1" s="135" t="s">
        <v>663</v>
      </c>
      <c r="D1" s="135" t="s">
        <v>664</v>
      </c>
      <c r="E1" s="135" t="s">
        <v>665</v>
      </c>
      <c r="F1" s="136" t="s">
        <v>666</v>
      </c>
      <c r="G1" s="137" t="s">
        <v>667</v>
      </c>
    </row>
    <row r="2" spans="1:5">
      <c r="A2" t="s">
        <v>668</v>
      </c>
      <c r="B2" s="40">
        <v>3</v>
      </c>
      <c r="C2" s="40">
        <v>5</v>
      </c>
      <c r="D2" s="40">
        <v>3.14</v>
      </c>
      <c r="E2" s="40">
        <v>4</v>
      </c>
    </row>
    <row r="3" spans="1:7">
      <c r="A3" t="s">
        <v>669</v>
      </c>
      <c r="B3" s="40">
        <v>4.8</v>
      </c>
      <c r="C3" s="40">
        <v>7</v>
      </c>
      <c r="D3" s="40">
        <v>4.08</v>
      </c>
      <c r="E3" s="40">
        <v>5</v>
      </c>
      <c r="F3" s="133">
        <v>4.8</v>
      </c>
      <c r="G3" s="134">
        <f>F3-D3</f>
        <v>0.72</v>
      </c>
    </row>
    <row r="4" spans="1:7">
      <c r="A4" t="s">
        <v>670</v>
      </c>
      <c r="B4" s="40">
        <v>6.8</v>
      </c>
      <c r="C4" s="40">
        <v>9</v>
      </c>
      <c r="D4" s="40">
        <v>6.26</v>
      </c>
      <c r="E4" s="40">
        <v>7.5</v>
      </c>
      <c r="F4" s="133">
        <v>6.8</v>
      </c>
      <c r="G4" s="134">
        <f t="shared" ref="G4:G9" si="0">F4-D4</f>
        <v>0.54</v>
      </c>
    </row>
    <row r="5" spans="1:7">
      <c r="A5" t="s">
        <v>671</v>
      </c>
      <c r="B5" s="40">
        <v>7.5</v>
      </c>
      <c r="C5" s="40">
        <v>10</v>
      </c>
      <c r="D5" s="40">
        <v>7.09</v>
      </c>
      <c r="E5" s="40">
        <v>8</v>
      </c>
      <c r="F5" s="133">
        <v>7.5</v>
      </c>
      <c r="G5" s="134">
        <f t="shared" si="0"/>
        <v>0.41</v>
      </c>
    </row>
    <row r="6" spans="1:7">
      <c r="A6" t="s">
        <v>672</v>
      </c>
      <c r="B6" s="40">
        <v>5</v>
      </c>
      <c r="C6" s="40">
        <v>7</v>
      </c>
      <c r="D6" s="40">
        <v>4.93</v>
      </c>
      <c r="E6" s="40">
        <v>6</v>
      </c>
      <c r="F6" s="133">
        <v>5</v>
      </c>
      <c r="G6" s="134">
        <f t="shared" si="0"/>
        <v>0.0700000000000003</v>
      </c>
    </row>
    <row r="7" spans="1:7">
      <c r="A7" t="s">
        <v>673</v>
      </c>
      <c r="B7" s="40">
        <v>9.85</v>
      </c>
      <c r="C7" s="40">
        <v>12</v>
      </c>
      <c r="D7" s="40">
        <v>9.04</v>
      </c>
      <c r="E7" s="40">
        <v>10.5</v>
      </c>
      <c r="F7" s="133">
        <v>9.85</v>
      </c>
      <c r="G7" s="134">
        <f t="shared" si="0"/>
        <v>0.81</v>
      </c>
    </row>
    <row r="8" spans="1:5">
      <c r="A8" t="s">
        <v>674</v>
      </c>
      <c r="B8" s="40">
        <v>5</v>
      </c>
      <c r="C8" s="40">
        <v>7</v>
      </c>
      <c r="D8" s="40"/>
      <c r="E8" s="40"/>
    </row>
    <row r="9" spans="1:7">
      <c r="A9" t="s">
        <v>675</v>
      </c>
      <c r="B9" s="40">
        <v>9</v>
      </c>
      <c r="C9" s="40">
        <v>12</v>
      </c>
      <c r="D9" s="40">
        <v>8.8</v>
      </c>
      <c r="E9" s="40">
        <v>10</v>
      </c>
      <c r="F9" s="133">
        <v>9</v>
      </c>
      <c r="G9" s="134">
        <f t="shared" si="0"/>
        <v>0.199999999999999</v>
      </c>
    </row>
    <row r="10" spans="1:7">
      <c r="A10" t="s">
        <v>676</v>
      </c>
      <c r="B10" s="40">
        <v>5.5</v>
      </c>
      <c r="C10" s="40">
        <v>7</v>
      </c>
      <c r="D10" s="40">
        <v>5.31</v>
      </c>
      <c r="E10" s="40">
        <v>6.5</v>
      </c>
      <c r="F10" s="133">
        <v>5.5</v>
      </c>
      <c r="G10" s="134">
        <f t="shared" ref="G10:G15" si="1">F10-D10</f>
        <v>0.19</v>
      </c>
    </row>
    <row r="11" spans="1:7">
      <c r="A11" t="s">
        <v>677</v>
      </c>
      <c r="B11" s="40">
        <v>7</v>
      </c>
      <c r="C11" s="40">
        <v>9</v>
      </c>
      <c r="D11" s="40">
        <v>6.94</v>
      </c>
      <c r="E11" s="40">
        <v>8</v>
      </c>
      <c r="F11" s="133">
        <v>7</v>
      </c>
      <c r="G11" s="134">
        <f t="shared" si="1"/>
        <v>0.0599999999999996</v>
      </c>
    </row>
    <row r="12" spans="1:7">
      <c r="A12" t="s">
        <v>678</v>
      </c>
      <c r="B12" s="40">
        <v>3</v>
      </c>
      <c r="C12" s="40">
        <v>5</v>
      </c>
      <c r="D12" s="40">
        <v>1.25</v>
      </c>
      <c r="E12" s="40">
        <v>3</v>
      </c>
      <c r="F12" s="133">
        <v>3</v>
      </c>
      <c r="G12" s="134">
        <f t="shared" si="1"/>
        <v>1.75</v>
      </c>
    </row>
    <row r="13" spans="1:7">
      <c r="A13" t="s">
        <v>679</v>
      </c>
      <c r="B13" s="40">
        <v>3</v>
      </c>
      <c r="C13" s="40">
        <v>5</v>
      </c>
      <c r="D13" s="40">
        <v>0.85</v>
      </c>
      <c r="E13" s="40">
        <v>2</v>
      </c>
      <c r="F13" s="133">
        <v>3</v>
      </c>
      <c r="G13" s="134">
        <f t="shared" si="1"/>
        <v>2.15</v>
      </c>
    </row>
    <row r="14" spans="1:7">
      <c r="A14" t="s">
        <v>680</v>
      </c>
      <c r="B14" s="40">
        <v>9</v>
      </c>
      <c r="C14" s="40">
        <v>13</v>
      </c>
      <c r="D14" s="40">
        <v>8.13</v>
      </c>
      <c r="E14" s="40">
        <v>9.5</v>
      </c>
      <c r="F14" s="133">
        <v>9</v>
      </c>
      <c r="G14" s="134">
        <f t="shared" si="1"/>
        <v>0.869999999999999</v>
      </c>
    </row>
    <row r="15" spans="1:7">
      <c r="A15" t="s">
        <v>681</v>
      </c>
      <c r="B15" s="40">
        <v>13</v>
      </c>
      <c r="C15" s="40">
        <v>16</v>
      </c>
      <c r="D15" s="40">
        <v>12.73</v>
      </c>
      <c r="E15" s="40">
        <v>15</v>
      </c>
      <c r="F15" s="133">
        <v>13</v>
      </c>
      <c r="G15" s="134">
        <f t="shared" si="1"/>
        <v>0.27</v>
      </c>
    </row>
    <row r="16" spans="1:5">
      <c r="A16" t="s">
        <v>682</v>
      </c>
      <c r="B16" s="40">
        <v>19</v>
      </c>
      <c r="C16" s="40">
        <v>25</v>
      </c>
      <c r="D16" s="40">
        <v>35.2</v>
      </c>
      <c r="E16" s="40">
        <v>38</v>
      </c>
    </row>
    <row r="17" spans="1:5">
      <c r="A17" t="s">
        <v>683</v>
      </c>
      <c r="B17" s="40">
        <v>19</v>
      </c>
      <c r="C17" s="40">
        <v>25</v>
      </c>
      <c r="D17" s="40"/>
      <c r="E17" s="40"/>
    </row>
    <row r="18" spans="1:5">
      <c r="A18" t="s">
        <v>684</v>
      </c>
      <c r="B18" s="40">
        <v>19</v>
      </c>
      <c r="C18" s="40">
        <v>25</v>
      </c>
      <c r="D18" s="40"/>
      <c r="E18" s="40"/>
    </row>
    <row r="19" spans="1:5">
      <c r="A19" t="s">
        <v>685</v>
      </c>
      <c r="B19" s="40">
        <v>19</v>
      </c>
      <c r="C19" s="40">
        <v>25</v>
      </c>
      <c r="D19" s="40"/>
      <c r="E19" s="40"/>
    </row>
    <row r="20" spans="1:17">
      <c r="A20" t="s">
        <v>686</v>
      </c>
      <c r="B20" s="40">
        <v>19</v>
      </c>
      <c r="C20" s="40">
        <v>25</v>
      </c>
      <c r="D20" s="40">
        <v>21.67</v>
      </c>
      <c r="E20" s="40">
        <v>25</v>
      </c>
      <c r="Q20" t="s">
        <v>157</v>
      </c>
    </row>
    <row r="21" spans="1:7">
      <c r="A21" t="s">
        <v>687</v>
      </c>
      <c r="B21" s="40">
        <v>8.5</v>
      </c>
      <c r="C21" s="40">
        <v>12</v>
      </c>
      <c r="D21" s="40">
        <v>7.83</v>
      </c>
      <c r="E21" s="40">
        <v>9</v>
      </c>
      <c r="F21" s="133">
        <v>8.5</v>
      </c>
      <c r="G21" s="134">
        <f>F21-D21</f>
        <v>0.67</v>
      </c>
    </row>
    <row r="22" spans="1:5">
      <c r="A22" t="s">
        <v>688</v>
      </c>
      <c r="B22" s="40">
        <v>12</v>
      </c>
      <c r="C22" s="40">
        <v>15</v>
      </c>
      <c r="D22" s="40">
        <v>10.92</v>
      </c>
      <c r="E22" s="40">
        <v>13</v>
      </c>
    </row>
    <row r="23" spans="1:5">
      <c r="A23" t="s">
        <v>689</v>
      </c>
      <c r="B23" s="40">
        <v>10.5</v>
      </c>
      <c r="C23" s="40">
        <v>12</v>
      </c>
      <c r="D23" s="40"/>
      <c r="E23" s="40"/>
    </row>
    <row r="24" spans="1:5">
      <c r="A24" t="s">
        <v>690</v>
      </c>
      <c r="B24" s="40">
        <v>5</v>
      </c>
      <c r="C24" s="40">
        <v>7</v>
      </c>
      <c r="D24" s="40"/>
      <c r="E24" s="40"/>
    </row>
    <row r="25" spans="1:5">
      <c r="A25" t="s">
        <v>691</v>
      </c>
      <c r="B25" s="40">
        <v>12</v>
      </c>
      <c r="C25" s="40">
        <v>15</v>
      </c>
      <c r="D25" s="40"/>
      <c r="E25" s="40"/>
    </row>
    <row r="26" spans="1:7">
      <c r="A26" t="s">
        <v>692</v>
      </c>
      <c r="B26" s="40">
        <v>5</v>
      </c>
      <c r="C26" s="40">
        <v>8</v>
      </c>
      <c r="D26" s="40">
        <v>2.3</v>
      </c>
      <c r="E26" s="40">
        <v>5</v>
      </c>
      <c r="F26" s="133">
        <v>5</v>
      </c>
      <c r="G26" s="134">
        <f>F26-D26</f>
        <v>2.7</v>
      </c>
    </row>
    <row r="27" spans="1:5">
      <c r="A27" t="s">
        <v>693</v>
      </c>
      <c r="B27" s="40">
        <v>4</v>
      </c>
      <c r="C27" s="40">
        <v>6</v>
      </c>
      <c r="D27" s="40"/>
      <c r="E27" s="40"/>
    </row>
    <row r="28" spans="1:5">
      <c r="A28" t="s">
        <v>694</v>
      </c>
      <c r="B28" s="40">
        <v>6</v>
      </c>
      <c r="C28" s="40">
        <v>8</v>
      </c>
      <c r="D28" s="40"/>
      <c r="E28" s="40"/>
    </row>
    <row r="29" spans="1:5">
      <c r="A29" t="s">
        <v>695</v>
      </c>
      <c r="B29" s="40">
        <v>7</v>
      </c>
      <c r="C29" s="40">
        <v>10</v>
      </c>
      <c r="D29" s="40"/>
      <c r="E29" s="40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5"/>
  <sheetViews>
    <sheetView workbookViewId="0">
      <pane xSplit="3" ySplit="3" topLeftCell="D217" activePane="bottomRight" state="frozen"/>
      <selection/>
      <selection pane="topRight"/>
      <selection pane="bottomLeft"/>
      <selection pane="bottomRight" activeCell="A227" sqref="A227"/>
    </sheetView>
  </sheetViews>
  <sheetFormatPr defaultColWidth="9.14285714285714" defaultRowHeight="15"/>
  <cols>
    <col min="1" max="1" width="37.7142857142857" style="68" customWidth="1"/>
    <col min="2" max="2" width="10.1428571428571" style="63" hidden="1" customWidth="1"/>
    <col min="3" max="3" width="7.2" style="63" hidden="1" customWidth="1"/>
    <col min="4" max="4" width="7.85714285714286" style="63" customWidth="1"/>
    <col min="5" max="5" width="8.85714285714286" style="63" customWidth="1"/>
    <col min="6" max="17" width="7.57142857142857" customWidth="1"/>
  </cols>
  <sheetData>
    <row r="1" ht="21.75" spans="1:17">
      <c r="A1" s="1" t="s">
        <v>696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8"/>
    </row>
    <row r="2" ht="21.75" spans="1:17">
      <c r="A2" s="69" t="s">
        <v>1</v>
      </c>
      <c r="B2" s="70"/>
      <c r="C2" s="71"/>
      <c r="D2" s="72" t="s">
        <v>4</v>
      </c>
      <c r="E2" s="73" t="s">
        <v>5</v>
      </c>
      <c r="F2" s="74" t="s">
        <v>697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109"/>
    </row>
    <row r="3" ht="26.25" spans="1:17">
      <c r="A3" s="75"/>
      <c r="B3" s="76" t="s">
        <v>107</v>
      </c>
      <c r="C3" s="77" t="s">
        <v>3</v>
      </c>
      <c r="D3" s="78"/>
      <c r="E3" s="79"/>
      <c r="F3" s="14"/>
      <c r="G3" s="15"/>
      <c r="H3" s="14"/>
      <c r="I3" s="15"/>
      <c r="J3" s="14"/>
      <c r="K3" s="15"/>
      <c r="L3" s="14"/>
      <c r="M3" s="15"/>
      <c r="N3" s="14"/>
      <c r="O3" s="15"/>
      <c r="P3" s="15"/>
      <c r="Q3" s="30"/>
    </row>
    <row r="4" spans="1:17">
      <c r="A4" s="80" t="s">
        <v>143</v>
      </c>
      <c r="B4" s="81" t="s">
        <v>144</v>
      </c>
      <c r="C4" s="82">
        <v>67.2</v>
      </c>
      <c r="D4" s="83">
        <v>5.6</v>
      </c>
      <c r="E4" s="84">
        <v>10</v>
      </c>
      <c r="F4" s="85"/>
      <c r="G4" s="18"/>
      <c r="H4" s="18"/>
      <c r="I4" s="18"/>
      <c r="J4" s="18"/>
      <c r="K4" s="18"/>
      <c r="L4" s="18"/>
      <c r="M4" s="18"/>
      <c r="N4" s="18"/>
      <c r="O4" s="18"/>
      <c r="P4" s="18"/>
      <c r="Q4" s="110"/>
    </row>
    <row r="5" spans="1:17">
      <c r="A5" s="86" t="s">
        <v>145</v>
      </c>
      <c r="B5" s="87" t="s">
        <v>144</v>
      </c>
      <c r="C5" s="88">
        <v>100.8</v>
      </c>
      <c r="D5" s="89">
        <v>8.4</v>
      </c>
      <c r="E5" s="90">
        <v>12</v>
      </c>
      <c r="F5" s="91"/>
      <c r="G5" s="22"/>
      <c r="H5" s="22"/>
      <c r="I5" s="22"/>
      <c r="J5" s="22"/>
      <c r="K5" s="22"/>
      <c r="L5" s="22"/>
      <c r="M5" s="22"/>
      <c r="N5" s="22"/>
      <c r="O5" s="22"/>
      <c r="P5" s="22"/>
      <c r="Q5" s="111"/>
    </row>
    <row r="6" spans="1:17">
      <c r="A6" s="86" t="s">
        <v>146</v>
      </c>
      <c r="B6" s="87" t="s">
        <v>144</v>
      </c>
      <c r="C6" s="88">
        <v>67.2</v>
      </c>
      <c r="D6" s="89">
        <v>5.6</v>
      </c>
      <c r="E6" s="90">
        <v>10</v>
      </c>
      <c r="F6" s="91"/>
      <c r="G6" s="22"/>
      <c r="H6" s="22"/>
      <c r="I6" s="22"/>
      <c r="J6" s="22"/>
      <c r="K6" s="22"/>
      <c r="L6" s="22"/>
      <c r="M6" s="22"/>
      <c r="N6" s="22"/>
      <c r="O6" s="22"/>
      <c r="P6" s="22"/>
      <c r="Q6" s="111"/>
    </row>
    <row r="7" spans="1:17">
      <c r="A7" s="86" t="s">
        <v>147</v>
      </c>
      <c r="B7" s="87" t="s">
        <v>144</v>
      </c>
      <c r="C7" s="88">
        <v>103.2</v>
      </c>
      <c r="D7" s="89">
        <v>8.6</v>
      </c>
      <c r="E7" s="90">
        <v>13</v>
      </c>
      <c r="F7" s="91"/>
      <c r="G7" s="22"/>
      <c r="H7" s="22"/>
      <c r="I7" s="22"/>
      <c r="J7" s="22"/>
      <c r="K7" s="22"/>
      <c r="L7" s="22"/>
      <c r="M7" s="22"/>
      <c r="N7" s="22"/>
      <c r="O7" s="22"/>
      <c r="P7" s="22"/>
      <c r="Q7" s="111"/>
    </row>
    <row r="8" spans="1:17">
      <c r="A8" s="86" t="s">
        <v>148</v>
      </c>
      <c r="B8" s="87" t="s">
        <v>149</v>
      </c>
      <c r="C8" s="88">
        <v>78.3</v>
      </c>
      <c r="D8" s="89">
        <v>7.83</v>
      </c>
      <c r="E8" s="90">
        <v>9</v>
      </c>
      <c r="F8" s="91"/>
      <c r="G8" s="22"/>
      <c r="H8" s="22"/>
      <c r="I8" s="22"/>
      <c r="J8" s="22"/>
      <c r="K8" s="22"/>
      <c r="L8" s="22"/>
      <c r="M8" s="22"/>
      <c r="N8" s="22"/>
      <c r="O8" s="22"/>
      <c r="P8" s="22"/>
      <c r="Q8" s="111"/>
    </row>
    <row r="9" hidden="1" spans="1:17">
      <c r="A9" s="92" t="s">
        <v>153</v>
      </c>
      <c r="B9" s="87" t="s">
        <v>151</v>
      </c>
      <c r="C9" s="93">
        <v>234.9</v>
      </c>
      <c r="D9" s="94">
        <v>7.83</v>
      </c>
      <c r="E9" s="95"/>
      <c r="F9" s="91"/>
      <c r="G9" s="22"/>
      <c r="H9" s="22"/>
      <c r="I9" s="22"/>
      <c r="J9" s="22"/>
      <c r="K9" s="22"/>
      <c r="L9" s="22"/>
      <c r="M9" s="22"/>
      <c r="N9" s="22"/>
      <c r="O9" s="22"/>
      <c r="P9" s="22"/>
      <c r="Q9" s="111"/>
    </row>
    <row r="10" spans="1:17">
      <c r="A10" s="86" t="s">
        <v>154</v>
      </c>
      <c r="B10" s="87" t="s">
        <v>155</v>
      </c>
      <c r="C10" s="88">
        <v>141.8</v>
      </c>
      <c r="D10" s="89">
        <v>7.09</v>
      </c>
      <c r="E10" s="90">
        <v>8</v>
      </c>
      <c r="F10" s="91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111"/>
    </row>
    <row r="11" spans="1:17">
      <c r="A11" s="86" t="s">
        <v>158</v>
      </c>
      <c r="B11" s="87" t="s">
        <v>159</v>
      </c>
      <c r="C11" s="88">
        <v>289.28</v>
      </c>
      <c r="D11" s="89">
        <v>144.64</v>
      </c>
      <c r="E11" s="90">
        <v>165</v>
      </c>
      <c r="F11" s="9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111"/>
    </row>
    <row r="12" spans="1:17">
      <c r="A12" s="86" t="s">
        <v>160</v>
      </c>
      <c r="B12" s="87" t="s">
        <v>161</v>
      </c>
      <c r="C12" s="88">
        <v>129.76</v>
      </c>
      <c r="D12" s="89">
        <v>129.76</v>
      </c>
      <c r="E12" s="90">
        <v>145</v>
      </c>
      <c r="F12" s="9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111"/>
    </row>
    <row r="13" spans="1:17">
      <c r="A13" s="86" t="s">
        <v>163</v>
      </c>
      <c r="B13" s="87" t="s">
        <v>164</v>
      </c>
      <c r="C13" s="88">
        <v>197.8</v>
      </c>
      <c r="D13" s="89">
        <v>19.78</v>
      </c>
      <c r="E13" s="90">
        <v>23</v>
      </c>
      <c r="F13" s="9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111"/>
    </row>
    <row r="14" spans="1:17">
      <c r="A14" s="86" t="s">
        <v>168</v>
      </c>
      <c r="B14" s="87" t="s">
        <v>164</v>
      </c>
      <c r="C14" s="88">
        <v>246.6</v>
      </c>
      <c r="D14" s="89">
        <v>24.66</v>
      </c>
      <c r="E14" s="90">
        <v>28</v>
      </c>
      <c r="F14" s="91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111"/>
    </row>
    <row r="15" spans="1:17">
      <c r="A15" s="86" t="s">
        <v>169</v>
      </c>
      <c r="B15" s="87" t="s">
        <v>159</v>
      </c>
      <c r="C15" s="88">
        <v>288.64</v>
      </c>
      <c r="D15" s="89">
        <v>144.32</v>
      </c>
      <c r="E15" s="90">
        <v>162</v>
      </c>
      <c r="F15" s="9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111"/>
    </row>
    <row r="16" spans="1:17">
      <c r="A16" s="86" t="s">
        <v>170</v>
      </c>
      <c r="B16" s="87" t="s">
        <v>159</v>
      </c>
      <c r="C16" s="88">
        <v>263.56</v>
      </c>
      <c r="D16" s="89">
        <v>131.78</v>
      </c>
      <c r="E16" s="90">
        <v>149</v>
      </c>
      <c r="F16" s="9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11"/>
    </row>
    <row r="17" spans="1:17">
      <c r="A17" s="86" t="s">
        <v>171</v>
      </c>
      <c r="B17" s="87" t="s">
        <v>165</v>
      </c>
      <c r="C17" s="88">
        <v>182.6</v>
      </c>
      <c r="D17" s="89">
        <v>18.26</v>
      </c>
      <c r="E17" s="90">
        <v>22</v>
      </c>
      <c r="F17" s="9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111"/>
    </row>
    <row r="18" spans="1:17">
      <c r="A18" s="86" t="s">
        <v>172</v>
      </c>
      <c r="B18" s="87" t="s">
        <v>173</v>
      </c>
      <c r="C18" s="88">
        <v>374.21</v>
      </c>
      <c r="D18" s="89">
        <v>374.21</v>
      </c>
      <c r="E18" s="90">
        <v>395</v>
      </c>
      <c r="F18" s="9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111"/>
    </row>
    <row r="19" spans="1:17">
      <c r="A19" s="86" t="s">
        <v>174</v>
      </c>
      <c r="B19" s="87" t="s">
        <v>164</v>
      </c>
      <c r="C19" s="88">
        <v>175</v>
      </c>
      <c r="D19" s="89">
        <v>17.5</v>
      </c>
      <c r="E19" s="90">
        <v>20</v>
      </c>
      <c r="F19" s="9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111"/>
    </row>
    <row r="20" spans="1:17">
      <c r="A20" s="86" t="s">
        <v>175</v>
      </c>
      <c r="B20" s="87" t="s">
        <v>161</v>
      </c>
      <c r="C20" s="88">
        <v>93.62</v>
      </c>
      <c r="D20" s="89">
        <v>93.62</v>
      </c>
      <c r="E20" s="90">
        <v>107</v>
      </c>
      <c r="F20" s="9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11"/>
    </row>
    <row r="21" spans="1:17">
      <c r="A21" s="86" t="s">
        <v>176</v>
      </c>
      <c r="B21" s="87" t="s">
        <v>161</v>
      </c>
      <c r="C21" s="88">
        <v>240.02</v>
      </c>
      <c r="D21" s="89">
        <v>240.02</v>
      </c>
      <c r="E21" s="90">
        <v>270</v>
      </c>
      <c r="F21" s="9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111"/>
    </row>
    <row r="22" spans="1:17">
      <c r="A22" s="86" t="s">
        <v>177</v>
      </c>
      <c r="B22" s="87" t="s">
        <v>178</v>
      </c>
      <c r="C22" s="88">
        <v>758.54</v>
      </c>
      <c r="D22" s="89">
        <v>75.854</v>
      </c>
      <c r="E22" s="90">
        <v>85</v>
      </c>
      <c r="F22" s="9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111"/>
    </row>
    <row r="23" spans="1:17">
      <c r="A23" s="86" t="s">
        <v>179</v>
      </c>
      <c r="B23" s="87" t="s">
        <v>164</v>
      </c>
      <c r="C23" s="88">
        <v>554.2</v>
      </c>
      <c r="D23" s="89">
        <v>55.42</v>
      </c>
      <c r="E23" s="90">
        <v>63</v>
      </c>
      <c r="F23" s="9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11"/>
    </row>
    <row r="24" spans="1:17">
      <c r="A24" s="86" t="s">
        <v>180</v>
      </c>
      <c r="B24" s="87" t="s">
        <v>164</v>
      </c>
      <c r="C24" s="88">
        <v>609.6</v>
      </c>
      <c r="D24" s="89">
        <v>60.96</v>
      </c>
      <c r="E24" s="90">
        <v>70</v>
      </c>
      <c r="F24" s="9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111"/>
    </row>
    <row r="25" spans="1:17">
      <c r="A25" s="86" t="s">
        <v>181</v>
      </c>
      <c r="B25" s="87" t="s">
        <v>159</v>
      </c>
      <c r="C25" s="88">
        <v>176.84</v>
      </c>
      <c r="D25" s="89">
        <v>88.42</v>
      </c>
      <c r="E25" s="90">
        <v>96</v>
      </c>
      <c r="F25" s="9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111"/>
    </row>
    <row r="26" spans="1:17">
      <c r="A26" s="86" t="s">
        <v>182</v>
      </c>
      <c r="B26" s="87" t="s">
        <v>183</v>
      </c>
      <c r="C26" s="88">
        <v>104.8</v>
      </c>
      <c r="D26" s="89">
        <v>2.62</v>
      </c>
      <c r="E26" s="90">
        <v>3</v>
      </c>
      <c r="F26" s="9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111"/>
    </row>
    <row r="27" spans="1:17">
      <c r="A27" s="86" t="s">
        <v>184</v>
      </c>
      <c r="B27" s="87" t="s">
        <v>159</v>
      </c>
      <c r="C27" s="88">
        <v>385.5</v>
      </c>
      <c r="D27" s="89">
        <v>192.75</v>
      </c>
      <c r="E27" s="90">
        <v>210</v>
      </c>
      <c r="F27" s="9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11"/>
    </row>
    <row r="28" spans="1:17">
      <c r="A28" s="86" t="s">
        <v>185</v>
      </c>
      <c r="B28" s="87" t="s">
        <v>165</v>
      </c>
      <c r="C28" s="88">
        <v>377.1</v>
      </c>
      <c r="D28" s="89">
        <v>37.71</v>
      </c>
      <c r="E28" s="90">
        <v>40</v>
      </c>
      <c r="F28" s="9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11"/>
    </row>
    <row r="29" spans="1:17">
      <c r="A29" s="86" t="s">
        <v>186</v>
      </c>
      <c r="B29" s="87" t="s">
        <v>165</v>
      </c>
      <c r="C29" s="88">
        <v>463.5</v>
      </c>
      <c r="D29" s="89">
        <v>46.35</v>
      </c>
      <c r="E29" s="90">
        <v>49</v>
      </c>
      <c r="F29" s="9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11"/>
    </row>
    <row r="30" spans="1:17">
      <c r="A30" s="86" t="s">
        <v>187</v>
      </c>
      <c r="B30" s="87" t="s">
        <v>162</v>
      </c>
      <c r="C30" s="88">
        <v>389.67</v>
      </c>
      <c r="D30" s="89">
        <v>129.89</v>
      </c>
      <c r="E30" s="90">
        <v>148</v>
      </c>
      <c r="F30" s="91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111"/>
    </row>
    <row r="31" spans="1:17">
      <c r="A31" s="86" t="s">
        <v>188</v>
      </c>
      <c r="B31" s="87" t="s">
        <v>162</v>
      </c>
      <c r="C31" s="88">
        <v>237.39</v>
      </c>
      <c r="D31" s="89">
        <v>79.13</v>
      </c>
      <c r="E31" s="90">
        <v>92</v>
      </c>
      <c r="F31" s="91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111"/>
    </row>
    <row r="32" spans="1:17">
      <c r="A32" s="86" t="s">
        <v>189</v>
      </c>
      <c r="B32" s="87" t="s">
        <v>164</v>
      </c>
      <c r="C32" s="88">
        <v>321.2</v>
      </c>
      <c r="D32" s="89">
        <v>32.12</v>
      </c>
      <c r="E32" s="90">
        <v>36</v>
      </c>
      <c r="F32" s="9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111"/>
    </row>
    <row r="33" spans="1:17">
      <c r="A33" s="86" t="s">
        <v>190</v>
      </c>
      <c r="B33" s="87" t="s">
        <v>52</v>
      </c>
      <c r="C33" s="88">
        <v>55.49</v>
      </c>
      <c r="D33" s="89">
        <v>1.1098</v>
      </c>
      <c r="E33" s="90">
        <v>1.5</v>
      </c>
      <c r="F33" s="9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111"/>
    </row>
    <row r="34" spans="1:17">
      <c r="A34" s="86" t="s">
        <v>192</v>
      </c>
      <c r="B34" s="87" t="s">
        <v>149</v>
      </c>
      <c r="C34" s="88">
        <v>146.5</v>
      </c>
      <c r="D34" s="89">
        <v>14.65</v>
      </c>
      <c r="E34" s="90">
        <v>17</v>
      </c>
      <c r="F34" s="91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111"/>
    </row>
    <row r="35" spans="1:17">
      <c r="A35" s="86" t="s">
        <v>193</v>
      </c>
      <c r="B35" s="87" t="s">
        <v>149</v>
      </c>
      <c r="C35" s="88">
        <v>247.4</v>
      </c>
      <c r="D35" s="89">
        <v>24.74</v>
      </c>
      <c r="E35" s="90">
        <v>28.5</v>
      </c>
      <c r="F35" s="9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111"/>
    </row>
    <row r="36" spans="1:17">
      <c r="A36" s="96" t="s">
        <v>583</v>
      </c>
      <c r="B36" s="97"/>
      <c r="C36" s="98"/>
      <c r="D36" s="99">
        <v>121.08</v>
      </c>
      <c r="E36" s="100">
        <v>133</v>
      </c>
      <c r="F36" s="91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111"/>
    </row>
    <row r="37" spans="1:17">
      <c r="A37" s="86" t="s">
        <v>194</v>
      </c>
      <c r="B37" s="87" t="s">
        <v>195</v>
      </c>
      <c r="C37" s="88">
        <v>539.76</v>
      </c>
      <c r="D37" s="89">
        <v>89.96</v>
      </c>
      <c r="E37" s="90">
        <v>103</v>
      </c>
      <c r="F37" s="9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11"/>
    </row>
    <row r="38" spans="1:17">
      <c r="A38" s="86" t="s">
        <v>196</v>
      </c>
      <c r="B38" s="87">
        <v>24</v>
      </c>
      <c r="C38" s="88">
        <v>322.42</v>
      </c>
      <c r="D38" s="89">
        <v>13.4341666666667</v>
      </c>
      <c r="E38" s="90">
        <v>20</v>
      </c>
      <c r="F38" s="91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111"/>
    </row>
    <row r="39" ht="22.5" spans="1:17">
      <c r="A39" s="86" t="s">
        <v>198</v>
      </c>
      <c r="B39" s="87" t="s">
        <v>199</v>
      </c>
      <c r="C39" s="88">
        <v>285</v>
      </c>
      <c r="D39" s="89" t="s">
        <v>200</v>
      </c>
      <c r="E39" s="101" t="s">
        <v>201</v>
      </c>
      <c r="F39" s="9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111"/>
    </row>
    <row r="40" spans="1:17">
      <c r="A40" s="86" t="s">
        <v>203</v>
      </c>
      <c r="B40" s="87" t="s">
        <v>204</v>
      </c>
      <c r="C40" s="88">
        <v>168.8</v>
      </c>
      <c r="D40" s="89">
        <v>33.76</v>
      </c>
      <c r="E40" s="90">
        <v>38</v>
      </c>
      <c r="F40" s="9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11"/>
    </row>
    <row r="41" spans="1:17">
      <c r="A41" s="86" t="s">
        <v>206</v>
      </c>
      <c r="B41" s="87" t="s">
        <v>204</v>
      </c>
      <c r="C41" s="88">
        <v>168.8</v>
      </c>
      <c r="D41" s="89">
        <v>33.76</v>
      </c>
      <c r="E41" s="90">
        <v>38</v>
      </c>
      <c r="F41" s="9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11"/>
    </row>
    <row r="42" spans="1:17">
      <c r="A42" s="86" t="s">
        <v>207</v>
      </c>
      <c r="B42" s="87" t="s">
        <v>204</v>
      </c>
      <c r="C42" s="88">
        <v>168.8</v>
      </c>
      <c r="D42" s="89">
        <v>33.76</v>
      </c>
      <c r="E42" s="90">
        <v>38</v>
      </c>
      <c r="F42" s="9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11"/>
    </row>
    <row r="43" spans="1:17">
      <c r="A43" s="86" t="s">
        <v>208</v>
      </c>
      <c r="B43" s="87" t="s">
        <v>209</v>
      </c>
      <c r="C43" s="88">
        <v>101.28</v>
      </c>
      <c r="D43" s="89">
        <v>33.76</v>
      </c>
      <c r="E43" s="90">
        <v>38</v>
      </c>
      <c r="F43" s="9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11"/>
    </row>
    <row r="44" spans="1:17">
      <c r="A44" s="86" t="s">
        <v>210</v>
      </c>
      <c r="B44" s="87" t="s">
        <v>209</v>
      </c>
      <c r="C44" s="88">
        <v>101.28</v>
      </c>
      <c r="D44" s="89">
        <v>33.76</v>
      </c>
      <c r="E44" s="90">
        <v>38</v>
      </c>
      <c r="F44" s="9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111"/>
    </row>
    <row r="45" ht="33.75" spans="1:17">
      <c r="A45" s="86" t="s">
        <v>211</v>
      </c>
      <c r="B45" s="87" t="s">
        <v>212</v>
      </c>
      <c r="C45" s="88">
        <v>278.08</v>
      </c>
      <c r="D45" s="102" t="s">
        <v>213</v>
      </c>
      <c r="E45" s="101" t="s">
        <v>214</v>
      </c>
      <c r="F45" s="9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11"/>
    </row>
    <row r="46" spans="1:17">
      <c r="A46" s="86" t="s">
        <v>216</v>
      </c>
      <c r="B46" s="87" t="s">
        <v>217</v>
      </c>
      <c r="C46" s="88">
        <v>1252.64</v>
      </c>
      <c r="D46" s="89">
        <v>6.2632</v>
      </c>
      <c r="E46" s="90">
        <v>8</v>
      </c>
      <c r="F46" s="9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11"/>
    </row>
    <row r="47" hidden="1" spans="1:17">
      <c r="A47" s="92" t="s">
        <v>224</v>
      </c>
      <c r="B47" s="87" t="s">
        <v>225</v>
      </c>
      <c r="C47" s="93">
        <v>1568.72</v>
      </c>
      <c r="D47" s="94">
        <v>3.13744</v>
      </c>
      <c r="E47" s="90"/>
      <c r="F47" s="9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11"/>
    </row>
    <row r="48" spans="1:17">
      <c r="A48" s="86" t="s">
        <v>219</v>
      </c>
      <c r="B48" s="87" t="s">
        <v>220</v>
      </c>
      <c r="C48" s="88">
        <v>314</v>
      </c>
      <c r="D48" s="89">
        <v>3.14</v>
      </c>
      <c r="E48" s="90">
        <v>4</v>
      </c>
      <c r="F48" s="9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11"/>
    </row>
    <row r="49" spans="1:17">
      <c r="A49" s="86" t="s">
        <v>226</v>
      </c>
      <c r="B49" s="87" t="s">
        <v>205</v>
      </c>
      <c r="C49" s="88">
        <v>131.6</v>
      </c>
      <c r="D49" s="89">
        <v>26.32</v>
      </c>
      <c r="E49" s="90">
        <v>31</v>
      </c>
      <c r="F49" s="91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111"/>
    </row>
    <row r="50" spans="1:17">
      <c r="A50" s="86" t="s">
        <v>227</v>
      </c>
      <c r="B50" s="87" t="s">
        <v>205</v>
      </c>
      <c r="C50" s="88">
        <v>168</v>
      </c>
      <c r="D50" s="89">
        <v>33.6</v>
      </c>
      <c r="E50" s="90">
        <v>38</v>
      </c>
      <c r="F50" s="9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11"/>
    </row>
    <row r="51" spans="1:17">
      <c r="A51" s="86" t="s">
        <v>228</v>
      </c>
      <c r="B51" s="87" t="s">
        <v>164</v>
      </c>
      <c r="C51" s="88">
        <v>109.2</v>
      </c>
      <c r="D51" s="89">
        <v>10.92</v>
      </c>
      <c r="E51" s="90">
        <v>13</v>
      </c>
      <c r="F51" s="9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11"/>
    </row>
    <row r="52" spans="1:17">
      <c r="A52" s="86" t="s">
        <v>229</v>
      </c>
      <c r="B52" s="87" t="s">
        <v>164</v>
      </c>
      <c r="C52" s="88">
        <v>94.1</v>
      </c>
      <c r="D52" s="89">
        <v>9.41</v>
      </c>
      <c r="E52" s="90">
        <v>11</v>
      </c>
      <c r="F52" s="9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11"/>
    </row>
    <row r="53" spans="1:17">
      <c r="A53" s="86" t="s">
        <v>232</v>
      </c>
      <c r="B53" s="87" t="s">
        <v>233</v>
      </c>
      <c r="C53" s="88">
        <v>519.8</v>
      </c>
      <c r="D53" s="89">
        <v>25.99</v>
      </c>
      <c r="E53" s="90">
        <v>29</v>
      </c>
      <c r="F53" s="9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11"/>
    </row>
    <row r="54" spans="1:17">
      <c r="A54" s="86" t="s">
        <v>234</v>
      </c>
      <c r="B54" s="87" t="s">
        <v>235</v>
      </c>
      <c r="C54" s="88">
        <v>260.04</v>
      </c>
      <c r="D54" s="89">
        <v>21.67</v>
      </c>
      <c r="E54" s="90">
        <v>25</v>
      </c>
      <c r="F54" s="9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111"/>
    </row>
    <row r="55" spans="1:17">
      <c r="A55" s="96" t="s">
        <v>618</v>
      </c>
      <c r="B55" s="103"/>
      <c r="C55" s="104"/>
      <c r="D55" s="105">
        <v>25.99</v>
      </c>
      <c r="E55" s="106">
        <v>29</v>
      </c>
      <c r="F55" s="107"/>
      <c r="G55" s="108"/>
      <c r="H55" s="108"/>
      <c r="I55" s="22"/>
      <c r="J55" s="22"/>
      <c r="K55" s="22"/>
      <c r="L55" s="22"/>
      <c r="M55" s="22"/>
      <c r="N55" s="22"/>
      <c r="O55" s="22"/>
      <c r="P55" s="22"/>
      <c r="Q55" s="111"/>
    </row>
    <row r="56" spans="1:17">
      <c r="A56" s="86" t="s">
        <v>237</v>
      </c>
      <c r="B56" s="87" t="s">
        <v>238</v>
      </c>
      <c r="C56" s="88">
        <v>636.12</v>
      </c>
      <c r="D56" s="89">
        <v>31.806</v>
      </c>
      <c r="E56" s="90">
        <v>37</v>
      </c>
      <c r="F56" s="9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11"/>
    </row>
    <row r="57" spans="1:17">
      <c r="A57" s="86" t="s">
        <v>240</v>
      </c>
      <c r="B57" s="87" t="s">
        <v>195</v>
      </c>
      <c r="C57" s="88">
        <v>708.18</v>
      </c>
      <c r="D57" s="89">
        <v>118.03</v>
      </c>
      <c r="E57" s="90">
        <v>130</v>
      </c>
      <c r="F57" s="9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11"/>
    </row>
    <row r="58" spans="1:17">
      <c r="A58" s="86" t="s">
        <v>241</v>
      </c>
      <c r="B58" s="87" t="s">
        <v>195</v>
      </c>
      <c r="C58" s="88">
        <v>331.92</v>
      </c>
      <c r="D58" s="89">
        <v>55.32</v>
      </c>
      <c r="E58" s="90">
        <v>63</v>
      </c>
      <c r="F58" s="9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11"/>
    </row>
    <row r="59" spans="1:17">
      <c r="A59" s="86" t="s">
        <v>242</v>
      </c>
      <c r="B59" s="87" t="s">
        <v>195</v>
      </c>
      <c r="C59" s="88">
        <v>469.8</v>
      </c>
      <c r="D59" s="89">
        <v>78.3</v>
      </c>
      <c r="E59" s="90">
        <v>88</v>
      </c>
      <c r="F59" s="9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111"/>
    </row>
    <row r="60" spans="1:17">
      <c r="A60" s="86" t="s">
        <v>243</v>
      </c>
      <c r="B60" s="87" t="s">
        <v>205</v>
      </c>
      <c r="C60" s="88">
        <v>124.4</v>
      </c>
      <c r="D60" s="89">
        <v>24.88</v>
      </c>
      <c r="E60" s="90">
        <v>33</v>
      </c>
      <c r="F60" s="91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111"/>
    </row>
    <row r="61" spans="1:17">
      <c r="A61" s="86" t="s">
        <v>244</v>
      </c>
      <c r="B61" s="87" t="s">
        <v>205</v>
      </c>
      <c r="C61" s="88">
        <v>172.2</v>
      </c>
      <c r="D61" s="89">
        <v>34.44</v>
      </c>
      <c r="E61" s="90">
        <v>44</v>
      </c>
      <c r="F61" s="9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111"/>
    </row>
    <row r="62" spans="1:17">
      <c r="A62" s="86" t="s">
        <v>245</v>
      </c>
      <c r="B62" s="87" t="s">
        <v>164</v>
      </c>
      <c r="C62" s="88">
        <v>460.2</v>
      </c>
      <c r="D62" s="89">
        <v>46.02</v>
      </c>
      <c r="E62" s="90">
        <v>50</v>
      </c>
      <c r="F62" s="91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111"/>
    </row>
    <row r="63" spans="1:17">
      <c r="A63" s="86" t="s">
        <v>246</v>
      </c>
      <c r="B63" s="87" t="s">
        <v>164</v>
      </c>
      <c r="C63" s="88">
        <v>302</v>
      </c>
      <c r="D63" s="89">
        <v>30.2</v>
      </c>
      <c r="E63" s="90">
        <v>34</v>
      </c>
      <c r="F63" s="91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111"/>
    </row>
    <row r="64" spans="1:17">
      <c r="A64" s="86" t="s">
        <v>247</v>
      </c>
      <c r="B64" s="87" t="s">
        <v>144</v>
      </c>
      <c r="C64" s="88">
        <v>53.01</v>
      </c>
      <c r="D64" s="89">
        <v>4.4175</v>
      </c>
      <c r="E64" s="90">
        <v>8</v>
      </c>
      <c r="F64" s="9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111"/>
    </row>
    <row r="65" spans="1:17">
      <c r="A65" s="86" t="s">
        <v>248</v>
      </c>
      <c r="B65" s="87" t="s">
        <v>159</v>
      </c>
      <c r="C65" s="88">
        <v>181.88</v>
      </c>
      <c r="D65" s="89">
        <v>90.94</v>
      </c>
      <c r="E65" s="90">
        <v>104</v>
      </c>
      <c r="F65" s="91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111"/>
    </row>
    <row r="66" spans="1:17">
      <c r="A66" s="86" t="s">
        <v>249</v>
      </c>
      <c r="B66" s="87" t="s">
        <v>159</v>
      </c>
      <c r="C66" s="88">
        <v>130.7</v>
      </c>
      <c r="D66" s="89">
        <v>65.35</v>
      </c>
      <c r="E66" s="90">
        <v>75</v>
      </c>
      <c r="F66" s="9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111"/>
    </row>
    <row r="67" spans="1:17">
      <c r="A67" s="96" t="s">
        <v>600</v>
      </c>
      <c r="B67" s="103"/>
      <c r="C67" s="104"/>
      <c r="D67" s="105">
        <v>4.66</v>
      </c>
      <c r="E67" s="106">
        <v>6</v>
      </c>
      <c r="F67" s="107"/>
      <c r="G67" s="108"/>
      <c r="H67" s="108"/>
      <c r="I67" s="22"/>
      <c r="J67" s="22"/>
      <c r="K67" s="22"/>
      <c r="L67" s="22"/>
      <c r="M67" s="22"/>
      <c r="N67" s="22"/>
      <c r="O67" s="22"/>
      <c r="P67" s="22"/>
      <c r="Q67" s="111"/>
    </row>
    <row r="68" spans="1:17">
      <c r="A68" s="86" t="s">
        <v>250</v>
      </c>
      <c r="B68" s="87" t="s">
        <v>161</v>
      </c>
      <c r="C68" s="88">
        <v>74.25</v>
      </c>
      <c r="D68" s="89">
        <v>74.25</v>
      </c>
      <c r="E68" s="90">
        <v>85</v>
      </c>
      <c r="F68" s="9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111"/>
    </row>
    <row r="69" spans="1:17">
      <c r="A69" s="86" t="s">
        <v>251</v>
      </c>
      <c r="B69" s="87" t="s">
        <v>161</v>
      </c>
      <c r="C69" s="88">
        <v>103.05</v>
      </c>
      <c r="D69" s="89">
        <v>103.05</v>
      </c>
      <c r="E69" s="90">
        <v>118.5</v>
      </c>
      <c r="F69" s="9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11"/>
    </row>
    <row r="70" spans="1:17">
      <c r="A70" s="86" t="s">
        <v>252</v>
      </c>
      <c r="B70" s="87" t="s">
        <v>159</v>
      </c>
      <c r="C70" s="88">
        <v>253.14</v>
      </c>
      <c r="D70" s="89">
        <v>126.57</v>
      </c>
      <c r="E70" s="90">
        <v>145</v>
      </c>
      <c r="F70" s="9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111"/>
    </row>
    <row r="71" spans="1:17">
      <c r="A71" s="86" t="s">
        <v>253</v>
      </c>
      <c r="B71" s="87" t="s">
        <v>159</v>
      </c>
      <c r="C71" s="88">
        <v>141.24</v>
      </c>
      <c r="D71" s="89">
        <v>70.62</v>
      </c>
      <c r="E71" s="90">
        <v>81</v>
      </c>
      <c r="F71" s="9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111"/>
    </row>
    <row r="72" spans="1:17">
      <c r="A72" s="86" t="s">
        <v>254</v>
      </c>
      <c r="B72" s="87" t="s">
        <v>159</v>
      </c>
      <c r="C72" s="88">
        <v>220.7</v>
      </c>
      <c r="D72" s="89">
        <v>110.35</v>
      </c>
      <c r="E72" s="90">
        <v>125</v>
      </c>
      <c r="F72" s="91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111"/>
    </row>
    <row r="73" spans="1:17">
      <c r="A73" s="86" t="s">
        <v>255</v>
      </c>
      <c r="B73" s="87" t="s">
        <v>159</v>
      </c>
      <c r="C73" s="88">
        <v>104.14</v>
      </c>
      <c r="D73" s="89">
        <v>52.07</v>
      </c>
      <c r="E73" s="90">
        <v>59</v>
      </c>
      <c r="F73" s="9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11"/>
    </row>
    <row r="74" spans="1:17">
      <c r="A74" s="86" t="s">
        <v>256</v>
      </c>
      <c r="B74" s="87" t="s">
        <v>150</v>
      </c>
      <c r="C74" s="88">
        <v>371.1</v>
      </c>
      <c r="D74" s="89">
        <v>37.11</v>
      </c>
      <c r="E74" s="90">
        <v>47</v>
      </c>
      <c r="F74" s="9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11"/>
    </row>
    <row r="75" spans="1:17">
      <c r="A75" s="86" t="s">
        <v>257</v>
      </c>
      <c r="B75" s="87" t="s">
        <v>150</v>
      </c>
      <c r="C75" s="88">
        <v>493.8</v>
      </c>
      <c r="D75" s="89">
        <v>49.38</v>
      </c>
      <c r="E75" s="90">
        <v>61</v>
      </c>
      <c r="F75" s="91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111"/>
    </row>
    <row r="76" spans="1:17">
      <c r="A76" s="96" t="s">
        <v>627</v>
      </c>
      <c r="B76" s="103"/>
      <c r="C76" s="104"/>
      <c r="D76" s="105">
        <v>9.62</v>
      </c>
      <c r="E76" s="106">
        <v>11</v>
      </c>
      <c r="F76" s="107"/>
      <c r="G76" s="108"/>
      <c r="H76" s="108"/>
      <c r="I76" s="22"/>
      <c r="J76" s="22"/>
      <c r="K76" s="22"/>
      <c r="L76" s="22"/>
      <c r="M76" s="22"/>
      <c r="N76" s="22"/>
      <c r="O76" s="22"/>
      <c r="P76" s="22"/>
      <c r="Q76" s="111"/>
    </row>
    <row r="77" spans="1:17">
      <c r="A77" s="86" t="s">
        <v>601</v>
      </c>
      <c r="B77" s="103"/>
      <c r="C77" s="104"/>
      <c r="D77" s="105">
        <f>1217.62/100</f>
        <v>12.1762</v>
      </c>
      <c r="E77" s="106">
        <v>14</v>
      </c>
      <c r="F77" s="107"/>
      <c r="G77" s="108"/>
      <c r="H77" s="108"/>
      <c r="I77" s="22"/>
      <c r="J77" s="22"/>
      <c r="K77" s="22"/>
      <c r="L77" s="22"/>
      <c r="M77" s="22"/>
      <c r="N77" s="22"/>
      <c r="O77" s="22"/>
      <c r="P77" s="22"/>
      <c r="Q77" s="111"/>
    </row>
    <row r="78" spans="1:17">
      <c r="A78" s="96" t="s">
        <v>602</v>
      </c>
      <c r="B78" s="103"/>
      <c r="C78" s="104"/>
      <c r="D78" s="105">
        <v>15.99</v>
      </c>
      <c r="E78" s="106">
        <v>18</v>
      </c>
      <c r="F78" s="107"/>
      <c r="G78" s="108"/>
      <c r="H78" s="108"/>
      <c r="I78" s="22"/>
      <c r="J78" s="22"/>
      <c r="K78" s="22"/>
      <c r="L78" s="22"/>
      <c r="M78" s="22"/>
      <c r="N78" s="22"/>
      <c r="O78" s="22"/>
      <c r="P78" s="22"/>
      <c r="Q78" s="111"/>
    </row>
    <row r="79" spans="1:17">
      <c r="A79" s="96" t="s">
        <v>603</v>
      </c>
      <c r="B79" s="103"/>
      <c r="C79" s="104"/>
      <c r="D79" s="105">
        <v>151.9</v>
      </c>
      <c r="E79" s="106">
        <v>170</v>
      </c>
      <c r="F79" s="107"/>
      <c r="G79" s="108"/>
      <c r="H79" s="108"/>
      <c r="I79" s="22"/>
      <c r="J79" s="22"/>
      <c r="K79" s="22"/>
      <c r="L79" s="22"/>
      <c r="M79" s="22"/>
      <c r="N79" s="22"/>
      <c r="O79" s="22"/>
      <c r="P79" s="22"/>
      <c r="Q79" s="111"/>
    </row>
    <row r="80" spans="1:17">
      <c r="A80" s="96" t="s">
        <v>604</v>
      </c>
      <c r="B80" s="103"/>
      <c r="C80" s="104"/>
      <c r="D80" s="105">
        <v>274.4</v>
      </c>
      <c r="E80" s="106">
        <v>295</v>
      </c>
      <c r="F80" s="107"/>
      <c r="G80" s="108"/>
      <c r="H80" s="108"/>
      <c r="I80" s="22"/>
      <c r="J80" s="22"/>
      <c r="K80" s="22"/>
      <c r="L80" s="22"/>
      <c r="M80" s="22"/>
      <c r="N80" s="22"/>
      <c r="O80" s="22"/>
      <c r="P80" s="22"/>
      <c r="Q80" s="111"/>
    </row>
    <row r="81" spans="1:17">
      <c r="A81" s="96" t="s">
        <v>584</v>
      </c>
      <c r="B81" s="97"/>
      <c r="C81" s="98"/>
      <c r="D81" s="99">
        <f>1239.3/20</f>
        <v>61.965</v>
      </c>
      <c r="E81" s="100">
        <v>72</v>
      </c>
      <c r="F81" s="9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111"/>
    </row>
    <row r="82" spans="1:17">
      <c r="A82" s="96" t="s">
        <v>605</v>
      </c>
      <c r="B82" s="103"/>
      <c r="C82" s="104"/>
      <c r="D82" s="105">
        <f>171.13/12</f>
        <v>14.2608333333333</v>
      </c>
      <c r="E82" s="106">
        <v>18</v>
      </c>
      <c r="F82" s="107"/>
      <c r="G82" s="108"/>
      <c r="H82" s="108"/>
      <c r="I82" s="22"/>
      <c r="J82" s="22"/>
      <c r="K82" s="22"/>
      <c r="L82" s="22"/>
      <c r="M82" s="22"/>
      <c r="N82" s="22"/>
      <c r="O82" s="22"/>
      <c r="P82" s="22"/>
      <c r="Q82" s="111"/>
    </row>
    <row r="83" spans="1:17">
      <c r="A83" s="96" t="s">
        <v>606</v>
      </c>
      <c r="B83" s="103"/>
      <c r="C83" s="104"/>
      <c r="D83" s="105">
        <f>171.13/12</f>
        <v>14.2608333333333</v>
      </c>
      <c r="E83" s="106">
        <v>18</v>
      </c>
      <c r="F83" s="107"/>
      <c r="G83" s="108"/>
      <c r="H83" s="108"/>
      <c r="I83" s="22"/>
      <c r="J83" s="22"/>
      <c r="K83" s="22"/>
      <c r="L83" s="22"/>
      <c r="M83" s="22"/>
      <c r="N83" s="22"/>
      <c r="O83" s="22"/>
      <c r="P83" s="22"/>
      <c r="Q83" s="111"/>
    </row>
    <row r="84" spans="1:17">
      <c r="A84" s="96" t="s">
        <v>585</v>
      </c>
      <c r="B84" s="97"/>
      <c r="C84" s="98"/>
      <c r="D84" s="99">
        <f>977.13/300</f>
        <v>3.2571</v>
      </c>
      <c r="E84" s="100">
        <v>4</v>
      </c>
      <c r="F84" s="91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111"/>
    </row>
    <row r="85" spans="1:17">
      <c r="A85" s="86" t="s">
        <v>258</v>
      </c>
      <c r="B85" s="87" t="s">
        <v>205</v>
      </c>
      <c r="C85" s="88">
        <v>114.8</v>
      </c>
      <c r="D85" s="89">
        <v>22.96</v>
      </c>
      <c r="E85" s="90">
        <v>28</v>
      </c>
      <c r="F85" s="9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111"/>
    </row>
    <row r="86" spans="1:17">
      <c r="A86" s="86" t="s">
        <v>259</v>
      </c>
      <c r="B86" s="87" t="s">
        <v>260</v>
      </c>
      <c r="C86" s="88">
        <v>217.95</v>
      </c>
      <c r="D86" s="89">
        <v>43.59</v>
      </c>
      <c r="E86" s="90">
        <v>50</v>
      </c>
      <c r="F86" s="91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111"/>
    </row>
    <row r="87" spans="1:17">
      <c r="A87" s="86" t="s">
        <v>261</v>
      </c>
      <c r="B87" s="87" t="s">
        <v>144</v>
      </c>
      <c r="C87" s="88">
        <v>75</v>
      </c>
      <c r="D87" s="89">
        <v>6.25</v>
      </c>
      <c r="E87" s="90">
        <v>8</v>
      </c>
      <c r="F87" s="91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11"/>
    </row>
    <row r="88" spans="1:17">
      <c r="A88" s="86" t="s">
        <v>263</v>
      </c>
      <c r="B88" s="87" t="s">
        <v>238</v>
      </c>
      <c r="C88" s="88">
        <v>1045.5</v>
      </c>
      <c r="D88" s="89">
        <v>52.275</v>
      </c>
      <c r="E88" s="90"/>
      <c r="F88" s="91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111"/>
    </row>
    <row r="89" spans="1:17">
      <c r="A89" s="86" t="s">
        <v>264</v>
      </c>
      <c r="B89" s="87" t="s">
        <v>265</v>
      </c>
      <c r="C89" s="88">
        <v>1218.15</v>
      </c>
      <c r="D89" s="89">
        <v>81.21</v>
      </c>
      <c r="E89" s="90">
        <v>92</v>
      </c>
      <c r="F89" s="9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111"/>
    </row>
    <row r="90" spans="1:17">
      <c r="A90" s="86" t="s">
        <v>266</v>
      </c>
      <c r="B90" s="87" t="s">
        <v>150</v>
      </c>
      <c r="C90" s="88">
        <v>593.6</v>
      </c>
      <c r="D90" s="89">
        <v>59.36</v>
      </c>
      <c r="E90" s="90">
        <v>68</v>
      </c>
      <c r="F90" s="9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11"/>
    </row>
    <row r="91" spans="1:17">
      <c r="A91" s="112" t="s">
        <v>267</v>
      </c>
      <c r="B91" s="113" t="s">
        <v>150</v>
      </c>
      <c r="C91" s="114">
        <v>863.1</v>
      </c>
      <c r="D91" s="115">
        <v>91.74</v>
      </c>
      <c r="E91" s="116">
        <v>98</v>
      </c>
      <c r="F91" s="9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111"/>
    </row>
    <row r="92" spans="1:17">
      <c r="A92" s="86" t="s">
        <v>268</v>
      </c>
      <c r="B92" s="87" t="s">
        <v>165</v>
      </c>
      <c r="C92" s="88">
        <v>262.4</v>
      </c>
      <c r="D92" s="89">
        <v>26.24</v>
      </c>
      <c r="E92" s="90">
        <v>30</v>
      </c>
      <c r="F92" s="9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111"/>
    </row>
    <row r="93" spans="1:17">
      <c r="A93" s="86" t="s">
        <v>269</v>
      </c>
      <c r="B93" s="87" t="s">
        <v>233</v>
      </c>
      <c r="C93" s="88">
        <v>136.4</v>
      </c>
      <c r="D93" s="89">
        <v>6.82</v>
      </c>
      <c r="E93" s="90">
        <v>8.5</v>
      </c>
      <c r="F93" s="91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111"/>
    </row>
    <row r="94" spans="1:17">
      <c r="A94" s="96" t="s">
        <v>607</v>
      </c>
      <c r="B94" s="103"/>
      <c r="C94" s="104"/>
      <c r="D94" s="105">
        <v>4.88</v>
      </c>
      <c r="E94" s="106">
        <v>6</v>
      </c>
      <c r="F94" s="107"/>
      <c r="G94" s="108"/>
      <c r="H94" s="108"/>
      <c r="I94" s="22"/>
      <c r="J94" s="22"/>
      <c r="K94" s="22"/>
      <c r="L94" s="22"/>
      <c r="M94" s="22"/>
      <c r="N94" s="22"/>
      <c r="O94" s="22"/>
      <c r="P94" s="22"/>
      <c r="Q94" s="111"/>
    </row>
    <row r="95" spans="1:17">
      <c r="A95" s="96" t="s">
        <v>586</v>
      </c>
      <c r="B95" s="97"/>
      <c r="C95" s="98"/>
      <c r="D95" s="99">
        <v>597.07</v>
      </c>
      <c r="E95" s="100">
        <v>650</v>
      </c>
      <c r="F95" s="91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111"/>
    </row>
    <row r="96" spans="1:17">
      <c r="A96" s="86" t="s">
        <v>270</v>
      </c>
      <c r="B96" s="87" t="s">
        <v>271</v>
      </c>
      <c r="C96" s="88">
        <v>138.8</v>
      </c>
      <c r="D96" s="89">
        <v>6.94</v>
      </c>
      <c r="E96" s="90">
        <v>8</v>
      </c>
      <c r="F96" s="9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111"/>
    </row>
    <row r="97" spans="1:17">
      <c r="A97" s="86" t="s">
        <v>274</v>
      </c>
      <c r="B97" s="87" t="s">
        <v>159</v>
      </c>
      <c r="C97" s="88">
        <v>195.42</v>
      </c>
      <c r="D97" s="89">
        <v>97.71</v>
      </c>
      <c r="E97" s="90">
        <v>110</v>
      </c>
      <c r="F97" s="9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111"/>
    </row>
    <row r="98" spans="1:17">
      <c r="A98" s="86" t="s">
        <v>275</v>
      </c>
      <c r="B98" s="87" t="s">
        <v>159</v>
      </c>
      <c r="C98" s="88">
        <v>199.14</v>
      </c>
      <c r="D98" s="89">
        <v>99.57</v>
      </c>
      <c r="E98" s="90">
        <v>114</v>
      </c>
      <c r="F98" s="9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111"/>
    </row>
    <row r="99" spans="1:17">
      <c r="A99" s="86" t="s">
        <v>276</v>
      </c>
      <c r="B99" s="87" t="s">
        <v>162</v>
      </c>
      <c r="C99" s="88">
        <v>226.5</v>
      </c>
      <c r="D99" s="89">
        <v>75.5</v>
      </c>
      <c r="E99" s="90">
        <v>85</v>
      </c>
      <c r="F99" s="9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111"/>
    </row>
    <row r="100" spans="1:17">
      <c r="A100" s="86" t="s">
        <v>277</v>
      </c>
      <c r="B100" s="87" t="s">
        <v>159</v>
      </c>
      <c r="C100" s="88">
        <v>239.64</v>
      </c>
      <c r="D100" s="89">
        <v>119.82</v>
      </c>
      <c r="E100" s="90">
        <v>135</v>
      </c>
      <c r="F100" s="9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111"/>
    </row>
    <row r="101" spans="1:17">
      <c r="A101" s="96" t="s">
        <v>628</v>
      </c>
      <c r="B101" s="103"/>
      <c r="C101" s="104"/>
      <c r="D101" s="105">
        <v>24.58</v>
      </c>
      <c r="E101" s="106">
        <v>27</v>
      </c>
      <c r="F101" s="107"/>
      <c r="G101" s="108"/>
      <c r="H101" s="108"/>
      <c r="I101" s="22"/>
      <c r="J101" s="22"/>
      <c r="K101" s="22"/>
      <c r="L101" s="22"/>
      <c r="M101" s="22"/>
      <c r="N101" s="22"/>
      <c r="O101" s="22"/>
      <c r="P101" s="22"/>
      <c r="Q101" s="111"/>
    </row>
    <row r="102" spans="1:17">
      <c r="A102" s="86" t="s">
        <v>278</v>
      </c>
      <c r="B102" s="87" t="s">
        <v>235</v>
      </c>
      <c r="C102" s="88">
        <v>214.92</v>
      </c>
      <c r="D102" s="89">
        <v>17.91</v>
      </c>
      <c r="E102" s="90">
        <v>20.5</v>
      </c>
      <c r="F102" s="9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111"/>
    </row>
    <row r="103" spans="1:17">
      <c r="A103" s="86" t="s">
        <v>278</v>
      </c>
      <c r="B103" s="87" t="s">
        <v>195</v>
      </c>
      <c r="C103" s="88">
        <v>132.9</v>
      </c>
      <c r="D103" s="89">
        <v>22.15</v>
      </c>
      <c r="E103" s="90">
        <v>30</v>
      </c>
      <c r="F103" s="9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111"/>
    </row>
    <row r="104" spans="1:17">
      <c r="A104" s="86" t="s">
        <v>280</v>
      </c>
      <c r="B104" s="87" t="s">
        <v>195</v>
      </c>
      <c r="C104" s="88">
        <v>256.08</v>
      </c>
      <c r="D104" s="89">
        <v>42.68</v>
      </c>
      <c r="E104" s="90">
        <v>50</v>
      </c>
      <c r="F104" s="91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111"/>
    </row>
    <row r="105" spans="1:17">
      <c r="A105" s="86" t="s">
        <v>281</v>
      </c>
      <c r="B105" s="87" t="s">
        <v>195</v>
      </c>
      <c r="C105" s="88">
        <v>171.66</v>
      </c>
      <c r="D105" s="89">
        <v>28.61</v>
      </c>
      <c r="E105" s="90">
        <v>36</v>
      </c>
      <c r="F105" s="91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111"/>
    </row>
    <row r="106" spans="1:17">
      <c r="A106" s="86" t="s">
        <v>282</v>
      </c>
      <c r="B106" s="87" t="s">
        <v>195</v>
      </c>
      <c r="C106" s="88">
        <v>323.94</v>
      </c>
      <c r="D106" s="89">
        <v>53.99</v>
      </c>
      <c r="E106" s="90">
        <v>60</v>
      </c>
      <c r="F106" s="91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111"/>
    </row>
    <row r="107" spans="1:17">
      <c r="A107" s="86" t="s">
        <v>283</v>
      </c>
      <c r="B107" s="87" t="s">
        <v>284</v>
      </c>
      <c r="C107" s="88">
        <v>128.64</v>
      </c>
      <c r="D107" s="89">
        <v>5.36</v>
      </c>
      <c r="E107" s="90">
        <v>6.5</v>
      </c>
      <c r="F107" s="91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111"/>
    </row>
    <row r="108" spans="1:17">
      <c r="A108" s="96" t="s">
        <v>619</v>
      </c>
      <c r="B108" s="103"/>
      <c r="C108" s="104"/>
      <c r="D108" s="105">
        <v>31.82</v>
      </c>
      <c r="E108" s="106">
        <v>46</v>
      </c>
      <c r="F108" s="107"/>
      <c r="G108" s="108"/>
      <c r="H108" s="108"/>
      <c r="I108" s="22"/>
      <c r="J108" s="22"/>
      <c r="K108" s="22"/>
      <c r="L108" s="22"/>
      <c r="M108" s="22"/>
      <c r="N108" s="22"/>
      <c r="O108" s="22"/>
      <c r="P108" s="22"/>
      <c r="Q108" s="111"/>
    </row>
    <row r="109" spans="1:17">
      <c r="A109" s="96" t="s">
        <v>620</v>
      </c>
      <c r="B109" s="103"/>
      <c r="C109" s="104"/>
      <c r="D109" s="105">
        <v>27.111</v>
      </c>
      <c r="E109" s="106">
        <v>32</v>
      </c>
      <c r="F109" s="107"/>
      <c r="G109" s="108"/>
      <c r="H109" s="108"/>
      <c r="I109" s="22"/>
      <c r="J109" s="22"/>
      <c r="K109" s="22"/>
      <c r="L109" s="22"/>
      <c r="M109" s="22"/>
      <c r="N109" s="22"/>
      <c r="O109" s="22"/>
      <c r="P109" s="22"/>
      <c r="Q109" s="111"/>
    </row>
    <row r="110" spans="1:17">
      <c r="A110" s="86" t="s">
        <v>286</v>
      </c>
      <c r="B110" s="87" t="s">
        <v>287</v>
      </c>
      <c r="C110" s="88">
        <v>338.64</v>
      </c>
      <c r="D110" s="89">
        <v>33.864</v>
      </c>
      <c r="E110" s="90">
        <v>38</v>
      </c>
      <c r="F110" s="9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11"/>
    </row>
    <row r="111" spans="1:17">
      <c r="A111" s="86" t="s">
        <v>289</v>
      </c>
      <c r="B111" s="87" t="s">
        <v>159</v>
      </c>
      <c r="C111" s="88">
        <v>61.54</v>
      </c>
      <c r="D111" s="89">
        <v>30.77</v>
      </c>
      <c r="E111" s="90">
        <v>40</v>
      </c>
      <c r="F111" s="9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11"/>
    </row>
    <row r="112" spans="1:17">
      <c r="A112" s="86" t="s">
        <v>290</v>
      </c>
      <c r="B112" s="87" t="s">
        <v>161</v>
      </c>
      <c r="C112" s="88">
        <v>48.11</v>
      </c>
      <c r="D112" s="89">
        <v>48.11</v>
      </c>
      <c r="E112" s="90">
        <v>56</v>
      </c>
      <c r="F112" s="9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11"/>
    </row>
    <row r="113" spans="1:17">
      <c r="A113" s="86" t="s">
        <v>291</v>
      </c>
      <c r="B113" s="87" t="s">
        <v>159</v>
      </c>
      <c r="C113" s="88">
        <v>61.54</v>
      </c>
      <c r="D113" s="89">
        <v>30.77</v>
      </c>
      <c r="E113" s="90">
        <v>40</v>
      </c>
      <c r="F113" s="9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11"/>
    </row>
    <row r="114" spans="1:17">
      <c r="A114" s="86" t="s">
        <v>292</v>
      </c>
      <c r="B114" s="87" t="s">
        <v>161</v>
      </c>
      <c r="C114" s="88">
        <v>48.11</v>
      </c>
      <c r="D114" s="89">
        <v>48.11</v>
      </c>
      <c r="E114" s="90">
        <v>56</v>
      </c>
      <c r="F114" s="9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11"/>
    </row>
    <row r="115" spans="1:17">
      <c r="A115" s="86" t="s">
        <v>293</v>
      </c>
      <c r="B115" s="87" t="s">
        <v>159</v>
      </c>
      <c r="C115" s="88">
        <v>61.54</v>
      </c>
      <c r="D115" s="89">
        <v>30.77</v>
      </c>
      <c r="E115" s="90">
        <v>40</v>
      </c>
      <c r="F115" s="91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111"/>
    </row>
    <row r="116" spans="1:17">
      <c r="A116" s="86" t="s">
        <v>294</v>
      </c>
      <c r="B116" s="87" t="s">
        <v>161</v>
      </c>
      <c r="C116" s="88">
        <v>48.11</v>
      </c>
      <c r="D116" s="89">
        <v>48.11</v>
      </c>
      <c r="E116" s="90">
        <v>56</v>
      </c>
      <c r="F116" s="91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111"/>
    </row>
    <row r="117" spans="1:17">
      <c r="A117" s="86" t="s">
        <v>295</v>
      </c>
      <c r="B117" s="87" t="s">
        <v>159</v>
      </c>
      <c r="C117" s="88">
        <v>61.54</v>
      </c>
      <c r="D117" s="89">
        <v>30.77</v>
      </c>
      <c r="E117" s="90">
        <v>40</v>
      </c>
      <c r="F117" s="91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111"/>
    </row>
    <row r="118" spans="1:17">
      <c r="A118" s="86" t="s">
        <v>296</v>
      </c>
      <c r="B118" s="87" t="s">
        <v>161</v>
      </c>
      <c r="C118" s="88">
        <v>48.11</v>
      </c>
      <c r="D118" s="89">
        <v>48.11</v>
      </c>
      <c r="E118" s="90">
        <v>56</v>
      </c>
      <c r="F118" s="91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111"/>
    </row>
    <row r="119" spans="1:17">
      <c r="A119" s="86" t="s">
        <v>297</v>
      </c>
      <c r="B119" s="87" t="s">
        <v>159</v>
      </c>
      <c r="C119" s="88">
        <v>61.54</v>
      </c>
      <c r="D119" s="89">
        <v>30.77</v>
      </c>
      <c r="E119" s="90">
        <v>40</v>
      </c>
      <c r="F119" s="91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111"/>
    </row>
    <row r="120" spans="1:17">
      <c r="A120" s="86" t="s">
        <v>298</v>
      </c>
      <c r="B120" s="87" t="s">
        <v>161</v>
      </c>
      <c r="C120" s="88">
        <v>48.11</v>
      </c>
      <c r="D120" s="89">
        <v>48.11</v>
      </c>
      <c r="E120" s="90">
        <v>56</v>
      </c>
      <c r="F120" s="91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11"/>
    </row>
    <row r="121" spans="1:17">
      <c r="A121" s="86" t="s">
        <v>299</v>
      </c>
      <c r="B121" s="87" t="s">
        <v>159</v>
      </c>
      <c r="C121" s="88">
        <v>61.54</v>
      </c>
      <c r="D121" s="89">
        <v>30.77</v>
      </c>
      <c r="E121" s="90">
        <v>40</v>
      </c>
      <c r="F121" s="91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111"/>
    </row>
    <row r="122" spans="1:17">
      <c r="A122" s="86" t="s">
        <v>300</v>
      </c>
      <c r="B122" s="87" t="s">
        <v>161</v>
      </c>
      <c r="C122" s="88">
        <v>46.25</v>
      </c>
      <c r="D122" s="89">
        <v>46.25</v>
      </c>
      <c r="E122" s="90">
        <v>56</v>
      </c>
      <c r="F122" s="91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111"/>
    </row>
    <row r="123" spans="1:17">
      <c r="A123" s="86" t="s">
        <v>301</v>
      </c>
      <c r="B123" s="87" t="s">
        <v>159</v>
      </c>
      <c r="C123" s="88">
        <v>61.54</v>
      </c>
      <c r="D123" s="89">
        <v>30.77</v>
      </c>
      <c r="E123" s="90">
        <v>40</v>
      </c>
      <c r="F123" s="91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11"/>
    </row>
    <row r="124" spans="1:17">
      <c r="A124" s="86" t="s">
        <v>302</v>
      </c>
      <c r="B124" s="87" t="s">
        <v>303</v>
      </c>
      <c r="C124" s="88">
        <v>312.5</v>
      </c>
      <c r="D124" s="89">
        <v>12.5</v>
      </c>
      <c r="E124" s="90">
        <v>15</v>
      </c>
      <c r="F124" s="91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111"/>
    </row>
    <row r="125" spans="1:17">
      <c r="A125" s="86" t="s">
        <v>304</v>
      </c>
      <c r="B125" s="87" t="s">
        <v>303</v>
      </c>
      <c r="C125" s="88">
        <v>485.25</v>
      </c>
      <c r="D125" s="89">
        <v>19.41</v>
      </c>
      <c r="E125" s="90">
        <v>22</v>
      </c>
      <c r="F125" s="91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111"/>
    </row>
    <row r="126" spans="1:17">
      <c r="A126" s="86" t="s">
        <v>305</v>
      </c>
      <c r="B126" s="87" t="s">
        <v>303</v>
      </c>
      <c r="C126" s="88">
        <v>128.5</v>
      </c>
      <c r="D126" s="89">
        <v>5.14</v>
      </c>
      <c r="E126" s="90">
        <v>8</v>
      </c>
      <c r="F126" s="91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111"/>
    </row>
    <row r="127" spans="1:17">
      <c r="A127" s="86" t="s">
        <v>306</v>
      </c>
      <c r="B127" s="87" t="s">
        <v>303</v>
      </c>
      <c r="C127" s="88">
        <v>166.75</v>
      </c>
      <c r="D127" s="89">
        <v>6.67</v>
      </c>
      <c r="E127" s="90">
        <v>10</v>
      </c>
      <c r="F127" s="91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111"/>
    </row>
    <row r="128" spans="1:17">
      <c r="A128" s="86" t="s">
        <v>307</v>
      </c>
      <c r="B128" s="87" t="s">
        <v>162</v>
      </c>
      <c r="C128" s="88">
        <v>65.82</v>
      </c>
      <c r="D128" s="89">
        <v>21.94</v>
      </c>
      <c r="E128" s="90">
        <v>26</v>
      </c>
      <c r="F128" s="9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111"/>
    </row>
    <row r="129" spans="1:17">
      <c r="A129" s="96" t="s">
        <v>621</v>
      </c>
      <c r="B129" s="103"/>
      <c r="C129" s="104"/>
      <c r="D129" s="105">
        <v>95.03</v>
      </c>
      <c r="E129" s="106">
        <v>107</v>
      </c>
      <c r="F129" s="107"/>
      <c r="G129" s="108"/>
      <c r="H129" s="108"/>
      <c r="I129" s="22"/>
      <c r="J129" s="22"/>
      <c r="K129" s="22"/>
      <c r="L129" s="22"/>
      <c r="M129" s="22"/>
      <c r="N129" s="22"/>
      <c r="O129" s="22"/>
      <c r="P129" s="22"/>
      <c r="Q129" s="111"/>
    </row>
    <row r="130" spans="1:17">
      <c r="A130" s="96" t="s">
        <v>622</v>
      </c>
      <c r="B130" s="103"/>
      <c r="C130" s="104"/>
      <c r="D130" s="105">
        <v>243.41</v>
      </c>
      <c r="E130" s="106">
        <v>270</v>
      </c>
      <c r="F130" s="107"/>
      <c r="G130" s="108"/>
      <c r="H130" s="108"/>
      <c r="I130" s="22"/>
      <c r="J130" s="22"/>
      <c r="K130" s="22"/>
      <c r="L130" s="22"/>
      <c r="M130" s="22"/>
      <c r="N130" s="22"/>
      <c r="O130" s="22"/>
      <c r="P130" s="22"/>
      <c r="Q130" s="111"/>
    </row>
    <row r="131" spans="1:17">
      <c r="A131" s="86" t="s">
        <v>308</v>
      </c>
      <c r="B131" s="87" t="s">
        <v>309</v>
      </c>
      <c r="C131" s="88">
        <v>175.5</v>
      </c>
      <c r="D131" s="89">
        <v>29.25</v>
      </c>
      <c r="E131" s="90">
        <v>35</v>
      </c>
      <c r="F131" s="91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111"/>
    </row>
    <row r="132" spans="1:17">
      <c r="A132" s="86" t="s">
        <v>310</v>
      </c>
      <c r="B132" s="87" t="s">
        <v>309</v>
      </c>
      <c r="C132" s="88">
        <v>175.5</v>
      </c>
      <c r="D132" s="89">
        <v>29.25</v>
      </c>
      <c r="E132" s="90">
        <v>35</v>
      </c>
      <c r="F132" s="91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111"/>
    </row>
    <row r="133" spans="1:17">
      <c r="A133" s="86" t="s">
        <v>311</v>
      </c>
      <c r="B133" s="87" t="s">
        <v>164</v>
      </c>
      <c r="C133" s="88">
        <v>300.1</v>
      </c>
      <c r="D133" s="89">
        <v>30.01</v>
      </c>
      <c r="E133" s="90">
        <v>34</v>
      </c>
      <c r="F133" s="91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111"/>
    </row>
    <row r="134" spans="1:17">
      <c r="A134" s="96" t="s">
        <v>623</v>
      </c>
      <c r="B134" s="103"/>
      <c r="C134" s="104"/>
      <c r="D134" s="105">
        <v>96.9</v>
      </c>
      <c r="E134" s="106">
        <v>100</v>
      </c>
      <c r="F134" s="107"/>
      <c r="G134" s="108"/>
      <c r="H134" s="108"/>
      <c r="I134" s="22"/>
      <c r="J134" s="22"/>
      <c r="K134" s="22"/>
      <c r="L134" s="22"/>
      <c r="M134" s="22"/>
      <c r="N134" s="22"/>
      <c r="O134" s="22"/>
      <c r="P134" s="22"/>
      <c r="Q134" s="111"/>
    </row>
    <row r="135" spans="1:17">
      <c r="A135" s="86" t="s">
        <v>312</v>
      </c>
      <c r="B135" s="87" t="s">
        <v>313</v>
      </c>
      <c r="C135" s="88">
        <v>438.89</v>
      </c>
      <c r="D135" s="89">
        <v>14.6296666666667</v>
      </c>
      <c r="E135" s="90">
        <v>17</v>
      </c>
      <c r="F135" s="91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111"/>
    </row>
    <row r="136" spans="1:17">
      <c r="A136" s="86" t="s">
        <v>315</v>
      </c>
      <c r="B136" s="87" t="s">
        <v>287</v>
      </c>
      <c r="C136" s="88">
        <v>321.23</v>
      </c>
      <c r="D136" s="89">
        <v>32.123</v>
      </c>
      <c r="E136" s="90">
        <v>37</v>
      </c>
      <c r="F136" s="91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11"/>
    </row>
    <row r="137" spans="1:17">
      <c r="A137" s="86" t="s">
        <v>317</v>
      </c>
      <c r="B137" s="87" t="s">
        <v>313</v>
      </c>
      <c r="C137" s="88">
        <v>332.33</v>
      </c>
      <c r="D137" s="89">
        <v>11.0776666666667</v>
      </c>
      <c r="E137" s="90">
        <v>13</v>
      </c>
      <c r="F137" s="91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11"/>
    </row>
    <row r="138" spans="1:17">
      <c r="A138" s="86" t="s">
        <v>318</v>
      </c>
      <c r="B138" s="87" t="s">
        <v>313</v>
      </c>
      <c r="C138" s="88">
        <v>969.82</v>
      </c>
      <c r="D138" s="89">
        <v>32.3273333333333</v>
      </c>
      <c r="E138" s="90">
        <v>36</v>
      </c>
      <c r="F138" s="91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111"/>
    </row>
    <row r="139" spans="1:17">
      <c r="A139" s="86" t="s">
        <v>320</v>
      </c>
      <c r="B139" s="87" t="s">
        <v>144</v>
      </c>
      <c r="C139" s="88">
        <v>399.95</v>
      </c>
      <c r="D139" s="89">
        <v>33.3291666666667</v>
      </c>
      <c r="E139" s="90">
        <v>40</v>
      </c>
      <c r="F139" s="91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11"/>
    </row>
    <row r="140" spans="1:17">
      <c r="A140" s="86" t="s">
        <v>321</v>
      </c>
      <c r="B140" s="87" t="s">
        <v>52</v>
      </c>
      <c r="C140" s="88">
        <v>438.85</v>
      </c>
      <c r="D140" s="89">
        <v>18.2854166666667</v>
      </c>
      <c r="E140" s="90">
        <v>22</v>
      </c>
      <c r="F140" s="91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111"/>
    </row>
    <row r="141" spans="1:17">
      <c r="A141" s="86" t="s">
        <v>322</v>
      </c>
      <c r="B141" s="87" t="s">
        <v>230</v>
      </c>
      <c r="C141" s="88">
        <v>579.6</v>
      </c>
      <c r="D141" s="89">
        <v>9.66</v>
      </c>
      <c r="E141" s="90">
        <v>12</v>
      </c>
      <c r="F141" s="91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11"/>
    </row>
    <row r="142" spans="1:17">
      <c r="A142" s="86" t="s">
        <v>323</v>
      </c>
      <c r="B142" s="87" t="s">
        <v>159</v>
      </c>
      <c r="C142" s="88">
        <v>49.3</v>
      </c>
      <c r="D142" s="89">
        <v>24.65</v>
      </c>
      <c r="E142" s="90">
        <v>33</v>
      </c>
      <c r="F142" s="91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111"/>
    </row>
    <row r="143" spans="1:17">
      <c r="A143" s="86" t="s">
        <v>324</v>
      </c>
      <c r="B143" s="87" t="s">
        <v>159</v>
      </c>
      <c r="C143" s="88">
        <v>69.1</v>
      </c>
      <c r="D143" s="89">
        <v>34.55</v>
      </c>
      <c r="E143" s="90">
        <v>44</v>
      </c>
      <c r="F143" s="91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111"/>
    </row>
    <row r="144" spans="1:17">
      <c r="A144" s="86" t="s">
        <v>325</v>
      </c>
      <c r="B144" s="87" t="s">
        <v>159</v>
      </c>
      <c r="C144" s="88">
        <v>33.12</v>
      </c>
      <c r="D144" s="89">
        <v>16.56</v>
      </c>
      <c r="E144" s="90">
        <v>22</v>
      </c>
      <c r="F144" s="91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111"/>
    </row>
    <row r="145" spans="1:17">
      <c r="A145" s="96" t="s">
        <v>608</v>
      </c>
      <c r="B145" s="103"/>
      <c r="C145" s="104"/>
      <c r="D145" s="105">
        <v>72.18</v>
      </c>
      <c r="E145" s="106">
        <v>83</v>
      </c>
      <c r="F145" s="107"/>
      <c r="G145" s="108"/>
      <c r="H145" s="108"/>
      <c r="I145" s="22"/>
      <c r="J145" s="22"/>
      <c r="K145" s="22"/>
      <c r="L145" s="22"/>
      <c r="M145" s="22"/>
      <c r="N145" s="22"/>
      <c r="O145" s="22"/>
      <c r="P145" s="22"/>
      <c r="Q145" s="111"/>
    </row>
    <row r="146" spans="1:17">
      <c r="A146" s="96" t="s">
        <v>609</v>
      </c>
      <c r="B146" s="103"/>
      <c r="C146" s="104"/>
      <c r="D146" s="105">
        <v>134.33</v>
      </c>
      <c r="E146" s="106">
        <v>150</v>
      </c>
      <c r="F146" s="107"/>
      <c r="G146" s="108"/>
      <c r="H146" s="108"/>
      <c r="I146" s="22"/>
      <c r="J146" s="22"/>
      <c r="K146" s="22"/>
      <c r="L146" s="22"/>
      <c r="M146" s="22"/>
      <c r="N146" s="22"/>
      <c r="O146" s="22"/>
      <c r="P146" s="22"/>
      <c r="Q146" s="111"/>
    </row>
    <row r="147" spans="1:17">
      <c r="A147" s="86" t="s">
        <v>326</v>
      </c>
      <c r="B147" s="87" t="s">
        <v>144</v>
      </c>
      <c r="C147" s="88">
        <v>99.36</v>
      </c>
      <c r="D147" s="89">
        <v>8.28</v>
      </c>
      <c r="E147" s="90">
        <v>13</v>
      </c>
      <c r="F147" s="91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111"/>
    </row>
    <row r="148" spans="1:17">
      <c r="A148" s="86" t="s">
        <v>327</v>
      </c>
      <c r="B148" s="87" t="s">
        <v>328</v>
      </c>
      <c r="C148" s="88">
        <v>80.94</v>
      </c>
      <c r="D148" s="89">
        <v>13.49</v>
      </c>
      <c r="E148" s="90">
        <v>18</v>
      </c>
      <c r="F148" s="91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111"/>
    </row>
    <row r="149" spans="1:17">
      <c r="A149" s="86" t="s">
        <v>329</v>
      </c>
      <c r="B149" s="87" t="s">
        <v>330</v>
      </c>
      <c r="C149" s="88">
        <v>88.32</v>
      </c>
      <c r="D149" s="89">
        <v>3.68</v>
      </c>
      <c r="E149" s="90">
        <v>7</v>
      </c>
      <c r="F149" s="91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111"/>
    </row>
    <row r="150" spans="1:17">
      <c r="A150" s="86" t="s">
        <v>331</v>
      </c>
      <c r="B150" s="87" t="s">
        <v>144</v>
      </c>
      <c r="C150" s="88">
        <v>73.14</v>
      </c>
      <c r="D150" s="89">
        <v>6.095</v>
      </c>
      <c r="E150" s="90">
        <v>10</v>
      </c>
      <c r="F150" s="91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111"/>
    </row>
    <row r="151" spans="1:17">
      <c r="A151" s="86" t="s">
        <v>332</v>
      </c>
      <c r="B151" s="87" t="s">
        <v>333</v>
      </c>
      <c r="C151" s="88">
        <v>110.16</v>
      </c>
      <c r="D151" s="89">
        <v>4.59</v>
      </c>
      <c r="E151" s="90">
        <v>8</v>
      </c>
      <c r="F151" s="91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111"/>
    </row>
    <row r="152" spans="1:17">
      <c r="A152" s="96" t="s">
        <v>624</v>
      </c>
      <c r="B152" s="103"/>
      <c r="C152" s="104"/>
      <c r="D152" s="105">
        <v>27.3</v>
      </c>
      <c r="E152" s="106">
        <v>35</v>
      </c>
      <c r="F152" s="107"/>
      <c r="G152" s="108"/>
      <c r="H152" s="108"/>
      <c r="I152" s="22"/>
      <c r="J152" s="22"/>
      <c r="K152" s="22"/>
      <c r="L152" s="22"/>
      <c r="M152" s="22"/>
      <c r="N152" s="22"/>
      <c r="O152" s="22"/>
      <c r="P152" s="22"/>
      <c r="Q152" s="111"/>
    </row>
    <row r="153" spans="1:17">
      <c r="A153" s="86" t="s">
        <v>334</v>
      </c>
      <c r="B153" s="87" t="s">
        <v>144</v>
      </c>
      <c r="C153" s="88">
        <v>289.97</v>
      </c>
      <c r="D153" s="89">
        <v>24.1641666666667</v>
      </c>
      <c r="E153" s="90">
        <v>32</v>
      </c>
      <c r="F153" s="91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111"/>
    </row>
    <row r="154" spans="1:17">
      <c r="A154" s="86" t="s">
        <v>336</v>
      </c>
      <c r="B154" s="87" t="s">
        <v>144</v>
      </c>
      <c r="C154" s="88">
        <v>254.04</v>
      </c>
      <c r="D154" s="89">
        <v>21.17</v>
      </c>
      <c r="E154" s="90">
        <v>28</v>
      </c>
      <c r="F154" s="91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111"/>
    </row>
    <row r="155" spans="1:17">
      <c r="A155" s="86" t="s">
        <v>337</v>
      </c>
      <c r="B155" s="87" t="s">
        <v>144</v>
      </c>
      <c r="C155" s="88">
        <v>220.11</v>
      </c>
      <c r="D155" s="89">
        <v>18.3425</v>
      </c>
      <c r="E155" s="90">
        <v>25</v>
      </c>
      <c r="F155" s="9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111"/>
    </row>
    <row r="156" spans="1:17">
      <c r="A156" s="86" t="s">
        <v>338</v>
      </c>
      <c r="B156" s="87" t="s">
        <v>339</v>
      </c>
      <c r="C156" s="88">
        <v>546</v>
      </c>
      <c r="D156" s="89">
        <v>13.65</v>
      </c>
      <c r="E156" s="90">
        <v>15</v>
      </c>
      <c r="F156" s="91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111"/>
    </row>
    <row r="157" spans="1:17">
      <c r="A157" s="86" t="s">
        <v>340</v>
      </c>
      <c r="B157" s="87" t="s">
        <v>341</v>
      </c>
      <c r="C157" s="88">
        <v>137.7</v>
      </c>
      <c r="D157" s="89">
        <v>13.77</v>
      </c>
      <c r="E157" s="90">
        <v>17</v>
      </c>
      <c r="F157" s="91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111"/>
    </row>
    <row r="158" spans="1:17">
      <c r="A158" s="86" t="s">
        <v>343</v>
      </c>
      <c r="B158" s="87" t="s">
        <v>344</v>
      </c>
      <c r="C158" s="88">
        <v>636.5</v>
      </c>
      <c r="D158" s="89">
        <v>12.73</v>
      </c>
      <c r="E158" s="90">
        <v>15</v>
      </c>
      <c r="F158" s="91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111"/>
    </row>
    <row r="159" spans="1:17">
      <c r="A159" s="86" t="s">
        <v>346</v>
      </c>
      <c r="B159" s="87" t="s">
        <v>347</v>
      </c>
      <c r="C159" s="88">
        <v>338.75</v>
      </c>
      <c r="D159" s="89">
        <v>13.55</v>
      </c>
      <c r="E159" s="90">
        <v>15</v>
      </c>
      <c r="F159" s="9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111"/>
    </row>
    <row r="160" spans="1:17">
      <c r="A160" s="86" t="s">
        <v>348</v>
      </c>
      <c r="B160" s="87" t="s">
        <v>347</v>
      </c>
      <c r="C160" s="88">
        <v>632</v>
      </c>
      <c r="D160" s="89">
        <v>25.28</v>
      </c>
      <c r="E160" s="90">
        <v>29</v>
      </c>
      <c r="F160" s="91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111"/>
    </row>
    <row r="161" spans="1:17">
      <c r="A161" s="86" t="s">
        <v>349</v>
      </c>
      <c r="B161" s="117"/>
      <c r="C161" s="88"/>
      <c r="D161" s="89">
        <v>17.9</v>
      </c>
      <c r="E161" s="90">
        <v>22</v>
      </c>
      <c r="F161" s="91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111"/>
    </row>
    <row r="162" spans="1:17">
      <c r="A162" s="86" t="s">
        <v>350</v>
      </c>
      <c r="B162" s="117"/>
      <c r="C162" s="88"/>
      <c r="D162" s="89">
        <v>29.52</v>
      </c>
      <c r="E162" s="90">
        <v>36</v>
      </c>
      <c r="F162" s="9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111"/>
    </row>
    <row r="163" spans="1:17">
      <c r="A163" s="86" t="s">
        <v>351</v>
      </c>
      <c r="B163" s="117"/>
      <c r="C163" s="88"/>
      <c r="D163" s="89">
        <v>17.9</v>
      </c>
      <c r="E163" s="90">
        <v>22</v>
      </c>
      <c r="F163" s="91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11"/>
    </row>
    <row r="164" spans="1:17">
      <c r="A164" s="86" t="s">
        <v>352</v>
      </c>
      <c r="B164" s="117"/>
      <c r="C164" s="88"/>
      <c r="D164" s="89">
        <v>29.52</v>
      </c>
      <c r="E164" s="90">
        <v>36</v>
      </c>
      <c r="F164" s="9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111"/>
    </row>
    <row r="165" spans="1:17">
      <c r="A165" s="86" t="s">
        <v>353</v>
      </c>
      <c r="B165" s="117"/>
      <c r="C165" s="88"/>
      <c r="D165" s="89">
        <v>17.9</v>
      </c>
      <c r="E165" s="90">
        <v>22</v>
      </c>
      <c r="F165" s="9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111"/>
    </row>
    <row r="166" hidden="1" spans="1:17">
      <c r="A166" s="92" t="s">
        <v>367</v>
      </c>
      <c r="B166" s="87" t="s">
        <v>144</v>
      </c>
      <c r="C166" s="93">
        <v>199.58</v>
      </c>
      <c r="D166" s="94"/>
      <c r="E166" s="95"/>
      <c r="F166" s="9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111"/>
    </row>
    <row r="167" spans="1:17">
      <c r="A167" s="86" t="s">
        <v>354</v>
      </c>
      <c r="B167" s="117"/>
      <c r="C167" s="88"/>
      <c r="D167" s="89">
        <v>29.52</v>
      </c>
      <c r="E167" s="90">
        <v>36</v>
      </c>
      <c r="F167" s="9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111"/>
    </row>
    <row r="168" spans="1:17">
      <c r="A168" s="86" t="s">
        <v>355</v>
      </c>
      <c r="B168" s="87" t="s">
        <v>356</v>
      </c>
      <c r="C168" s="88">
        <v>190.68</v>
      </c>
      <c r="D168" s="89">
        <v>15.89</v>
      </c>
      <c r="E168" s="90">
        <v>20</v>
      </c>
      <c r="F168" s="9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111"/>
    </row>
    <row r="169" spans="1:17">
      <c r="A169" s="86" t="s">
        <v>357</v>
      </c>
      <c r="B169" s="87" t="s">
        <v>356</v>
      </c>
      <c r="C169" s="88">
        <v>146.28</v>
      </c>
      <c r="D169" s="89">
        <v>12.19</v>
      </c>
      <c r="E169" s="90">
        <v>16</v>
      </c>
      <c r="F169" s="9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111"/>
    </row>
    <row r="170" spans="1:17">
      <c r="A170" s="86" t="s">
        <v>358</v>
      </c>
      <c r="B170" s="87" t="s">
        <v>356</v>
      </c>
      <c r="C170" s="88">
        <v>190.08</v>
      </c>
      <c r="D170" s="89">
        <v>15.84</v>
      </c>
      <c r="E170" s="90">
        <v>19</v>
      </c>
      <c r="F170" s="9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111"/>
    </row>
    <row r="171" spans="1:17">
      <c r="A171" s="86" t="s">
        <v>359</v>
      </c>
      <c r="B171" s="87" t="s">
        <v>356</v>
      </c>
      <c r="C171" s="88">
        <v>175.68</v>
      </c>
      <c r="D171" s="89">
        <v>14.64</v>
      </c>
      <c r="E171" s="90">
        <v>18</v>
      </c>
      <c r="F171" s="91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111"/>
    </row>
    <row r="172" spans="1:17">
      <c r="A172" s="86" t="s">
        <v>360</v>
      </c>
      <c r="B172" s="87" t="s">
        <v>205</v>
      </c>
      <c r="C172" s="88">
        <v>125.5</v>
      </c>
      <c r="D172" s="89">
        <v>25.1</v>
      </c>
      <c r="E172" s="90">
        <v>31</v>
      </c>
      <c r="F172" s="91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111"/>
    </row>
    <row r="173" hidden="1" spans="1:17">
      <c r="A173" s="92" t="s">
        <v>373</v>
      </c>
      <c r="B173" s="87" t="s">
        <v>374</v>
      </c>
      <c r="C173" s="93">
        <v>169.92</v>
      </c>
      <c r="D173" s="94">
        <v>5.31</v>
      </c>
      <c r="E173" s="95"/>
      <c r="F173" s="91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111"/>
    </row>
    <row r="174" spans="1:17">
      <c r="A174" s="86" t="s">
        <v>361</v>
      </c>
      <c r="B174" s="87" t="s">
        <v>162</v>
      </c>
      <c r="C174" s="88">
        <v>187.05</v>
      </c>
      <c r="D174" s="89">
        <v>62.35</v>
      </c>
      <c r="E174" s="90">
        <v>70</v>
      </c>
      <c r="F174" s="91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111"/>
    </row>
    <row r="175" spans="1:17">
      <c r="A175" s="86" t="s">
        <v>362</v>
      </c>
      <c r="B175" s="87" t="s">
        <v>204</v>
      </c>
      <c r="C175" s="88">
        <v>113.5</v>
      </c>
      <c r="D175" s="89">
        <v>22.7</v>
      </c>
      <c r="E175" s="90">
        <v>28</v>
      </c>
      <c r="F175" s="91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111"/>
    </row>
    <row r="176" spans="1:17">
      <c r="A176" s="86" t="s">
        <v>363</v>
      </c>
      <c r="B176" s="87" t="s">
        <v>195</v>
      </c>
      <c r="C176" s="88">
        <v>93.6</v>
      </c>
      <c r="D176" s="89">
        <v>15.6</v>
      </c>
      <c r="E176" s="90">
        <v>25</v>
      </c>
      <c r="F176" s="91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111"/>
    </row>
    <row r="177" spans="1:17">
      <c r="A177" s="86" t="s">
        <v>364</v>
      </c>
      <c r="B177" s="87" t="s">
        <v>195</v>
      </c>
      <c r="C177" s="88">
        <v>177.12</v>
      </c>
      <c r="D177" s="89">
        <v>29.52</v>
      </c>
      <c r="E177" s="90">
        <v>42</v>
      </c>
      <c r="F177" s="91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111"/>
    </row>
    <row r="178" spans="1:17">
      <c r="A178" s="86" t="s">
        <v>365</v>
      </c>
      <c r="B178" s="87" t="s">
        <v>195</v>
      </c>
      <c r="C178" s="88">
        <v>117.24</v>
      </c>
      <c r="D178" s="89">
        <v>19.54</v>
      </c>
      <c r="E178" s="90">
        <v>25</v>
      </c>
      <c r="F178" s="9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111"/>
    </row>
    <row r="179" spans="1:17">
      <c r="A179" s="86" t="s">
        <v>366</v>
      </c>
      <c r="B179" s="87" t="s">
        <v>195</v>
      </c>
      <c r="C179" s="88">
        <v>220.02</v>
      </c>
      <c r="D179" s="89">
        <v>36.67</v>
      </c>
      <c r="E179" s="90">
        <v>42</v>
      </c>
      <c r="F179" s="91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111"/>
    </row>
    <row r="180" hidden="1" spans="1:17">
      <c r="A180" s="92" t="s">
        <v>384</v>
      </c>
      <c r="B180" s="87" t="s">
        <v>165</v>
      </c>
      <c r="C180" s="93">
        <v>324.5</v>
      </c>
      <c r="D180" s="94">
        <v>32.45</v>
      </c>
      <c r="E180" s="90"/>
      <c r="F180" s="91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111"/>
    </row>
    <row r="181" hidden="1" spans="1:17">
      <c r="A181" s="92" t="s">
        <v>386</v>
      </c>
      <c r="B181" s="87" t="s">
        <v>233</v>
      </c>
      <c r="C181" s="93">
        <v>649</v>
      </c>
      <c r="D181" s="94">
        <v>32.45</v>
      </c>
      <c r="E181" s="95"/>
      <c r="F181" s="91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111"/>
    </row>
    <row r="182" spans="1:17">
      <c r="A182" s="86" t="s">
        <v>368</v>
      </c>
      <c r="B182" s="87" t="s">
        <v>195</v>
      </c>
      <c r="C182" s="88">
        <v>117.24</v>
      </c>
      <c r="D182" s="89">
        <v>19.54</v>
      </c>
      <c r="E182" s="90">
        <v>25</v>
      </c>
      <c r="F182" s="91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111"/>
    </row>
    <row r="183" hidden="1" spans="1:17">
      <c r="A183" s="92" t="s">
        <v>389</v>
      </c>
      <c r="B183" s="87" t="s">
        <v>233</v>
      </c>
      <c r="C183" s="93">
        <v>837.6</v>
      </c>
      <c r="D183" s="94">
        <v>41.88</v>
      </c>
      <c r="E183" s="95"/>
      <c r="F183" s="91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111"/>
    </row>
    <row r="184" spans="1:17">
      <c r="A184" s="86" t="s">
        <v>369</v>
      </c>
      <c r="B184" s="87" t="s">
        <v>195</v>
      </c>
      <c r="C184" s="88">
        <v>220.02</v>
      </c>
      <c r="D184" s="89">
        <v>36.67</v>
      </c>
      <c r="E184" s="90">
        <v>42</v>
      </c>
      <c r="F184" s="91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111"/>
    </row>
    <row r="185" spans="1:17">
      <c r="A185" s="86" t="s">
        <v>370</v>
      </c>
      <c r="B185" s="117"/>
      <c r="C185" s="88"/>
      <c r="D185" s="89">
        <v>13.47</v>
      </c>
      <c r="E185" s="90">
        <v>17</v>
      </c>
      <c r="F185" s="91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111"/>
    </row>
    <row r="186" spans="1:17">
      <c r="A186" s="86" t="s">
        <v>371</v>
      </c>
      <c r="B186" s="117"/>
      <c r="C186" s="88"/>
      <c r="D186" s="89">
        <v>22.29</v>
      </c>
      <c r="E186" s="90">
        <v>27</v>
      </c>
      <c r="F186" s="91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111"/>
    </row>
    <row r="187" spans="1:17">
      <c r="A187" s="86" t="s">
        <v>372</v>
      </c>
      <c r="B187" s="117"/>
      <c r="C187" s="88"/>
      <c r="D187" s="89">
        <v>13.47</v>
      </c>
      <c r="E187" s="90">
        <v>17</v>
      </c>
      <c r="F187" s="91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111"/>
    </row>
    <row r="188" spans="1:17">
      <c r="A188" s="86" t="s">
        <v>375</v>
      </c>
      <c r="B188" s="117"/>
      <c r="C188" s="88"/>
      <c r="D188" s="89">
        <v>22.29</v>
      </c>
      <c r="E188" s="90">
        <v>27</v>
      </c>
      <c r="F188" s="9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111"/>
    </row>
    <row r="189" spans="1:17">
      <c r="A189" s="86" t="s">
        <v>376</v>
      </c>
      <c r="B189" s="117"/>
      <c r="C189" s="88"/>
      <c r="D189" s="89">
        <v>13.47</v>
      </c>
      <c r="E189" s="90">
        <v>17</v>
      </c>
      <c r="F189" s="91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111"/>
    </row>
    <row r="190" spans="1:17">
      <c r="A190" s="86" t="s">
        <v>377</v>
      </c>
      <c r="B190" s="117"/>
      <c r="C190" s="88"/>
      <c r="D190" s="89">
        <v>22.29</v>
      </c>
      <c r="E190" s="90">
        <v>27</v>
      </c>
      <c r="F190" s="9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111"/>
    </row>
    <row r="191" spans="1:17">
      <c r="A191" s="86" t="s">
        <v>378</v>
      </c>
      <c r="B191" s="87" t="s">
        <v>379</v>
      </c>
      <c r="C191" s="88">
        <v>646.21</v>
      </c>
      <c r="D191" s="89">
        <v>23.0789285714286</v>
      </c>
      <c r="E191" s="90">
        <v>26</v>
      </c>
      <c r="F191" s="91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111"/>
    </row>
    <row r="192" spans="1:17">
      <c r="A192" s="86" t="s">
        <v>381</v>
      </c>
      <c r="B192" s="87" t="s">
        <v>382</v>
      </c>
      <c r="C192" s="88">
        <v>116.43</v>
      </c>
      <c r="D192" s="89">
        <v>38.81</v>
      </c>
      <c r="E192" s="90">
        <v>45</v>
      </c>
      <c r="F192" s="91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111"/>
    </row>
    <row r="193" spans="1:17">
      <c r="A193" s="86" t="s">
        <v>383</v>
      </c>
      <c r="B193" s="87" t="s">
        <v>309</v>
      </c>
      <c r="C193" s="88">
        <v>153.84</v>
      </c>
      <c r="D193" s="89">
        <v>25.64</v>
      </c>
      <c r="E193" s="90">
        <v>30</v>
      </c>
      <c r="F193" s="91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111"/>
    </row>
    <row r="194" spans="1:17">
      <c r="A194" s="86" t="s">
        <v>367</v>
      </c>
      <c r="B194" s="87" t="s">
        <v>309</v>
      </c>
      <c r="C194" s="88">
        <v>99.78</v>
      </c>
      <c r="D194" s="89">
        <v>16.63</v>
      </c>
      <c r="E194" s="90">
        <v>21</v>
      </c>
      <c r="F194" s="91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111"/>
    </row>
    <row r="195" spans="1:17">
      <c r="A195" s="86" t="s">
        <v>698</v>
      </c>
      <c r="B195" s="87" t="s">
        <v>388</v>
      </c>
      <c r="C195" s="88">
        <v>155.22</v>
      </c>
      <c r="D195" s="89">
        <v>51.74</v>
      </c>
      <c r="E195" s="90">
        <v>56</v>
      </c>
      <c r="F195" s="91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111"/>
    </row>
    <row r="196" spans="1:17">
      <c r="A196" s="112" t="s">
        <v>699</v>
      </c>
      <c r="B196" s="118"/>
      <c r="C196" s="119"/>
      <c r="D196" s="120">
        <v>60.46</v>
      </c>
      <c r="E196" s="121">
        <v>66</v>
      </c>
      <c r="F196" s="107"/>
      <c r="G196" s="108"/>
      <c r="H196" s="108"/>
      <c r="I196" s="22"/>
      <c r="J196" s="22"/>
      <c r="K196" s="22"/>
      <c r="L196" s="22"/>
      <c r="M196" s="22"/>
      <c r="N196" s="22"/>
      <c r="O196" s="22"/>
      <c r="P196" s="22"/>
      <c r="Q196" s="111"/>
    </row>
    <row r="197" spans="1:17">
      <c r="A197" s="86" t="s">
        <v>390</v>
      </c>
      <c r="B197" s="87" t="s">
        <v>144</v>
      </c>
      <c r="C197" s="88">
        <v>255.47</v>
      </c>
      <c r="D197" s="89">
        <v>21.2891666666667</v>
      </c>
      <c r="E197" s="90">
        <v>25</v>
      </c>
      <c r="F197" s="91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111"/>
    </row>
    <row r="198" spans="1:17">
      <c r="A198" s="86" t="s">
        <v>391</v>
      </c>
      <c r="B198" s="87" t="s">
        <v>56</v>
      </c>
      <c r="C198" s="88">
        <v>140.83</v>
      </c>
      <c r="D198" s="89">
        <v>23.4716666666667</v>
      </c>
      <c r="E198" s="90" t="s">
        <v>700</v>
      </c>
      <c r="F198" s="91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111"/>
    </row>
    <row r="199" spans="1:17">
      <c r="A199" s="86" t="s">
        <v>393</v>
      </c>
      <c r="B199" s="87" t="s">
        <v>56</v>
      </c>
      <c r="C199" s="88">
        <v>140.83</v>
      </c>
      <c r="D199" s="89">
        <v>23.4716666666667</v>
      </c>
      <c r="E199" s="90" t="s">
        <v>700</v>
      </c>
      <c r="F199" s="91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111"/>
    </row>
    <row r="200" spans="1:17">
      <c r="A200" s="86" t="s">
        <v>394</v>
      </c>
      <c r="B200" s="87" t="s">
        <v>56</v>
      </c>
      <c r="C200" s="88">
        <v>140.83</v>
      </c>
      <c r="D200" s="89">
        <v>23.4716666666667</v>
      </c>
      <c r="E200" s="90" t="s">
        <v>700</v>
      </c>
      <c r="F200" s="91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111"/>
    </row>
    <row r="201" spans="1:17">
      <c r="A201" s="86" t="s">
        <v>395</v>
      </c>
      <c r="B201" s="87" t="s">
        <v>396</v>
      </c>
      <c r="C201" s="88">
        <v>106.2</v>
      </c>
      <c r="D201" s="89">
        <v>5.31</v>
      </c>
      <c r="E201" s="90">
        <v>6.5</v>
      </c>
      <c r="F201" s="91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111"/>
    </row>
    <row r="202" spans="1:17">
      <c r="A202" s="86" t="s">
        <v>398</v>
      </c>
      <c r="B202" s="87" t="s">
        <v>162</v>
      </c>
      <c r="C202" s="88">
        <v>202.86</v>
      </c>
      <c r="D202" s="89">
        <v>67.62</v>
      </c>
      <c r="E202" s="90">
        <v>78</v>
      </c>
      <c r="F202" s="9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111"/>
    </row>
    <row r="203" spans="1:17">
      <c r="A203" s="96" t="s">
        <v>587</v>
      </c>
      <c r="B203" s="97"/>
      <c r="C203" s="98"/>
      <c r="D203" s="99">
        <v>54.88</v>
      </c>
      <c r="E203" s="100">
        <v>64</v>
      </c>
      <c r="F203" s="91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111"/>
    </row>
    <row r="204" spans="1:17">
      <c r="A204" s="86" t="s">
        <v>399</v>
      </c>
      <c r="B204" s="87" t="s">
        <v>233</v>
      </c>
      <c r="C204" s="88">
        <v>101.2</v>
      </c>
      <c r="D204" s="89">
        <v>5.06</v>
      </c>
      <c r="E204" s="90">
        <v>6.5</v>
      </c>
      <c r="F204" s="91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111"/>
    </row>
    <row r="205" spans="1:17">
      <c r="A205" s="86" t="s">
        <v>400</v>
      </c>
      <c r="B205" s="87" t="s">
        <v>88</v>
      </c>
      <c r="C205" s="88">
        <v>212</v>
      </c>
      <c r="D205" s="89">
        <v>212</v>
      </c>
      <c r="E205" s="90">
        <v>240</v>
      </c>
      <c r="F205" s="91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111"/>
    </row>
    <row r="206" spans="1:17">
      <c r="A206" s="86" t="s">
        <v>401</v>
      </c>
      <c r="B206" s="87" t="s">
        <v>88</v>
      </c>
      <c r="C206" s="88">
        <v>152.73</v>
      </c>
      <c r="D206" s="89">
        <v>152.73</v>
      </c>
      <c r="E206" s="90">
        <v>159</v>
      </c>
      <c r="F206" s="91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111"/>
    </row>
    <row r="207" spans="1:17">
      <c r="A207" s="86" t="s">
        <v>402</v>
      </c>
      <c r="B207" s="87" t="s">
        <v>164</v>
      </c>
      <c r="C207" s="88">
        <v>285.8</v>
      </c>
      <c r="D207" s="89">
        <v>28.58</v>
      </c>
      <c r="E207" s="90">
        <v>33</v>
      </c>
      <c r="F207" s="91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111"/>
    </row>
    <row r="208" spans="1:17">
      <c r="A208" s="86" t="s">
        <v>386</v>
      </c>
      <c r="B208" s="87" t="s">
        <v>164</v>
      </c>
      <c r="C208" s="88">
        <v>324.5</v>
      </c>
      <c r="D208" s="89">
        <v>32.45</v>
      </c>
      <c r="E208" s="90">
        <v>39</v>
      </c>
      <c r="F208" s="91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111"/>
    </row>
    <row r="209" spans="1:17">
      <c r="A209" s="86" t="s">
        <v>389</v>
      </c>
      <c r="B209" s="87" t="s">
        <v>167</v>
      </c>
      <c r="C209" s="88">
        <v>1675.2</v>
      </c>
      <c r="D209" s="89">
        <v>41.88</v>
      </c>
      <c r="E209" s="90">
        <v>52</v>
      </c>
      <c r="F209" s="91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111"/>
    </row>
    <row r="210" spans="1:17">
      <c r="A210" s="86" t="s">
        <v>403</v>
      </c>
      <c r="B210" s="87" t="s">
        <v>162</v>
      </c>
      <c r="C210" s="88">
        <v>168.57</v>
      </c>
      <c r="D210" s="89">
        <v>56.19</v>
      </c>
      <c r="E210" s="90">
        <v>65</v>
      </c>
      <c r="F210" s="91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111"/>
    </row>
    <row r="211" spans="1:17">
      <c r="A211" s="86" t="s">
        <v>404</v>
      </c>
      <c r="B211" s="87" t="s">
        <v>162</v>
      </c>
      <c r="C211" s="88">
        <v>168.57</v>
      </c>
      <c r="D211" s="89">
        <v>56.19</v>
      </c>
      <c r="E211" s="90">
        <v>65</v>
      </c>
      <c r="F211" s="91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111"/>
    </row>
    <row r="212" spans="1:17">
      <c r="A212" s="86" t="s">
        <v>405</v>
      </c>
      <c r="B212" s="87" t="s">
        <v>233</v>
      </c>
      <c r="C212" s="88">
        <v>206.4</v>
      </c>
      <c r="D212" s="89">
        <v>10.32</v>
      </c>
      <c r="E212" s="90">
        <v>13</v>
      </c>
      <c r="F212" s="91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111"/>
    </row>
    <row r="213" spans="1:17">
      <c r="A213" s="86" t="s">
        <v>406</v>
      </c>
      <c r="B213" s="87" t="s">
        <v>236</v>
      </c>
      <c r="C213" s="88">
        <v>375.72</v>
      </c>
      <c r="D213" s="89">
        <v>31.31</v>
      </c>
      <c r="E213" s="90">
        <v>35</v>
      </c>
      <c r="F213" s="91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111"/>
    </row>
    <row r="214" spans="1:17">
      <c r="A214" s="86" t="s">
        <v>407</v>
      </c>
      <c r="B214" s="87" t="s">
        <v>396</v>
      </c>
      <c r="C214" s="88">
        <v>162.6</v>
      </c>
      <c r="D214" s="89">
        <v>8.13</v>
      </c>
      <c r="E214" s="90">
        <v>9.5</v>
      </c>
      <c r="F214" s="91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111"/>
    </row>
    <row r="215" spans="1:17">
      <c r="A215" s="86" t="s">
        <v>408</v>
      </c>
      <c r="B215" s="87" t="s">
        <v>409</v>
      </c>
      <c r="C215" s="88">
        <v>2000.6</v>
      </c>
      <c r="D215" s="89">
        <v>71.45</v>
      </c>
      <c r="E215" s="90">
        <v>82</v>
      </c>
      <c r="F215" s="91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111"/>
    </row>
    <row r="216" spans="1:17">
      <c r="A216" s="86" t="s">
        <v>410</v>
      </c>
      <c r="B216" s="87" t="s">
        <v>164</v>
      </c>
      <c r="C216" s="88">
        <v>85.4</v>
      </c>
      <c r="D216" s="89">
        <v>8.54</v>
      </c>
      <c r="E216" s="90">
        <v>10</v>
      </c>
      <c r="F216" s="91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111"/>
    </row>
    <row r="217" spans="1:17">
      <c r="A217" s="86" t="s">
        <v>411</v>
      </c>
      <c r="B217" s="87" t="s">
        <v>164</v>
      </c>
      <c r="C217" s="88">
        <v>104.2</v>
      </c>
      <c r="D217" s="89">
        <v>10.42</v>
      </c>
      <c r="E217" s="90">
        <v>12</v>
      </c>
      <c r="F217" s="91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111"/>
    </row>
    <row r="218" spans="1:17">
      <c r="A218" s="86" t="s">
        <v>412</v>
      </c>
      <c r="B218" s="87" t="s">
        <v>309</v>
      </c>
      <c r="C218" s="88">
        <v>78</v>
      </c>
      <c r="D218" s="89">
        <v>13</v>
      </c>
      <c r="E218" s="90">
        <v>18</v>
      </c>
      <c r="F218" s="91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111"/>
    </row>
    <row r="219" spans="1:17">
      <c r="A219" s="86" t="s">
        <v>413</v>
      </c>
      <c r="B219" s="87" t="s">
        <v>54</v>
      </c>
      <c r="C219" s="88">
        <v>59.07</v>
      </c>
      <c r="D219" s="89">
        <v>19.69</v>
      </c>
      <c r="E219" s="90">
        <v>25</v>
      </c>
      <c r="F219" s="91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111"/>
    </row>
    <row r="220" spans="1:17">
      <c r="A220" s="86" t="s">
        <v>414</v>
      </c>
      <c r="B220" s="87" t="s">
        <v>162</v>
      </c>
      <c r="C220" s="88">
        <v>63.39</v>
      </c>
      <c r="D220" s="89">
        <v>21.13</v>
      </c>
      <c r="E220" s="90">
        <v>27</v>
      </c>
      <c r="F220" s="91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111"/>
    </row>
    <row r="221" spans="1:17">
      <c r="A221" s="86" t="s">
        <v>415</v>
      </c>
      <c r="B221" s="87" t="s">
        <v>382</v>
      </c>
      <c r="C221" s="88">
        <v>92.19</v>
      </c>
      <c r="D221" s="89">
        <v>30.73</v>
      </c>
      <c r="E221" s="90">
        <v>37</v>
      </c>
      <c r="F221" s="91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111"/>
    </row>
    <row r="222" spans="1:17">
      <c r="A222" s="86" t="s">
        <v>416</v>
      </c>
      <c r="B222" s="87" t="s">
        <v>54</v>
      </c>
      <c r="C222" s="88">
        <v>155.58</v>
      </c>
      <c r="D222" s="89">
        <v>51.86</v>
      </c>
      <c r="E222" s="90">
        <v>60</v>
      </c>
      <c r="F222" s="91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111"/>
    </row>
    <row r="223" spans="1:17">
      <c r="A223" s="86" t="s">
        <v>417</v>
      </c>
      <c r="B223" s="87" t="s">
        <v>162</v>
      </c>
      <c r="C223" s="88">
        <v>66.99</v>
      </c>
      <c r="D223" s="89">
        <v>22.33</v>
      </c>
      <c r="E223" s="90">
        <v>29</v>
      </c>
      <c r="F223" s="91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111"/>
    </row>
    <row r="224" spans="1:17">
      <c r="A224" s="86" t="s">
        <v>418</v>
      </c>
      <c r="B224" s="87" t="s">
        <v>162</v>
      </c>
      <c r="C224" s="88">
        <v>97.95</v>
      </c>
      <c r="D224" s="89">
        <v>32.65</v>
      </c>
      <c r="E224" s="90">
        <v>38</v>
      </c>
      <c r="F224" s="91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111"/>
    </row>
    <row r="225" spans="1:17">
      <c r="A225" s="86" t="s">
        <v>419</v>
      </c>
      <c r="B225" s="87" t="s">
        <v>162</v>
      </c>
      <c r="C225" s="88">
        <v>169.26</v>
      </c>
      <c r="D225" s="89">
        <v>56.42</v>
      </c>
      <c r="E225" s="90">
        <v>62</v>
      </c>
      <c r="F225" s="9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111"/>
    </row>
    <row r="226" spans="1:17">
      <c r="A226" s="86" t="s">
        <v>420</v>
      </c>
      <c r="B226" s="87" t="s">
        <v>162</v>
      </c>
      <c r="C226" s="88">
        <v>73.53</v>
      </c>
      <c r="D226" s="89">
        <v>24.51</v>
      </c>
      <c r="E226" s="90">
        <v>31</v>
      </c>
      <c r="F226" s="91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111"/>
    </row>
    <row r="227" spans="1:17">
      <c r="A227" s="86" t="s">
        <v>421</v>
      </c>
      <c r="B227" s="87" t="s">
        <v>162</v>
      </c>
      <c r="C227" s="88">
        <v>107.31</v>
      </c>
      <c r="D227" s="89">
        <v>35.77</v>
      </c>
      <c r="E227" s="90">
        <v>42</v>
      </c>
      <c r="F227" s="91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111"/>
    </row>
    <row r="228" hidden="1" spans="1:17">
      <c r="A228" s="92" t="s">
        <v>441</v>
      </c>
      <c r="B228" s="87" t="s">
        <v>221</v>
      </c>
      <c r="C228" s="93">
        <v>408</v>
      </c>
      <c r="D228" s="94">
        <v>4.08</v>
      </c>
      <c r="E228" s="90"/>
      <c r="F228" s="91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111"/>
    </row>
    <row r="229" spans="1:17">
      <c r="A229" s="86" t="s">
        <v>422</v>
      </c>
      <c r="B229" s="87" t="s">
        <v>162</v>
      </c>
      <c r="C229" s="88">
        <v>181.53</v>
      </c>
      <c r="D229" s="89">
        <v>60.51</v>
      </c>
      <c r="E229" s="90">
        <v>66</v>
      </c>
      <c r="F229" s="91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111"/>
    </row>
    <row r="230" hidden="1" spans="1:17">
      <c r="A230" s="92" t="s">
        <v>444</v>
      </c>
      <c r="B230" s="87" t="s">
        <v>162</v>
      </c>
      <c r="C230" s="93">
        <v>248.88</v>
      </c>
      <c r="D230" s="94">
        <v>82.96</v>
      </c>
      <c r="E230" s="90"/>
      <c r="F230" s="9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111"/>
    </row>
    <row r="231" spans="1:17">
      <c r="A231" s="86" t="s">
        <v>423</v>
      </c>
      <c r="B231" s="87" t="s">
        <v>271</v>
      </c>
      <c r="C231" s="88">
        <v>98.6</v>
      </c>
      <c r="D231" s="89">
        <v>4.93</v>
      </c>
      <c r="E231" s="90">
        <v>6</v>
      </c>
      <c r="F231" s="91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111"/>
    </row>
    <row r="232" spans="1:17">
      <c r="A232" s="86" t="s">
        <v>424</v>
      </c>
      <c r="B232" s="87" t="s">
        <v>56</v>
      </c>
      <c r="C232" s="88">
        <v>88.83</v>
      </c>
      <c r="D232" s="89">
        <v>0.8883</v>
      </c>
      <c r="E232" s="90">
        <v>1</v>
      </c>
      <c r="F232" s="91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111"/>
    </row>
    <row r="233" spans="1:17">
      <c r="A233" s="96" t="s">
        <v>588</v>
      </c>
      <c r="B233" s="97"/>
      <c r="C233" s="98"/>
      <c r="D233" s="99">
        <v>5.79</v>
      </c>
      <c r="E233" s="100">
        <v>7</v>
      </c>
      <c r="F233" s="91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111"/>
    </row>
    <row r="234" spans="1:17">
      <c r="A234" s="86" t="s">
        <v>426</v>
      </c>
      <c r="B234" s="87" t="s">
        <v>144</v>
      </c>
      <c r="C234" s="88">
        <v>214.5</v>
      </c>
      <c r="D234" s="89">
        <v>17.875</v>
      </c>
      <c r="E234" s="90">
        <v>27</v>
      </c>
      <c r="F234" s="91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111"/>
    </row>
    <row r="235" spans="1:17">
      <c r="A235" s="86" t="s">
        <v>427</v>
      </c>
      <c r="B235" s="87" t="s">
        <v>313</v>
      </c>
      <c r="C235" s="88">
        <v>699.93</v>
      </c>
      <c r="D235" s="89">
        <v>23.331</v>
      </c>
      <c r="E235" s="90">
        <v>26</v>
      </c>
      <c r="F235" s="91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111"/>
    </row>
    <row r="236" spans="1:17">
      <c r="A236" s="86" t="s">
        <v>428</v>
      </c>
      <c r="B236" s="87" t="s">
        <v>313</v>
      </c>
      <c r="C236" s="88">
        <v>1224</v>
      </c>
      <c r="D236" s="89">
        <v>40.8</v>
      </c>
      <c r="E236" s="90">
        <v>45</v>
      </c>
      <c r="F236" s="91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111"/>
    </row>
    <row r="237" hidden="1" spans="1:17">
      <c r="A237" s="92" t="s">
        <v>452</v>
      </c>
      <c r="B237" s="87" t="s">
        <v>164</v>
      </c>
      <c r="C237" s="93">
        <v>316.1</v>
      </c>
      <c r="D237" s="94">
        <v>31.61</v>
      </c>
      <c r="E237" s="95"/>
      <c r="F237" s="91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111"/>
    </row>
    <row r="238" spans="1:17">
      <c r="A238" s="86" t="s">
        <v>429</v>
      </c>
      <c r="B238" s="87" t="s">
        <v>313</v>
      </c>
      <c r="C238" s="88">
        <v>699.93</v>
      </c>
      <c r="D238" s="89">
        <v>23.331</v>
      </c>
      <c r="E238" s="90">
        <v>26</v>
      </c>
      <c r="F238" s="91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111"/>
    </row>
    <row r="239" hidden="1" spans="1:17">
      <c r="A239" s="92" t="s">
        <v>454</v>
      </c>
      <c r="B239" s="87" t="s">
        <v>233</v>
      </c>
      <c r="C239" s="93">
        <v>412.6</v>
      </c>
      <c r="D239" s="94">
        <v>20.63</v>
      </c>
      <c r="E239" s="95"/>
      <c r="F239" s="91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111"/>
    </row>
    <row r="240" spans="1:17">
      <c r="A240" s="86" t="s">
        <v>430</v>
      </c>
      <c r="B240" s="87" t="s">
        <v>313</v>
      </c>
      <c r="C240" s="88">
        <v>1224</v>
      </c>
      <c r="D240" s="89">
        <v>40.8</v>
      </c>
      <c r="E240" s="90">
        <v>45</v>
      </c>
      <c r="F240" s="91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111"/>
    </row>
    <row r="241" spans="1:17">
      <c r="A241" s="96" t="s">
        <v>610</v>
      </c>
      <c r="B241" s="103"/>
      <c r="C241" s="104"/>
      <c r="D241" s="105">
        <f>248.4/12</f>
        <v>20.7</v>
      </c>
      <c r="E241" s="106">
        <v>23</v>
      </c>
      <c r="F241" s="107"/>
      <c r="G241" s="108"/>
      <c r="H241" s="108"/>
      <c r="I241" s="22"/>
      <c r="J241" s="22"/>
      <c r="K241" s="22"/>
      <c r="L241" s="22"/>
      <c r="M241" s="22"/>
      <c r="N241" s="22"/>
      <c r="O241" s="22"/>
      <c r="P241" s="22"/>
      <c r="Q241" s="111"/>
    </row>
    <row r="242" spans="1:17">
      <c r="A242" s="86" t="s">
        <v>431</v>
      </c>
      <c r="B242" s="87" t="s">
        <v>432</v>
      </c>
      <c r="C242" s="88">
        <v>472.02</v>
      </c>
      <c r="D242" s="89">
        <v>78.67</v>
      </c>
      <c r="E242" s="90">
        <v>89</v>
      </c>
      <c r="F242" s="91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111"/>
    </row>
    <row r="243" spans="1:17">
      <c r="A243" s="86" t="s">
        <v>434</v>
      </c>
      <c r="B243" s="87" t="s">
        <v>328</v>
      </c>
      <c r="C243" s="88">
        <v>196.14</v>
      </c>
      <c r="D243" s="89">
        <v>32.69</v>
      </c>
      <c r="E243" s="90">
        <v>42</v>
      </c>
      <c r="F243" s="91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111"/>
    </row>
    <row r="244" spans="1:17">
      <c r="A244" s="86" t="s">
        <v>435</v>
      </c>
      <c r="B244" s="87" t="s">
        <v>436</v>
      </c>
      <c r="C244" s="88">
        <v>91.4</v>
      </c>
      <c r="D244" s="89">
        <v>45.7</v>
      </c>
      <c r="E244" s="90">
        <v>58</v>
      </c>
      <c r="F244" s="91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111"/>
    </row>
    <row r="245" spans="1:17">
      <c r="A245" s="86" t="s">
        <v>437</v>
      </c>
      <c r="B245" s="87" t="s">
        <v>328</v>
      </c>
      <c r="C245" s="88">
        <v>196.14</v>
      </c>
      <c r="D245" s="89">
        <v>32.69</v>
      </c>
      <c r="E245" s="90">
        <v>42</v>
      </c>
      <c r="F245" s="91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111"/>
    </row>
    <row r="246" spans="1:17">
      <c r="A246" s="86" t="s">
        <v>438</v>
      </c>
      <c r="B246" s="87" t="s">
        <v>439</v>
      </c>
      <c r="C246" s="88">
        <v>435.27</v>
      </c>
      <c r="D246" s="89">
        <v>31.0907142857143</v>
      </c>
      <c r="E246" s="90">
        <v>35</v>
      </c>
      <c r="F246" s="91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111"/>
    </row>
    <row r="247" spans="1:17">
      <c r="A247" s="86" t="s">
        <v>442</v>
      </c>
      <c r="B247" s="87" t="s">
        <v>439</v>
      </c>
      <c r="C247" s="88">
        <v>226.85</v>
      </c>
      <c r="D247" s="89">
        <v>16.2035714285714</v>
      </c>
      <c r="E247" s="90">
        <v>19</v>
      </c>
      <c r="F247" s="91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111"/>
    </row>
    <row r="248" spans="1:17">
      <c r="A248" s="86" t="s">
        <v>443</v>
      </c>
      <c r="B248" s="87" t="s">
        <v>439</v>
      </c>
      <c r="C248" s="88">
        <v>307.26</v>
      </c>
      <c r="D248" s="89">
        <v>21.9471428571429</v>
      </c>
      <c r="E248" s="90">
        <v>26</v>
      </c>
      <c r="F248" s="91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111"/>
    </row>
    <row r="249" spans="1:17">
      <c r="A249" s="86" t="s">
        <v>445</v>
      </c>
      <c r="B249" s="87" t="s">
        <v>439</v>
      </c>
      <c r="C249" s="88">
        <v>275.67</v>
      </c>
      <c r="D249" s="89">
        <v>19.6907142857143</v>
      </c>
      <c r="E249" s="90">
        <v>23</v>
      </c>
      <c r="F249" s="91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111"/>
    </row>
    <row r="250" spans="1:17">
      <c r="A250" s="86" t="s">
        <v>446</v>
      </c>
      <c r="B250" s="87" t="s">
        <v>150</v>
      </c>
      <c r="C250" s="88">
        <v>381.7</v>
      </c>
      <c r="D250" s="89">
        <v>38.17</v>
      </c>
      <c r="E250" s="90">
        <v>42</v>
      </c>
      <c r="F250" s="91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111"/>
    </row>
    <row r="251" spans="1:17">
      <c r="A251" s="86" t="s">
        <v>447</v>
      </c>
      <c r="B251" s="87" t="s">
        <v>150</v>
      </c>
      <c r="C251" s="88">
        <v>142.8</v>
      </c>
      <c r="D251" s="89">
        <v>14.28</v>
      </c>
      <c r="E251" s="90">
        <v>16.5</v>
      </c>
      <c r="F251" s="91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111"/>
    </row>
    <row r="252" spans="1:17">
      <c r="A252" s="86" t="s">
        <v>448</v>
      </c>
      <c r="B252" s="87" t="s">
        <v>271</v>
      </c>
      <c r="C252" s="88">
        <v>299.8</v>
      </c>
      <c r="D252" s="89">
        <v>14.99</v>
      </c>
      <c r="E252" s="90">
        <v>17</v>
      </c>
      <c r="F252" s="91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111"/>
    </row>
    <row r="253" spans="1:17">
      <c r="A253" s="86" t="s">
        <v>449</v>
      </c>
      <c r="B253" s="87" t="s">
        <v>287</v>
      </c>
      <c r="C253" s="88">
        <v>146.52</v>
      </c>
      <c r="D253" s="89">
        <v>14.652</v>
      </c>
      <c r="E253" s="90">
        <v>17.5</v>
      </c>
      <c r="F253" s="91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111"/>
    </row>
    <row r="254" spans="1:17">
      <c r="A254" s="86" t="s">
        <v>450</v>
      </c>
      <c r="B254" s="87" t="s">
        <v>451</v>
      </c>
      <c r="C254" s="88">
        <v>345.28</v>
      </c>
      <c r="D254" s="89">
        <v>10.79</v>
      </c>
      <c r="E254" s="90">
        <v>12</v>
      </c>
      <c r="F254" s="91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111"/>
    </row>
    <row r="255" spans="1:17">
      <c r="A255" s="86" t="s">
        <v>453</v>
      </c>
      <c r="B255" s="87" t="s">
        <v>144</v>
      </c>
      <c r="C255" s="88">
        <v>46</v>
      </c>
      <c r="D255" s="89">
        <v>3.83333333333333</v>
      </c>
      <c r="E255" s="90">
        <v>6</v>
      </c>
      <c r="F255" s="91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111"/>
    </row>
    <row r="256" spans="1:17">
      <c r="A256" s="86" t="s">
        <v>456</v>
      </c>
      <c r="B256" s="87" t="s">
        <v>457</v>
      </c>
      <c r="C256" s="88">
        <v>187.5</v>
      </c>
      <c r="D256" s="89">
        <v>6.25</v>
      </c>
      <c r="E256" s="90">
        <v>7.5</v>
      </c>
      <c r="F256" s="91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111"/>
    </row>
    <row r="257" spans="1:17">
      <c r="A257" s="86" t="s">
        <v>458</v>
      </c>
      <c r="B257" s="87" t="s">
        <v>459</v>
      </c>
      <c r="C257" s="88">
        <v>189</v>
      </c>
      <c r="D257" s="89">
        <v>3.78</v>
      </c>
      <c r="E257" s="90">
        <v>5</v>
      </c>
      <c r="F257" s="91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111"/>
    </row>
    <row r="258" spans="1:17">
      <c r="A258" s="86" t="s">
        <v>461</v>
      </c>
      <c r="B258" s="87" t="s">
        <v>220</v>
      </c>
      <c r="C258" s="88">
        <v>408</v>
      </c>
      <c r="D258" s="89">
        <v>4.08</v>
      </c>
      <c r="E258" s="90">
        <v>5</v>
      </c>
      <c r="F258" s="91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111"/>
    </row>
    <row r="259" spans="1:17">
      <c r="A259" s="86" t="s">
        <v>462</v>
      </c>
      <c r="B259" s="87" t="s">
        <v>164</v>
      </c>
      <c r="C259" s="88">
        <v>46.6</v>
      </c>
      <c r="D259" s="89">
        <v>4.66</v>
      </c>
      <c r="E259" s="90">
        <v>5.5</v>
      </c>
      <c r="F259" s="91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111"/>
    </row>
    <row r="260" spans="1:17">
      <c r="A260" s="86" t="s">
        <v>444</v>
      </c>
      <c r="B260" s="87" t="s">
        <v>159</v>
      </c>
      <c r="C260" s="88">
        <v>165.92</v>
      </c>
      <c r="D260" s="89">
        <v>82.96</v>
      </c>
      <c r="E260" s="90">
        <v>95</v>
      </c>
      <c r="F260" s="91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111"/>
    </row>
    <row r="261" spans="1:17">
      <c r="A261" s="86" t="s">
        <v>463</v>
      </c>
      <c r="B261" s="87" t="s">
        <v>159</v>
      </c>
      <c r="C261" s="88">
        <v>165.92</v>
      </c>
      <c r="D261" s="89">
        <v>82.96</v>
      </c>
      <c r="E261" s="90">
        <v>95</v>
      </c>
      <c r="F261" s="91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111"/>
    </row>
    <row r="262" spans="1:17">
      <c r="A262" s="86" t="s">
        <v>464</v>
      </c>
      <c r="B262" s="87" t="s">
        <v>164</v>
      </c>
      <c r="C262" s="88">
        <v>178.9</v>
      </c>
      <c r="D262" s="89">
        <v>17.89</v>
      </c>
      <c r="E262" s="90">
        <v>20</v>
      </c>
      <c r="F262" s="91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111"/>
    </row>
    <row r="263" spans="1:17">
      <c r="A263" s="96" t="s">
        <v>465</v>
      </c>
      <c r="B263" s="87" t="s">
        <v>233</v>
      </c>
      <c r="C263" s="98">
        <v>248.6</v>
      </c>
      <c r="D263" s="99">
        <v>12.43</v>
      </c>
      <c r="E263" s="100">
        <v>14</v>
      </c>
      <c r="F263" s="91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111"/>
    </row>
    <row r="264" spans="1:17">
      <c r="A264" s="86" t="s">
        <v>468</v>
      </c>
      <c r="B264" s="87" t="s">
        <v>439</v>
      </c>
      <c r="C264" s="88">
        <v>1671.47</v>
      </c>
      <c r="D264" s="89">
        <v>119.390714285714</v>
      </c>
      <c r="E264" s="90">
        <v>138</v>
      </c>
      <c r="F264" s="91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111"/>
    </row>
    <row r="265" spans="1:17">
      <c r="A265" s="86" t="s">
        <v>469</v>
      </c>
      <c r="B265" s="87" t="s">
        <v>396</v>
      </c>
      <c r="C265" s="88">
        <v>432.8</v>
      </c>
      <c r="D265" s="89">
        <v>21.64</v>
      </c>
      <c r="E265" s="90">
        <v>25</v>
      </c>
      <c r="F265" s="91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111"/>
    </row>
    <row r="266" spans="1:17">
      <c r="A266" s="86" t="s">
        <v>452</v>
      </c>
      <c r="B266" s="87" t="s">
        <v>164</v>
      </c>
      <c r="C266" s="88">
        <v>316.1</v>
      </c>
      <c r="D266" s="89">
        <v>31.61</v>
      </c>
      <c r="E266" s="90">
        <v>36</v>
      </c>
      <c r="F266" s="91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111"/>
    </row>
    <row r="267" spans="1:17">
      <c r="A267" s="86" t="s">
        <v>454</v>
      </c>
      <c r="B267" s="87" t="s">
        <v>164</v>
      </c>
      <c r="C267" s="88">
        <v>195.9</v>
      </c>
      <c r="D267" s="89">
        <v>19.59</v>
      </c>
      <c r="E267" s="90">
        <v>22</v>
      </c>
      <c r="F267" s="91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111"/>
    </row>
    <row r="268" spans="1:17">
      <c r="A268" s="86" t="s">
        <v>470</v>
      </c>
      <c r="B268" s="87" t="s">
        <v>159</v>
      </c>
      <c r="C268" s="88">
        <v>147.36</v>
      </c>
      <c r="D268" s="89">
        <v>73.68</v>
      </c>
      <c r="E268" s="90">
        <v>85</v>
      </c>
      <c r="F268" s="91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111"/>
    </row>
    <row r="269" spans="1:17">
      <c r="A269" s="86" t="s">
        <v>471</v>
      </c>
      <c r="B269" s="87" t="s">
        <v>159</v>
      </c>
      <c r="C269" s="88">
        <v>218.98</v>
      </c>
      <c r="D269" s="89">
        <v>109.49</v>
      </c>
      <c r="E269" s="90">
        <v>125</v>
      </c>
      <c r="F269" s="91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111"/>
    </row>
    <row r="270" spans="1:17">
      <c r="A270" s="86" t="s">
        <v>472</v>
      </c>
      <c r="B270" s="87" t="s">
        <v>161</v>
      </c>
      <c r="C270" s="88">
        <v>152.04</v>
      </c>
      <c r="D270" s="89">
        <v>152.04</v>
      </c>
      <c r="E270" s="90">
        <v>175</v>
      </c>
      <c r="F270" s="91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111"/>
    </row>
    <row r="271" spans="1:17">
      <c r="A271" s="86" t="s">
        <v>473</v>
      </c>
      <c r="B271" s="87" t="s">
        <v>474</v>
      </c>
      <c r="C271" s="88">
        <v>371.91</v>
      </c>
      <c r="D271" s="89">
        <v>123.97</v>
      </c>
      <c r="E271" s="90">
        <v>133</v>
      </c>
      <c r="F271" s="91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111"/>
    </row>
    <row r="272" spans="1:17">
      <c r="A272" s="86" t="s">
        <v>475</v>
      </c>
      <c r="B272" s="87" t="s">
        <v>162</v>
      </c>
      <c r="C272" s="88">
        <v>435.27</v>
      </c>
      <c r="D272" s="89">
        <v>145.09</v>
      </c>
      <c r="E272" s="90">
        <v>155</v>
      </c>
      <c r="F272" s="91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111"/>
    </row>
    <row r="273" spans="1:17">
      <c r="A273" s="86" t="s">
        <v>476</v>
      </c>
      <c r="B273" s="87" t="s">
        <v>159</v>
      </c>
      <c r="C273" s="88">
        <v>189.64</v>
      </c>
      <c r="D273" s="89">
        <v>94.82</v>
      </c>
      <c r="E273" s="90">
        <v>102</v>
      </c>
      <c r="F273" s="91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111"/>
    </row>
    <row r="274" spans="1:17">
      <c r="A274" s="86" t="s">
        <v>477</v>
      </c>
      <c r="B274" s="87" t="s">
        <v>195</v>
      </c>
      <c r="C274" s="88">
        <v>103.8</v>
      </c>
      <c r="D274" s="89">
        <v>17.3</v>
      </c>
      <c r="E274" s="90">
        <v>22</v>
      </c>
      <c r="F274" s="91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111"/>
    </row>
    <row r="275" spans="1:17">
      <c r="A275" s="86" t="s">
        <v>478</v>
      </c>
      <c r="B275" s="87" t="s">
        <v>195</v>
      </c>
      <c r="C275" s="88">
        <v>168.24</v>
      </c>
      <c r="D275" s="89">
        <v>28.04</v>
      </c>
      <c r="E275" s="90">
        <v>33</v>
      </c>
      <c r="F275" s="91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111"/>
    </row>
    <row r="276" spans="1:17">
      <c r="A276" s="86" t="s">
        <v>479</v>
      </c>
      <c r="B276" s="87" t="s">
        <v>162</v>
      </c>
      <c r="C276" s="88">
        <v>156</v>
      </c>
      <c r="D276" s="89">
        <v>52</v>
      </c>
      <c r="E276" s="90">
        <v>58</v>
      </c>
      <c r="F276" s="91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111"/>
    </row>
    <row r="277" spans="1:17">
      <c r="A277" s="86" t="s">
        <v>480</v>
      </c>
      <c r="B277" s="87" t="s">
        <v>481</v>
      </c>
      <c r="C277" s="88">
        <v>37.88</v>
      </c>
      <c r="D277" s="89">
        <v>18.94</v>
      </c>
      <c r="E277" s="90">
        <v>23</v>
      </c>
      <c r="F277" s="91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111"/>
    </row>
    <row r="278" spans="1:17">
      <c r="A278" s="86" t="s">
        <v>482</v>
      </c>
      <c r="B278" s="87" t="s">
        <v>159</v>
      </c>
      <c r="C278" s="88">
        <v>122.68</v>
      </c>
      <c r="D278" s="89">
        <v>61.34</v>
      </c>
      <c r="E278" s="90">
        <v>67</v>
      </c>
      <c r="F278" s="91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111"/>
    </row>
    <row r="279" spans="1:17">
      <c r="A279" s="86" t="s">
        <v>483</v>
      </c>
      <c r="B279" s="87" t="s">
        <v>159</v>
      </c>
      <c r="C279" s="88">
        <v>207.48</v>
      </c>
      <c r="D279" s="89">
        <v>103.74</v>
      </c>
      <c r="E279" s="90">
        <v>110</v>
      </c>
      <c r="F279" s="91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111"/>
    </row>
    <row r="280" spans="1:17">
      <c r="A280" s="96" t="s">
        <v>589</v>
      </c>
      <c r="B280" s="97"/>
      <c r="C280" s="98"/>
      <c r="D280" s="99">
        <v>81.31</v>
      </c>
      <c r="E280" s="100">
        <v>95</v>
      </c>
      <c r="F280" s="91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111"/>
    </row>
    <row r="281" spans="1:17">
      <c r="A281" s="96" t="s">
        <v>590</v>
      </c>
      <c r="B281" s="97"/>
      <c r="C281" s="98"/>
      <c r="D281" s="99">
        <v>27.41</v>
      </c>
      <c r="E281" s="100">
        <v>35</v>
      </c>
      <c r="F281" s="91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111"/>
    </row>
    <row r="282" spans="1:17">
      <c r="A282" s="96" t="s">
        <v>591</v>
      </c>
      <c r="B282" s="97"/>
      <c r="C282" s="98"/>
      <c r="D282" s="99">
        <v>42.61</v>
      </c>
      <c r="E282" s="100">
        <v>52</v>
      </c>
      <c r="F282" s="91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111"/>
    </row>
    <row r="283" spans="1:17">
      <c r="A283" s="86" t="s">
        <v>484</v>
      </c>
      <c r="B283" s="87" t="s">
        <v>159</v>
      </c>
      <c r="C283" s="88">
        <v>90.32</v>
      </c>
      <c r="D283" s="89">
        <v>45.16</v>
      </c>
      <c r="E283" s="90">
        <v>52</v>
      </c>
      <c r="F283" s="91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111"/>
    </row>
    <row r="284" spans="1:17">
      <c r="A284" s="86" t="s">
        <v>485</v>
      </c>
      <c r="B284" s="87" t="s">
        <v>144</v>
      </c>
      <c r="C284" s="88">
        <v>53.11</v>
      </c>
      <c r="D284" s="89">
        <v>4.42583333333333</v>
      </c>
      <c r="E284" s="90">
        <v>10</v>
      </c>
      <c r="F284" s="91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111"/>
    </row>
    <row r="285" spans="1:17">
      <c r="A285" s="86" t="s">
        <v>486</v>
      </c>
      <c r="B285" s="87" t="s">
        <v>159</v>
      </c>
      <c r="C285" s="88">
        <v>88.32</v>
      </c>
      <c r="D285" s="89">
        <v>44.16</v>
      </c>
      <c r="E285" s="90">
        <v>50</v>
      </c>
      <c r="F285" s="91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111"/>
    </row>
    <row r="286" hidden="1" spans="1:17">
      <c r="A286" s="92" t="s">
        <v>502</v>
      </c>
      <c r="B286" s="87" t="s">
        <v>439</v>
      </c>
      <c r="C286" s="93">
        <v>402.02</v>
      </c>
      <c r="D286" s="94">
        <v>28.7157142857143</v>
      </c>
      <c r="E286" s="95"/>
      <c r="F286" s="91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111"/>
    </row>
    <row r="287" spans="1:17">
      <c r="A287" s="86" t="s">
        <v>487</v>
      </c>
      <c r="B287" s="87" t="s">
        <v>159</v>
      </c>
      <c r="C287" s="88">
        <v>94.4</v>
      </c>
      <c r="D287" s="89">
        <v>47.2</v>
      </c>
      <c r="E287" s="90">
        <v>54</v>
      </c>
      <c r="F287" s="91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111"/>
    </row>
    <row r="288" spans="1:17">
      <c r="A288" s="86" t="s">
        <v>488</v>
      </c>
      <c r="B288" s="87" t="s">
        <v>159</v>
      </c>
      <c r="C288" s="88">
        <v>86.56</v>
      </c>
      <c r="D288" s="89">
        <v>43.28</v>
      </c>
      <c r="E288" s="90">
        <v>50</v>
      </c>
      <c r="F288" s="91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111"/>
    </row>
    <row r="289" spans="1:17">
      <c r="A289" s="96" t="s">
        <v>592</v>
      </c>
      <c r="B289" s="97"/>
      <c r="C289" s="98"/>
      <c r="D289" s="99">
        <f>1619.5/500</f>
        <v>3.239</v>
      </c>
      <c r="E289" s="100">
        <v>4</v>
      </c>
      <c r="F289" s="91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111"/>
    </row>
    <row r="290" spans="1:17">
      <c r="A290" s="96" t="s">
        <v>593</v>
      </c>
      <c r="B290" s="97"/>
      <c r="C290" s="98"/>
      <c r="D290" s="99">
        <v>57</v>
      </c>
      <c r="E290" s="100">
        <v>65</v>
      </c>
      <c r="F290" s="91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111"/>
    </row>
    <row r="291" spans="1:17">
      <c r="A291" s="96" t="s">
        <v>594</v>
      </c>
      <c r="B291" s="97"/>
      <c r="C291" s="98"/>
      <c r="D291" s="99">
        <v>8.62</v>
      </c>
      <c r="E291" s="100">
        <v>10</v>
      </c>
      <c r="F291" s="91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111"/>
    </row>
    <row r="292" spans="1:17">
      <c r="A292" s="86" t="s">
        <v>489</v>
      </c>
      <c r="B292" s="87" t="s">
        <v>439</v>
      </c>
      <c r="C292" s="88">
        <v>889.06</v>
      </c>
      <c r="D292" s="89">
        <v>63.5042857142857</v>
      </c>
      <c r="E292" s="90">
        <v>72</v>
      </c>
      <c r="F292" s="91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111"/>
    </row>
    <row r="293" spans="1:17">
      <c r="A293" s="86" t="s">
        <v>490</v>
      </c>
      <c r="B293" s="117"/>
      <c r="C293" s="88"/>
      <c r="D293" s="89">
        <v>91.8</v>
      </c>
      <c r="E293" s="90">
        <v>110</v>
      </c>
      <c r="F293" s="91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111"/>
    </row>
    <row r="294" spans="1:17">
      <c r="A294" s="86" t="s">
        <v>491</v>
      </c>
      <c r="B294" s="117"/>
      <c r="C294" s="88"/>
      <c r="D294" s="89">
        <v>108</v>
      </c>
      <c r="E294" s="90">
        <v>130</v>
      </c>
      <c r="F294" s="91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111"/>
    </row>
    <row r="295" spans="1:17">
      <c r="A295" s="86" t="s">
        <v>492</v>
      </c>
      <c r="B295" s="87" t="s">
        <v>164</v>
      </c>
      <c r="C295" s="88">
        <v>60.8</v>
      </c>
      <c r="D295" s="89">
        <v>6.08</v>
      </c>
      <c r="E295" s="90">
        <v>7</v>
      </c>
      <c r="F295" s="91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111"/>
    </row>
    <row r="296" spans="1:17">
      <c r="A296" s="96" t="s">
        <v>611</v>
      </c>
      <c r="B296" s="103"/>
      <c r="C296" s="104"/>
      <c r="D296" s="105">
        <v>113.62</v>
      </c>
      <c r="E296" s="106">
        <v>125</v>
      </c>
      <c r="F296" s="107"/>
      <c r="G296" s="108"/>
      <c r="H296" s="108"/>
      <c r="I296" s="22"/>
      <c r="J296" s="22"/>
      <c r="K296" s="22"/>
      <c r="L296" s="22"/>
      <c r="M296" s="22"/>
      <c r="N296" s="22"/>
      <c r="O296" s="22"/>
      <c r="P296" s="22"/>
      <c r="Q296" s="111"/>
    </row>
    <row r="297" spans="1:17">
      <c r="A297" s="86" t="s">
        <v>493</v>
      </c>
      <c r="B297" s="87" t="s">
        <v>494</v>
      </c>
      <c r="C297" s="88">
        <v>238.24</v>
      </c>
      <c r="D297" s="89">
        <v>14.89</v>
      </c>
      <c r="E297" s="90">
        <v>17</v>
      </c>
      <c r="F297" s="91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111"/>
    </row>
    <row r="298" spans="1:17">
      <c r="A298" s="86" t="s">
        <v>496</v>
      </c>
      <c r="B298" s="87" t="s">
        <v>396</v>
      </c>
      <c r="C298" s="88">
        <v>498.2</v>
      </c>
      <c r="D298" s="89">
        <v>24.91</v>
      </c>
      <c r="E298" s="90">
        <v>28</v>
      </c>
      <c r="F298" s="91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111"/>
    </row>
    <row r="299" spans="1:17">
      <c r="A299" s="86" t="s">
        <v>497</v>
      </c>
      <c r="B299" s="87" t="s">
        <v>144</v>
      </c>
      <c r="C299" s="88">
        <v>61.15</v>
      </c>
      <c r="D299" s="89">
        <v>5.09583333333333</v>
      </c>
      <c r="E299" s="90">
        <v>8</v>
      </c>
      <c r="F299" s="91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111"/>
    </row>
    <row r="300" spans="1:17">
      <c r="A300" s="86" t="s">
        <v>498</v>
      </c>
      <c r="B300" s="87" t="s">
        <v>144</v>
      </c>
      <c r="C300" s="88">
        <v>153.45</v>
      </c>
      <c r="D300" s="89">
        <v>12.7875</v>
      </c>
      <c r="E300" s="90">
        <v>16</v>
      </c>
      <c r="F300" s="91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111"/>
    </row>
    <row r="301" spans="1:17">
      <c r="A301" s="86" t="s">
        <v>499</v>
      </c>
      <c r="B301" s="87" t="s">
        <v>144</v>
      </c>
      <c r="C301" s="88">
        <v>153.45</v>
      </c>
      <c r="D301" s="89">
        <v>12.7875</v>
      </c>
      <c r="E301" s="90">
        <v>16</v>
      </c>
      <c r="F301" s="91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111"/>
    </row>
    <row r="302" spans="1:17">
      <c r="A302" s="86" t="s">
        <v>500</v>
      </c>
      <c r="B302" s="87" t="s">
        <v>150</v>
      </c>
      <c r="C302" s="88">
        <v>352</v>
      </c>
      <c r="D302" s="89">
        <v>35.2</v>
      </c>
      <c r="E302" s="90">
        <v>38</v>
      </c>
      <c r="F302" s="91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111"/>
    </row>
    <row r="303" hidden="1" spans="1:17">
      <c r="A303" s="92" t="s">
        <v>521</v>
      </c>
      <c r="B303" s="87" t="s">
        <v>156</v>
      </c>
      <c r="C303" s="93">
        <v>180.8</v>
      </c>
      <c r="D303" s="94">
        <v>9.04</v>
      </c>
      <c r="E303" s="95"/>
      <c r="F303" s="91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111"/>
    </row>
    <row r="304" spans="1:17">
      <c r="A304" s="86" t="s">
        <v>501</v>
      </c>
      <c r="B304" s="117"/>
      <c r="C304" s="88"/>
      <c r="D304" s="89">
        <v>7.99</v>
      </c>
      <c r="E304" s="90">
        <v>10</v>
      </c>
      <c r="F304" s="91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111"/>
    </row>
    <row r="305" spans="1:17">
      <c r="A305" s="86" t="s">
        <v>503</v>
      </c>
      <c r="B305" s="117"/>
      <c r="C305" s="88"/>
      <c r="D305" s="89">
        <v>4.71</v>
      </c>
      <c r="E305" s="90">
        <v>7</v>
      </c>
      <c r="F305" s="91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111"/>
    </row>
    <row r="306" spans="1:17">
      <c r="A306" s="86" t="s">
        <v>504</v>
      </c>
      <c r="B306" s="117"/>
      <c r="C306" s="88"/>
      <c r="D306" s="89">
        <v>4.82</v>
      </c>
      <c r="E306" s="90">
        <v>6</v>
      </c>
      <c r="F306" s="91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111"/>
    </row>
    <row r="307" spans="1:17">
      <c r="A307" s="86" t="s">
        <v>505</v>
      </c>
      <c r="B307" s="87" t="s">
        <v>233</v>
      </c>
      <c r="C307" s="88">
        <v>93.2</v>
      </c>
      <c r="D307" s="89">
        <v>4.66</v>
      </c>
      <c r="E307" s="90">
        <v>6</v>
      </c>
      <c r="F307" s="91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111"/>
    </row>
    <row r="308" hidden="1" spans="1:17">
      <c r="A308" s="92" t="s">
        <v>527</v>
      </c>
      <c r="B308" s="87" t="s">
        <v>162</v>
      </c>
      <c r="C308" s="93">
        <v>276.33</v>
      </c>
      <c r="D308" s="94">
        <v>92.11</v>
      </c>
      <c r="E308" s="95"/>
      <c r="F308" s="91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111"/>
    </row>
    <row r="309" spans="1:17">
      <c r="A309" s="86" t="s">
        <v>506</v>
      </c>
      <c r="B309" s="87" t="s">
        <v>159</v>
      </c>
      <c r="C309" s="88">
        <v>125.14</v>
      </c>
      <c r="D309" s="89">
        <v>62.57</v>
      </c>
      <c r="E309" s="90">
        <v>72</v>
      </c>
      <c r="F309" s="91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111"/>
    </row>
    <row r="310" spans="1:17">
      <c r="A310" s="86" t="s">
        <v>507</v>
      </c>
      <c r="B310" s="87" t="s">
        <v>159</v>
      </c>
      <c r="C310" s="88">
        <v>273.94</v>
      </c>
      <c r="D310" s="89">
        <v>136.97</v>
      </c>
      <c r="E310" s="90">
        <v>158</v>
      </c>
      <c r="F310" s="91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111"/>
    </row>
    <row r="311" spans="1:17">
      <c r="A311" s="86" t="s">
        <v>508</v>
      </c>
      <c r="B311" s="87" t="s">
        <v>159</v>
      </c>
      <c r="C311" s="88">
        <v>165.72</v>
      </c>
      <c r="D311" s="89">
        <v>82.86</v>
      </c>
      <c r="E311" s="90">
        <v>96</v>
      </c>
      <c r="F311" s="91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111"/>
    </row>
    <row r="312" spans="1:17">
      <c r="A312" s="96" t="s">
        <v>612</v>
      </c>
      <c r="B312" s="103"/>
      <c r="C312" s="104"/>
      <c r="D312" s="105">
        <v>27.88</v>
      </c>
      <c r="E312" s="106">
        <v>33</v>
      </c>
      <c r="F312" s="107"/>
      <c r="G312" s="108"/>
      <c r="H312" s="108"/>
      <c r="I312" s="22"/>
      <c r="J312" s="22"/>
      <c r="K312" s="22"/>
      <c r="L312" s="22"/>
      <c r="M312" s="22"/>
      <c r="N312" s="22"/>
      <c r="O312" s="22"/>
      <c r="P312" s="22"/>
      <c r="Q312" s="111"/>
    </row>
    <row r="313" spans="1:17">
      <c r="A313" s="96" t="s">
        <v>613</v>
      </c>
      <c r="B313" s="103"/>
      <c r="C313" s="104"/>
      <c r="D313" s="105">
        <v>48.88</v>
      </c>
      <c r="E313" s="106">
        <v>57</v>
      </c>
      <c r="F313" s="107"/>
      <c r="G313" s="108"/>
      <c r="H313" s="108"/>
      <c r="I313" s="22"/>
      <c r="J313" s="22"/>
      <c r="K313" s="22"/>
      <c r="L313" s="22"/>
      <c r="M313" s="22"/>
      <c r="N313" s="22"/>
      <c r="O313" s="22"/>
      <c r="P313" s="22"/>
      <c r="Q313" s="111"/>
    </row>
    <row r="314" spans="1:17">
      <c r="A314" s="96" t="s">
        <v>614</v>
      </c>
      <c r="B314" s="103"/>
      <c r="C314" s="104"/>
      <c r="D314" s="105">
        <v>29.07</v>
      </c>
      <c r="E314" s="106">
        <v>35</v>
      </c>
      <c r="F314" s="107"/>
      <c r="G314" s="108"/>
      <c r="H314" s="108"/>
      <c r="I314" s="22"/>
      <c r="J314" s="22"/>
      <c r="K314" s="22"/>
      <c r="L314" s="22"/>
      <c r="M314" s="22"/>
      <c r="N314" s="22"/>
      <c r="O314" s="22"/>
      <c r="P314" s="22"/>
      <c r="Q314" s="111"/>
    </row>
    <row r="315" spans="1:17">
      <c r="A315" s="96" t="s">
        <v>615</v>
      </c>
      <c r="B315" s="103"/>
      <c r="C315" s="104"/>
      <c r="D315" s="105">
        <v>52.35</v>
      </c>
      <c r="E315" s="106">
        <v>60</v>
      </c>
      <c r="F315" s="107"/>
      <c r="G315" s="108"/>
      <c r="H315" s="108"/>
      <c r="I315" s="22"/>
      <c r="J315" s="22"/>
      <c r="K315" s="22"/>
      <c r="L315" s="22"/>
      <c r="M315" s="22"/>
      <c r="N315" s="22"/>
      <c r="O315" s="22"/>
      <c r="P315" s="22"/>
      <c r="Q315" s="111"/>
    </row>
    <row r="316" spans="1:17">
      <c r="A316" s="96" t="s">
        <v>616</v>
      </c>
      <c r="B316" s="103"/>
      <c r="C316" s="104"/>
      <c r="D316" s="105">
        <v>34.91</v>
      </c>
      <c r="E316" s="106">
        <v>40</v>
      </c>
      <c r="F316" s="107"/>
      <c r="G316" s="108"/>
      <c r="H316" s="108"/>
      <c r="I316" s="22"/>
      <c r="J316" s="22"/>
      <c r="K316" s="22"/>
      <c r="L316" s="22"/>
      <c r="M316" s="22"/>
      <c r="N316" s="22"/>
      <c r="O316" s="22"/>
      <c r="P316" s="22"/>
      <c r="Q316" s="111"/>
    </row>
    <row r="317" spans="1:17">
      <c r="A317" s="96" t="s">
        <v>617</v>
      </c>
      <c r="B317" s="103"/>
      <c r="C317" s="104"/>
      <c r="D317" s="105">
        <v>55.81</v>
      </c>
      <c r="E317" s="106">
        <v>65</v>
      </c>
      <c r="F317" s="107"/>
      <c r="G317" s="108"/>
      <c r="H317" s="108"/>
      <c r="I317" s="22"/>
      <c r="J317" s="22"/>
      <c r="K317" s="22"/>
      <c r="L317" s="22"/>
      <c r="M317" s="22"/>
      <c r="N317" s="22"/>
      <c r="O317" s="22"/>
      <c r="P317" s="22"/>
      <c r="Q317" s="111"/>
    </row>
    <row r="318" spans="1:17">
      <c r="A318" s="86" t="s">
        <v>509</v>
      </c>
      <c r="B318" s="87" t="s">
        <v>236</v>
      </c>
      <c r="C318" s="88">
        <v>83.52</v>
      </c>
      <c r="D318" s="89">
        <v>6.96</v>
      </c>
      <c r="E318" s="90">
        <v>8.5</v>
      </c>
      <c r="F318" s="91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111"/>
    </row>
    <row r="319" spans="1:17">
      <c r="A319" s="86" t="s">
        <v>510</v>
      </c>
      <c r="B319" s="87" t="s">
        <v>285</v>
      </c>
      <c r="C319" s="88">
        <v>107.52</v>
      </c>
      <c r="D319" s="89">
        <v>4.48</v>
      </c>
      <c r="E319" s="90">
        <v>5.5</v>
      </c>
      <c r="F319" s="91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111"/>
    </row>
    <row r="320" spans="1:17">
      <c r="A320" s="86" t="s">
        <v>511</v>
      </c>
      <c r="B320" s="87" t="s">
        <v>144</v>
      </c>
      <c r="C320" s="88">
        <v>77.61</v>
      </c>
      <c r="D320" s="89">
        <v>6.4675</v>
      </c>
      <c r="E320" s="90">
        <v>10</v>
      </c>
      <c r="F320" s="91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111"/>
    </row>
    <row r="321" spans="1:17">
      <c r="A321" s="86" t="s">
        <v>512</v>
      </c>
      <c r="B321" s="87" t="s">
        <v>144</v>
      </c>
      <c r="C321" s="88">
        <v>77.61</v>
      </c>
      <c r="D321" s="89">
        <v>6.4675</v>
      </c>
      <c r="E321" s="90">
        <v>10</v>
      </c>
      <c r="F321" s="91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111"/>
    </row>
    <row r="322" spans="1:17">
      <c r="A322" s="86" t="s">
        <v>513</v>
      </c>
      <c r="B322" s="87" t="s">
        <v>144</v>
      </c>
      <c r="C322" s="88">
        <v>77.61</v>
      </c>
      <c r="D322" s="89">
        <v>6.4675</v>
      </c>
      <c r="E322" s="90">
        <v>10</v>
      </c>
      <c r="F322" s="91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111"/>
    </row>
    <row r="323" spans="1:17">
      <c r="A323" s="86" t="s">
        <v>514</v>
      </c>
      <c r="B323" s="87" t="s">
        <v>144</v>
      </c>
      <c r="C323" s="88">
        <v>77.61</v>
      </c>
      <c r="D323" s="89">
        <v>6.4675</v>
      </c>
      <c r="E323" s="90">
        <v>10</v>
      </c>
      <c r="F323" s="91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111"/>
    </row>
    <row r="324" spans="1:17">
      <c r="A324" s="86" t="s">
        <v>515</v>
      </c>
      <c r="B324" s="87" t="s">
        <v>144</v>
      </c>
      <c r="C324" s="88">
        <v>77.61</v>
      </c>
      <c r="D324" s="89">
        <v>6.4675</v>
      </c>
      <c r="E324" s="90">
        <v>10</v>
      </c>
      <c r="F324" s="91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111"/>
    </row>
    <row r="325" spans="1:17">
      <c r="A325" s="86" t="s">
        <v>517</v>
      </c>
      <c r="B325" s="87" t="s">
        <v>54</v>
      </c>
      <c r="C325" s="88">
        <v>112.59</v>
      </c>
      <c r="D325" s="89">
        <v>37.53</v>
      </c>
      <c r="E325" s="90">
        <v>46</v>
      </c>
      <c r="F325" s="91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111"/>
    </row>
    <row r="326" spans="1:17">
      <c r="A326" s="86" t="s">
        <v>519</v>
      </c>
      <c r="B326" s="87" t="s">
        <v>54</v>
      </c>
      <c r="C326" s="88">
        <v>112.59</v>
      </c>
      <c r="D326" s="89">
        <v>37.53</v>
      </c>
      <c r="E326" s="90">
        <v>46</v>
      </c>
      <c r="F326" s="91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111"/>
    </row>
    <row r="327" spans="1:17">
      <c r="A327" s="86" t="s">
        <v>520</v>
      </c>
      <c r="B327" s="87" t="s">
        <v>54</v>
      </c>
      <c r="C327" s="88">
        <v>112.59</v>
      </c>
      <c r="D327" s="89">
        <v>37.53</v>
      </c>
      <c r="E327" s="90">
        <v>46</v>
      </c>
      <c r="F327" s="91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111"/>
    </row>
    <row r="328" spans="1:17">
      <c r="A328" s="86" t="s">
        <v>522</v>
      </c>
      <c r="B328" s="87" t="s">
        <v>54</v>
      </c>
      <c r="C328" s="88">
        <v>112.59</v>
      </c>
      <c r="D328" s="89">
        <v>37.53</v>
      </c>
      <c r="E328" s="90">
        <v>46</v>
      </c>
      <c r="F328" s="91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111"/>
    </row>
    <row r="329" spans="1:17">
      <c r="A329" s="86" t="s">
        <v>523</v>
      </c>
      <c r="B329" s="87" t="s">
        <v>439</v>
      </c>
      <c r="C329" s="88">
        <v>402.02</v>
      </c>
      <c r="D329" s="89">
        <v>28.7157142857143</v>
      </c>
      <c r="E329" s="90">
        <v>35</v>
      </c>
      <c r="F329" s="91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111"/>
    </row>
    <row r="330" spans="1:17">
      <c r="A330" s="86" t="s">
        <v>525</v>
      </c>
      <c r="B330" s="87" t="s">
        <v>439</v>
      </c>
      <c r="C330" s="88">
        <v>568.58</v>
      </c>
      <c r="D330" s="89">
        <v>40.6128571428571</v>
      </c>
      <c r="E330" s="90">
        <v>48</v>
      </c>
      <c r="F330" s="91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111"/>
    </row>
    <row r="331" spans="1:17">
      <c r="A331" s="86" t="s">
        <v>526</v>
      </c>
      <c r="B331" s="87" t="s">
        <v>161</v>
      </c>
      <c r="C331" s="88">
        <v>157</v>
      </c>
      <c r="D331" s="89">
        <v>157</v>
      </c>
      <c r="E331" s="90">
        <v>170</v>
      </c>
      <c r="F331" s="91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111"/>
    </row>
    <row r="332" spans="1:17">
      <c r="A332" s="86" t="s">
        <v>528</v>
      </c>
      <c r="B332" s="87" t="s">
        <v>159</v>
      </c>
      <c r="C332" s="88">
        <v>199.5</v>
      </c>
      <c r="D332" s="89">
        <v>99.75</v>
      </c>
      <c r="E332" s="90">
        <v>110</v>
      </c>
      <c r="F332" s="91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111"/>
    </row>
    <row r="333" spans="1:17">
      <c r="A333" s="86" t="s">
        <v>529</v>
      </c>
      <c r="B333" s="87" t="s">
        <v>149</v>
      </c>
      <c r="C333" s="88">
        <v>110</v>
      </c>
      <c r="D333" s="89">
        <v>11</v>
      </c>
      <c r="E333" s="90">
        <v>13</v>
      </c>
      <c r="F333" s="91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111"/>
    </row>
    <row r="334" spans="1:17">
      <c r="A334" s="86" t="s">
        <v>530</v>
      </c>
      <c r="B334" s="87" t="s">
        <v>205</v>
      </c>
      <c r="C334" s="88">
        <v>192</v>
      </c>
      <c r="D334" s="89">
        <v>38.4</v>
      </c>
      <c r="E334" s="90">
        <v>44</v>
      </c>
      <c r="F334" s="91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111"/>
    </row>
    <row r="335" spans="1:17">
      <c r="A335" s="112" t="s">
        <v>531</v>
      </c>
      <c r="B335" s="113" t="s">
        <v>382</v>
      </c>
      <c r="C335" s="114">
        <v>122.85</v>
      </c>
      <c r="D335" s="115">
        <v>40.95</v>
      </c>
      <c r="E335" s="116"/>
      <c r="F335" s="91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111"/>
    </row>
    <row r="336" spans="1:17">
      <c r="A336" s="112" t="s">
        <v>531</v>
      </c>
      <c r="B336" s="113"/>
      <c r="C336" s="114"/>
      <c r="D336" s="115">
        <v>19.56</v>
      </c>
      <c r="E336" s="116">
        <v>22</v>
      </c>
      <c r="F336" s="91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111"/>
    </row>
    <row r="337" spans="1:17">
      <c r="A337" s="86" t="s">
        <v>533</v>
      </c>
      <c r="B337" s="87" t="s">
        <v>233</v>
      </c>
      <c r="C337" s="88">
        <v>253.8</v>
      </c>
      <c r="D337" s="89">
        <v>12.69</v>
      </c>
      <c r="E337" s="90">
        <v>15</v>
      </c>
      <c r="F337" s="91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111"/>
    </row>
    <row r="338" spans="1:17">
      <c r="A338" s="86" t="s">
        <v>534</v>
      </c>
      <c r="B338" s="87" t="s">
        <v>347</v>
      </c>
      <c r="C338" s="88">
        <v>1131.5</v>
      </c>
      <c r="D338" s="89">
        <v>45.26</v>
      </c>
      <c r="E338" s="90">
        <v>53</v>
      </c>
      <c r="F338" s="91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111"/>
    </row>
    <row r="339" spans="1:17">
      <c r="A339" s="86" t="s">
        <v>535</v>
      </c>
      <c r="B339" s="87" t="s">
        <v>347</v>
      </c>
      <c r="C339" s="88">
        <v>946.5</v>
      </c>
      <c r="D339" s="89">
        <v>37.86</v>
      </c>
      <c r="E339" s="90">
        <v>44</v>
      </c>
      <c r="F339" s="91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111"/>
    </row>
    <row r="340" spans="1:17">
      <c r="A340" s="86" t="s">
        <v>536</v>
      </c>
      <c r="B340" s="87" t="s">
        <v>205</v>
      </c>
      <c r="C340" s="88">
        <v>186.2</v>
      </c>
      <c r="D340" s="89">
        <v>37.24</v>
      </c>
      <c r="E340" s="90">
        <v>43</v>
      </c>
      <c r="F340" s="91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111"/>
    </row>
    <row r="341" spans="1:17">
      <c r="A341" s="86" t="s">
        <v>537</v>
      </c>
      <c r="B341" s="87" t="s">
        <v>205</v>
      </c>
      <c r="C341" s="88">
        <v>168.55</v>
      </c>
      <c r="D341" s="89">
        <v>33.71</v>
      </c>
      <c r="E341" s="90">
        <v>39</v>
      </c>
      <c r="F341" s="91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111"/>
    </row>
    <row r="342" spans="1:17">
      <c r="A342" s="86" t="s">
        <v>538</v>
      </c>
      <c r="B342" s="87" t="s">
        <v>233</v>
      </c>
      <c r="C342" s="88">
        <v>355</v>
      </c>
      <c r="D342" s="89">
        <v>17.75</v>
      </c>
      <c r="E342" s="90">
        <v>20</v>
      </c>
      <c r="F342" s="91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111"/>
    </row>
    <row r="343" spans="1:17">
      <c r="A343" s="86" t="s">
        <v>539</v>
      </c>
      <c r="B343" s="87" t="s">
        <v>303</v>
      </c>
      <c r="C343" s="88">
        <v>262.5</v>
      </c>
      <c r="D343" s="89">
        <v>10.5</v>
      </c>
      <c r="E343" s="90">
        <v>12.5</v>
      </c>
      <c r="F343" s="91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111"/>
    </row>
    <row r="344" spans="1:17">
      <c r="A344" s="86" t="s">
        <v>540</v>
      </c>
      <c r="B344" s="87" t="s">
        <v>233</v>
      </c>
      <c r="C344" s="88">
        <v>337.8</v>
      </c>
      <c r="D344" s="89">
        <v>16.89</v>
      </c>
      <c r="E344" s="90">
        <v>21</v>
      </c>
      <c r="F344" s="91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111"/>
    </row>
    <row r="345" spans="1:17">
      <c r="A345" s="86" t="s">
        <v>521</v>
      </c>
      <c r="B345" s="87" t="s">
        <v>271</v>
      </c>
      <c r="C345" s="88">
        <v>180.8</v>
      </c>
      <c r="D345" s="89">
        <v>9.04</v>
      </c>
      <c r="E345" s="90">
        <v>11</v>
      </c>
      <c r="F345" s="91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111"/>
    </row>
    <row r="346" spans="1:17">
      <c r="A346" s="86" t="s">
        <v>541</v>
      </c>
      <c r="B346" s="87" t="s">
        <v>159</v>
      </c>
      <c r="C346" s="88">
        <v>166.44</v>
      </c>
      <c r="D346" s="89">
        <v>83.22</v>
      </c>
      <c r="E346" s="90">
        <v>95</v>
      </c>
      <c r="F346" s="91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111"/>
    </row>
    <row r="347" spans="1:17">
      <c r="A347" s="86" t="s">
        <v>542</v>
      </c>
      <c r="B347" s="87" t="s">
        <v>161</v>
      </c>
      <c r="C347" s="88">
        <v>113.57</v>
      </c>
      <c r="D347" s="89">
        <v>113.57</v>
      </c>
      <c r="E347" s="90">
        <v>125</v>
      </c>
      <c r="F347" s="91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111"/>
    </row>
    <row r="348" spans="1:17">
      <c r="A348" s="86" t="s">
        <v>543</v>
      </c>
      <c r="B348" s="87" t="s">
        <v>159</v>
      </c>
      <c r="C348" s="88">
        <v>163.28</v>
      </c>
      <c r="D348" s="89">
        <v>81.64</v>
      </c>
      <c r="E348" s="90">
        <v>93</v>
      </c>
      <c r="F348" s="91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111"/>
    </row>
    <row r="349" spans="1:17">
      <c r="A349" s="86" t="s">
        <v>527</v>
      </c>
      <c r="B349" s="87" t="s">
        <v>159</v>
      </c>
      <c r="C349" s="88">
        <v>184.22</v>
      </c>
      <c r="D349" s="89">
        <v>92.11</v>
      </c>
      <c r="E349" s="90">
        <v>110</v>
      </c>
      <c r="F349" s="91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111"/>
    </row>
    <row r="350" spans="1:17">
      <c r="A350" s="96" t="s">
        <v>625</v>
      </c>
      <c r="B350" s="103"/>
      <c r="C350" s="104"/>
      <c r="D350" s="105">
        <v>29.48</v>
      </c>
      <c r="E350" s="106">
        <v>32</v>
      </c>
      <c r="F350" s="107"/>
      <c r="G350" s="108"/>
      <c r="H350" s="108"/>
      <c r="I350" s="22"/>
      <c r="J350" s="22"/>
      <c r="K350" s="22"/>
      <c r="L350" s="22"/>
      <c r="M350" s="22"/>
      <c r="N350" s="22"/>
      <c r="O350" s="22"/>
      <c r="P350" s="22"/>
      <c r="Q350" s="111"/>
    </row>
    <row r="351" spans="1:17">
      <c r="A351" s="86" t="s">
        <v>544</v>
      </c>
      <c r="B351" s="87" t="s">
        <v>545</v>
      </c>
      <c r="C351" s="88">
        <v>148.71</v>
      </c>
      <c r="D351" s="89">
        <v>49.57</v>
      </c>
      <c r="E351" s="90">
        <v>60</v>
      </c>
      <c r="F351" s="91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111"/>
    </row>
    <row r="352" spans="1:17">
      <c r="A352" s="86" t="s">
        <v>546</v>
      </c>
      <c r="B352" s="87" t="s">
        <v>545</v>
      </c>
      <c r="C352" s="88">
        <v>148.71</v>
      </c>
      <c r="D352" s="89">
        <v>49.57</v>
      </c>
      <c r="E352" s="90">
        <v>60</v>
      </c>
      <c r="F352" s="91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111"/>
    </row>
    <row r="353" spans="1:17">
      <c r="A353" s="86" t="s">
        <v>547</v>
      </c>
      <c r="B353" s="87" t="s">
        <v>545</v>
      </c>
      <c r="C353" s="88">
        <v>148.71</v>
      </c>
      <c r="D353" s="89">
        <v>49.57</v>
      </c>
      <c r="E353" s="90">
        <v>60</v>
      </c>
      <c r="F353" s="91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111"/>
    </row>
    <row r="354" spans="1:17">
      <c r="A354" s="86" t="s">
        <v>548</v>
      </c>
      <c r="B354" s="87" t="s">
        <v>545</v>
      </c>
      <c r="C354" s="88">
        <v>148.71</v>
      </c>
      <c r="D354" s="89">
        <v>49.57</v>
      </c>
      <c r="E354" s="90">
        <v>60</v>
      </c>
      <c r="F354" s="91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111"/>
    </row>
    <row r="355" spans="1:17">
      <c r="A355" s="96" t="s">
        <v>596</v>
      </c>
      <c r="B355" s="97"/>
      <c r="C355" s="98"/>
      <c r="D355" s="99">
        <f>99.96/12</f>
        <v>8.33</v>
      </c>
      <c r="E355" s="100">
        <v>10</v>
      </c>
      <c r="F355" s="91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111"/>
    </row>
    <row r="356" spans="1:17">
      <c r="A356" s="86" t="s">
        <v>549</v>
      </c>
      <c r="B356" s="87" t="s">
        <v>288</v>
      </c>
      <c r="C356" s="88">
        <v>714.2</v>
      </c>
      <c r="D356" s="89">
        <v>71.42</v>
      </c>
      <c r="E356" s="90">
        <v>80</v>
      </c>
      <c r="F356" s="91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111"/>
    </row>
    <row r="357" spans="1:17">
      <c r="A357" s="86" t="s">
        <v>550</v>
      </c>
      <c r="B357" s="87" t="s">
        <v>288</v>
      </c>
      <c r="C357" s="88">
        <v>1244.2</v>
      </c>
      <c r="D357" s="89">
        <v>124.42</v>
      </c>
      <c r="E357" s="90">
        <v>140</v>
      </c>
      <c r="F357" s="91"/>
      <c r="G357" s="22"/>
      <c r="H357" s="22"/>
      <c r="I357" s="108"/>
      <c r="J357" s="22"/>
      <c r="K357" s="22"/>
      <c r="L357" s="22"/>
      <c r="M357" s="22"/>
      <c r="N357" s="22"/>
      <c r="O357" s="22"/>
      <c r="P357" s="22"/>
      <c r="Q357" s="111"/>
    </row>
    <row r="358" spans="1:17">
      <c r="A358" s="96" t="s">
        <v>626</v>
      </c>
      <c r="B358" s="103"/>
      <c r="C358" s="104"/>
      <c r="D358" s="105">
        <v>3.81</v>
      </c>
      <c r="E358" s="106">
        <v>5</v>
      </c>
      <c r="F358" s="107"/>
      <c r="G358" s="108"/>
      <c r="H358" s="108"/>
      <c r="I358" s="108"/>
      <c r="J358" s="22"/>
      <c r="K358" s="22"/>
      <c r="L358" s="22"/>
      <c r="M358" s="22"/>
      <c r="N358" s="22"/>
      <c r="O358" s="22"/>
      <c r="P358" s="22"/>
      <c r="Q358" s="111"/>
    </row>
    <row r="359" spans="1:17">
      <c r="A359" s="86" t="s">
        <v>551</v>
      </c>
      <c r="B359" s="87" t="s">
        <v>288</v>
      </c>
      <c r="C359" s="88">
        <v>825.8</v>
      </c>
      <c r="D359" s="89">
        <v>82.58</v>
      </c>
      <c r="E359" s="90">
        <v>91</v>
      </c>
      <c r="F359" s="91"/>
      <c r="G359" s="22"/>
      <c r="H359" s="22"/>
      <c r="I359" s="108"/>
      <c r="J359" s="22"/>
      <c r="K359" s="22"/>
      <c r="L359" s="22"/>
      <c r="M359" s="22"/>
      <c r="N359" s="22"/>
      <c r="O359" s="22"/>
      <c r="P359" s="22"/>
      <c r="Q359" s="111"/>
    </row>
    <row r="360" spans="1:17">
      <c r="A360" s="86" t="s">
        <v>552</v>
      </c>
      <c r="B360" s="87" t="s">
        <v>288</v>
      </c>
      <c r="C360" s="88">
        <v>825.8</v>
      </c>
      <c r="D360" s="89">
        <v>82.58</v>
      </c>
      <c r="E360" s="90">
        <v>91</v>
      </c>
      <c r="F360" s="91"/>
      <c r="G360" s="22"/>
      <c r="H360" s="22"/>
      <c r="I360" s="108"/>
      <c r="J360" s="22"/>
      <c r="K360" s="22"/>
      <c r="L360" s="22"/>
      <c r="M360" s="22"/>
      <c r="N360" s="22"/>
      <c r="O360" s="22"/>
      <c r="P360" s="22"/>
      <c r="Q360" s="111"/>
    </row>
    <row r="361" spans="1:17">
      <c r="A361" s="86" t="s">
        <v>553</v>
      </c>
      <c r="B361" s="87" t="s">
        <v>554</v>
      </c>
      <c r="C361" s="88">
        <v>59.5</v>
      </c>
      <c r="D361" s="89">
        <v>11.9</v>
      </c>
      <c r="E361" s="90">
        <v>15</v>
      </c>
      <c r="F361" s="91"/>
      <c r="G361" s="22"/>
      <c r="H361" s="22"/>
      <c r="I361" s="108"/>
      <c r="J361" s="22"/>
      <c r="K361" s="22"/>
      <c r="L361" s="22"/>
      <c r="M361" s="22"/>
      <c r="N361" s="22"/>
      <c r="O361" s="22"/>
      <c r="P361" s="22"/>
      <c r="Q361" s="111"/>
    </row>
    <row r="362" spans="1:17">
      <c r="A362" s="86" t="s">
        <v>555</v>
      </c>
      <c r="B362" s="87" t="s">
        <v>159</v>
      </c>
      <c r="C362" s="88">
        <v>89.74</v>
      </c>
      <c r="D362" s="89">
        <v>44.87</v>
      </c>
      <c r="E362" s="90">
        <v>50</v>
      </c>
      <c r="F362" s="91"/>
      <c r="G362" s="22"/>
      <c r="H362" s="22"/>
      <c r="I362" s="108"/>
      <c r="J362" s="22"/>
      <c r="K362" s="22"/>
      <c r="L362" s="22"/>
      <c r="M362" s="22"/>
      <c r="N362" s="22"/>
      <c r="O362" s="22"/>
      <c r="P362" s="22"/>
      <c r="Q362" s="111"/>
    </row>
    <row r="363" spans="1:17">
      <c r="A363" s="86" t="s">
        <v>556</v>
      </c>
      <c r="B363" s="87" t="s">
        <v>159</v>
      </c>
      <c r="C363" s="88">
        <v>142.28</v>
      </c>
      <c r="D363" s="89">
        <v>71.14</v>
      </c>
      <c r="E363" s="90">
        <v>80</v>
      </c>
      <c r="F363" s="91"/>
      <c r="G363" s="22"/>
      <c r="H363" s="22"/>
      <c r="I363" s="108"/>
      <c r="J363" s="22"/>
      <c r="K363" s="22"/>
      <c r="L363" s="22"/>
      <c r="M363" s="22"/>
      <c r="N363" s="22"/>
      <c r="O363" s="22"/>
      <c r="P363" s="22"/>
      <c r="Q363" s="111"/>
    </row>
    <row r="364" spans="1:17">
      <c r="A364" s="86" t="s">
        <v>557</v>
      </c>
      <c r="B364" s="87" t="s">
        <v>159</v>
      </c>
      <c r="C364" s="88">
        <v>208.18</v>
      </c>
      <c r="D364" s="89">
        <v>104.09</v>
      </c>
      <c r="E364" s="90">
        <v>119</v>
      </c>
      <c r="F364" s="91"/>
      <c r="G364" s="22"/>
      <c r="H364" s="22"/>
      <c r="I364" s="108"/>
      <c r="J364" s="22"/>
      <c r="K364" s="22"/>
      <c r="L364" s="22"/>
      <c r="M364" s="22"/>
      <c r="N364" s="22"/>
      <c r="O364" s="22"/>
      <c r="P364" s="22"/>
      <c r="Q364" s="111"/>
    </row>
    <row r="365" spans="1:17">
      <c r="A365" s="86" t="s">
        <v>558</v>
      </c>
      <c r="B365" s="87" t="s">
        <v>159</v>
      </c>
      <c r="C365" s="88">
        <v>112.44</v>
      </c>
      <c r="D365" s="89">
        <v>56.22</v>
      </c>
      <c r="E365" s="90">
        <v>64</v>
      </c>
      <c r="F365" s="91"/>
      <c r="G365" s="22"/>
      <c r="H365" s="22"/>
      <c r="I365" s="108"/>
      <c r="J365" s="22"/>
      <c r="K365" s="22"/>
      <c r="L365" s="22"/>
      <c r="M365" s="22"/>
      <c r="N365" s="22"/>
      <c r="O365" s="22"/>
      <c r="P365" s="22"/>
      <c r="Q365" s="111"/>
    </row>
    <row r="366" spans="1:17">
      <c r="A366" s="86" t="s">
        <v>559</v>
      </c>
      <c r="B366" s="87" t="s">
        <v>313</v>
      </c>
      <c r="C366" s="88">
        <v>1689.43</v>
      </c>
      <c r="D366" s="89">
        <v>56.3143333333333</v>
      </c>
      <c r="E366" s="90">
        <v>62</v>
      </c>
      <c r="F366" s="91"/>
      <c r="G366" s="22"/>
      <c r="H366" s="22"/>
      <c r="I366" s="108"/>
      <c r="J366" s="22"/>
      <c r="K366" s="22"/>
      <c r="L366" s="22"/>
      <c r="M366" s="22"/>
      <c r="N366" s="22"/>
      <c r="O366" s="22"/>
      <c r="P366" s="22"/>
      <c r="Q366" s="111"/>
    </row>
    <row r="367" spans="1:17">
      <c r="A367" s="96" t="s">
        <v>597</v>
      </c>
      <c r="B367" s="97"/>
      <c r="C367" s="98"/>
      <c r="D367" s="99">
        <f>911.79/30</f>
        <v>30.393</v>
      </c>
      <c r="E367" s="100">
        <v>34</v>
      </c>
      <c r="F367" s="91"/>
      <c r="G367" s="22"/>
      <c r="H367" s="22"/>
      <c r="I367" s="108"/>
      <c r="J367" s="22"/>
      <c r="K367" s="22"/>
      <c r="L367" s="22"/>
      <c r="M367" s="22"/>
      <c r="N367" s="22"/>
      <c r="O367" s="22"/>
      <c r="P367" s="22"/>
      <c r="Q367" s="111"/>
    </row>
    <row r="368" spans="1:17">
      <c r="A368" s="86" t="s">
        <v>560</v>
      </c>
      <c r="B368" s="87" t="s">
        <v>271</v>
      </c>
      <c r="C368" s="88">
        <v>176</v>
      </c>
      <c r="D368" s="89">
        <v>8.8</v>
      </c>
      <c r="E368" s="90">
        <v>10</v>
      </c>
      <c r="F368" s="91"/>
      <c r="G368" s="22"/>
      <c r="H368" s="22"/>
      <c r="I368" s="108"/>
      <c r="J368" s="22"/>
      <c r="K368" s="22"/>
      <c r="L368" s="22"/>
      <c r="M368" s="22"/>
      <c r="N368" s="22"/>
      <c r="O368" s="22"/>
      <c r="P368" s="22"/>
      <c r="Q368" s="111"/>
    </row>
    <row r="369" spans="1:17">
      <c r="A369" s="96" t="s">
        <v>598</v>
      </c>
      <c r="B369" s="97"/>
      <c r="C369" s="98"/>
      <c r="D369" s="99">
        <f>1146.6/30</f>
        <v>38.22</v>
      </c>
      <c r="E369" s="100">
        <v>42</v>
      </c>
      <c r="F369" s="107"/>
      <c r="G369" s="108"/>
      <c r="H369" s="108"/>
      <c r="I369" s="108"/>
      <c r="J369" s="22"/>
      <c r="K369" s="22"/>
      <c r="L369" s="22"/>
      <c r="M369" s="22"/>
      <c r="N369" s="22"/>
      <c r="O369" s="22"/>
      <c r="P369" s="22"/>
      <c r="Q369" s="111"/>
    </row>
    <row r="370" spans="1:17">
      <c r="A370" s="86" t="s">
        <v>561</v>
      </c>
      <c r="B370" s="87" t="s">
        <v>313</v>
      </c>
      <c r="C370" s="88">
        <v>1146.6</v>
      </c>
      <c r="D370" s="89">
        <v>38.22</v>
      </c>
      <c r="E370" s="90">
        <v>43</v>
      </c>
      <c r="F370" s="91"/>
      <c r="G370" s="22"/>
      <c r="H370" s="22"/>
      <c r="I370" s="108"/>
      <c r="J370" s="22"/>
      <c r="K370" s="22"/>
      <c r="L370" s="22"/>
      <c r="M370" s="22"/>
      <c r="N370" s="22"/>
      <c r="O370" s="22"/>
      <c r="P370" s="22"/>
      <c r="Q370" s="111"/>
    </row>
    <row r="371" spans="1:17">
      <c r="A371" s="96" t="s">
        <v>599</v>
      </c>
      <c r="B371" s="103"/>
      <c r="C371" s="104"/>
      <c r="D371" s="105">
        <v>413.71</v>
      </c>
      <c r="E371" s="106">
        <v>435</v>
      </c>
      <c r="F371" s="107"/>
      <c r="G371" s="108"/>
      <c r="H371" s="108"/>
      <c r="I371" s="108"/>
      <c r="J371" s="22"/>
      <c r="K371" s="22"/>
      <c r="L371" s="22"/>
      <c r="M371" s="22"/>
      <c r="N371" s="22"/>
      <c r="O371" s="22"/>
      <c r="P371" s="22"/>
      <c r="Q371" s="111"/>
    </row>
    <row r="372" spans="1:17">
      <c r="A372" s="86" t="s">
        <v>562</v>
      </c>
      <c r="B372" s="87" t="s">
        <v>162</v>
      </c>
      <c r="C372" s="88">
        <v>365.1</v>
      </c>
      <c r="D372" s="89">
        <v>121.7</v>
      </c>
      <c r="E372" s="90">
        <v>130</v>
      </c>
      <c r="F372" s="91"/>
      <c r="G372" s="22"/>
      <c r="H372" s="22"/>
      <c r="I372" s="108"/>
      <c r="J372" s="22"/>
      <c r="K372" s="22"/>
      <c r="L372" s="22"/>
      <c r="M372" s="22"/>
      <c r="N372" s="22"/>
      <c r="O372" s="22"/>
      <c r="P372" s="22"/>
      <c r="Q372" s="111"/>
    </row>
    <row r="373" spans="1:17">
      <c r="A373" s="86" t="s">
        <v>563</v>
      </c>
      <c r="B373" s="87" t="s">
        <v>238</v>
      </c>
      <c r="C373" s="88">
        <v>668</v>
      </c>
      <c r="D373" s="89">
        <v>33.4</v>
      </c>
      <c r="E373" s="90"/>
      <c r="F373" s="91"/>
      <c r="G373" s="22"/>
      <c r="H373" s="22"/>
      <c r="I373" s="108"/>
      <c r="J373" s="22"/>
      <c r="K373" s="22"/>
      <c r="L373" s="22"/>
      <c r="M373" s="22"/>
      <c r="N373" s="22"/>
      <c r="O373" s="22"/>
      <c r="P373" s="22"/>
      <c r="Q373" s="111"/>
    </row>
    <row r="374" spans="1:17">
      <c r="A374" s="86" t="s">
        <v>565</v>
      </c>
      <c r="B374" s="87" t="s">
        <v>161</v>
      </c>
      <c r="C374" s="88">
        <v>132.49</v>
      </c>
      <c r="D374" s="89">
        <v>132.49</v>
      </c>
      <c r="E374" s="90">
        <v>28</v>
      </c>
      <c r="F374" s="91"/>
      <c r="G374" s="22"/>
      <c r="H374" s="22"/>
      <c r="I374" s="108"/>
      <c r="J374" s="22"/>
      <c r="K374" s="22"/>
      <c r="L374" s="22"/>
      <c r="M374" s="22"/>
      <c r="N374" s="22"/>
      <c r="O374" s="22"/>
      <c r="P374" s="22"/>
      <c r="Q374" s="111"/>
    </row>
    <row r="375" spans="1:17">
      <c r="A375" s="86" t="s">
        <v>566</v>
      </c>
      <c r="B375" s="87" t="s">
        <v>161</v>
      </c>
      <c r="C375" s="88">
        <v>113.92</v>
      </c>
      <c r="D375" s="89">
        <v>113.92</v>
      </c>
      <c r="E375" s="90">
        <v>130</v>
      </c>
      <c r="F375" s="91"/>
      <c r="G375" s="22"/>
      <c r="H375" s="22"/>
      <c r="I375" s="108"/>
      <c r="J375" s="22"/>
      <c r="K375" s="22"/>
      <c r="L375" s="22"/>
      <c r="M375" s="22"/>
      <c r="N375" s="22"/>
      <c r="O375" s="22"/>
      <c r="P375" s="22"/>
      <c r="Q375" s="111"/>
    </row>
    <row r="376" spans="1:17">
      <c r="A376" s="86" t="s">
        <v>567</v>
      </c>
      <c r="B376" s="87" t="s">
        <v>159</v>
      </c>
      <c r="C376" s="88">
        <v>167.18</v>
      </c>
      <c r="D376" s="89">
        <v>83.59</v>
      </c>
      <c r="E376" s="90">
        <v>96</v>
      </c>
      <c r="F376" s="91"/>
      <c r="G376" s="22"/>
      <c r="H376" s="22"/>
      <c r="I376" s="108"/>
      <c r="J376" s="22"/>
      <c r="K376" s="22"/>
      <c r="L376" s="22"/>
      <c r="M376" s="22"/>
      <c r="N376" s="22"/>
      <c r="O376" s="22"/>
      <c r="P376" s="22"/>
      <c r="Q376" s="111"/>
    </row>
    <row r="377" spans="1:17">
      <c r="A377" s="86" t="s">
        <v>568</v>
      </c>
      <c r="B377" s="87" t="s">
        <v>569</v>
      </c>
      <c r="C377" s="88">
        <v>369.51</v>
      </c>
      <c r="D377" s="89">
        <v>61.585</v>
      </c>
      <c r="E377" s="90"/>
      <c r="F377" s="91"/>
      <c r="G377" s="22"/>
      <c r="H377" s="22"/>
      <c r="I377" s="108"/>
      <c r="J377" s="22"/>
      <c r="K377" s="22"/>
      <c r="L377" s="22"/>
      <c r="M377" s="22"/>
      <c r="N377" s="22"/>
      <c r="O377" s="22"/>
      <c r="P377" s="22"/>
      <c r="Q377" s="111"/>
    </row>
    <row r="378" spans="1:17">
      <c r="A378" s="86" t="s">
        <v>570</v>
      </c>
      <c r="B378" s="87" t="s">
        <v>309</v>
      </c>
      <c r="C378" s="88">
        <v>252.12</v>
      </c>
      <c r="D378" s="89">
        <v>42.02</v>
      </c>
      <c r="E378" s="90">
        <v>48</v>
      </c>
      <c r="F378" s="91"/>
      <c r="G378" s="22"/>
      <c r="H378" s="22"/>
      <c r="I378" s="108"/>
      <c r="J378" s="22"/>
      <c r="K378" s="22"/>
      <c r="L378" s="22"/>
      <c r="M378" s="22"/>
      <c r="N378" s="22"/>
      <c r="O378" s="22"/>
      <c r="P378" s="22"/>
      <c r="Q378" s="111"/>
    </row>
    <row r="379" spans="1:17">
      <c r="A379" s="86" t="s">
        <v>571</v>
      </c>
      <c r="B379" s="87" t="s">
        <v>67</v>
      </c>
      <c r="C379" s="88">
        <v>279.36</v>
      </c>
      <c r="D379" s="89">
        <v>23.28</v>
      </c>
      <c r="E379" s="90">
        <v>28</v>
      </c>
      <c r="F379" s="91"/>
      <c r="G379" s="22"/>
      <c r="H379" s="22"/>
      <c r="I379" s="108"/>
      <c r="J379" s="22"/>
      <c r="K379" s="22"/>
      <c r="L379" s="22"/>
      <c r="M379" s="22"/>
      <c r="N379" s="22"/>
      <c r="O379" s="22"/>
      <c r="P379" s="22"/>
      <c r="Q379" s="111"/>
    </row>
    <row r="380" spans="1:17">
      <c r="A380" s="86" t="s">
        <v>572</v>
      </c>
      <c r="B380" s="87" t="s">
        <v>573</v>
      </c>
      <c r="C380" s="88">
        <v>107.46</v>
      </c>
      <c r="D380" s="89">
        <v>35.82</v>
      </c>
      <c r="E380" s="90">
        <v>42</v>
      </c>
      <c r="F380" s="91"/>
      <c r="G380" s="22"/>
      <c r="H380" s="22"/>
      <c r="I380" s="108"/>
      <c r="J380" s="22"/>
      <c r="K380" s="22"/>
      <c r="L380" s="22"/>
      <c r="M380" s="22"/>
      <c r="N380" s="22"/>
      <c r="O380" s="22"/>
      <c r="P380" s="22"/>
      <c r="Q380" s="111"/>
    </row>
    <row r="381" spans="1:17">
      <c r="A381" s="86" t="s">
        <v>574</v>
      </c>
      <c r="B381" s="87" t="s">
        <v>54</v>
      </c>
      <c r="C381" s="88">
        <v>120.51</v>
      </c>
      <c r="D381" s="89">
        <v>40.17</v>
      </c>
      <c r="E381" s="90">
        <v>47</v>
      </c>
      <c r="F381" s="91"/>
      <c r="G381" s="22"/>
      <c r="H381" s="22"/>
      <c r="I381" s="108"/>
      <c r="J381" s="22"/>
      <c r="K381" s="22"/>
      <c r="L381" s="22"/>
      <c r="M381" s="22"/>
      <c r="N381" s="22"/>
      <c r="O381" s="22"/>
      <c r="P381" s="22"/>
      <c r="Q381" s="111"/>
    </row>
    <row r="382" spans="1:17">
      <c r="A382" s="86" t="s">
        <v>575</v>
      </c>
      <c r="B382" s="87" t="s">
        <v>54</v>
      </c>
      <c r="C382" s="88">
        <v>123.45</v>
      </c>
      <c r="D382" s="89">
        <v>41.15</v>
      </c>
      <c r="E382" s="90">
        <v>48</v>
      </c>
      <c r="F382" s="91"/>
      <c r="G382" s="22"/>
      <c r="H382" s="22"/>
      <c r="I382" s="108"/>
      <c r="J382" s="22"/>
      <c r="K382" s="22"/>
      <c r="L382" s="22"/>
      <c r="M382" s="22"/>
      <c r="N382" s="22"/>
      <c r="O382" s="22"/>
      <c r="P382" s="22"/>
      <c r="Q382" s="111"/>
    </row>
    <row r="383" spans="1:17">
      <c r="A383" s="86" t="s">
        <v>576</v>
      </c>
      <c r="B383" s="87" t="s">
        <v>144</v>
      </c>
      <c r="C383" s="88">
        <v>393.76</v>
      </c>
      <c r="D383" s="89">
        <v>32.8133333333333</v>
      </c>
      <c r="E383" s="90">
        <v>40</v>
      </c>
      <c r="F383" s="91"/>
      <c r="G383" s="22"/>
      <c r="H383" s="22"/>
      <c r="I383" s="108"/>
      <c r="J383" s="22"/>
      <c r="K383" s="22"/>
      <c r="L383" s="22"/>
      <c r="M383" s="22"/>
      <c r="N383" s="22"/>
      <c r="O383" s="22"/>
      <c r="P383" s="22"/>
      <c r="Q383" s="111"/>
    </row>
    <row r="384" spans="1:17">
      <c r="A384" s="86" t="s">
        <v>577</v>
      </c>
      <c r="B384" s="87" t="s">
        <v>578</v>
      </c>
      <c r="C384" s="88">
        <v>764.4</v>
      </c>
      <c r="D384" s="89">
        <v>63.7</v>
      </c>
      <c r="E384" s="90">
        <v>70</v>
      </c>
      <c r="F384" s="91"/>
      <c r="G384" s="22"/>
      <c r="H384" s="22"/>
      <c r="I384" s="108"/>
      <c r="J384" s="22"/>
      <c r="K384" s="22"/>
      <c r="L384" s="22"/>
      <c r="M384" s="22"/>
      <c r="N384" s="22"/>
      <c r="O384" s="22"/>
      <c r="P384" s="22"/>
      <c r="Q384" s="111"/>
    </row>
    <row r="385" spans="1:17">
      <c r="A385" s="86" t="s">
        <v>579</v>
      </c>
      <c r="B385" s="87" t="s">
        <v>88</v>
      </c>
      <c r="C385" s="88">
        <v>329.6</v>
      </c>
      <c r="D385" s="89">
        <v>329.6</v>
      </c>
      <c r="E385" s="90"/>
      <c r="F385" s="91"/>
      <c r="G385" s="22"/>
      <c r="H385" s="22"/>
      <c r="I385" s="108"/>
      <c r="J385" s="22"/>
      <c r="K385" s="22"/>
      <c r="L385" s="22"/>
      <c r="M385" s="22"/>
      <c r="N385" s="22"/>
      <c r="O385" s="22"/>
      <c r="P385" s="22"/>
      <c r="Q385" s="111"/>
    </row>
    <row r="386" spans="1:17">
      <c r="A386" s="86" t="s">
        <v>580</v>
      </c>
      <c r="B386" s="87" t="s">
        <v>88</v>
      </c>
      <c r="C386" s="88">
        <v>498.6</v>
      </c>
      <c r="D386" s="89">
        <v>498.6</v>
      </c>
      <c r="E386" s="90"/>
      <c r="F386" s="91"/>
      <c r="G386" s="22"/>
      <c r="H386" s="22"/>
      <c r="I386" s="108"/>
      <c r="J386" s="22"/>
      <c r="K386" s="22"/>
      <c r="L386" s="22"/>
      <c r="M386" s="22"/>
      <c r="N386" s="22"/>
      <c r="O386" s="22"/>
      <c r="P386" s="22"/>
      <c r="Q386" s="111"/>
    </row>
    <row r="387" spans="1:17">
      <c r="A387" s="86" t="s">
        <v>581</v>
      </c>
      <c r="B387" s="87" t="s">
        <v>330</v>
      </c>
      <c r="C387" s="88">
        <v>1586</v>
      </c>
      <c r="D387" s="89">
        <v>66.0833333333333</v>
      </c>
      <c r="E387" s="90">
        <v>72</v>
      </c>
      <c r="F387" s="91"/>
      <c r="G387" s="22"/>
      <c r="H387" s="22"/>
      <c r="I387" s="108"/>
      <c r="J387" s="22"/>
      <c r="K387" s="22"/>
      <c r="L387" s="22"/>
      <c r="M387" s="22"/>
      <c r="N387" s="22"/>
      <c r="O387" s="22"/>
      <c r="P387" s="22"/>
      <c r="Q387" s="111"/>
    </row>
    <row r="388" ht="15.75" spans="1:17">
      <c r="A388" s="122" t="s">
        <v>582</v>
      </c>
      <c r="B388" s="123" t="s">
        <v>313</v>
      </c>
      <c r="C388" s="124">
        <v>831.98</v>
      </c>
      <c r="D388" s="125">
        <v>27.7326666666667</v>
      </c>
      <c r="E388" s="126">
        <v>32</v>
      </c>
      <c r="F388" s="127"/>
      <c r="G388" s="37"/>
      <c r="H388" s="37"/>
      <c r="I388" s="131"/>
      <c r="J388" s="37"/>
      <c r="K388" s="37"/>
      <c r="L388" s="37"/>
      <c r="M388" s="37"/>
      <c r="N388" s="37"/>
      <c r="O388" s="37"/>
      <c r="P388" s="37"/>
      <c r="Q388" s="132"/>
    </row>
    <row r="389" spans="1:9">
      <c r="A389" s="128"/>
      <c r="B389" s="129"/>
      <c r="C389" s="129"/>
      <c r="D389" s="130"/>
      <c r="E389" s="130"/>
      <c r="F389" s="40"/>
      <c r="G389" s="40"/>
      <c r="H389" s="40"/>
      <c r="I389" s="40"/>
    </row>
    <row r="390" spans="1:9">
      <c r="A390" s="128"/>
      <c r="B390" s="129"/>
      <c r="C390" s="129"/>
      <c r="D390" s="130"/>
      <c r="E390" s="130"/>
      <c r="F390" s="40"/>
      <c r="G390" s="40"/>
      <c r="H390" s="40"/>
      <c r="I390" s="40"/>
    </row>
    <row r="391" spans="1:9">
      <c r="A391" s="128"/>
      <c r="B391" s="129"/>
      <c r="C391" s="129"/>
      <c r="D391" s="130"/>
      <c r="E391" s="130"/>
      <c r="F391" s="40"/>
      <c r="G391" s="40"/>
      <c r="H391" s="40"/>
      <c r="I391" s="40"/>
    </row>
    <row r="392" spans="1:9">
      <c r="A392" s="128"/>
      <c r="B392" s="129"/>
      <c r="C392" s="129"/>
      <c r="D392" s="130"/>
      <c r="E392" s="130"/>
      <c r="F392" s="40"/>
      <c r="G392" s="40"/>
      <c r="H392" s="40"/>
      <c r="I392" s="40"/>
    </row>
    <row r="393" spans="1:9">
      <c r="A393" s="128"/>
      <c r="B393" s="129"/>
      <c r="C393" s="129"/>
      <c r="D393" s="130"/>
      <c r="E393" s="130"/>
      <c r="F393" s="40"/>
      <c r="G393" s="40"/>
      <c r="H393" s="40"/>
      <c r="I393" s="40"/>
    </row>
    <row r="394" spans="1:9">
      <c r="A394" s="128"/>
      <c r="B394" s="129"/>
      <c r="C394" s="129"/>
      <c r="D394" s="130"/>
      <c r="E394" s="130"/>
      <c r="F394" s="40"/>
      <c r="G394" s="40"/>
      <c r="H394" s="40"/>
      <c r="I394" s="40"/>
    </row>
    <row r="395" spans="1:9">
      <c r="A395" s="128"/>
      <c r="B395" s="129"/>
      <c r="C395" s="129"/>
      <c r="D395" s="130"/>
      <c r="E395" s="130"/>
      <c r="F395" s="40"/>
      <c r="G395" s="40"/>
      <c r="H395" s="40"/>
      <c r="I395" s="40"/>
    </row>
    <row r="396" spans="1:9">
      <c r="A396" s="128"/>
      <c r="B396" s="129"/>
      <c r="C396" s="129"/>
      <c r="D396" s="130"/>
      <c r="E396" s="130"/>
      <c r="F396" s="40"/>
      <c r="G396" s="40"/>
      <c r="H396" s="40"/>
      <c r="I396" s="40"/>
    </row>
    <row r="397" spans="1:9">
      <c r="A397" s="128"/>
      <c r="B397" s="129"/>
      <c r="C397" s="129"/>
      <c r="D397" s="130"/>
      <c r="E397" s="130"/>
      <c r="F397" s="40"/>
      <c r="G397" s="40"/>
      <c r="H397" s="40"/>
      <c r="I397" s="40"/>
    </row>
    <row r="398" spans="1:9">
      <c r="A398" s="128"/>
      <c r="B398" s="129"/>
      <c r="C398" s="129"/>
      <c r="D398" s="130"/>
      <c r="E398" s="130"/>
      <c r="F398" s="40"/>
      <c r="G398" s="40"/>
      <c r="H398" s="40"/>
      <c r="I398" s="40"/>
    </row>
    <row r="399" spans="1:9">
      <c r="A399" s="128"/>
      <c r="B399" s="129"/>
      <c r="C399" s="129"/>
      <c r="D399" s="130"/>
      <c r="E399" s="130"/>
      <c r="F399" s="40"/>
      <c r="G399" s="40"/>
      <c r="H399" s="40"/>
      <c r="I399" s="40"/>
    </row>
    <row r="400" spans="1:9">
      <c r="A400" s="128"/>
      <c r="B400" s="129"/>
      <c r="C400" s="129"/>
      <c r="D400" s="130"/>
      <c r="E400" s="130"/>
      <c r="F400" s="40"/>
      <c r="G400" s="40"/>
      <c r="H400" s="40"/>
      <c r="I400" s="40"/>
    </row>
    <row r="401" spans="1:9">
      <c r="A401" s="128"/>
      <c r="B401" s="129"/>
      <c r="C401" s="129"/>
      <c r="D401" s="130"/>
      <c r="E401" s="130"/>
      <c r="F401" s="40"/>
      <c r="G401" s="40"/>
      <c r="H401" s="40"/>
      <c r="I401" s="40"/>
    </row>
    <row r="402" spans="1:9">
      <c r="A402" s="128"/>
      <c r="B402" s="129"/>
      <c r="C402" s="129"/>
      <c r="D402" s="130"/>
      <c r="E402" s="130"/>
      <c r="F402" s="40"/>
      <c r="G402" s="40"/>
      <c r="H402" s="40"/>
      <c r="I402" s="40"/>
    </row>
    <row r="403" spans="1:9">
      <c r="A403" s="128"/>
      <c r="B403" s="129"/>
      <c r="C403" s="129"/>
      <c r="D403" s="130"/>
      <c r="E403" s="130"/>
      <c r="F403" s="40"/>
      <c r="G403" s="40"/>
      <c r="H403" s="40"/>
      <c r="I403" s="40"/>
    </row>
    <row r="404" spans="1:9">
      <c r="A404" s="128"/>
      <c r="B404" s="129"/>
      <c r="C404" s="129"/>
      <c r="D404" s="130"/>
      <c r="E404" s="130"/>
      <c r="F404" s="40"/>
      <c r="G404" s="40"/>
      <c r="H404" s="40"/>
      <c r="I404" s="40"/>
    </row>
    <row r="405" spans="1:9">
      <c r="A405" s="128"/>
      <c r="B405" s="129"/>
      <c r="C405" s="129"/>
      <c r="D405" s="130"/>
      <c r="E405" s="130"/>
      <c r="F405" s="40"/>
      <c r="G405" s="40"/>
      <c r="H405" s="40"/>
      <c r="I405" s="40"/>
    </row>
    <row r="406" spans="1:9">
      <c r="A406" s="128"/>
      <c r="B406" s="129"/>
      <c r="C406" s="129"/>
      <c r="D406" s="130"/>
      <c r="E406" s="130"/>
      <c r="F406" s="40"/>
      <c r="G406" s="40"/>
      <c r="H406" s="40"/>
      <c r="I406" s="40"/>
    </row>
    <row r="407" spans="1:9">
      <c r="A407" s="128"/>
      <c r="B407" s="129"/>
      <c r="C407" s="129"/>
      <c r="D407" s="130"/>
      <c r="E407" s="130"/>
      <c r="F407" s="40"/>
      <c r="G407" s="40"/>
      <c r="H407" s="40"/>
      <c r="I407" s="40"/>
    </row>
    <row r="408" spans="1:9">
      <c r="A408" s="128"/>
      <c r="B408" s="129"/>
      <c r="C408" s="129"/>
      <c r="D408" s="130"/>
      <c r="E408" s="130"/>
      <c r="F408" s="40"/>
      <c r="G408" s="40"/>
      <c r="H408" s="40"/>
      <c r="I408" s="40"/>
    </row>
    <row r="409" spans="1:9">
      <c r="A409" s="128"/>
      <c r="B409" s="129"/>
      <c r="C409" s="129"/>
      <c r="D409" s="130"/>
      <c r="E409" s="130"/>
      <c r="F409" s="40"/>
      <c r="G409" s="40"/>
      <c r="H409" s="40"/>
      <c r="I409" s="40"/>
    </row>
    <row r="410" spans="1:9">
      <c r="A410" s="128"/>
      <c r="B410" s="129"/>
      <c r="C410" s="129"/>
      <c r="D410" s="130"/>
      <c r="E410" s="130"/>
      <c r="F410" s="40"/>
      <c r="G410" s="40"/>
      <c r="H410" s="40"/>
      <c r="I410" s="40"/>
    </row>
    <row r="411" spans="1:9">
      <c r="A411" s="128"/>
      <c r="B411" s="129"/>
      <c r="C411" s="129"/>
      <c r="D411" s="130"/>
      <c r="E411" s="130"/>
      <c r="F411" s="40"/>
      <c r="G411" s="40"/>
      <c r="H411" s="40"/>
      <c r="I411" s="40"/>
    </row>
    <row r="412" spans="1:9">
      <c r="A412" s="128"/>
      <c r="B412" s="129"/>
      <c r="C412" s="129"/>
      <c r="D412" s="130"/>
      <c r="E412" s="130"/>
      <c r="F412" s="40"/>
      <c r="G412" s="40"/>
      <c r="H412" s="40"/>
      <c r="I412" s="40"/>
    </row>
    <row r="413" spans="1:9">
      <c r="A413" s="128"/>
      <c r="B413" s="129"/>
      <c r="C413" s="129"/>
      <c r="D413" s="130"/>
      <c r="E413" s="130"/>
      <c r="F413" s="40"/>
      <c r="G413" s="40"/>
      <c r="H413" s="40"/>
      <c r="I413" s="40"/>
    </row>
    <row r="414" spans="1:9">
      <c r="A414" s="128"/>
      <c r="B414" s="129"/>
      <c r="C414" s="129"/>
      <c r="D414" s="130"/>
      <c r="E414" s="130"/>
      <c r="F414" s="40"/>
      <c r="G414" s="40"/>
      <c r="H414" s="40"/>
      <c r="I414" s="40"/>
    </row>
    <row r="415" spans="1:9">
      <c r="A415" s="128"/>
      <c r="B415" s="129"/>
      <c r="C415" s="129"/>
      <c r="D415" s="130"/>
      <c r="E415" s="130"/>
      <c r="F415" s="40"/>
      <c r="G415" s="40"/>
      <c r="H415" s="40"/>
      <c r="I415" s="40"/>
    </row>
    <row r="416" spans="1:9">
      <c r="A416" s="128"/>
      <c r="B416" s="129"/>
      <c r="C416" s="129"/>
      <c r="D416" s="130"/>
      <c r="E416" s="130"/>
      <c r="F416" s="40"/>
      <c r="G416" s="40"/>
      <c r="H416" s="40"/>
      <c r="I416" s="40"/>
    </row>
    <row r="417" spans="1:9">
      <c r="A417" s="128"/>
      <c r="B417" s="129"/>
      <c r="C417" s="129"/>
      <c r="D417" s="130"/>
      <c r="E417" s="130"/>
      <c r="F417" s="40"/>
      <c r="G417" s="40"/>
      <c r="H417" s="40"/>
      <c r="I417" s="40"/>
    </row>
    <row r="418" spans="1:9">
      <c r="A418" s="128"/>
      <c r="B418" s="129"/>
      <c r="C418" s="129"/>
      <c r="D418" s="130"/>
      <c r="E418" s="130"/>
      <c r="F418" s="40"/>
      <c r="G418" s="40"/>
      <c r="H418" s="40"/>
      <c r="I418" s="40"/>
    </row>
    <row r="419" spans="1:9">
      <c r="A419" s="128"/>
      <c r="B419" s="129"/>
      <c r="C419" s="129"/>
      <c r="D419" s="130"/>
      <c r="E419" s="130"/>
      <c r="F419" s="40"/>
      <c r="G419" s="40"/>
      <c r="H419" s="40"/>
      <c r="I419" s="40"/>
    </row>
    <row r="420" spans="1:9">
      <c r="A420" s="128"/>
      <c r="B420" s="129"/>
      <c r="C420" s="129"/>
      <c r="D420" s="130"/>
      <c r="E420" s="130"/>
      <c r="F420" s="40"/>
      <c r="G420" s="40"/>
      <c r="H420" s="40"/>
      <c r="I420" s="40"/>
    </row>
    <row r="421" spans="1:9">
      <c r="A421" s="128"/>
      <c r="B421" s="129"/>
      <c r="C421" s="129"/>
      <c r="D421" s="130"/>
      <c r="E421" s="130"/>
      <c r="F421" s="40"/>
      <c r="G421" s="40"/>
      <c r="H421" s="40"/>
      <c r="I421" s="40"/>
    </row>
    <row r="422" spans="1:9">
      <c r="A422" s="128"/>
      <c r="B422" s="129"/>
      <c r="C422" s="129"/>
      <c r="D422" s="130"/>
      <c r="E422" s="130"/>
      <c r="F422" s="40"/>
      <c r="G422" s="40"/>
      <c r="H422" s="40"/>
      <c r="I422" s="40"/>
    </row>
    <row r="423" spans="1:9">
      <c r="A423" s="128"/>
      <c r="B423" s="129"/>
      <c r="C423" s="129"/>
      <c r="D423" s="130"/>
      <c r="E423" s="130"/>
      <c r="F423" s="40"/>
      <c r="G423" s="40"/>
      <c r="H423" s="40"/>
      <c r="I423" s="40"/>
    </row>
    <row r="424" spans="1:9">
      <c r="A424" s="128"/>
      <c r="B424" s="129"/>
      <c r="C424" s="129"/>
      <c r="D424" s="130"/>
      <c r="E424" s="130"/>
      <c r="F424" s="40"/>
      <c r="G424" s="40"/>
      <c r="H424" s="40"/>
      <c r="I424" s="40"/>
    </row>
    <row r="425" spans="1:9">
      <c r="A425" s="128"/>
      <c r="B425" s="129"/>
      <c r="C425" s="129"/>
      <c r="D425" s="130"/>
      <c r="E425" s="130"/>
      <c r="F425" s="40"/>
      <c r="G425" s="40"/>
      <c r="H425" s="40"/>
      <c r="I425" s="40"/>
    </row>
    <row r="426" spans="1:9">
      <c r="A426" s="128"/>
      <c r="B426" s="129"/>
      <c r="C426" s="129"/>
      <c r="D426" s="130"/>
      <c r="E426" s="130"/>
      <c r="F426" s="40"/>
      <c r="G426" s="40"/>
      <c r="H426" s="40"/>
      <c r="I426" s="40"/>
    </row>
    <row r="427" spans="1:9">
      <c r="A427" s="128"/>
      <c r="B427" s="129"/>
      <c r="C427" s="129"/>
      <c r="D427" s="130"/>
      <c r="E427" s="130"/>
      <c r="F427" s="40"/>
      <c r="G427" s="40"/>
      <c r="H427" s="40"/>
      <c r="I427" s="40"/>
    </row>
    <row r="428" spans="1:9">
      <c r="A428" s="128"/>
      <c r="B428" s="129"/>
      <c r="C428" s="129"/>
      <c r="D428" s="130"/>
      <c r="E428" s="130"/>
      <c r="F428" s="40"/>
      <c r="G428" s="40"/>
      <c r="H428" s="40"/>
      <c r="I428" s="40"/>
    </row>
    <row r="429" spans="1:9">
      <c r="A429" s="128"/>
      <c r="B429" s="129"/>
      <c r="C429" s="129"/>
      <c r="D429" s="130"/>
      <c r="E429" s="130"/>
      <c r="F429" s="40"/>
      <c r="G429" s="40"/>
      <c r="H429" s="40"/>
      <c r="I429" s="40"/>
    </row>
    <row r="430" spans="1:9">
      <c r="A430" s="128"/>
      <c r="B430" s="129"/>
      <c r="C430" s="129"/>
      <c r="D430" s="130"/>
      <c r="E430" s="130"/>
      <c r="F430" s="40"/>
      <c r="G430" s="40"/>
      <c r="H430" s="40"/>
      <c r="I430" s="40"/>
    </row>
    <row r="431" spans="1:9">
      <c r="A431" s="128"/>
      <c r="B431" s="129"/>
      <c r="C431" s="129"/>
      <c r="D431" s="130"/>
      <c r="E431" s="130"/>
      <c r="F431" s="40"/>
      <c r="G431" s="40"/>
      <c r="H431" s="40"/>
      <c r="I431" s="40"/>
    </row>
    <row r="432" spans="1:9">
      <c r="A432" s="128"/>
      <c r="B432" s="129"/>
      <c r="C432" s="129"/>
      <c r="D432" s="130"/>
      <c r="E432" s="130"/>
      <c r="F432" s="40"/>
      <c r="G432" s="40"/>
      <c r="H432" s="40"/>
      <c r="I432" s="40"/>
    </row>
    <row r="433" spans="1:9">
      <c r="A433" s="128"/>
      <c r="B433" s="129"/>
      <c r="C433" s="129"/>
      <c r="D433" s="130"/>
      <c r="E433" s="130"/>
      <c r="F433" s="40"/>
      <c r="G433" s="40"/>
      <c r="H433" s="40"/>
      <c r="I433" s="40"/>
    </row>
    <row r="434" spans="1:9">
      <c r="A434" s="128"/>
      <c r="B434" s="129"/>
      <c r="C434" s="129"/>
      <c r="D434" s="130"/>
      <c r="E434" s="130"/>
      <c r="F434" s="40"/>
      <c r="G434" s="40"/>
      <c r="H434" s="40"/>
      <c r="I434" s="40"/>
    </row>
    <row r="435" spans="1:9">
      <c r="A435" s="128"/>
      <c r="B435" s="129"/>
      <c r="C435" s="129"/>
      <c r="D435" s="130"/>
      <c r="E435" s="130"/>
      <c r="F435" s="40"/>
      <c r="G435" s="40"/>
      <c r="H435" s="40"/>
      <c r="I435" s="40"/>
    </row>
    <row r="436" spans="1:9">
      <c r="A436" s="128"/>
      <c r="B436" s="129"/>
      <c r="C436" s="129"/>
      <c r="D436" s="130"/>
      <c r="E436" s="130"/>
      <c r="F436" s="40"/>
      <c r="G436" s="40"/>
      <c r="H436" s="40"/>
      <c r="I436" s="40"/>
    </row>
    <row r="437" spans="1:9">
      <c r="A437" s="128"/>
      <c r="B437" s="129"/>
      <c r="C437" s="129"/>
      <c r="D437" s="130"/>
      <c r="E437" s="130"/>
      <c r="F437" s="40"/>
      <c r="G437" s="40"/>
      <c r="H437" s="40"/>
      <c r="I437" s="40"/>
    </row>
    <row r="438" spans="1:9">
      <c r="A438" s="128"/>
      <c r="B438" s="129"/>
      <c r="C438" s="129"/>
      <c r="D438" s="130"/>
      <c r="E438" s="130"/>
      <c r="F438" s="40"/>
      <c r="G438" s="40"/>
      <c r="H438" s="40"/>
      <c r="I438" s="40"/>
    </row>
    <row r="439" spans="1:9">
      <c r="A439" s="128"/>
      <c r="B439" s="129"/>
      <c r="C439" s="129"/>
      <c r="D439" s="130"/>
      <c r="E439" s="130"/>
      <c r="F439" s="40"/>
      <c r="G439" s="40"/>
      <c r="H439" s="40"/>
      <c r="I439" s="40"/>
    </row>
    <row r="440" spans="1:9">
      <c r="A440" s="128"/>
      <c r="B440" s="129"/>
      <c r="C440" s="129"/>
      <c r="D440" s="130"/>
      <c r="E440" s="130"/>
      <c r="F440" s="40"/>
      <c r="G440" s="40"/>
      <c r="H440" s="40"/>
      <c r="I440" s="40"/>
    </row>
    <row r="441" spans="4:9">
      <c r="D441" s="64"/>
      <c r="E441" s="64"/>
      <c r="F441" s="40"/>
      <c r="G441" s="40"/>
      <c r="H441" s="40"/>
      <c r="I441" s="40"/>
    </row>
    <row r="442" spans="4:9">
      <c r="D442" s="64"/>
      <c r="E442" s="64"/>
      <c r="F442" s="40"/>
      <c r="G442" s="40"/>
      <c r="H442" s="40"/>
      <c r="I442" s="40"/>
    </row>
    <row r="443" spans="4:9">
      <c r="D443" s="64"/>
      <c r="E443" s="64"/>
      <c r="F443" s="40"/>
      <c r="G443" s="40"/>
      <c r="H443" s="40"/>
      <c r="I443" s="40"/>
    </row>
    <row r="444" spans="4:9">
      <c r="D444" s="64"/>
      <c r="E444" s="64"/>
      <c r="F444" s="40"/>
      <c r="G444" s="40"/>
      <c r="H444" s="40"/>
      <c r="I444" s="40"/>
    </row>
    <row r="445" spans="4:9">
      <c r="D445" s="64"/>
      <c r="E445" s="64"/>
      <c r="F445" s="40"/>
      <c r="G445" s="40"/>
      <c r="H445" s="40"/>
      <c r="I445" s="40"/>
    </row>
    <row r="446" spans="4:9">
      <c r="D446" s="64"/>
      <c r="E446" s="64"/>
      <c r="F446" s="40"/>
      <c r="G446" s="40"/>
      <c r="H446" s="40"/>
      <c r="I446" s="40"/>
    </row>
    <row r="447" spans="4:9">
      <c r="D447" s="64"/>
      <c r="E447" s="64"/>
      <c r="F447" s="40"/>
      <c r="G447" s="40"/>
      <c r="H447" s="40"/>
      <c r="I447" s="40"/>
    </row>
    <row r="448" spans="4:9">
      <c r="D448" s="64"/>
      <c r="E448" s="64"/>
      <c r="F448" s="40"/>
      <c r="G448" s="40"/>
      <c r="H448" s="40"/>
      <c r="I448" s="40"/>
    </row>
    <row r="449" spans="4:9">
      <c r="D449" s="64"/>
      <c r="E449" s="64"/>
      <c r="F449" s="40"/>
      <c r="G449" s="40"/>
      <c r="H449" s="40"/>
      <c r="I449" s="40"/>
    </row>
    <row r="450" spans="4:9">
      <c r="D450" s="64"/>
      <c r="E450" s="64"/>
      <c r="F450" s="40"/>
      <c r="G450" s="40"/>
      <c r="H450" s="40"/>
      <c r="I450" s="40"/>
    </row>
    <row r="451" spans="4:9">
      <c r="D451" s="64"/>
      <c r="E451" s="64"/>
      <c r="F451" s="40"/>
      <c r="G451" s="40"/>
      <c r="H451" s="40"/>
      <c r="I451" s="40"/>
    </row>
    <row r="452" spans="4:9">
      <c r="D452" s="64"/>
      <c r="E452" s="64"/>
      <c r="F452" s="40"/>
      <c r="G452" s="40"/>
      <c r="H452" s="40"/>
      <c r="I452" s="40"/>
    </row>
    <row r="453" spans="4:9">
      <c r="D453" s="64"/>
      <c r="E453" s="64"/>
      <c r="F453" s="40"/>
      <c r="G453" s="40"/>
      <c r="H453" s="40"/>
      <c r="I453" s="40"/>
    </row>
    <row r="454" spans="4:9">
      <c r="D454" s="64"/>
      <c r="E454" s="64"/>
      <c r="F454" s="40"/>
      <c r="G454" s="40"/>
      <c r="H454" s="40"/>
      <c r="I454" s="40"/>
    </row>
    <row r="455" spans="4:9">
      <c r="D455" s="64"/>
      <c r="E455" s="64"/>
      <c r="F455" s="40"/>
      <c r="G455" s="40"/>
      <c r="H455" s="40"/>
      <c r="I455" s="40"/>
    </row>
    <row r="456" spans="4:9">
      <c r="D456" s="64"/>
      <c r="E456" s="64"/>
      <c r="F456" s="40"/>
      <c r="G456" s="40"/>
      <c r="H456" s="40"/>
      <c r="I456" s="40"/>
    </row>
    <row r="457" spans="4:9">
      <c r="D457" s="64"/>
      <c r="E457" s="64"/>
      <c r="F457" s="40"/>
      <c r="G457" s="40"/>
      <c r="H457" s="40"/>
      <c r="I457" s="40"/>
    </row>
    <row r="458" spans="4:9">
      <c r="D458" s="64"/>
      <c r="E458" s="64"/>
      <c r="F458" s="40"/>
      <c r="G458" s="40"/>
      <c r="H458" s="40"/>
      <c r="I458" s="40"/>
    </row>
    <row r="459" spans="4:9">
      <c r="D459" s="64"/>
      <c r="E459" s="64"/>
      <c r="F459" s="40"/>
      <c r="G459" s="40"/>
      <c r="H459" s="40"/>
      <c r="I459" s="40"/>
    </row>
    <row r="460" spans="4:9">
      <c r="D460" s="64"/>
      <c r="E460" s="64"/>
      <c r="F460" s="40"/>
      <c r="G460" s="40"/>
      <c r="H460" s="40"/>
      <c r="I460" s="40"/>
    </row>
    <row r="461" spans="4:9">
      <c r="D461" s="64"/>
      <c r="E461" s="64"/>
      <c r="F461" s="40"/>
      <c r="G461" s="40"/>
      <c r="H461" s="40"/>
      <c r="I461" s="40"/>
    </row>
    <row r="462" spans="4:9">
      <c r="D462" s="64"/>
      <c r="E462" s="64"/>
      <c r="F462" s="40"/>
      <c r="G462" s="40"/>
      <c r="H462" s="40"/>
      <c r="I462" s="40"/>
    </row>
    <row r="463" spans="4:9">
      <c r="D463" s="64"/>
      <c r="E463" s="64"/>
      <c r="F463" s="40"/>
      <c r="G463" s="40"/>
      <c r="H463" s="40"/>
      <c r="I463" s="40"/>
    </row>
    <row r="464" spans="4:9">
      <c r="D464" s="64"/>
      <c r="E464" s="64"/>
      <c r="F464" s="40"/>
      <c r="G464" s="40"/>
      <c r="H464" s="40"/>
      <c r="I464" s="40"/>
    </row>
    <row r="465" spans="4:9">
      <c r="D465" s="64"/>
      <c r="E465" s="64"/>
      <c r="F465" s="40"/>
      <c r="G465" s="40"/>
      <c r="H465" s="40"/>
      <c r="I465" s="40"/>
    </row>
    <row r="466" spans="4:9">
      <c r="D466" s="64"/>
      <c r="E466" s="64"/>
      <c r="F466" s="40"/>
      <c r="G466" s="40"/>
      <c r="H466" s="40"/>
      <c r="I466" s="40"/>
    </row>
    <row r="467" spans="4:9">
      <c r="D467" s="64"/>
      <c r="E467" s="64"/>
      <c r="F467" s="40"/>
      <c r="G467" s="40"/>
      <c r="H467" s="40"/>
      <c r="I467" s="40"/>
    </row>
    <row r="468" spans="4:9">
      <c r="D468" s="64"/>
      <c r="E468" s="64"/>
      <c r="F468" s="40"/>
      <c r="G468" s="40"/>
      <c r="H468" s="40"/>
      <c r="I468" s="40"/>
    </row>
    <row r="469" spans="4:9">
      <c r="D469" s="64"/>
      <c r="E469" s="64"/>
      <c r="F469" s="40"/>
      <c r="G469" s="40"/>
      <c r="H469" s="40"/>
      <c r="I469" s="40"/>
    </row>
    <row r="470" spans="4:9">
      <c r="D470" s="64"/>
      <c r="E470" s="64"/>
      <c r="F470" s="40"/>
      <c r="G470" s="40"/>
      <c r="H470" s="40"/>
      <c r="I470" s="40"/>
    </row>
    <row r="471" spans="4:9">
      <c r="D471" s="64"/>
      <c r="E471" s="64"/>
      <c r="F471" s="40"/>
      <c r="G471" s="40"/>
      <c r="H471" s="40"/>
      <c r="I471" s="40"/>
    </row>
    <row r="472" spans="4:9">
      <c r="D472" s="64"/>
      <c r="E472" s="64"/>
      <c r="F472" s="40"/>
      <c r="G472" s="40"/>
      <c r="H472" s="40"/>
      <c r="I472" s="40"/>
    </row>
    <row r="473" spans="4:9">
      <c r="D473" s="64"/>
      <c r="E473" s="64"/>
      <c r="F473" s="40"/>
      <c r="G473" s="40"/>
      <c r="H473" s="40"/>
      <c r="I473" s="40"/>
    </row>
    <row r="474" spans="4:9">
      <c r="D474" s="64"/>
      <c r="E474" s="64"/>
      <c r="F474" s="40"/>
      <c r="G474" s="40"/>
      <c r="H474" s="40"/>
      <c r="I474" s="40"/>
    </row>
    <row r="475" spans="4:9">
      <c r="D475" s="64"/>
      <c r="E475" s="64"/>
      <c r="F475" s="40"/>
      <c r="G475" s="40"/>
      <c r="H475" s="40"/>
      <c r="I475" s="40"/>
    </row>
    <row r="476" spans="4:9">
      <c r="D476" s="64"/>
      <c r="E476" s="64"/>
      <c r="F476" s="40"/>
      <c r="G476" s="40"/>
      <c r="H476" s="40"/>
      <c r="I476" s="40"/>
    </row>
    <row r="477" spans="4:9">
      <c r="D477" s="64"/>
      <c r="E477" s="64"/>
      <c r="F477" s="40"/>
      <c r="G477" s="40"/>
      <c r="H477" s="40"/>
      <c r="I477" s="40"/>
    </row>
    <row r="478" spans="4:9">
      <c r="D478" s="64"/>
      <c r="E478" s="64"/>
      <c r="F478" s="40"/>
      <c r="G478" s="40"/>
      <c r="H478" s="40"/>
      <c r="I478" s="40"/>
    </row>
    <row r="479" spans="4:9">
      <c r="D479" s="64"/>
      <c r="E479" s="64"/>
      <c r="F479" s="40"/>
      <c r="G479" s="40"/>
      <c r="H479" s="40"/>
      <c r="I479" s="40"/>
    </row>
    <row r="480" spans="4:9">
      <c r="D480" s="64"/>
      <c r="E480" s="64"/>
      <c r="F480" s="40"/>
      <c r="G480" s="40"/>
      <c r="H480" s="40"/>
      <c r="I480" s="40"/>
    </row>
    <row r="481" spans="4:9">
      <c r="D481" s="64"/>
      <c r="E481" s="64"/>
      <c r="F481" s="40"/>
      <c r="G481" s="40"/>
      <c r="H481" s="40"/>
      <c r="I481" s="40"/>
    </row>
    <row r="482" spans="4:9">
      <c r="D482" s="64"/>
      <c r="E482" s="64"/>
      <c r="F482" s="40"/>
      <c r="G482" s="40"/>
      <c r="H482" s="40"/>
      <c r="I482" s="40"/>
    </row>
    <row r="483" spans="4:9">
      <c r="D483" s="64"/>
      <c r="E483" s="64"/>
      <c r="F483" s="40"/>
      <c r="G483" s="40"/>
      <c r="H483" s="40"/>
      <c r="I483" s="40"/>
    </row>
    <row r="484" spans="4:9">
      <c r="D484" s="64"/>
      <c r="E484" s="64"/>
      <c r="F484" s="40"/>
      <c r="G484" s="40"/>
      <c r="H484" s="40"/>
      <c r="I484" s="40"/>
    </row>
    <row r="485" spans="4:9">
      <c r="D485" s="64"/>
      <c r="E485" s="64"/>
      <c r="F485" s="40"/>
      <c r="G485" s="40"/>
      <c r="H485" s="40"/>
      <c r="I485" s="40"/>
    </row>
    <row r="486" spans="4:9">
      <c r="D486" s="64"/>
      <c r="E486" s="64"/>
      <c r="F486" s="40"/>
      <c r="G486" s="40"/>
      <c r="H486" s="40"/>
      <c r="I486" s="40"/>
    </row>
    <row r="487" spans="4:9">
      <c r="D487" s="64"/>
      <c r="E487" s="64"/>
      <c r="F487" s="40"/>
      <c r="G487" s="40"/>
      <c r="H487" s="40"/>
      <c r="I487" s="40"/>
    </row>
    <row r="488" spans="4:9">
      <c r="D488" s="64"/>
      <c r="E488" s="64"/>
      <c r="F488" s="40"/>
      <c r="G488" s="40"/>
      <c r="H488" s="40"/>
      <c r="I488" s="40"/>
    </row>
    <row r="489" spans="4:9">
      <c r="D489" s="64"/>
      <c r="E489" s="64"/>
      <c r="F489" s="40"/>
      <c r="G489" s="40"/>
      <c r="H489" s="40"/>
      <c r="I489" s="40"/>
    </row>
    <row r="490" spans="4:9">
      <c r="D490" s="64"/>
      <c r="E490" s="64"/>
      <c r="F490" s="40"/>
      <c r="G490" s="40"/>
      <c r="H490" s="40"/>
      <c r="I490" s="40"/>
    </row>
    <row r="491" spans="4:9">
      <c r="D491" s="64"/>
      <c r="E491" s="64"/>
      <c r="F491" s="40"/>
      <c r="G491" s="40"/>
      <c r="H491" s="40"/>
      <c r="I491" s="40"/>
    </row>
    <row r="492" spans="4:9">
      <c r="D492" s="64"/>
      <c r="E492" s="64"/>
      <c r="F492" s="40"/>
      <c r="G492" s="40"/>
      <c r="H492" s="40"/>
      <c r="I492" s="40"/>
    </row>
    <row r="493" spans="4:9">
      <c r="D493" s="64"/>
      <c r="E493" s="64"/>
      <c r="F493" s="40"/>
      <c r="G493" s="40"/>
      <c r="H493" s="40"/>
      <c r="I493" s="40"/>
    </row>
    <row r="494" spans="4:9">
      <c r="D494" s="64"/>
      <c r="E494" s="64"/>
      <c r="F494" s="40"/>
      <c r="G494" s="40"/>
      <c r="H494" s="40"/>
      <c r="I494" s="40"/>
    </row>
    <row r="495" spans="4:9">
      <c r="D495" s="64"/>
      <c r="E495" s="64"/>
      <c r="F495" s="40"/>
      <c r="G495" s="40"/>
      <c r="H495" s="40"/>
      <c r="I495" s="40"/>
    </row>
    <row r="496" spans="4:9">
      <c r="D496" s="64"/>
      <c r="E496" s="64"/>
      <c r="F496" s="40"/>
      <c r="G496" s="40"/>
      <c r="H496" s="40"/>
      <c r="I496" s="40"/>
    </row>
    <row r="497" spans="4:9">
      <c r="D497" s="64"/>
      <c r="E497" s="64"/>
      <c r="F497" s="40"/>
      <c r="G497" s="40"/>
      <c r="H497" s="40"/>
      <c r="I497" s="40"/>
    </row>
    <row r="498" spans="4:9">
      <c r="D498" s="64"/>
      <c r="E498" s="64"/>
      <c r="F498" s="40"/>
      <c r="G498" s="40"/>
      <c r="H498" s="40"/>
      <c r="I498" s="40"/>
    </row>
    <row r="499" spans="4:9">
      <c r="D499" s="64"/>
      <c r="E499" s="64"/>
      <c r="F499" s="40"/>
      <c r="G499" s="40"/>
      <c r="H499" s="40"/>
      <c r="I499" s="40"/>
    </row>
    <row r="500" spans="4:9">
      <c r="D500" s="64"/>
      <c r="E500" s="64"/>
      <c r="F500" s="40"/>
      <c r="G500" s="40"/>
      <c r="H500" s="40"/>
      <c r="I500" s="40"/>
    </row>
    <row r="501" spans="4:9">
      <c r="D501" s="64"/>
      <c r="E501" s="64"/>
      <c r="F501" s="40"/>
      <c r="G501" s="40"/>
      <c r="H501" s="40"/>
      <c r="I501" s="40"/>
    </row>
    <row r="502" spans="4:9">
      <c r="D502" s="64"/>
      <c r="E502" s="64"/>
      <c r="F502" s="40"/>
      <c r="G502" s="40"/>
      <c r="H502" s="40"/>
      <c r="I502" s="40"/>
    </row>
    <row r="503" spans="4:9">
      <c r="D503" s="64"/>
      <c r="E503" s="64"/>
      <c r="F503" s="40"/>
      <c r="G503" s="40"/>
      <c r="H503" s="40"/>
      <c r="I503" s="40"/>
    </row>
    <row r="504" spans="4:9">
      <c r="D504" s="64"/>
      <c r="E504" s="64"/>
      <c r="F504" s="40"/>
      <c r="G504" s="40"/>
      <c r="H504" s="40"/>
      <c r="I504" s="40"/>
    </row>
    <row r="505" spans="4:9">
      <c r="D505" s="64"/>
      <c r="E505" s="64"/>
      <c r="F505" s="40"/>
      <c r="G505" s="40"/>
      <c r="H505" s="40"/>
      <c r="I505" s="40"/>
    </row>
    <row r="506" spans="4:9">
      <c r="D506" s="64"/>
      <c r="E506" s="64"/>
      <c r="F506" s="40"/>
      <c r="G506" s="40"/>
      <c r="H506" s="40"/>
      <c r="I506" s="40"/>
    </row>
    <row r="507" spans="4:9">
      <c r="D507" s="64"/>
      <c r="E507" s="64"/>
      <c r="F507" s="40"/>
      <c r="G507" s="40"/>
      <c r="H507" s="40"/>
      <c r="I507" s="40"/>
    </row>
    <row r="508" spans="4:9">
      <c r="D508" s="64"/>
      <c r="E508" s="64"/>
      <c r="F508" s="40"/>
      <c r="G508" s="40"/>
      <c r="H508" s="40"/>
      <c r="I508" s="40"/>
    </row>
    <row r="509" spans="4:9">
      <c r="D509" s="64"/>
      <c r="E509" s="64"/>
      <c r="F509" s="40"/>
      <c r="G509" s="40"/>
      <c r="H509" s="40"/>
      <c r="I509" s="40"/>
    </row>
    <row r="510" spans="4:9">
      <c r="D510" s="64"/>
      <c r="E510" s="64"/>
      <c r="F510" s="40"/>
      <c r="G510" s="40"/>
      <c r="H510" s="40"/>
      <c r="I510" s="40"/>
    </row>
    <row r="511" spans="4:9">
      <c r="D511" s="64"/>
      <c r="E511" s="64"/>
      <c r="F511" s="40"/>
      <c r="G511" s="40"/>
      <c r="H511" s="40"/>
      <c r="I511" s="40"/>
    </row>
    <row r="512" spans="4:9">
      <c r="D512" s="64"/>
      <c r="E512" s="64"/>
      <c r="F512" s="40"/>
      <c r="G512" s="40"/>
      <c r="H512" s="40"/>
      <c r="I512" s="40"/>
    </row>
    <row r="513" spans="4:9">
      <c r="D513" s="64"/>
      <c r="E513" s="64"/>
      <c r="F513" s="40"/>
      <c r="G513" s="40"/>
      <c r="H513" s="40"/>
      <c r="I513" s="40"/>
    </row>
    <row r="514" spans="4:9">
      <c r="D514" s="64"/>
      <c r="E514" s="64"/>
      <c r="F514" s="40"/>
      <c r="G514" s="40"/>
      <c r="H514" s="40"/>
      <c r="I514" s="40"/>
    </row>
    <row r="515" spans="4:9">
      <c r="D515" s="64"/>
      <c r="E515" s="64"/>
      <c r="F515" s="40"/>
      <c r="G515" s="40"/>
      <c r="H515" s="40"/>
      <c r="I515" s="40"/>
    </row>
  </sheetData>
  <mergeCells count="5">
    <mergeCell ref="A1:Q1"/>
    <mergeCell ref="F2:Q2"/>
    <mergeCell ref="A2:A3"/>
    <mergeCell ref="D2:D3"/>
    <mergeCell ref="E2:E3"/>
  </mergeCells>
  <pageMargins left="0.86875" right="0.11875" top="0.829861111111111" bottom="0.309027777777778" header="0.509027777777778" footer="0.279166666666667"/>
  <pageSetup paperSize="14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HALE 052618 GENERIC</vt:lpstr>
      <vt:lpstr>JOHN JERIC CORP 052618 MILK ETC</vt:lpstr>
      <vt:lpstr>NORVIC </vt:lpstr>
      <vt:lpstr>06022018 HALE R8 JJ</vt:lpstr>
      <vt:lpstr>NORVIC 06022018</vt:lpstr>
      <vt:lpstr>JOHN JERIC 06092018</vt:lpstr>
      <vt:lpstr>NORVIC 06092018</vt:lpstr>
      <vt:lpstr>Sheet1</vt:lpstr>
      <vt:lpstr>FOR NORVIC INVENTORY</vt:lpstr>
      <vt:lpstr>FOR JJ INVENTORY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SEPCPC 001</dc:creator>
  <cp:lastModifiedBy>SEPCPC 001</cp:lastModifiedBy>
  <dcterms:created xsi:type="dcterms:W3CDTF">2018-06-01T01:19:00Z</dcterms:created>
  <dcterms:modified xsi:type="dcterms:W3CDTF">2018-07-18T05:05:08Z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