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x18768/Documents/MA/graphbrain-semsim/data/datasets/"/>
    </mc:Choice>
  </mc:AlternateContent>
  <xr:revisionPtr revIDLastSave="0" documentId="13_ncr:1_{E3254FFA-4E51-6C41-8978-CB76C4555580}" xr6:coauthVersionLast="47" xr6:coauthVersionMax="47" xr10:uidLastSave="{00000000-0000-0000-0000-000000000000}"/>
  <bookViews>
    <workbookView xWindow="0" yWindow="500" windowWidth="28800" windowHeight="16300" xr2:uid="{00000000-000D-0000-FFFF-FFFF00000000}"/>
  </bookViews>
  <sheets>
    <sheet name="Dataset" sheetId="1" r:id="rId1"/>
    <sheet name="Camille" sheetId="2" r:id="rId2"/>
    <sheet name="Telmo" sheetId="3" r:id="rId3"/>
    <sheet name="Max"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04" i="1" l="1"/>
  <c r="I2004" i="1" a="1"/>
  <c r="I2004" i="1" s="1"/>
  <c r="H2004" i="1" a="1"/>
  <c r="H2004" i="1" s="1"/>
  <c r="G2004" i="1" a="1"/>
  <c r="G2004" i="1" s="1"/>
  <c r="I2003" i="1" a="1"/>
  <c r="I2003" i="1" s="1"/>
  <c r="H2003" i="1" a="1"/>
  <c r="H2003" i="1" s="1"/>
  <c r="G2003" i="1" a="1"/>
  <c r="G2003" i="1" s="1"/>
  <c r="D2003" i="1" s="1"/>
  <c r="I2002" i="1" a="1"/>
  <c r="I2002" i="1" s="1"/>
  <c r="H2002" i="1" a="1"/>
  <c r="H2002" i="1"/>
  <c r="G2002" i="1" a="1"/>
  <c r="G2002" i="1"/>
  <c r="I2001" i="1" a="1"/>
  <c r="I2001" i="1"/>
  <c r="H2001" i="1" a="1"/>
  <c r="H2001" i="1" s="1"/>
  <c r="G2001" i="1" a="1"/>
  <c r="G2001" i="1" s="1"/>
  <c r="I2000" i="1" a="1"/>
  <c r="I2000" i="1"/>
  <c r="H2000" i="1" a="1"/>
  <c r="H2000" i="1" s="1"/>
  <c r="G2000" i="1" a="1"/>
  <c r="G2000" i="1"/>
  <c r="I1999" i="1" a="1"/>
  <c r="I1999" i="1" s="1"/>
  <c r="H1999" i="1" a="1"/>
  <c r="H1999" i="1"/>
  <c r="G1999" i="1" a="1"/>
  <c r="G1999" i="1" s="1"/>
  <c r="D1999" i="1" s="1"/>
  <c r="I1998" i="1" a="1"/>
  <c r="I1998" i="1"/>
  <c r="H1998" i="1" a="1"/>
  <c r="H1998" i="1"/>
  <c r="G1998" i="1" a="1"/>
  <c r="G1998" i="1" s="1"/>
  <c r="D1998" i="1" s="1"/>
  <c r="I1997" i="1" a="1"/>
  <c r="I1997" i="1" s="1"/>
  <c r="H1997" i="1" a="1"/>
  <c r="H1997" i="1" s="1"/>
  <c r="G1997" i="1" a="1"/>
  <c r="G1997" i="1"/>
  <c r="I1996" i="1" a="1"/>
  <c r="I1996" i="1"/>
  <c r="D1996" i="1" s="1"/>
  <c r="H1996" i="1" a="1"/>
  <c r="H1996" i="1"/>
  <c r="G1996" i="1" a="1"/>
  <c r="G1996" i="1"/>
  <c r="I1995" i="1" a="1"/>
  <c r="I1995" i="1" s="1"/>
  <c r="H1995" i="1" a="1"/>
  <c r="H1995" i="1" s="1"/>
  <c r="G1995" i="1" a="1"/>
  <c r="G1995" i="1" s="1"/>
  <c r="I1994" i="1" a="1"/>
  <c r="I1994" i="1" s="1"/>
  <c r="H1994" i="1" a="1"/>
  <c r="H1994" i="1"/>
  <c r="G1994" i="1" a="1"/>
  <c r="G1994" i="1"/>
  <c r="I1993" i="1" a="1"/>
  <c r="I1993" i="1"/>
  <c r="H1993" i="1" a="1"/>
  <c r="H1993" i="1" s="1"/>
  <c r="G1993" i="1" a="1"/>
  <c r="G1993" i="1" s="1"/>
  <c r="D1993" i="1" s="1"/>
  <c r="I1992" i="1" a="1"/>
  <c r="I1992" i="1"/>
  <c r="H1992" i="1" a="1"/>
  <c r="H1992" i="1" s="1"/>
  <c r="G1992" i="1" a="1"/>
  <c r="G1992" i="1"/>
  <c r="D1992" i="1" s="1"/>
  <c r="I1991" i="1" a="1"/>
  <c r="I1991" i="1" s="1"/>
  <c r="H1991" i="1" a="1"/>
  <c r="H1991" i="1"/>
  <c r="G1991" i="1" a="1"/>
  <c r="G1991" i="1" s="1"/>
  <c r="D1991" i="1" s="1"/>
  <c r="I1990" i="1" a="1"/>
  <c r="I1990" i="1"/>
  <c r="H1990" i="1" a="1"/>
  <c r="H1990" i="1"/>
  <c r="G1990" i="1" a="1"/>
  <c r="G1990" i="1" s="1"/>
  <c r="D1990" i="1" s="1"/>
  <c r="I1989" i="1" a="1"/>
  <c r="I1989" i="1" s="1"/>
  <c r="H1989" i="1" a="1"/>
  <c r="H1989" i="1" s="1"/>
  <c r="G1989" i="1" a="1"/>
  <c r="G1989" i="1"/>
  <c r="D1989" i="1" s="1"/>
  <c r="I1988" i="1" a="1"/>
  <c r="I1988" i="1"/>
  <c r="D1988" i="1" s="1"/>
  <c r="H1988" i="1" a="1"/>
  <c r="H1988" i="1"/>
  <c r="G1988" i="1" a="1"/>
  <c r="G1988" i="1"/>
  <c r="I1987" i="1" a="1"/>
  <c r="I1987" i="1"/>
  <c r="H1987" i="1" a="1"/>
  <c r="H1987" i="1" s="1"/>
  <c r="G1987" i="1" a="1"/>
  <c r="G1987" i="1" s="1"/>
  <c r="I1986" i="1" a="1"/>
  <c r="I1986" i="1" s="1"/>
  <c r="H1986" i="1" a="1"/>
  <c r="H1986" i="1"/>
  <c r="G1986" i="1" a="1"/>
  <c r="G1986" i="1"/>
  <c r="I1985" i="1" a="1"/>
  <c r="I1985" i="1"/>
  <c r="H1985" i="1" a="1"/>
  <c r="H1985" i="1"/>
  <c r="G1985" i="1" a="1"/>
  <c r="G1985" i="1" s="1"/>
  <c r="D1985" i="1" s="1"/>
  <c r="I1984" i="1" a="1"/>
  <c r="I1984" i="1"/>
  <c r="H1984" i="1" a="1"/>
  <c r="H1984" i="1" s="1"/>
  <c r="G1984" i="1" a="1"/>
  <c r="G1984" i="1"/>
  <c r="I1983" i="1" a="1"/>
  <c r="I1983" i="1" s="1"/>
  <c r="D1983" i="1" s="1"/>
  <c r="H1983" i="1" a="1"/>
  <c r="H1983" i="1"/>
  <c r="G1983" i="1" a="1"/>
  <c r="G1983" i="1"/>
  <c r="I1982" i="1" a="1"/>
  <c r="I1982" i="1"/>
  <c r="H1982" i="1" a="1"/>
  <c r="H1982" i="1"/>
  <c r="G1982" i="1" a="1"/>
  <c r="G1982" i="1" s="1"/>
  <c r="D1982" i="1" s="1"/>
  <c r="I1981" i="1" a="1"/>
  <c r="I1981" i="1" s="1"/>
  <c r="H1981" i="1" a="1"/>
  <c r="H1981" i="1" s="1"/>
  <c r="G1981" i="1" a="1"/>
  <c r="G1981" i="1"/>
  <c r="D1981" i="1" s="1"/>
  <c r="I1980" i="1" a="1"/>
  <c r="I1980" i="1"/>
  <c r="D1980" i="1" s="1"/>
  <c r="H1980" i="1" a="1"/>
  <c r="H1980" i="1"/>
  <c r="G1980" i="1" a="1"/>
  <c r="G1980" i="1"/>
  <c r="I1979" i="1" a="1"/>
  <c r="I1979" i="1" s="1"/>
  <c r="H1979" i="1" a="1"/>
  <c r="H1979" i="1" s="1"/>
  <c r="G1979" i="1" a="1"/>
  <c r="G1979" i="1" s="1"/>
  <c r="D1979" i="1" s="1"/>
  <c r="I1978" i="1" a="1"/>
  <c r="I1978" i="1" s="1"/>
  <c r="H1978" i="1" a="1"/>
  <c r="H1978" i="1"/>
  <c r="G1978" i="1" a="1"/>
  <c r="G1978" i="1"/>
  <c r="I1977" i="1" a="1"/>
  <c r="I1977" i="1" s="1"/>
  <c r="H1977" i="1" a="1"/>
  <c r="H1977" i="1" s="1"/>
  <c r="G1977" i="1" a="1"/>
  <c r="G1977" i="1" s="1"/>
  <c r="D1977" i="1" s="1"/>
  <c r="I1976" i="1" a="1"/>
  <c r="I1976" i="1"/>
  <c r="H1976" i="1" a="1"/>
  <c r="H1976" i="1" s="1"/>
  <c r="G1976" i="1" a="1"/>
  <c r="G1976" i="1"/>
  <c r="I1975" i="1" a="1"/>
  <c r="I1975" i="1" s="1"/>
  <c r="H1975" i="1" a="1"/>
  <c r="H1975" i="1" s="1"/>
  <c r="G1975" i="1" a="1"/>
  <c r="G1975" i="1" s="1"/>
  <c r="D1975" i="1" s="1"/>
  <c r="I1974" i="1" a="1"/>
  <c r="I1974" i="1"/>
  <c r="H1974" i="1" a="1"/>
  <c r="H1974" i="1"/>
  <c r="G1974" i="1" a="1"/>
  <c r="G1974" i="1" s="1"/>
  <c r="D1974" i="1" s="1"/>
  <c r="I1973" i="1" a="1"/>
  <c r="I1973" i="1" s="1"/>
  <c r="H1973" i="1" a="1"/>
  <c r="H1973" i="1" s="1"/>
  <c r="G1973" i="1" a="1"/>
  <c r="G1973" i="1" s="1"/>
  <c r="D1973" i="1" s="1"/>
  <c r="I1972" i="1" a="1"/>
  <c r="I1972" i="1"/>
  <c r="H1972" i="1" a="1"/>
  <c r="H1972" i="1"/>
  <c r="G1972" i="1" a="1"/>
  <c r="G1972" i="1"/>
  <c r="D1972" i="1" s="1"/>
  <c r="I1971" i="1" a="1"/>
  <c r="I1971" i="1"/>
  <c r="H1971" i="1" a="1"/>
  <c r="H1971" i="1" s="1"/>
  <c r="G1971" i="1" a="1"/>
  <c r="G1971" i="1" s="1"/>
  <c r="I1970" i="1" a="1"/>
  <c r="I1970" i="1" s="1"/>
  <c r="H1970" i="1" a="1"/>
  <c r="H1970" i="1"/>
  <c r="G1970" i="1" a="1"/>
  <c r="G1970" i="1"/>
  <c r="I1969" i="1" a="1"/>
  <c r="I1969" i="1" s="1"/>
  <c r="H1969" i="1" a="1"/>
  <c r="H1969" i="1"/>
  <c r="G1969" i="1" a="1"/>
  <c r="G1969" i="1" s="1"/>
  <c r="D1969" i="1" s="1"/>
  <c r="I1968" i="1" a="1"/>
  <c r="I1968" i="1"/>
  <c r="H1968" i="1" a="1"/>
  <c r="H1968" i="1" s="1"/>
  <c r="G1968" i="1" a="1"/>
  <c r="G1968" i="1"/>
  <c r="D1968" i="1" s="1"/>
  <c r="I1967" i="1" a="1"/>
  <c r="I1967" i="1" s="1"/>
  <c r="H1967" i="1" a="1"/>
  <c r="H1967" i="1" s="1"/>
  <c r="G1967" i="1" a="1"/>
  <c r="G1967" i="1"/>
  <c r="I1966" i="1" a="1"/>
  <c r="I1966" i="1"/>
  <c r="H1966" i="1" a="1"/>
  <c r="H1966" i="1"/>
  <c r="G1966" i="1" a="1"/>
  <c r="G1966" i="1" s="1"/>
  <c r="D1966" i="1" s="1"/>
  <c r="I1965" i="1" a="1"/>
  <c r="I1965" i="1" s="1"/>
  <c r="H1965" i="1" a="1"/>
  <c r="H1965" i="1" s="1"/>
  <c r="G1965" i="1" a="1"/>
  <c r="G1965" i="1" s="1"/>
  <c r="I1964" i="1" a="1"/>
  <c r="I1964" i="1"/>
  <c r="H1964" i="1" a="1"/>
  <c r="H1964" i="1"/>
  <c r="G1964" i="1" a="1"/>
  <c r="G1964" i="1"/>
  <c r="D1964" i="1" s="1"/>
  <c r="I1963" i="1" a="1"/>
  <c r="I1963" i="1"/>
  <c r="H1963" i="1" a="1"/>
  <c r="H1963" i="1" s="1"/>
  <c r="G1963" i="1" a="1"/>
  <c r="G1963" i="1" s="1"/>
  <c r="I1962" i="1" a="1"/>
  <c r="I1962" i="1" s="1"/>
  <c r="H1962" i="1" a="1"/>
  <c r="H1962" i="1"/>
  <c r="G1962" i="1" a="1"/>
  <c r="G1962" i="1"/>
  <c r="D1962" i="1" s="1"/>
  <c r="I1961" i="1" a="1"/>
  <c r="I1961" i="1" s="1"/>
  <c r="H1961" i="1" a="1"/>
  <c r="H1961" i="1"/>
  <c r="G1961" i="1" a="1"/>
  <c r="G1961" i="1" s="1"/>
  <c r="D1961" i="1" s="1"/>
  <c r="I1960" i="1" a="1"/>
  <c r="I1960" i="1"/>
  <c r="H1960" i="1" a="1"/>
  <c r="H1960" i="1" s="1"/>
  <c r="G1960" i="1" a="1"/>
  <c r="G1960" i="1"/>
  <c r="D1960" i="1" s="1"/>
  <c r="I1959" i="1" a="1"/>
  <c r="I1959" i="1" s="1"/>
  <c r="H1959" i="1" a="1"/>
  <c r="H1959" i="1" s="1"/>
  <c r="G1959" i="1" a="1"/>
  <c r="G1959" i="1"/>
  <c r="I1958" i="1" a="1"/>
  <c r="I1958" i="1"/>
  <c r="H1958" i="1" a="1"/>
  <c r="H1958" i="1"/>
  <c r="G1958" i="1" a="1"/>
  <c r="G1958" i="1" s="1"/>
  <c r="D1958" i="1" s="1"/>
  <c r="I1957" i="1" a="1"/>
  <c r="I1957" i="1" s="1"/>
  <c r="H1957" i="1" a="1"/>
  <c r="H1957" i="1" s="1"/>
  <c r="G1957" i="1" a="1"/>
  <c r="G1957" i="1" s="1"/>
  <c r="D1957" i="1" s="1"/>
  <c r="I1956" i="1" a="1"/>
  <c r="I1956" i="1"/>
  <c r="H1956" i="1" a="1"/>
  <c r="H1956" i="1"/>
  <c r="G1956" i="1" a="1"/>
  <c r="G1956" i="1"/>
  <c r="D1956" i="1" s="1"/>
  <c r="I1955" i="1" a="1"/>
  <c r="I1955" i="1"/>
  <c r="H1955" i="1" a="1"/>
  <c r="H1955" i="1" s="1"/>
  <c r="G1955" i="1" a="1"/>
  <c r="G1955" i="1" s="1"/>
  <c r="I1954" i="1" a="1"/>
  <c r="I1954" i="1" s="1"/>
  <c r="H1954" i="1" a="1"/>
  <c r="H1954" i="1"/>
  <c r="G1954" i="1" a="1"/>
  <c r="G1954" i="1"/>
  <c r="I1953" i="1" a="1"/>
  <c r="I1953" i="1" s="1"/>
  <c r="H1953" i="1" a="1"/>
  <c r="H1953" i="1"/>
  <c r="G1953" i="1" a="1"/>
  <c r="G1953" i="1" s="1"/>
  <c r="D1953" i="1" s="1"/>
  <c r="I1952" i="1" a="1"/>
  <c r="I1952" i="1"/>
  <c r="H1952" i="1" a="1"/>
  <c r="H1952" i="1" s="1"/>
  <c r="G1952" i="1" a="1"/>
  <c r="G1952" i="1"/>
  <c r="D1952" i="1" s="1"/>
  <c r="I1951" i="1" a="1"/>
  <c r="I1951" i="1" s="1"/>
  <c r="H1951" i="1" a="1"/>
  <c r="H1951" i="1" s="1"/>
  <c r="G1951" i="1" a="1"/>
  <c r="G1951" i="1"/>
  <c r="I1950" i="1" a="1"/>
  <c r="I1950" i="1"/>
  <c r="H1950" i="1" a="1"/>
  <c r="H1950" i="1"/>
  <c r="G1950" i="1" a="1"/>
  <c r="G1950" i="1" s="1"/>
  <c r="D1950" i="1" s="1"/>
  <c r="I1949" i="1" a="1"/>
  <c r="I1949" i="1" s="1"/>
  <c r="H1949" i="1" a="1"/>
  <c r="H1949" i="1" s="1"/>
  <c r="G1949" i="1" a="1"/>
  <c r="G1949" i="1" s="1"/>
  <c r="I1948" i="1" a="1"/>
  <c r="I1948" i="1"/>
  <c r="H1948" i="1" a="1"/>
  <c r="H1948" i="1"/>
  <c r="G1948" i="1" a="1"/>
  <c r="G1948" i="1"/>
  <c r="D1948" i="1" s="1"/>
  <c r="I1947" i="1" a="1"/>
  <c r="I1947" i="1"/>
  <c r="H1947" i="1" a="1"/>
  <c r="H1947" i="1" s="1"/>
  <c r="G1947" i="1" a="1"/>
  <c r="G1947" i="1" s="1"/>
  <c r="I1946" i="1" a="1"/>
  <c r="I1946" i="1" s="1"/>
  <c r="H1946" i="1" a="1"/>
  <c r="H1946" i="1"/>
  <c r="G1946" i="1" a="1"/>
  <c r="G1946" i="1"/>
  <c r="D1946" i="1" s="1"/>
  <c r="I1945" i="1" a="1"/>
  <c r="I1945" i="1" s="1"/>
  <c r="H1945" i="1" a="1"/>
  <c r="H1945" i="1"/>
  <c r="G1945" i="1" a="1"/>
  <c r="G1945" i="1" s="1"/>
  <c r="D1945" i="1" s="1"/>
  <c r="I1944" i="1" a="1"/>
  <c r="I1944" i="1"/>
  <c r="H1944" i="1" a="1"/>
  <c r="H1944" i="1" s="1"/>
  <c r="G1944" i="1" a="1"/>
  <c r="G1944" i="1"/>
  <c r="D1944" i="1" s="1"/>
  <c r="I1943" i="1" a="1"/>
  <c r="I1943" i="1" s="1"/>
  <c r="H1943" i="1" a="1"/>
  <c r="H1943" i="1" s="1"/>
  <c r="G1943" i="1" a="1"/>
  <c r="G1943" i="1"/>
  <c r="I1942" i="1" a="1"/>
  <c r="I1942" i="1"/>
  <c r="H1942" i="1" a="1"/>
  <c r="H1942" i="1"/>
  <c r="G1942" i="1" a="1"/>
  <c r="G1942" i="1" s="1"/>
  <c r="D1942" i="1" s="1"/>
  <c r="I1941" i="1" a="1"/>
  <c r="I1941" i="1" s="1"/>
  <c r="H1941" i="1" a="1"/>
  <c r="H1941" i="1" s="1"/>
  <c r="G1941" i="1" a="1"/>
  <c r="G1941" i="1" s="1"/>
  <c r="D1941" i="1" s="1"/>
  <c r="I1940" i="1" a="1"/>
  <c r="I1940" i="1"/>
  <c r="H1940" i="1" a="1"/>
  <c r="H1940" i="1"/>
  <c r="G1940" i="1" a="1"/>
  <c r="G1940" i="1"/>
  <c r="D1940" i="1" s="1"/>
  <c r="I1939" i="1" a="1"/>
  <c r="I1939" i="1"/>
  <c r="H1939" i="1" a="1"/>
  <c r="H1939" i="1" s="1"/>
  <c r="G1939" i="1" a="1"/>
  <c r="G1939" i="1" s="1"/>
  <c r="I1938" i="1" a="1"/>
  <c r="I1938" i="1" s="1"/>
  <c r="H1938" i="1" a="1"/>
  <c r="H1938" i="1"/>
  <c r="G1938" i="1" a="1"/>
  <c r="G1938" i="1"/>
  <c r="I1937" i="1" a="1"/>
  <c r="I1937" i="1" s="1"/>
  <c r="H1937" i="1" a="1"/>
  <c r="H1937" i="1"/>
  <c r="G1937" i="1" a="1"/>
  <c r="G1937" i="1" s="1"/>
  <c r="D1937" i="1" s="1"/>
  <c r="I1936" i="1" a="1"/>
  <c r="I1936" i="1"/>
  <c r="H1936" i="1" a="1"/>
  <c r="H1936" i="1" s="1"/>
  <c r="G1936" i="1" a="1"/>
  <c r="G1936" i="1"/>
  <c r="D1936" i="1" s="1"/>
  <c r="I1935" i="1" a="1"/>
  <c r="I1935" i="1" s="1"/>
  <c r="H1935" i="1" a="1"/>
  <c r="H1935" i="1" s="1"/>
  <c r="G1935" i="1" a="1"/>
  <c r="G1935" i="1"/>
  <c r="I1934" i="1" a="1"/>
  <c r="I1934" i="1"/>
  <c r="H1934" i="1" a="1"/>
  <c r="H1934" i="1"/>
  <c r="G1934" i="1" a="1"/>
  <c r="G1934" i="1" s="1"/>
  <c r="D1934" i="1" s="1"/>
  <c r="I1933" i="1" a="1"/>
  <c r="I1933" i="1" s="1"/>
  <c r="H1933" i="1" a="1"/>
  <c r="H1933" i="1" s="1"/>
  <c r="G1933" i="1" a="1"/>
  <c r="G1933" i="1" s="1"/>
  <c r="I1932" i="1" a="1"/>
  <c r="I1932" i="1"/>
  <c r="H1932" i="1" a="1"/>
  <c r="H1932" i="1"/>
  <c r="G1932" i="1" a="1"/>
  <c r="G1932" i="1"/>
  <c r="D1932" i="1" s="1"/>
  <c r="I1931" i="1" a="1"/>
  <c r="I1931" i="1"/>
  <c r="H1931" i="1" a="1"/>
  <c r="H1931" i="1" s="1"/>
  <c r="G1931" i="1" a="1"/>
  <c r="G1931" i="1" s="1"/>
  <c r="I1930" i="1" a="1"/>
  <c r="I1930" i="1" s="1"/>
  <c r="H1930" i="1" a="1"/>
  <c r="H1930" i="1"/>
  <c r="G1930" i="1" a="1"/>
  <c r="G1930" i="1"/>
  <c r="D1930" i="1" s="1"/>
  <c r="I1929" i="1" a="1"/>
  <c r="I1929" i="1" s="1"/>
  <c r="H1929" i="1" a="1"/>
  <c r="H1929" i="1"/>
  <c r="G1929" i="1" a="1"/>
  <c r="G1929" i="1" s="1"/>
  <c r="D1929" i="1" s="1"/>
  <c r="I1928" i="1" a="1"/>
  <c r="I1928" i="1"/>
  <c r="H1928" i="1" a="1"/>
  <c r="H1928" i="1" s="1"/>
  <c r="G1928" i="1" a="1"/>
  <c r="G1928" i="1"/>
  <c r="D1928" i="1" s="1"/>
  <c r="I1927" i="1" a="1"/>
  <c r="I1927" i="1" s="1"/>
  <c r="H1927" i="1" a="1"/>
  <c r="H1927" i="1" s="1"/>
  <c r="G1927" i="1" a="1"/>
  <c r="G1927" i="1"/>
  <c r="I1926" i="1" a="1"/>
  <c r="I1926" i="1"/>
  <c r="H1926" i="1" a="1"/>
  <c r="H1926" i="1"/>
  <c r="G1926" i="1" a="1"/>
  <c r="G1926" i="1" s="1"/>
  <c r="D1926" i="1" s="1"/>
  <c r="I1925" i="1" a="1"/>
  <c r="I1925" i="1" s="1"/>
  <c r="H1925" i="1" a="1"/>
  <c r="H1925" i="1" s="1"/>
  <c r="G1925" i="1" a="1"/>
  <c r="G1925" i="1" s="1"/>
  <c r="D1925" i="1" s="1"/>
  <c r="I1924" i="1" a="1"/>
  <c r="I1924" i="1"/>
  <c r="H1924" i="1" a="1"/>
  <c r="H1924" i="1"/>
  <c r="G1924" i="1" a="1"/>
  <c r="G1924" i="1"/>
  <c r="D1924" i="1" s="1"/>
  <c r="I1923" i="1" a="1"/>
  <c r="I1923" i="1"/>
  <c r="H1923" i="1" a="1"/>
  <c r="H1923" i="1" s="1"/>
  <c r="G1923" i="1" a="1"/>
  <c r="G1923" i="1" s="1"/>
  <c r="I1922" i="1" a="1"/>
  <c r="I1922" i="1" s="1"/>
  <c r="H1922" i="1" a="1"/>
  <c r="H1922" i="1"/>
  <c r="G1922" i="1" a="1"/>
  <c r="G1922" i="1"/>
  <c r="I1921" i="1" a="1"/>
  <c r="I1921" i="1" s="1"/>
  <c r="H1921" i="1" a="1"/>
  <c r="H1921" i="1"/>
  <c r="G1921" i="1" a="1"/>
  <c r="G1921" i="1" s="1"/>
  <c r="D1921" i="1" s="1"/>
  <c r="I1920" i="1" a="1"/>
  <c r="I1920" i="1"/>
  <c r="H1920" i="1" a="1"/>
  <c r="H1920" i="1" s="1"/>
  <c r="G1920" i="1" a="1"/>
  <c r="G1920" i="1"/>
  <c r="D1920" i="1" s="1"/>
  <c r="I1919" i="1" a="1"/>
  <c r="I1919" i="1" s="1"/>
  <c r="H1919" i="1" a="1"/>
  <c r="H1919" i="1" s="1"/>
  <c r="G1919" i="1" a="1"/>
  <c r="G1919" i="1"/>
  <c r="I1918" i="1" a="1"/>
  <c r="I1918" i="1"/>
  <c r="H1918" i="1" a="1"/>
  <c r="H1918" i="1"/>
  <c r="G1918" i="1" a="1"/>
  <c r="G1918" i="1" s="1"/>
  <c r="D1918" i="1" s="1"/>
  <c r="I1917" i="1" a="1"/>
  <c r="I1917" i="1" s="1"/>
  <c r="H1917" i="1" a="1"/>
  <c r="H1917" i="1" s="1"/>
  <c r="G1917" i="1" a="1"/>
  <c r="G1917" i="1" s="1"/>
  <c r="I1916" i="1" a="1"/>
  <c r="I1916" i="1"/>
  <c r="H1916" i="1" a="1"/>
  <c r="H1916" i="1"/>
  <c r="G1916" i="1" a="1"/>
  <c r="G1916" i="1"/>
  <c r="D1916" i="1" s="1"/>
  <c r="I1915" i="1" a="1"/>
  <c r="I1915" i="1"/>
  <c r="H1915" i="1" a="1"/>
  <c r="H1915" i="1" s="1"/>
  <c r="G1915" i="1" a="1"/>
  <c r="G1915" i="1" s="1"/>
  <c r="I1914" i="1" a="1"/>
  <c r="I1914" i="1" s="1"/>
  <c r="H1914" i="1" a="1"/>
  <c r="H1914" i="1"/>
  <c r="G1914" i="1" a="1"/>
  <c r="G1914" i="1"/>
  <c r="D1914" i="1" s="1"/>
  <c r="I1913" i="1" a="1"/>
  <c r="I1913" i="1" s="1"/>
  <c r="H1913" i="1" a="1"/>
  <c r="H1913" i="1"/>
  <c r="G1913" i="1" a="1"/>
  <c r="G1913" i="1" s="1"/>
  <c r="D1913" i="1" s="1"/>
  <c r="I1912" i="1" a="1"/>
  <c r="I1912" i="1"/>
  <c r="H1912" i="1" a="1"/>
  <c r="H1912" i="1" s="1"/>
  <c r="G1912" i="1" a="1"/>
  <c r="G1912" i="1"/>
  <c r="D1912" i="1" s="1"/>
  <c r="I1911" i="1" a="1"/>
  <c r="I1911" i="1" s="1"/>
  <c r="H1911" i="1" a="1"/>
  <c r="H1911" i="1" s="1"/>
  <c r="G1911" i="1" a="1"/>
  <c r="G1911" i="1"/>
  <c r="I1910" i="1" a="1"/>
  <c r="I1910" i="1"/>
  <c r="H1910" i="1" a="1"/>
  <c r="H1910" i="1"/>
  <c r="G1910" i="1" a="1"/>
  <c r="G1910" i="1" s="1"/>
  <c r="D1910" i="1" s="1"/>
  <c r="I1909" i="1" a="1"/>
  <c r="I1909" i="1" s="1"/>
  <c r="H1909" i="1" a="1"/>
  <c r="H1909" i="1" s="1"/>
  <c r="G1909" i="1" a="1"/>
  <c r="G1909" i="1" s="1"/>
  <c r="D1909" i="1" s="1"/>
  <c r="I1908" i="1" a="1"/>
  <c r="I1908" i="1"/>
  <c r="H1908" i="1" a="1"/>
  <c r="H1908" i="1"/>
  <c r="G1908" i="1" a="1"/>
  <c r="G1908" i="1"/>
  <c r="D1908" i="1" s="1"/>
  <c r="I1907" i="1" a="1"/>
  <c r="I1907" i="1"/>
  <c r="H1907" i="1" a="1"/>
  <c r="H1907" i="1" s="1"/>
  <c r="G1907" i="1" a="1"/>
  <c r="G1907" i="1" s="1"/>
  <c r="I1906" i="1" a="1"/>
  <c r="I1906" i="1" s="1"/>
  <c r="H1906" i="1" a="1"/>
  <c r="H1906" i="1"/>
  <c r="G1906" i="1" a="1"/>
  <c r="G1906" i="1"/>
  <c r="I1905" i="1" a="1"/>
  <c r="I1905" i="1" s="1"/>
  <c r="H1905" i="1" a="1"/>
  <c r="H1905" i="1"/>
  <c r="G1905" i="1" a="1"/>
  <c r="G1905" i="1" s="1"/>
  <c r="D1905" i="1" s="1"/>
  <c r="I1904" i="1" a="1"/>
  <c r="I1904" i="1"/>
  <c r="H1904" i="1" a="1"/>
  <c r="H1904" i="1" s="1"/>
  <c r="G1904" i="1" a="1"/>
  <c r="G1904" i="1"/>
  <c r="D1904" i="1" s="1"/>
  <c r="I1903" i="1" a="1"/>
  <c r="I1903" i="1" s="1"/>
  <c r="H1903" i="1" a="1"/>
  <c r="H1903" i="1" s="1"/>
  <c r="G1903" i="1" a="1"/>
  <c r="G1903" i="1"/>
  <c r="I1902" i="1" a="1"/>
  <c r="I1902" i="1"/>
  <c r="H1902" i="1" a="1"/>
  <c r="H1902" i="1"/>
  <c r="G1902" i="1" a="1"/>
  <c r="G1902" i="1" s="1"/>
  <c r="D1902" i="1" s="1"/>
  <c r="I1901" i="1" a="1"/>
  <c r="I1901" i="1" s="1"/>
  <c r="H1901" i="1" a="1"/>
  <c r="H1901" i="1" s="1"/>
  <c r="G1901" i="1" a="1"/>
  <c r="G1901" i="1" s="1"/>
  <c r="I1900" i="1" a="1"/>
  <c r="I1900" i="1"/>
  <c r="H1900" i="1" a="1"/>
  <c r="H1900" i="1"/>
  <c r="G1900" i="1" a="1"/>
  <c r="G1900" i="1"/>
  <c r="D1900" i="1" s="1"/>
  <c r="I1899" i="1" a="1"/>
  <c r="I1899" i="1"/>
  <c r="H1899" i="1" a="1"/>
  <c r="H1899" i="1" s="1"/>
  <c r="G1899" i="1" a="1"/>
  <c r="G1899" i="1" s="1"/>
  <c r="I1898" i="1" a="1"/>
  <c r="I1898" i="1" s="1"/>
  <c r="H1898" i="1" a="1"/>
  <c r="H1898" i="1"/>
  <c r="G1898" i="1" a="1"/>
  <c r="G1898" i="1"/>
  <c r="D1898" i="1" s="1"/>
  <c r="I1897" i="1" a="1"/>
  <c r="I1897" i="1" s="1"/>
  <c r="H1897" i="1" a="1"/>
  <c r="H1897" i="1"/>
  <c r="G1897" i="1" a="1"/>
  <c r="G1897" i="1" s="1"/>
  <c r="D1897" i="1" s="1"/>
  <c r="I1896" i="1" a="1"/>
  <c r="I1896" i="1"/>
  <c r="H1896" i="1" a="1"/>
  <c r="H1896" i="1" s="1"/>
  <c r="G1896" i="1" a="1"/>
  <c r="G1896" i="1"/>
  <c r="D1896" i="1" s="1"/>
  <c r="I1895" i="1" a="1"/>
  <c r="I1895" i="1" s="1"/>
  <c r="H1895" i="1" a="1"/>
  <c r="H1895" i="1" s="1"/>
  <c r="G1895" i="1" a="1"/>
  <c r="G1895" i="1"/>
  <c r="I1894" i="1" a="1"/>
  <c r="I1894" i="1"/>
  <c r="H1894" i="1" a="1"/>
  <c r="H1894" i="1"/>
  <c r="G1894" i="1" a="1"/>
  <c r="G1894" i="1" s="1"/>
  <c r="D1894" i="1" s="1"/>
  <c r="I1893" i="1" a="1"/>
  <c r="I1893" i="1" s="1"/>
  <c r="H1893" i="1" a="1"/>
  <c r="H1893" i="1" s="1"/>
  <c r="G1893" i="1" a="1"/>
  <c r="G1893" i="1" s="1"/>
  <c r="D1893" i="1" s="1"/>
  <c r="I1892" i="1" a="1"/>
  <c r="I1892" i="1"/>
  <c r="H1892" i="1" a="1"/>
  <c r="H1892" i="1"/>
  <c r="G1892" i="1" a="1"/>
  <c r="G1892" i="1"/>
  <c r="D1892" i="1" s="1"/>
  <c r="I1891" i="1" a="1"/>
  <c r="I1891" i="1"/>
  <c r="H1891" i="1" a="1"/>
  <c r="H1891" i="1" s="1"/>
  <c r="G1891" i="1" a="1"/>
  <c r="G1891" i="1" s="1"/>
  <c r="I1890" i="1" a="1"/>
  <c r="I1890" i="1" s="1"/>
  <c r="H1890" i="1" a="1"/>
  <c r="H1890" i="1"/>
  <c r="G1890" i="1" a="1"/>
  <c r="G1890" i="1"/>
  <c r="I1889" i="1" a="1"/>
  <c r="I1889" i="1" s="1"/>
  <c r="H1889" i="1" a="1"/>
  <c r="H1889" i="1"/>
  <c r="G1889" i="1" a="1"/>
  <c r="G1889" i="1" s="1"/>
  <c r="D1889" i="1" s="1"/>
  <c r="I1888" i="1" a="1"/>
  <c r="I1888" i="1"/>
  <c r="H1888" i="1" a="1"/>
  <c r="H1888" i="1" s="1"/>
  <c r="G1888" i="1" a="1"/>
  <c r="G1888" i="1"/>
  <c r="D1888" i="1" s="1"/>
  <c r="I1887" i="1" a="1"/>
  <c r="I1887" i="1" s="1"/>
  <c r="H1887" i="1" a="1"/>
  <c r="H1887" i="1" s="1"/>
  <c r="G1887" i="1" a="1"/>
  <c r="G1887" i="1"/>
  <c r="I1886" i="1" a="1"/>
  <c r="I1886" i="1"/>
  <c r="H1886" i="1" a="1"/>
  <c r="H1886" i="1"/>
  <c r="G1886" i="1" a="1"/>
  <c r="G1886" i="1" s="1"/>
  <c r="D1886" i="1" s="1"/>
  <c r="I1885" i="1" a="1"/>
  <c r="I1885" i="1" s="1"/>
  <c r="H1885" i="1" a="1"/>
  <c r="H1885" i="1" s="1"/>
  <c r="G1885" i="1" a="1"/>
  <c r="G1885" i="1" s="1"/>
  <c r="I1884" i="1" a="1"/>
  <c r="I1884" i="1"/>
  <c r="H1884" i="1" a="1"/>
  <c r="H1884" i="1"/>
  <c r="G1884" i="1" a="1"/>
  <c r="G1884" i="1"/>
  <c r="D1884" i="1" s="1"/>
  <c r="I1883" i="1" a="1"/>
  <c r="I1883" i="1"/>
  <c r="H1883" i="1" a="1"/>
  <c r="H1883" i="1" s="1"/>
  <c r="G1883" i="1" a="1"/>
  <c r="G1883" i="1" s="1"/>
  <c r="I1882" i="1" a="1"/>
  <c r="I1882" i="1" s="1"/>
  <c r="H1882" i="1" a="1"/>
  <c r="H1882" i="1"/>
  <c r="G1882" i="1" a="1"/>
  <c r="G1882" i="1"/>
  <c r="D1882" i="1" s="1"/>
  <c r="I1881" i="1" a="1"/>
  <c r="I1881" i="1" s="1"/>
  <c r="H1881" i="1" a="1"/>
  <c r="H1881" i="1"/>
  <c r="G1881" i="1" a="1"/>
  <c r="G1881" i="1" s="1"/>
  <c r="D1881" i="1"/>
  <c r="I1880" i="1" a="1"/>
  <c r="I1880" i="1"/>
  <c r="H1880" i="1" a="1"/>
  <c r="H1880" i="1" s="1"/>
  <c r="G1880" i="1" a="1"/>
  <c r="G1880" i="1"/>
  <c r="I1879" i="1" a="1"/>
  <c r="I1879" i="1" s="1"/>
  <c r="H1879" i="1" a="1"/>
  <c r="H1879" i="1" s="1"/>
  <c r="G1879" i="1" a="1"/>
  <c r="G1879" i="1"/>
  <c r="D1879" i="1" s="1"/>
  <c r="I1878" i="1" a="1"/>
  <c r="I1878" i="1"/>
  <c r="H1878" i="1" a="1"/>
  <c r="H1878" i="1"/>
  <c r="G1878" i="1" a="1"/>
  <c r="G1878" i="1" s="1"/>
  <c r="D1878" i="1"/>
  <c r="I1877" i="1" a="1"/>
  <c r="I1877" i="1" s="1"/>
  <c r="H1877" i="1" a="1"/>
  <c r="H1877" i="1" s="1"/>
  <c r="G1877" i="1" a="1"/>
  <c r="G1877" i="1" s="1"/>
  <c r="D1877" i="1" s="1"/>
  <c r="I1876" i="1" a="1"/>
  <c r="I1876" i="1" s="1"/>
  <c r="D1876" i="1" s="1"/>
  <c r="H1876" i="1" a="1"/>
  <c r="H1876" i="1"/>
  <c r="G1876" i="1" a="1"/>
  <c r="G1876" i="1"/>
  <c r="I1875" i="1" a="1"/>
  <c r="I1875" i="1"/>
  <c r="D1875" i="1" s="1"/>
  <c r="H1875" i="1" a="1"/>
  <c r="H1875" i="1" s="1"/>
  <c r="G1875" i="1" a="1"/>
  <c r="G1875" i="1" s="1"/>
  <c r="I1874" i="1" a="1"/>
  <c r="I1874" i="1" s="1"/>
  <c r="H1874" i="1" a="1"/>
  <c r="H1874" i="1"/>
  <c r="G1874" i="1" a="1"/>
  <c r="G1874" i="1"/>
  <c r="I1873" i="1" a="1"/>
  <c r="I1873" i="1"/>
  <c r="H1873" i="1" a="1"/>
  <c r="H1873" i="1"/>
  <c r="G1873" i="1" a="1"/>
  <c r="G1873" i="1" s="1"/>
  <c r="D1873" i="1"/>
  <c r="I1872" i="1" a="1"/>
  <c r="I1872" i="1"/>
  <c r="H1872" i="1" a="1"/>
  <c r="H1872" i="1" s="1"/>
  <c r="G1872" i="1" a="1"/>
  <c r="G1872" i="1"/>
  <c r="I1871" i="1" a="1"/>
  <c r="I1871" i="1" s="1"/>
  <c r="H1871" i="1" a="1"/>
  <c r="H1871" i="1"/>
  <c r="G1871" i="1" a="1"/>
  <c r="G1871" i="1"/>
  <c r="I1870" i="1" a="1"/>
  <c r="I1870" i="1"/>
  <c r="H1870" i="1" a="1"/>
  <c r="H1870" i="1"/>
  <c r="G1870" i="1" a="1"/>
  <c r="G1870" i="1" s="1"/>
  <c r="D1870" i="1" s="1"/>
  <c r="I1869" i="1" a="1"/>
  <c r="I1869" i="1" s="1"/>
  <c r="H1869" i="1" a="1"/>
  <c r="H1869" i="1" s="1"/>
  <c r="G1869" i="1" a="1"/>
  <c r="G1869" i="1"/>
  <c r="D1869" i="1" s="1"/>
  <c r="I1868" i="1" a="1"/>
  <c r="I1868" i="1" s="1"/>
  <c r="D1868" i="1" s="1"/>
  <c r="H1868" i="1" a="1"/>
  <c r="H1868" i="1"/>
  <c r="G1868" i="1" a="1"/>
  <c r="G1868" i="1"/>
  <c r="I1867" i="1" a="1"/>
  <c r="I1867" i="1"/>
  <c r="H1867" i="1" a="1"/>
  <c r="H1867" i="1" s="1"/>
  <c r="G1867" i="1" a="1"/>
  <c r="G1867" i="1" s="1"/>
  <c r="D1867" i="1" s="1"/>
  <c r="I1866" i="1" a="1"/>
  <c r="I1866" i="1" s="1"/>
  <c r="H1866" i="1" a="1"/>
  <c r="H1866" i="1"/>
  <c r="G1866" i="1" a="1"/>
  <c r="G1866" i="1"/>
  <c r="I1865" i="1" a="1"/>
  <c r="I1865" i="1" s="1"/>
  <c r="H1865" i="1" a="1"/>
  <c r="H1865" i="1" s="1"/>
  <c r="D1865" i="1" s="1"/>
  <c r="G1865" i="1" a="1"/>
  <c r="G1865" i="1" s="1"/>
  <c r="I1864" i="1" a="1"/>
  <c r="I1864" i="1"/>
  <c r="H1864" i="1" a="1"/>
  <c r="H1864" i="1" s="1"/>
  <c r="G1864" i="1" a="1"/>
  <c r="G1864" i="1" s="1"/>
  <c r="I1863" i="1" a="1"/>
  <c r="I1863" i="1" s="1"/>
  <c r="H1863" i="1" a="1"/>
  <c r="H1863" i="1" s="1"/>
  <c r="G1863" i="1" a="1"/>
  <c r="G1863" i="1"/>
  <c r="I1862" i="1" a="1"/>
  <c r="I1862" i="1"/>
  <c r="H1862" i="1" a="1"/>
  <c r="H1862" i="1"/>
  <c r="G1862" i="1" a="1"/>
  <c r="G1862" i="1" s="1"/>
  <c r="D1862" i="1"/>
  <c r="I1861" i="1" a="1"/>
  <c r="I1861" i="1" s="1"/>
  <c r="H1861" i="1" a="1"/>
  <c r="H1861" i="1" s="1"/>
  <c r="G1861" i="1" a="1"/>
  <c r="G1861" i="1"/>
  <c r="D1861" i="1"/>
  <c r="I1860" i="1" a="1"/>
  <c r="I1860" i="1" s="1"/>
  <c r="D1860" i="1" s="1"/>
  <c r="H1860" i="1" a="1"/>
  <c r="H1860" i="1"/>
  <c r="G1860" i="1" a="1"/>
  <c r="G1860" i="1"/>
  <c r="I1859" i="1" a="1"/>
  <c r="I1859" i="1" s="1"/>
  <c r="H1859" i="1" a="1"/>
  <c r="H1859" i="1" s="1"/>
  <c r="G1859" i="1" a="1"/>
  <c r="G1859" i="1" s="1"/>
  <c r="D1859" i="1" s="1"/>
  <c r="I1858" i="1" a="1"/>
  <c r="I1858" i="1" s="1"/>
  <c r="H1858" i="1" a="1"/>
  <c r="H1858" i="1"/>
  <c r="G1858" i="1" a="1"/>
  <c r="G1858" i="1"/>
  <c r="I1857" i="1" a="1"/>
  <c r="I1857" i="1" s="1"/>
  <c r="H1857" i="1" a="1"/>
  <c r="H1857" i="1" s="1"/>
  <c r="G1857" i="1" a="1"/>
  <c r="G1857" i="1" s="1"/>
  <c r="D1857" i="1"/>
  <c r="I1856" i="1" a="1"/>
  <c r="I1856" i="1"/>
  <c r="H1856" i="1" a="1"/>
  <c r="H1856" i="1" s="1"/>
  <c r="G1856" i="1" a="1"/>
  <c r="G1856" i="1" s="1"/>
  <c r="D1856" i="1" s="1"/>
  <c r="I1855" i="1" a="1"/>
  <c r="I1855" i="1" s="1"/>
  <c r="H1855" i="1" a="1"/>
  <c r="H1855" i="1" s="1"/>
  <c r="G1855" i="1" a="1"/>
  <c r="G1855" i="1"/>
  <c r="D1855" i="1" s="1"/>
  <c r="I1854" i="1" a="1"/>
  <c r="I1854" i="1"/>
  <c r="H1854" i="1" a="1"/>
  <c r="H1854" i="1"/>
  <c r="G1854" i="1" a="1"/>
  <c r="G1854" i="1" s="1"/>
  <c r="D1854" i="1"/>
  <c r="I1853" i="1" a="1"/>
  <c r="I1853" i="1" s="1"/>
  <c r="H1853" i="1" a="1"/>
  <c r="H1853" i="1" s="1"/>
  <c r="D1853" i="1" s="1"/>
  <c r="G1853" i="1" a="1"/>
  <c r="G1853" i="1"/>
  <c r="I1852" i="1" a="1"/>
  <c r="I1852" i="1" s="1"/>
  <c r="D1852" i="1" s="1"/>
  <c r="H1852" i="1" a="1"/>
  <c r="H1852" i="1"/>
  <c r="G1852" i="1" a="1"/>
  <c r="G1852" i="1"/>
  <c r="I1851" i="1" a="1"/>
  <c r="I1851" i="1" s="1"/>
  <c r="H1851" i="1" a="1"/>
  <c r="H1851" i="1" s="1"/>
  <c r="G1851" i="1" a="1"/>
  <c r="G1851" i="1" s="1"/>
  <c r="I1850" i="1" a="1"/>
  <c r="I1850" i="1" s="1"/>
  <c r="H1850" i="1" a="1"/>
  <c r="H1850" i="1"/>
  <c r="G1850" i="1" a="1"/>
  <c r="G1850" i="1"/>
  <c r="I1849" i="1" a="1"/>
  <c r="I1849" i="1" s="1"/>
  <c r="H1849" i="1" a="1"/>
  <c r="H1849" i="1" s="1"/>
  <c r="D1849" i="1" s="1"/>
  <c r="G1849" i="1" a="1"/>
  <c r="G1849" i="1" s="1"/>
  <c r="I1848" i="1" a="1"/>
  <c r="I1848" i="1"/>
  <c r="H1848" i="1" a="1"/>
  <c r="H1848" i="1" s="1"/>
  <c r="G1848" i="1" a="1"/>
  <c r="G1848" i="1" s="1"/>
  <c r="D1848" i="1" s="1"/>
  <c r="I1847" i="1" a="1"/>
  <c r="I1847" i="1" s="1"/>
  <c r="H1847" i="1" a="1"/>
  <c r="H1847" i="1" s="1"/>
  <c r="G1847" i="1" a="1"/>
  <c r="G1847" i="1"/>
  <c r="I1846" i="1" a="1"/>
  <c r="I1846" i="1"/>
  <c r="H1846" i="1" a="1"/>
  <c r="H1846" i="1"/>
  <c r="G1846" i="1" a="1"/>
  <c r="G1846" i="1" s="1"/>
  <c r="D1846" i="1"/>
  <c r="I1845" i="1" a="1"/>
  <c r="I1845" i="1" s="1"/>
  <c r="H1845" i="1" a="1"/>
  <c r="H1845" i="1" s="1"/>
  <c r="G1845" i="1" a="1"/>
  <c r="G1845" i="1"/>
  <c r="D1845" i="1" s="1"/>
  <c r="I1844" i="1" a="1"/>
  <c r="I1844" i="1" s="1"/>
  <c r="D1844" i="1" s="1"/>
  <c r="H1844" i="1" a="1"/>
  <c r="H1844" i="1"/>
  <c r="G1844" i="1" a="1"/>
  <c r="G1844" i="1"/>
  <c r="I1843" i="1" a="1"/>
  <c r="I1843" i="1" s="1"/>
  <c r="H1843" i="1" a="1"/>
  <c r="H1843" i="1" s="1"/>
  <c r="G1843" i="1" a="1"/>
  <c r="G1843" i="1" s="1"/>
  <c r="D1843" i="1" s="1"/>
  <c r="I1842" i="1" a="1"/>
  <c r="I1842" i="1" s="1"/>
  <c r="H1842" i="1" a="1"/>
  <c r="H1842" i="1" s="1"/>
  <c r="G1842" i="1" a="1"/>
  <c r="G1842" i="1"/>
  <c r="I1841" i="1" a="1"/>
  <c r="I1841" i="1" s="1"/>
  <c r="H1841" i="1" a="1"/>
  <c r="H1841" i="1" s="1"/>
  <c r="G1841" i="1" a="1"/>
  <c r="G1841" i="1" s="1"/>
  <c r="D1841" i="1" s="1"/>
  <c r="I1840" i="1" a="1"/>
  <c r="I1840" i="1"/>
  <c r="H1840" i="1" a="1"/>
  <c r="H1840" i="1" s="1"/>
  <c r="G1840" i="1" a="1"/>
  <c r="G1840" i="1" s="1"/>
  <c r="I1839" i="1" a="1"/>
  <c r="I1839" i="1" s="1"/>
  <c r="D1839" i="1" s="1"/>
  <c r="H1839" i="1" a="1"/>
  <c r="H1839" i="1" s="1"/>
  <c r="G1839" i="1" a="1"/>
  <c r="G1839" i="1" s="1"/>
  <c r="I1838" i="1" a="1"/>
  <c r="I1838" i="1"/>
  <c r="H1838" i="1" a="1"/>
  <c r="H1838" i="1" s="1"/>
  <c r="G1838" i="1" a="1"/>
  <c r="G1838" i="1"/>
  <c r="D1838" i="1" s="1"/>
  <c r="I1837" i="1" a="1"/>
  <c r="I1837" i="1" s="1"/>
  <c r="H1837" i="1" a="1"/>
  <c r="H1837" i="1"/>
  <c r="G1837" i="1" a="1"/>
  <c r="G1837" i="1" s="1"/>
  <c r="I1836" i="1" a="1"/>
  <c r="I1836" i="1" s="1"/>
  <c r="H1836" i="1" a="1"/>
  <c r="H1836" i="1" s="1"/>
  <c r="G1836" i="1" a="1"/>
  <c r="G1836" i="1" s="1"/>
  <c r="D1836" i="1" s="1"/>
  <c r="I1835" i="1" a="1"/>
  <c r="I1835" i="1"/>
  <c r="H1835" i="1" a="1"/>
  <c r="H1835" i="1"/>
  <c r="G1835" i="1" a="1"/>
  <c r="G1835" i="1"/>
  <c r="D1835" i="1"/>
  <c r="I1834" i="1" a="1"/>
  <c r="I1834" i="1" s="1"/>
  <c r="H1834" i="1" a="1"/>
  <c r="H1834" i="1" s="1"/>
  <c r="G1834" i="1" a="1"/>
  <c r="G1834" i="1" s="1"/>
  <c r="D1834" i="1"/>
  <c r="I1833" i="1" a="1"/>
  <c r="I1833" i="1" s="1"/>
  <c r="H1833" i="1" a="1"/>
  <c r="H1833" i="1"/>
  <c r="G1833" i="1" a="1"/>
  <c r="G1833" i="1"/>
  <c r="D1833" i="1" s="1"/>
  <c r="I1832" i="1" a="1"/>
  <c r="I1832" i="1" s="1"/>
  <c r="H1832" i="1" a="1"/>
  <c r="H1832" i="1" s="1"/>
  <c r="D1832" i="1" s="1"/>
  <c r="G1832" i="1" a="1"/>
  <c r="G1832" i="1" s="1"/>
  <c r="I1831" i="1" a="1"/>
  <c r="I1831" i="1"/>
  <c r="H1831" i="1" a="1"/>
  <c r="H1831" i="1" s="1"/>
  <c r="G1831" i="1" a="1"/>
  <c r="G1831" i="1"/>
  <c r="I1830" i="1" a="1"/>
  <c r="I1830" i="1" s="1"/>
  <c r="D1830" i="1" s="1"/>
  <c r="H1830" i="1" a="1"/>
  <c r="H1830" i="1"/>
  <c r="G1830" i="1" a="1"/>
  <c r="G1830" i="1" s="1"/>
  <c r="I1829" i="1" a="1"/>
  <c r="I1829" i="1"/>
  <c r="H1829" i="1" a="1"/>
  <c r="H1829" i="1"/>
  <c r="G1829" i="1" a="1"/>
  <c r="G1829" i="1" s="1"/>
  <c r="I1828" i="1" a="1"/>
  <c r="I1828" i="1" s="1"/>
  <c r="H1828" i="1" a="1"/>
  <c r="H1828" i="1" s="1"/>
  <c r="G1828" i="1" a="1"/>
  <c r="G1828" i="1" s="1"/>
  <c r="D1828" i="1" s="1"/>
  <c r="I1827" i="1" a="1"/>
  <c r="I1827" i="1"/>
  <c r="H1827" i="1" a="1"/>
  <c r="H1827" i="1"/>
  <c r="G1827" i="1" a="1"/>
  <c r="G1827" i="1"/>
  <c r="D1827" i="1"/>
  <c r="I1826" i="1" a="1"/>
  <c r="I1826" i="1" s="1"/>
  <c r="H1826" i="1" a="1"/>
  <c r="H1826" i="1" s="1"/>
  <c r="G1826" i="1" a="1"/>
  <c r="G1826" i="1" s="1"/>
  <c r="D1826" i="1"/>
  <c r="I1825" i="1" a="1"/>
  <c r="I1825" i="1" s="1"/>
  <c r="H1825" i="1" a="1"/>
  <c r="H1825" i="1"/>
  <c r="G1825" i="1" a="1"/>
  <c r="G1825" i="1"/>
  <c r="D1825" i="1" s="1"/>
  <c r="I1824" i="1" a="1"/>
  <c r="I1824" i="1" s="1"/>
  <c r="H1824" i="1" a="1"/>
  <c r="H1824" i="1" s="1"/>
  <c r="G1824" i="1" a="1"/>
  <c r="G1824" i="1" s="1"/>
  <c r="I1823" i="1" a="1"/>
  <c r="I1823" i="1"/>
  <c r="H1823" i="1" a="1"/>
  <c r="H1823" i="1" s="1"/>
  <c r="G1823" i="1" a="1"/>
  <c r="G1823" i="1"/>
  <c r="I1822" i="1" a="1"/>
  <c r="I1822" i="1" s="1"/>
  <c r="D1822" i="1" s="1"/>
  <c r="H1822" i="1" a="1"/>
  <c r="H1822" i="1"/>
  <c r="G1822" i="1" a="1"/>
  <c r="G1822" i="1" s="1"/>
  <c r="I1821" i="1" a="1"/>
  <c r="I1821" i="1"/>
  <c r="H1821" i="1" a="1"/>
  <c r="H1821" i="1"/>
  <c r="G1821" i="1" a="1"/>
  <c r="G1821" i="1" s="1"/>
  <c r="I1820" i="1" a="1"/>
  <c r="I1820" i="1" s="1"/>
  <c r="H1820" i="1" a="1"/>
  <c r="H1820" i="1" s="1"/>
  <c r="G1820" i="1" a="1"/>
  <c r="G1820" i="1" s="1"/>
  <c r="D1820" i="1" s="1"/>
  <c r="I1819" i="1" a="1"/>
  <c r="I1819" i="1"/>
  <c r="H1819" i="1" a="1"/>
  <c r="H1819" i="1"/>
  <c r="G1819" i="1" a="1"/>
  <c r="G1819" i="1"/>
  <c r="D1819" i="1"/>
  <c r="I1818" i="1" a="1"/>
  <c r="I1818" i="1" s="1"/>
  <c r="H1818" i="1" a="1"/>
  <c r="H1818" i="1" s="1"/>
  <c r="G1818" i="1" a="1"/>
  <c r="G1818" i="1" s="1"/>
  <c r="D1818" i="1"/>
  <c r="I1817" i="1" a="1"/>
  <c r="I1817" i="1" s="1"/>
  <c r="H1817" i="1" a="1"/>
  <c r="H1817" i="1"/>
  <c r="G1817" i="1" a="1"/>
  <c r="G1817" i="1"/>
  <c r="D1817" i="1" s="1"/>
  <c r="I1816" i="1" a="1"/>
  <c r="I1816" i="1" s="1"/>
  <c r="H1816" i="1" a="1"/>
  <c r="H1816" i="1" s="1"/>
  <c r="D1816" i="1" s="1"/>
  <c r="G1816" i="1" a="1"/>
  <c r="G1816" i="1" s="1"/>
  <c r="I1815" i="1" a="1"/>
  <c r="I1815" i="1"/>
  <c r="H1815" i="1" a="1"/>
  <c r="H1815" i="1" s="1"/>
  <c r="G1815" i="1" a="1"/>
  <c r="G1815" i="1"/>
  <c r="I1814" i="1" a="1"/>
  <c r="I1814" i="1" s="1"/>
  <c r="D1814" i="1" s="1"/>
  <c r="H1814" i="1" a="1"/>
  <c r="H1814" i="1"/>
  <c r="G1814" i="1" a="1"/>
  <c r="G1814" i="1" s="1"/>
  <c r="I1813" i="1" a="1"/>
  <c r="I1813" i="1"/>
  <c r="H1813" i="1" a="1"/>
  <c r="H1813" i="1"/>
  <c r="G1813" i="1" a="1"/>
  <c r="G1813" i="1" s="1"/>
  <c r="I1812" i="1" a="1"/>
  <c r="I1812" i="1" s="1"/>
  <c r="H1812" i="1" a="1"/>
  <c r="H1812" i="1" s="1"/>
  <c r="G1812" i="1" a="1"/>
  <c r="G1812" i="1" s="1"/>
  <c r="D1812" i="1" s="1"/>
  <c r="I1811" i="1" a="1"/>
  <c r="I1811" i="1"/>
  <c r="H1811" i="1" a="1"/>
  <c r="H1811" i="1"/>
  <c r="G1811" i="1" a="1"/>
  <c r="G1811" i="1"/>
  <c r="D1811" i="1"/>
  <c r="I1810" i="1" a="1"/>
  <c r="I1810" i="1" s="1"/>
  <c r="H1810" i="1" a="1"/>
  <c r="H1810" i="1" s="1"/>
  <c r="D1810" i="1" s="1"/>
  <c r="G1810" i="1" a="1"/>
  <c r="G1810" i="1" s="1"/>
  <c r="I1809" i="1" a="1"/>
  <c r="I1809" i="1" s="1"/>
  <c r="H1809" i="1" a="1"/>
  <c r="H1809" i="1"/>
  <c r="G1809" i="1" a="1"/>
  <c r="G1809" i="1"/>
  <c r="D1809" i="1" s="1"/>
  <c r="I1808" i="1" a="1"/>
  <c r="I1808" i="1" s="1"/>
  <c r="H1808" i="1" a="1"/>
  <c r="H1808" i="1" s="1"/>
  <c r="G1808" i="1" a="1"/>
  <c r="G1808" i="1" s="1"/>
  <c r="I1807" i="1" a="1"/>
  <c r="I1807" i="1"/>
  <c r="H1807" i="1" a="1"/>
  <c r="H1807" i="1" s="1"/>
  <c r="G1807" i="1" a="1"/>
  <c r="G1807" i="1"/>
  <c r="I1806" i="1" a="1"/>
  <c r="I1806" i="1" s="1"/>
  <c r="D1806" i="1" s="1"/>
  <c r="H1806" i="1" a="1"/>
  <c r="H1806" i="1"/>
  <c r="G1806" i="1" a="1"/>
  <c r="G1806" i="1" s="1"/>
  <c r="I1805" i="1" a="1"/>
  <c r="I1805" i="1"/>
  <c r="H1805" i="1" a="1"/>
  <c r="H1805" i="1"/>
  <c r="G1805" i="1" a="1"/>
  <c r="G1805" i="1" s="1"/>
  <c r="I1804" i="1" a="1"/>
  <c r="I1804" i="1" s="1"/>
  <c r="H1804" i="1" a="1"/>
  <c r="H1804" i="1" s="1"/>
  <c r="G1804" i="1" a="1"/>
  <c r="G1804" i="1" s="1"/>
  <c r="D1804" i="1" s="1"/>
  <c r="I1803" i="1" a="1"/>
  <c r="I1803" i="1"/>
  <c r="H1803" i="1" a="1"/>
  <c r="H1803" i="1"/>
  <c r="G1803" i="1" a="1"/>
  <c r="G1803" i="1"/>
  <c r="D1803" i="1"/>
  <c r="I1802" i="1" a="1"/>
  <c r="I1802" i="1" s="1"/>
  <c r="H1802" i="1" a="1"/>
  <c r="H1802" i="1" s="1"/>
  <c r="G1802" i="1" a="1"/>
  <c r="G1802" i="1" s="1"/>
  <c r="D1802" i="1"/>
  <c r="I1801" i="1" a="1"/>
  <c r="I1801" i="1" s="1"/>
  <c r="H1801" i="1" a="1"/>
  <c r="H1801" i="1"/>
  <c r="G1801" i="1" a="1"/>
  <c r="G1801" i="1"/>
  <c r="D1801" i="1" s="1"/>
  <c r="I1800" i="1" a="1"/>
  <c r="I1800" i="1" s="1"/>
  <c r="H1800" i="1" a="1"/>
  <c r="H1800" i="1" s="1"/>
  <c r="G1800" i="1" a="1"/>
  <c r="G1800" i="1" s="1"/>
  <c r="D1800" i="1" s="1"/>
  <c r="I1799" i="1" a="1"/>
  <c r="I1799" i="1"/>
  <c r="H1799" i="1" a="1"/>
  <c r="H1799" i="1" s="1"/>
  <c r="G1799" i="1" a="1"/>
  <c r="G1799" i="1"/>
  <c r="I1798" i="1" a="1"/>
  <c r="I1798" i="1" s="1"/>
  <c r="H1798" i="1" a="1"/>
  <c r="H1798" i="1" s="1"/>
  <c r="G1798" i="1" a="1"/>
  <c r="G1798" i="1" s="1"/>
  <c r="I1797" i="1" a="1"/>
  <c r="I1797" i="1"/>
  <c r="H1797" i="1" a="1"/>
  <c r="H1797" i="1"/>
  <c r="G1797" i="1" a="1"/>
  <c r="G1797" i="1" s="1"/>
  <c r="I1796" i="1" a="1"/>
  <c r="I1796" i="1" s="1"/>
  <c r="H1796" i="1" a="1"/>
  <c r="H1796" i="1" s="1"/>
  <c r="G1796" i="1" a="1"/>
  <c r="G1796" i="1" s="1"/>
  <c r="D1796" i="1" s="1"/>
  <c r="I1795" i="1" a="1"/>
  <c r="I1795" i="1"/>
  <c r="H1795" i="1" a="1"/>
  <c r="H1795" i="1"/>
  <c r="G1795" i="1" a="1"/>
  <c r="G1795" i="1"/>
  <c r="D1795" i="1"/>
  <c r="I1794" i="1" a="1"/>
  <c r="I1794" i="1" s="1"/>
  <c r="H1794" i="1" a="1"/>
  <c r="H1794" i="1" s="1"/>
  <c r="D1794" i="1" s="1"/>
  <c r="G1794" i="1" a="1"/>
  <c r="G1794" i="1" s="1"/>
  <c r="I1793" i="1" a="1"/>
  <c r="I1793" i="1" s="1"/>
  <c r="H1793" i="1" a="1"/>
  <c r="H1793" i="1"/>
  <c r="G1793" i="1" a="1"/>
  <c r="G1793" i="1"/>
  <c r="D1793" i="1" s="1"/>
  <c r="I1792" i="1" a="1"/>
  <c r="I1792" i="1" s="1"/>
  <c r="H1792" i="1" a="1"/>
  <c r="H1792" i="1" s="1"/>
  <c r="G1792" i="1" a="1"/>
  <c r="G1792" i="1" s="1"/>
  <c r="I1791" i="1" a="1"/>
  <c r="I1791" i="1"/>
  <c r="H1791" i="1" a="1"/>
  <c r="H1791" i="1" s="1"/>
  <c r="G1791" i="1" a="1"/>
  <c r="G1791" i="1"/>
  <c r="I1790" i="1" a="1"/>
  <c r="I1790" i="1" s="1"/>
  <c r="H1790" i="1" a="1"/>
  <c r="H1790" i="1" s="1"/>
  <c r="D1790" i="1" s="1"/>
  <c r="G1790" i="1" a="1"/>
  <c r="G1790" i="1" s="1"/>
  <c r="I1789" i="1" a="1"/>
  <c r="I1789" i="1"/>
  <c r="H1789" i="1" a="1"/>
  <c r="H1789" i="1"/>
  <c r="G1789" i="1" a="1"/>
  <c r="G1789" i="1" s="1"/>
  <c r="I1788" i="1" a="1"/>
  <c r="I1788" i="1" s="1"/>
  <c r="H1788" i="1" a="1"/>
  <c r="H1788" i="1" s="1"/>
  <c r="G1788" i="1" a="1"/>
  <c r="G1788" i="1" s="1"/>
  <c r="D1788" i="1" s="1"/>
  <c r="I1787" i="1" a="1"/>
  <c r="I1787" i="1"/>
  <c r="H1787" i="1" a="1"/>
  <c r="H1787" i="1"/>
  <c r="G1787" i="1" a="1"/>
  <c r="G1787" i="1"/>
  <c r="D1787" i="1"/>
  <c r="I1786" i="1" a="1"/>
  <c r="I1786" i="1" s="1"/>
  <c r="H1786" i="1" a="1"/>
  <c r="H1786" i="1" s="1"/>
  <c r="G1786" i="1" a="1"/>
  <c r="G1786" i="1" s="1"/>
  <c r="D1786" i="1"/>
  <c r="I1785" i="1" a="1"/>
  <c r="I1785" i="1" s="1"/>
  <c r="H1785" i="1" a="1"/>
  <c r="H1785" i="1"/>
  <c r="G1785" i="1" a="1"/>
  <c r="G1785" i="1"/>
  <c r="D1785" i="1" s="1"/>
  <c r="I1784" i="1" a="1"/>
  <c r="I1784" i="1" s="1"/>
  <c r="H1784" i="1" a="1"/>
  <c r="H1784" i="1" s="1"/>
  <c r="G1784" i="1" a="1"/>
  <c r="G1784" i="1" s="1"/>
  <c r="I1783" i="1" a="1"/>
  <c r="I1783" i="1"/>
  <c r="H1783" i="1" a="1"/>
  <c r="H1783" i="1" s="1"/>
  <c r="G1783" i="1" a="1"/>
  <c r="G1783" i="1"/>
  <c r="I1782" i="1" a="1"/>
  <c r="I1782" i="1" s="1"/>
  <c r="H1782" i="1" a="1"/>
  <c r="H1782" i="1" s="1"/>
  <c r="G1782" i="1" a="1"/>
  <c r="G1782" i="1" s="1"/>
  <c r="D1782" i="1"/>
  <c r="I1781" i="1" a="1"/>
  <c r="I1781" i="1"/>
  <c r="H1781" i="1" a="1"/>
  <c r="H1781" i="1"/>
  <c r="G1781" i="1" a="1"/>
  <c r="G1781" i="1" s="1"/>
  <c r="I1780" i="1" a="1"/>
  <c r="I1780" i="1" s="1"/>
  <c r="H1780" i="1" a="1"/>
  <c r="H1780" i="1" s="1"/>
  <c r="G1780" i="1" a="1"/>
  <c r="G1780" i="1" s="1"/>
  <c r="D1780" i="1" s="1"/>
  <c r="I1779" i="1" a="1"/>
  <c r="I1779" i="1"/>
  <c r="H1779" i="1" a="1"/>
  <c r="H1779" i="1"/>
  <c r="G1779" i="1" a="1"/>
  <c r="G1779" i="1"/>
  <c r="D1779" i="1"/>
  <c r="I1778" i="1" a="1"/>
  <c r="I1778" i="1" s="1"/>
  <c r="H1778" i="1" a="1"/>
  <c r="H1778" i="1" s="1"/>
  <c r="D1778" i="1" s="1"/>
  <c r="G1778" i="1" a="1"/>
  <c r="G1778" i="1" s="1"/>
  <c r="I1777" i="1" a="1"/>
  <c r="I1777" i="1" s="1"/>
  <c r="H1777" i="1" a="1"/>
  <c r="H1777" i="1"/>
  <c r="G1777" i="1" a="1"/>
  <c r="G1777" i="1"/>
  <c r="D1777" i="1" s="1"/>
  <c r="I1776" i="1" a="1"/>
  <c r="I1776" i="1" s="1"/>
  <c r="H1776" i="1" a="1"/>
  <c r="H1776" i="1" s="1"/>
  <c r="G1776" i="1" a="1"/>
  <c r="G1776" i="1" s="1"/>
  <c r="I1775" i="1" a="1"/>
  <c r="I1775" i="1"/>
  <c r="H1775" i="1" a="1"/>
  <c r="H1775" i="1" s="1"/>
  <c r="G1775" i="1" a="1"/>
  <c r="G1775" i="1"/>
  <c r="I1774" i="1" a="1"/>
  <c r="I1774" i="1" s="1"/>
  <c r="H1774" i="1" a="1"/>
  <c r="H1774" i="1" s="1"/>
  <c r="D1774" i="1" s="1"/>
  <c r="G1774" i="1" a="1"/>
  <c r="G1774" i="1" s="1"/>
  <c r="I1773" i="1" a="1"/>
  <c r="I1773" i="1"/>
  <c r="H1773" i="1" a="1"/>
  <c r="H1773" i="1"/>
  <c r="G1773" i="1" a="1"/>
  <c r="G1773" i="1" s="1"/>
  <c r="I1772" i="1" a="1"/>
  <c r="I1772" i="1" s="1"/>
  <c r="H1772" i="1" a="1"/>
  <c r="H1772" i="1" s="1"/>
  <c r="G1772" i="1" a="1"/>
  <c r="G1772" i="1" s="1"/>
  <c r="D1772" i="1" s="1"/>
  <c r="I1771" i="1" a="1"/>
  <c r="I1771" i="1"/>
  <c r="H1771" i="1" a="1"/>
  <c r="H1771" i="1"/>
  <c r="G1771" i="1" a="1"/>
  <c r="G1771" i="1"/>
  <c r="D1771" i="1"/>
  <c r="I1770" i="1" a="1"/>
  <c r="I1770" i="1" s="1"/>
  <c r="H1770" i="1" a="1"/>
  <c r="H1770" i="1" s="1"/>
  <c r="D1770" i="1" s="1"/>
  <c r="G1770" i="1" a="1"/>
  <c r="G1770" i="1" s="1"/>
  <c r="I1769" i="1" a="1"/>
  <c r="I1769" i="1" s="1"/>
  <c r="H1769" i="1" a="1"/>
  <c r="H1769" i="1"/>
  <c r="G1769" i="1" a="1"/>
  <c r="G1769" i="1"/>
  <c r="D1769" i="1" s="1"/>
  <c r="I1768" i="1" a="1"/>
  <c r="I1768" i="1" s="1"/>
  <c r="H1768" i="1" a="1"/>
  <c r="H1768" i="1" s="1"/>
  <c r="G1768" i="1" a="1"/>
  <c r="G1768" i="1" s="1"/>
  <c r="I1767" i="1" a="1"/>
  <c r="I1767" i="1"/>
  <c r="H1767" i="1" a="1"/>
  <c r="H1767" i="1" s="1"/>
  <c r="G1767" i="1" a="1"/>
  <c r="G1767" i="1"/>
  <c r="I1766" i="1" a="1"/>
  <c r="I1766" i="1" s="1"/>
  <c r="H1766" i="1" a="1"/>
  <c r="H1766" i="1" s="1"/>
  <c r="G1766" i="1" a="1"/>
  <c r="G1766" i="1" s="1"/>
  <c r="D1766" i="1"/>
  <c r="I1765" i="1" a="1"/>
  <c r="I1765" i="1"/>
  <c r="H1765" i="1" a="1"/>
  <c r="H1765" i="1"/>
  <c r="G1765" i="1" a="1"/>
  <c r="G1765" i="1" s="1"/>
  <c r="I1764" i="1" a="1"/>
  <c r="I1764" i="1" s="1"/>
  <c r="H1764" i="1" a="1"/>
  <c r="H1764" i="1" s="1"/>
  <c r="G1764" i="1" a="1"/>
  <c r="G1764" i="1" s="1"/>
  <c r="D1764" i="1" s="1"/>
  <c r="I1763" i="1" a="1"/>
  <c r="I1763" i="1"/>
  <c r="D1763" i="1" s="1"/>
  <c r="H1763" i="1" a="1"/>
  <c r="H1763" i="1"/>
  <c r="G1763" i="1" a="1"/>
  <c r="G1763" i="1"/>
  <c r="I1762" i="1" a="1"/>
  <c r="I1762" i="1" s="1"/>
  <c r="H1762" i="1" a="1"/>
  <c r="H1762" i="1" s="1"/>
  <c r="G1762" i="1" a="1"/>
  <c r="G1762" i="1" s="1"/>
  <c r="D1762" i="1" s="1"/>
  <c r="I1761" i="1" a="1"/>
  <c r="I1761" i="1" s="1"/>
  <c r="H1761" i="1" a="1"/>
  <c r="H1761" i="1"/>
  <c r="G1761" i="1" a="1"/>
  <c r="G1761" i="1"/>
  <c r="D1761" i="1" s="1"/>
  <c r="I1760" i="1" a="1"/>
  <c r="I1760" i="1" s="1"/>
  <c r="H1760" i="1" a="1"/>
  <c r="H1760" i="1" s="1"/>
  <c r="G1760" i="1" a="1"/>
  <c r="G1760" i="1" s="1"/>
  <c r="I1759" i="1" a="1"/>
  <c r="I1759" i="1"/>
  <c r="H1759" i="1" a="1"/>
  <c r="H1759" i="1" s="1"/>
  <c r="G1759" i="1" a="1"/>
  <c r="G1759" i="1"/>
  <c r="D1759" i="1" s="1"/>
  <c r="I1758" i="1" a="1"/>
  <c r="I1758" i="1" s="1"/>
  <c r="H1758" i="1" a="1"/>
  <c r="H1758" i="1" s="1"/>
  <c r="D1758" i="1" s="1"/>
  <c r="G1758" i="1" a="1"/>
  <c r="G1758" i="1" s="1"/>
  <c r="I1757" i="1" a="1"/>
  <c r="I1757" i="1"/>
  <c r="H1757" i="1" a="1"/>
  <c r="H1757" i="1"/>
  <c r="G1757" i="1" a="1"/>
  <c r="G1757" i="1" s="1"/>
  <c r="I1756" i="1" a="1"/>
  <c r="I1756" i="1" s="1"/>
  <c r="H1756" i="1" a="1"/>
  <c r="H1756" i="1" s="1"/>
  <c r="G1756" i="1" a="1"/>
  <c r="G1756" i="1" s="1"/>
  <c r="D1756" i="1" s="1"/>
  <c r="I1755" i="1" a="1"/>
  <c r="I1755" i="1"/>
  <c r="H1755" i="1" a="1"/>
  <c r="H1755" i="1"/>
  <c r="G1755" i="1" a="1"/>
  <c r="G1755" i="1"/>
  <c r="D1755" i="1"/>
  <c r="I1754" i="1" a="1"/>
  <c r="I1754" i="1" s="1"/>
  <c r="H1754" i="1" a="1"/>
  <c r="H1754" i="1" s="1"/>
  <c r="G1754" i="1" a="1"/>
  <c r="G1754" i="1" s="1"/>
  <c r="D1754" i="1"/>
  <c r="I1753" i="1" a="1"/>
  <c r="I1753" i="1" s="1"/>
  <c r="H1753" i="1" a="1"/>
  <c r="H1753" i="1"/>
  <c r="G1753" i="1" a="1"/>
  <c r="G1753" i="1"/>
  <c r="D1753" i="1" s="1"/>
  <c r="I1752" i="1" a="1"/>
  <c r="I1752" i="1" s="1"/>
  <c r="H1752" i="1" a="1"/>
  <c r="H1752" i="1" s="1"/>
  <c r="G1752" i="1" a="1"/>
  <c r="G1752" i="1" s="1"/>
  <c r="I1751" i="1" a="1"/>
  <c r="I1751" i="1"/>
  <c r="H1751" i="1" a="1"/>
  <c r="H1751" i="1" s="1"/>
  <c r="G1751" i="1" a="1"/>
  <c r="G1751" i="1"/>
  <c r="I1750" i="1" a="1"/>
  <c r="I1750" i="1" s="1"/>
  <c r="H1750" i="1" a="1"/>
  <c r="H1750" i="1" s="1"/>
  <c r="G1750" i="1" a="1"/>
  <c r="G1750" i="1" s="1"/>
  <c r="D1750" i="1"/>
  <c r="I1749" i="1" a="1"/>
  <c r="I1749" i="1"/>
  <c r="H1749" i="1" a="1"/>
  <c r="H1749" i="1"/>
  <c r="G1749" i="1" a="1"/>
  <c r="G1749" i="1" s="1"/>
  <c r="I1748" i="1" a="1"/>
  <c r="I1748" i="1" s="1"/>
  <c r="H1748" i="1" a="1"/>
  <c r="H1748" i="1" s="1"/>
  <c r="G1748" i="1" a="1"/>
  <c r="G1748" i="1" s="1"/>
  <c r="D1748" i="1" s="1"/>
  <c r="I1747" i="1" a="1"/>
  <c r="I1747" i="1"/>
  <c r="H1747" i="1" a="1"/>
  <c r="H1747" i="1"/>
  <c r="G1747" i="1" a="1"/>
  <c r="G1747" i="1"/>
  <c r="D1747" i="1"/>
  <c r="I1746" i="1" a="1"/>
  <c r="I1746" i="1" s="1"/>
  <c r="H1746" i="1" a="1"/>
  <c r="H1746" i="1" s="1"/>
  <c r="G1746" i="1" a="1"/>
  <c r="G1746" i="1" s="1"/>
  <c r="D1746" i="1" s="1"/>
  <c r="I1745" i="1" a="1"/>
  <c r="I1745" i="1" s="1"/>
  <c r="H1745" i="1" a="1"/>
  <c r="H1745" i="1"/>
  <c r="G1745" i="1" a="1"/>
  <c r="G1745" i="1"/>
  <c r="D1745" i="1" s="1"/>
  <c r="I1744" i="1" a="1"/>
  <c r="I1744" i="1"/>
  <c r="H1744" i="1" a="1"/>
  <c r="H1744" i="1" s="1"/>
  <c r="G1744" i="1" a="1"/>
  <c r="G1744" i="1" s="1"/>
  <c r="I1743" i="1" a="1"/>
  <c r="I1743" i="1"/>
  <c r="H1743" i="1" a="1"/>
  <c r="H1743" i="1" s="1"/>
  <c r="G1743" i="1" a="1"/>
  <c r="G1743" i="1"/>
  <c r="I1742" i="1" a="1"/>
  <c r="I1742" i="1" s="1"/>
  <c r="H1742" i="1" a="1"/>
  <c r="H1742" i="1" s="1"/>
  <c r="D1742" i="1" s="1"/>
  <c r="G1742" i="1" a="1"/>
  <c r="G1742" i="1" s="1"/>
  <c r="I1741" i="1" a="1"/>
  <c r="I1741" i="1"/>
  <c r="H1741" i="1" a="1"/>
  <c r="H1741" i="1"/>
  <c r="G1741" i="1" a="1"/>
  <c r="G1741" i="1" s="1"/>
  <c r="I1740" i="1" a="1"/>
  <c r="I1740" i="1" s="1"/>
  <c r="H1740" i="1" a="1"/>
  <c r="H1740" i="1" s="1"/>
  <c r="G1740" i="1" a="1"/>
  <c r="G1740" i="1" s="1"/>
  <c r="D1740" i="1" s="1"/>
  <c r="I1739" i="1" a="1"/>
  <c r="I1739" i="1"/>
  <c r="D1739" i="1" s="1"/>
  <c r="H1739" i="1" a="1"/>
  <c r="H1739" i="1"/>
  <c r="G1739" i="1" a="1"/>
  <c r="G1739" i="1"/>
  <c r="I1738" i="1" a="1"/>
  <c r="I1738" i="1" s="1"/>
  <c r="H1738" i="1" a="1"/>
  <c r="H1738" i="1" s="1"/>
  <c r="G1738" i="1" a="1"/>
  <c r="G1738" i="1" s="1"/>
  <c r="D1738" i="1" s="1"/>
  <c r="I1737" i="1" a="1"/>
  <c r="I1737" i="1" s="1"/>
  <c r="H1737" i="1" a="1"/>
  <c r="H1737" i="1"/>
  <c r="G1737" i="1" a="1"/>
  <c r="G1737" i="1"/>
  <c r="D1737" i="1" s="1"/>
  <c r="I1736" i="1" a="1"/>
  <c r="I1736" i="1"/>
  <c r="H1736" i="1" a="1"/>
  <c r="H1736" i="1" s="1"/>
  <c r="G1736" i="1" a="1"/>
  <c r="G1736" i="1" s="1"/>
  <c r="I1735" i="1" a="1"/>
  <c r="I1735" i="1"/>
  <c r="H1735" i="1" a="1"/>
  <c r="H1735" i="1" s="1"/>
  <c r="G1735" i="1" a="1"/>
  <c r="G1735" i="1"/>
  <c r="D1735" i="1" s="1"/>
  <c r="I1734" i="1" a="1"/>
  <c r="I1734" i="1" s="1"/>
  <c r="H1734" i="1" a="1"/>
  <c r="H1734" i="1" s="1"/>
  <c r="D1734" i="1" s="1"/>
  <c r="G1734" i="1" a="1"/>
  <c r="G1734" i="1" s="1"/>
  <c r="I1733" i="1" a="1"/>
  <c r="I1733" i="1"/>
  <c r="H1733" i="1" a="1"/>
  <c r="H1733" i="1"/>
  <c r="G1733" i="1" a="1"/>
  <c r="G1733" i="1" s="1"/>
  <c r="I1732" i="1" a="1"/>
  <c r="I1732" i="1" s="1"/>
  <c r="H1732" i="1" a="1"/>
  <c r="H1732" i="1" s="1"/>
  <c r="G1732" i="1" a="1"/>
  <c r="G1732" i="1" s="1"/>
  <c r="D1732" i="1" s="1"/>
  <c r="I1731" i="1" a="1"/>
  <c r="I1731" i="1"/>
  <c r="H1731" i="1" a="1"/>
  <c r="H1731" i="1"/>
  <c r="G1731" i="1" a="1"/>
  <c r="G1731" i="1"/>
  <c r="D1731" i="1"/>
  <c r="I1730" i="1" a="1"/>
  <c r="I1730" i="1" s="1"/>
  <c r="H1730" i="1" a="1"/>
  <c r="H1730" i="1" s="1"/>
  <c r="G1730" i="1" a="1"/>
  <c r="G1730" i="1" s="1"/>
  <c r="D1730" i="1" s="1"/>
  <c r="I1729" i="1" a="1"/>
  <c r="I1729" i="1" s="1"/>
  <c r="H1729" i="1" a="1"/>
  <c r="H1729" i="1"/>
  <c r="G1729" i="1" a="1"/>
  <c r="G1729" i="1"/>
  <c r="I1728" i="1" a="1"/>
  <c r="I1728" i="1" s="1"/>
  <c r="H1728" i="1" a="1"/>
  <c r="H1728" i="1" s="1"/>
  <c r="G1728" i="1" a="1"/>
  <c r="G1728" i="1" s="1"/>
  <c r="I1727" i="1" a="1"/>
  <c r="I1727" i="1"/>
  <c r="H1727" i="1" a="1"/>
  <c r="H1727" i="1"/>
  <c r="G1727" i="1" a="1"/>
  <c r="G1727" i="1"/>
  <c r="I1726" i="1" a="1"/>
  <c r="I1726" i="1" s="1"/>
  <c r="H1726" i="1" a="1"/>
  <c r="H1726" i="1"/>
  <c r="D1726" i="1" s="1"/>
  <c r="G1726" i="1" a="1"/>
  <c r="G1726" i="1" s="1"/>
  <c r="I1725" i="1" a="1"/>
  <c r="I1725" i="1"/>
  <c r="H1725" i="1" a="1"/>
  <c r="H1725" i="1"/>
  <c r="G1725" i="1" a="1"/>
  <c r="G1725" i="1"/>
  <c r="D1725" i="1" s="1"/>
  <c r="I1724" i="1" a="1"/>
  <c r="I1724" i="1"/>
  <c r="H1724" i="1" a="1"/>
  <c r="H1724" i="1" s="1"/>
  <c r="G1724" i="1" a="1"/>
  <c r="G1724" i="1" s="1"/>
  <c r="I1723" i="1" a="1"/>
  <c r="I1723" i="1" s="1"/>
  <c r="H1723" i="1" a="1"/>
  <c r="H1723" i="1"/>
  <c r="G1723" i="1" a="1"/>
  <c r="G1723" i="1" s="1"/>
  <c r="I1722" i="1" a="1"/>
  <c r="I1722" i="1"/>
  <c r="H1722" i="1" a="1"/>
  <c r="H1722" i="1"/>
  <c r="G1722" i="1" a="1"/>
  <c r="G1722" i="1"/>
  <c r="I1721" i="1" a="1"/>
  <c r="I1721" i="1" s="1"/>
  <c r="H1721" i="1" a="1"/>
  <c r="H1721" i="1" s="1"/>
  <c r="G1721" i="1" a="1"/>
  <c r="G1721" i="1"/>
  <c r="D1721" i="1" s="1"/>
  <c r="I1720" i="1" a="1"/>
  <c r="I1720" i="1" s="1"/>
  <c r="H1720" i="1" a="1"/>
  <c r="H1720" i="1"/>
  <c r="G1720" i="1" a="1"/>
  <c r="G1720" i="1"/>
  <c r="D1720" i="1" s="1"/>
  <c r="I1719" i="1" a="1"/>
  <c r="I1719" i="1" s="1"/>
  <c r="H1719" i="1" a="1"/>
  <c r="H1719" i="1" s="1"/>
  <c r="G1719" i="1" a="1"/>
  <c r="G1719" i="1" s="1"/>
  <c r="D1719" i="1" s="1"/>
  <c r="I1718" i="1" a="1"/>
  <c r="I1718" i="1"/>
  <c r="H1718" i="1" a="1"/>
  <c r="H1718" i="1" s="1"/>
  <c r="G1718" i="1" a="1"/>
  <c r="G1718" i="1"/>
  <c r="I1717" i="1" a="1"/>
  <c r="I1717" i="1" s="1"/>
  <c r="H1717" i="1" a="1"/>
  <c r="H1717" i="1" s="1"/>
  <c r="G1717" i="1" a="1"/>
  <c r="G1717" i="1" s="1"/>
  <c r="D1717" i="1"/>
  <c r="I1716" i="1" a="1"/>
  <c r="I1716" i="1"/>
  <c r="H1716" i="1" a="1"/>
  <c r="H1716" i="1" s="1"/>
  <c r="G1716" i="1" a="1"/>
  <c r="G1716" i="1" s="1"/>
  <c r="I1715" i="1" a="1"/>
  <c r="I1715" i="1" s="1"/>
  <c r="H1715" i="1" a="1"/>
  <c r="H1715" i="1"/>
  <c r="G1715" i="1" a="1"/>
  <c r="G1715" i="1" s="1"/>
  <c r="I1714" i="1" a="1"/>
  <c r="I1714" i="1"/>
  <c r="H1714" i="1" a="1"/>
  <c r="H1714" i="1"/>
  <c r="G1714" i="1" a="1"/>
  <c r="G1714" i="1"/>
  <c r="I1713" i="1" a="1"/>
  <c r="I1713" i="1" s="1"/>
  <c r="H1713" i="1" a="1"/>
  <c r="H1713" i="1" s="1"/>
  <c r="G1713" i="1" a="1"/>
  <c r="G1713" i="1"/>
  <c r="D1713" i="1" s="1"/>
  <c r="I1712" i="1" a="1"/>
  <c r="I1712" i="1" s="1"/>
  <c r="H1712" i="1" a="1"/>
  <c r="H1712" i="1"/>
  <c r="G1712" i="1" a="1"/>
  <c r="G1712" i="1"/>
  <c r="D1712" i="1" s="1"/>
  <c r="I1711" i="1" a="1"/>
  <c r="I1711" i="1" s="1"/>
  <c r="H1711" i="1" a="1"/>
  <c r="H1711" i="1" s="1"/>
  <c r="G1711" i="1" a="1"/>
  <c r="G1711" i="1" s="1"/>
  <c r="I1710" i="1" a="1"/>
  <c r="I1710" i="1"/>
  <c r="H1710" i="1" a="1"/>
  <c r="H1710" i="1" s="1"/>
  <c r="G1710" i="1" a="1"/>
  <c r="G1710" i="1"/>
  <c r="D1710" i="1" s="1"/>
  <c r="I1709" i="1" a="1"/>
  <c r="I1709" i="1" s="1"/>
  <c r="H1709" i="1" a="1"/>
  <c r="H1709" i="1" s="1"/>
  <c r="G1709" i="1" a="1"/>
  <c r="G1709" i="1" s="1"/>
  <c r="D1709" i="1" s="1"/>
  <c r="I1708" i="1" a="1"/>
  <c r="I1708" i="1"/>
  <c r="H1708" i="1" a="1"/>
  <c r="H1708" i="1" s="1"/>
  <c r="G1708" i="1" a="1"/>
  <c r="G1708" i="1" s="1"/>
  <c r="I1707" i="1" a="1"/>
  <c r="I1707" i="1" s="1"/>
  <c r="H1707" i="1" a="1"/>
  <c r="H1707" i="1"/>
  <c r="G1707" i="1" a="1"/>
  <c r="G1707" i="1" s="1"/>
  <c r="I1706" i="1" a="1"/>
  <c r="I1706" i="1"/>
  <c r="H1706" i="1" a="1"/>
  <c r="H1706" i="1"/>
  <c r="G1706" i="1" a="1"/>
  <c r="G1706" i="1"/>
  <c r="D1706" i="1" s="1"/>
  <c r="I1705" i="1" a="1"/>
  <c r="I1705" i="1" s="1"/>
  <c r="H1705" i="1" a="1"/>
  <c r="H1705" i="1" s="1"/>
  <c r="G1705" i="1" a="1"/>
  <c r="G1705" i="1"/>
  <c r="I1704" i="1" a="1"/>
  <c r="I1704" i="1" s="1"/>
  <c r="H1704" i="1" a="1"/>
  <c r="H1704" i="1"/>
  <c r="G1704" i="1" a="1"/>
  <c r="G1704" i="1"/>
  <c r="D1704" i="1" s="1"/>
  <c r="I1703" i="1" a="1"/>
  <c r="I1703" i="1" s="1"/>
  <c r="H1703" i="1" a="1"/>
  <c r="H1703" i="1" s="1"/>
  <c r="G1703" i="1" a="1"/>
  <c r="G1703" i="1" s="1"/>
  <c r="I1702" i="1" a="1"/>
  <c r="I1702" i="1"/>
  <c r="H1702" i="1" a="1"/>
  <c r="H1702" i="1" s="1"/>
  <c r="G1702" i="1" a="1"/>
  <c r="G1702" i="1"/>
  <c r="D1702" i="1" s="1"/>
  <c r="I1701" i="1" a="1"/>
  <c r="I1701" i="1" s="1"/>
  <c r="D1701" i="1" s="1"/>
  <c r="H1701" i="1" a="1"/>
  <c r="H1701" i="1" s="1"/>
  <c r="G1701" i="1" a="1"/>
  <c r="G1701" i="1" s="1"/>
  <c r="I1700" i="1" a="1"/>
  <c r="I1700" i="1"/>
  <c r="H1700" i="1" a="1"/>
  <c r="H1700" i="1" s="1"/>
  <c r="G1700" i="1" a="1"/>
  <c r="G1700" i="1" s="1"/>
  <c r="I1699" i="1" a="1"/>
  <c r="I1699" i="1" s="1"/>
  <c r="H1699" i="1" a="1"/>
  <c r="H1699" i="1"/>
  <c r="G1699" i="1" a="1"/>
  <c r="G1699" i="1" s="1"/>
  <c r="D1699" i="1" s="1"/>
  <c r="I1698" i="1" a="1"/>
  <c r="I1698" i="1"/>
  <c r="H1698" i="1" a="1"/>
  <c r="H1698" i="1"/>
  <c r="G1698" i="1" a="1"/>
  <c r="G1698" i="1"/>
  <c r="I1697" i="1" a="1"/>
  <c r="I1697" i="1" s="1"/>
  <c r="H1697" i="1" a="1"/>
  <c r="H1697" i="1" s="1"/>
  <c r="G1697" i="1" a="1"/>
  <c r="G1697" i="1"/>
  <c r="D1697" i="1" s="1"/>
  <c r="I1696" i="1" a="1"/>
  <c r="I1696" i="1" s="1"/>
  <c r="H1696" i="1" a="1"/>
  <c r="H1696" i="1"/>
  <c r="G1696" i="1" a="1"/>
  <c r="G1696" i="1"/>
  <c r="I1695" i="1" a="1"/>
  <c r="I1695" i="1" s="1"/>
  <c r="D1695" i="1" s="1"/>
  <c r="H1695" i="1" a="1"/>
  <c r="H1695" i="1" s="1"/>
  <c r="G1695" i="1" a="1"/>
  <c r="G1695" i="1" s="1"/>
  <c r="I1694" i="1" a="1"/>
  <c r="I1694" i="1"/>
  <c r="H1694" i="1" a="1"/>
  <c r="H1694" i="1" s="1"/>
  <c r="G1694" i="1" a="1"/>
  <c r="G1694" i="1"/>
  <c r="I1693" i="1" a="1"/>
  <c r="I1693" i="1" s="1"/>
  <c r="H1693" i="1" a="1"/>
  <c r="H1693" i="1" s="1"/>
  <c r="G1693" i="1" a="1"/>
  <c r="G1693" i="1" s="1"/>
  <c r="D1693" i="1" s="1"/>
  <c r="I1692" i="1" a="1"/>
  <c r="I1692" i="1"/>
  <c r="H1692" i="1" a="1"/>
  <c r="H1692" i="1" s="1"/>
  <c r="G1692" i="1" a="1"/>
  <c r="G1692" i="1" s="1"/>
  <c r="I1691" i="1" a="1"/>
  <c r="I1691" i="1" s="1"/>
  <c r="H1691" i="1" a="1"/>
  <c r="H1691" i="1" s="1"/>
  <c r="G1691" i="1" a="1"/>
  <c r="G1691" i="1" s="1"/>
  <c r="I1690" i="1" a="1"/>
  <c r="I1690" i="1"/>
  <c r="H1690" i="1" a="1"/>
  <c r="H1690" i="1"/>
  <c r="G1690" i="1" a="1"/>
  <c r="G1690" i="1"/>
  <c r="I1689" i="1" a="1"/>
  <c r="I1689" i="1" s="1"/>
  <c r="H1689" i="1" a="1"/>
  <c r="H1689" i="1" s="1"/>
  <c r="G1689" i="1" a="1"/>
  <c r="G1689" i="1"/>
  <c r="D1689" i="1" s="1"/>
  <c r="I1688" i="1" a="1"/>
  <c r="I1688" i="1" s="1"/>
  <c r="H1688" i="1" a="1"/>
  <c r="H1688" i="1"/>
  <c r="G1688" i="1" a="1"/>
  <c r="G1688" i="1"/>
  <c r="D1688" i="1" s="1"/>
  <c r="I1687" i="1" a="1"/>
  <c r="I1687" i="1" s="1"/>
  <c r="D1687" i="1" s="1"/>
  <c r="H1687" i="1" a="1"/>
  <c r="H1687" i="1" s="1"/>
  <c r="G1687" i="1" a="1"/>
  <c r="G1687" i="1" s="1"/>
  <c r="I1686" i="1" a="1"/>
  <c r="I1686" i="1" s="1"/>
  <c r="H1686" i="1" a="1"/>
  <c r="H1686" i="1" s="1"/>
  <c r="G1686" i="1" a="1"/>
  <c r="G1686" i="1"/>
  <c r="I1685" i="1" a="1"/>
  <c r="I1685" i="1" s="1"/>
  <c r="H1685" i="1" a="1"/>
  <c r="H1685" i="1" s="1"/>
  <c r="G1685" i="1" a="1"/>
  <c r="G1685" i="1" s="1"/>
  <c r="D1685" i="1" s="1"/>
  <c r="I1684" i="1" a="1"/>
  <c r="I1684" i="1"/>
  <c r="H1684" i="1" a="1"/>
  <c r="H1684" i="1" s="1"/>
  <c r="G1684" i="1" a="1"/>
  <c r="G1684" i="1" s="1"/>
  <c r="I1683" i="1" a="1"/>
  <c r="I1683" i="1" s="1"/>
  <c r="H1683" i="1" a="1"/>
  <c r="H1683" i="1"/>
  <c r="G1683" i="1" a="1"/>
  <c r="G1683" i="1" s="1"/>
  <c r="I1682" i="1" a="1"/>
  <c r="I1682" i="1"/>
  <c r="H1682" i="1" a="1"/>
  <c r="H1682" i="1"/>
  <c r="G1682" i="1" a="1"/>
  <c r="G1682" i="1"/>
  <c r="D1682" i="1" s="1"/>
  <c r="I1681" i="1" a="1"/>
  <c r="I1681" i="1" s="1"/>
  <c r="H1681" i="1" a="1"/>
  <c r="H1681" i="1" s="1"/>
  <c r="G1681" i="1" a="1"/>
  <c r="G1681" i="1"/>
  <c r="I1680" i="1" a="1"/>
  <c r="I1680" i="1" s="1"/>
  <c r="H1680" i="1" a="1"/>
  <c r="H1680" i="1"/>
  <c r="G1680" i="1" a="1"/>
  <c r="G1680" i="1"/>
  <c r="D1680" i="1" s="1"/>
  <c r="I1679" i="1" a="1"/>
  <c r="I1679" i="1" s="1"/>
  <c r="D1679" i="1" s="1"/>
  <c r="H1679" i="1" a="1"/>
  <c r="H1679" i="1" s="1"/>
  <c r="G1679" i="1" a="1"/>
  <c r="G1679" i="1" s="1"/>
  <c r="I1678" i="1" a="1"/>
  <c r="I1678" i="1" s="1"/>
  <c r="H1678" i="1" a="1"/>
  <c r="H1678" i="1" s="1"/>
  <c r="G1678" i="1" a="1"/>
  <c r="G1678" i="1"/>
  <c r="I1677" i="1" a="1"/>
  <c r="I1677" i="1" s="1"/>
  <c r="H1677" i="1" a="1"/>
  <c r="H1677" i="1" s="1"/>
  <c r="G1677" i="1" a="1"/>
  <c r="G1677" i="1" s="1"/>
  <c r="D1677" i="1"/>
  <c r="I1676" i="1" a="1"/>
  <c r="I1676" i="1"/>
  <c r="H1676" i="1" a="1"/>
  <c r="H1676" i="1" s="1"/>
  <c r="G1676" i="1" a="1"/>
  <c r="G1676" i="1" s="1"/>
  <c r="I1675" i="1" a="1"/>
  <c r="I1675" i="1" s="1"/>
  <c r="H1675" i="1" a="1"/>
  <c r="H1675" i="1"/>
  <c r="G1675" i="1" a="1"/>
  <c r="G1675" i="1" s="1"/>
  <c r="D1675" i="1" s="1"/>
  <c r="I1674" i="1" a="1"/>
  <c r="I1674" i="1"/>
  <c r="H1674" i="1" a="1"/>
  <c r="H1674" i="1"/>
  <c r="G1674" i="1" a="1"/>
  <c r="G1674" i="1"/>
  <c r="I1673" i="1" a="1"/>
  <c r="I1673" i="1" s="1"/>
  <c r="H1673" i="1" a="1"/>
  <c r="H1673" i="1" s="1"/>
  <c r="G1673" i="1" a="1"/>
  <c r="G1673" i="1"/>
  <c r="I1672" i="1" a="1"/>
  <c r="I1672" i="1" s="1"/>
  <c r="H1672" i="1" a="1"/>
  <c r="H1672" i="1"/>
  <c r="G1672" i="1" a="1"/>
  <c r="G1672" i="1"/>
  <c r="D1672" i="1" s="1"/>
  <c r="I1671" i="1" a="1"/>
  <c r="I1671" i="1" s="1"/>
  <c r="D1671" i="1" s="1"/>
  <c r="H1671" i="1" a="1"/>
  <c r="H1671" i="1" s="1"/>
  <c r="G1671" i="1" a="1"/>
  <c r="G1671" i="1" s="1"/>
  <c r="I1670" i="1" a="1"/>
  <c r="I1670" i="1" s="1"/>
  <c r="H1670" i="1" a="1"/>
  <c r="H1670" i="1" s="1"/>
  <c r="G1670" i="1" a="1"/>
  <c r="G1670" i="1"/>
  <c r="I1669" i="1" a="1"/>
  <c r="I1669" i="1" s="1"/>
  <c r="D1669" i="1" s="1"/>
  <c r="H1669" i="1" a="1"/>
  <c r="H1669" i="1" s="1"/>
  <c r="G1669" i="1" a="1"/>
  <c r="G1669" i="1" s="1"/>
  <c r="I1668" i="1" a="1"/>
  <c r="I1668" i="1"/>
  <c r="H1668" i="1" a="1"/>
  <c r="H1668" i="1" s="1"/>
  <c r="G1668" i="1" a="1"/>
  <c r="G1668" i="1" s="1"/>
  <c r="I1667" i="1" a="1"/>
  <c r="I1667" i="1"/>
  <c r="H1667" i="1" a="1"/>
  <c r="H1667" i="1"/>
  <c r="G1667" i="1" a="1"/>
  <c r="G1667" i="1" s="1"/>
  <c r="I1666" i="1" a="1"/>
  <c r="I1666" i="1"/>
  <c r="H1666" i="1" a="1"/>
  <c r="H1666" i="1"/>
  <c r="G1666" i="1" a="1"/>
  <c r="G1666" i="1" s="1"/>
  <c r="D1666" i="1" s="1"/>
  <c r="I1665" i="1" a="1"/>
  <c r="I1665" i="1" s="1"/>
  <c r="H1665" i="1" a="1"/>
  <c r="H1665" i="1"/>
  <c r="G1665" i="1" a="1"/>
  <c r="G1665" i="1" s="1"/>
  <c r="I1664" i="1" a="1"/>
  <c r="I1664" i="1" s="1"/>
  <c r="H1664" i="1" a="1"/>
  <c r="H1664" i="1"/>
  <c r="G1664" i="1" a="1"/>
  <c r="G1664" i="1"/>
  <c r="D1664" i="1" s="1"/>
  <c r="I1663" i="1" a="1"/>
  <c r="I1663" i="1" s="1"/>
  <c r="H1663" i="1" a="1"/>
  <c r="H1663" i="1" s="1"/>
  <c r="G1663" i="1" a="1"/>
  <c r="G1663" i="1"/>
  <c r="D1663" i="1"/>
  <c r="I1662" i="1" a="1"/>
  <c r="I1662" i="1"/>
  <c r="D1662" i="1" s="1"/>
  <c r="H1662" i="1" a="1"/>
  <c r="H1662" i="1" s="1"/>
  <c r="G1662" i="1" a="1"/>
  <c r="G1662" i="1"/>
  <c r="I1661" i="1" a="1"/>
  <c r="I1661" i="1"/>
  <c r="H1661" i="1" a="1"/>
  <c r="H1661" i="1" s="1"/>
  <c r="G1661" i="1" a="1"/>
  <c r="G1661" i="1" s="1"/>
  <c r="I1660" i="1" a="1"/>
  <c r="I1660" i="1"/>
  <c r="H1660" i="1" a="1"/>
  <c r="H1660" i="1" s="1"/>
  <c r="G1660" i="1" a="1"/>
  <c r="G1660" i="1" s="1"/>
  <c r="I1659" i="1" a="1"/>
  <c r="I1659" i="1"/>
  <c r="H1659" i="1" a="1"/>
  <c r="H1659" i="1" s="1"/>
  <c r="G1659" i="1" a="1"/>
  <c r="G1659" i="1" s="1"/>
  <c r="I1658" i="1" a="1"/>
  <c r="I1658" i="1"/>
  <c r="H1658" i="1" a="1"/>
  <c r="H1658" i="1" s="1"/>
  <c r="G1658" i="1" a="1"/>
  <c r="G1658" i="1" s="1"/>
  <c r="D1658" i="1" s="1"/>
  <c r="I1657" i="1" a="1"/>
  <c r="I1657" i="1" s="1"/>
  <c r="H1657" i="1" a="1"/>
  <c r="H1657" i="1"/>
  <c r="G1657" i="1" a="1"/>
  <c r="G1657" i="1" s="1"/>
  <c r="D1657" i="1" s="1"/>
  <c r="I1656" i="1" a="1"/>
  <c r="I1656" i="1" s="1"/>
  <c r="H1656" i="1" a="1"/>
  <c r="H1656" i="1"/>
  <c r="G1656" i="1" a="1"/>
  <c r="G1656" i="1"/>
  <c r="D1656" i="1" s="1"/>
  <c r="I1655" i="1" a="1"/>
  <c r="I1655" i="1" s="1"/>
  <c r="H1655" i="1" a="1"/>
  <c r="H1655" i="1" s="1"/>
  <c r="G1655" i="1" a="1"/>
  <c r="G1655" i="1" s="1"/>
  <c r="I1654" i="1" a="1"/>
  <c r="I1654" i="1"/>
  <c r="H1654" i="1" a="1"/>
  <c r="H1654" i="1" s="1"/>
  <c r="G1654" i="1" a="1"/>
  <c r="G1654" i="1"/>
  <c r="D1654" i="1"/>
  <c r="I1653" i="1" a="1"/>
  <c r="I1653" i="1" s="1"/>
  <c r="D1653" i="1" s="1"/>
  <c r="H1653" i="1" a="1"/>
  <c r="H1653" i="1" s="1"/>
  <c r="G1653" i="1" a="1"/>
  <c r="G1653" i="1" s="1"/>
  <c r="I1652" i="1" a="1"/>
  <c r="I1652" i="1" s="1"/>
  <c r="H1652" i="1" a="1"/>
  <c r="H1652" i="1" s="1"/>
  <c r="G1652" i="1" a="1"/>
  <c r="G1652" i="1" s="1"/>
  <c r="I1651" i="1" a="1"/>
  <c r="I1651" i="1"/>
  <c r="H1651" i="1" a="1"/>
  <c r="H1651" i="1" s="1"/>
  <c r="G1651" i="1" a="1"/>
  <c r="G1651" i="1" s="1"/>
  <c r="I1650" i="1" a="1"/>
  <c r="I1650" i="1"/>
  <c r="H1650" i="1" a="1"/>
  <c r="H1650" i="1"/>
  <c r="G1650" i="1" a="1"/>
  <c r="G1650" i="1" s="1"/>
  <c r="D1650" i="1" s="1"/>
  <c r="I1649" i="1" a="1"/>
  <c r="I1649" i="1" s="1"/>
  <c r="H1649" i="1" a="1"/>
  <c r="H1649" i="1"/>
  <c r="G1649" i="1" a="1"/>
  <c r="G1649" i="1" s="1"/>
  <c r="I1648" i="1" a="1"/>
  <c r="I1648" i="1" s="1"/>
  <c r="H1648" i="1" a="1"/>
  <c r="H1648" i="1"/>
  <c r="G1648" i="1" a="1"/>
  <c r="G1648" i="1"/>
  <c r="I1647" i="1" a="1"/>
  <c r="I1647" i="1" s="1"/>
  <c r="H1647" i="1" a="1"/>
  <c r="H1647" i="1" s="1"/>
  <c r="G1647" i="1" a="1"/>
  <c r="G1647" i="1" s="1"/>
  <c r="D1647" i="1" s="1"/>
  <c r="I1646" i="1" a="1"/>
  <c r="I1646" i="1"/>
  <c r="H1646" i="1" a="1"/>
  <c r="H1646" i="1" s="1"/>
  <c r="G1646" i="1" a="1"/>
  <c r="G1646" i="1"/>
  <c r="D1646" i="1"/>
  <c r="I1645" i="1" a="1"/>
  <c r="I1645" i="1"/>
  <c r="H1645" i="1" a="1"/>
  <c r="H1645" i="1" s="1"/>
  <c r="G1645" i="1" a="1"/>
  <c r="G1645" i="1" s="1"/>
  <c r="I1644" i="1" a="1"/>
  <c r="I1644" i="1"/>
  <c r="H1644" i="1" a="1"/>
  <c r="H1644" i="1" s="1"/>
  <c r="G1644" i="1" a="1"/>
  <c r="G1644" i="1" s="1"/>
  <c r="I1643" i="1" a="1"/>
  <c r="I1643" i="1"/>
  <c r="H1643" i="1" a="1"/>
  <c r="H1643" i="1" s="1"/>
  <c r="G1643" i="1" a="1"/>
  <c r="G1643" i="1" s="1"/>
  <c r="I1642" i="1" a="1"/>
  <c r="I1642" i="1"/>
  <c r="H1642" i="1" a="1"/>
  <c r="H1642" i="1" s="1"/>
  <c r="G1642" i="1" a="1"/>
  <c r="G1642" i="1" s="1"/>
  <c r="I1641" i="1" a="1"/>
  <c r="I1641" i="1" s="1"/>
  <c r="H1641" i="1" a="1"/>
  <c r="H1641" i="1"/>
  <c r="G1641" i="1" a="1"/>
  <c r="G1641" i="1"/>
  <c r="D1641" i="1" s="1"/>
  <c r="I1640" i="1" a="1"/>
  <c r="I1640" i="1" s="1"/>
  <c r="H1640" i="1" a="1"/>
  <c r="H1640" i="1"/>
  <c r="G1640" i="1" a="1"/>
  <c r="G1640" i="1"/>
  <c r="D1640" i="1" s="1"/>
  <c r="I1639" i="1" a="1"/>
  <c r="I1639" i="1" s="1"/>
  <c r="H1639" i="1" a="1"/>
  <c r="H1639" i="1" s="1"/>
  <c r="G1639" i="1" a="1"/>
  <c r="G1639" i="1" s="1"/>
  <c r="D1639" i="1" s="1"/>
  <c r="I1638" i="1" a="1"/>
  <c r="I1638" i="1" s="1"/>
  <c r="H1638" i="1" a="1"/>
  <c r="H1638" i="1" s="1"/>
  <c r="G1638" i="1" a="1"/>
  <c r="G1638" i="1"/>
  <c r="I1637" i="1" a="1"/>
  <c r="I1637" i="1"/>
  <c r="H1637" i="1" a="1"/>
  <c r="H1637" i="1" s="1"/>
  <c r="G1637" i="1" a="1"/>
  <c r="G1637" i="1" s="1"/>
  <c r="I1636" i="1" a="1"/>
  <c r="I1636" i="1" s="1"/>
  <c r="H1636" i="1" a="1"/>
  <c r="H1636" i="1"/>
  <c r="G1636" i="1" a="1"/>
  <c r="G1636" i="1" s="1"/>
  <c r="I1635" i="1" a="1"/>
  <c r="I1635" i="1"/>
  <c r="H1635" i="1" a="1"/>
  <c r="H1635" i="1"/>
  <c r="G1635" i="1" a="1"/>
  <c r="G1635" i="1" s="1"/>
  <c r="I1634" i="1" a="1"/>
  <c r="I1634" i="1"/>
  <c r="H1634" i="1" a="1"/>
  <c r="H1634" i="1"/>
  <c r="G1634" i="1" a="1"/>
  <c r="G1634" i="1"/>
  <c r="D1634" i="1" s="1"/>
  <c r="I1633" i="1" a="1"/>
  <c r="I1633" i="1" s="1"/>
  <c r="H1633" i="1" a="1"/>
  <c r="H1633" i="1"/>
  <c r="G1633" i="1" a="1"/>
  <c r="G1633" i="1" s="1"/>
  <c r="D1633" i="1" s="1"/>
  <c r="I1632" i="1" a="1"/>
  <c r="I1632" i="1" s="1"/>
  <c r="H1632" i="1" a="1"/>
  <c r="H1632" i="1"/>
  <c r="G1632" i="1" a="1"/>
  <c r="G1632" i="1"/>
  <c r="D1632" i="1" s="1"/>
  <c r="I1631" i="1" a="1"/>
  <c r="I1631" i="1" s="1"/>
  <c r="H1631" i="1" a="1"/>
  <c r="H1631" i="1" s="1"/>
  <c r="G1631" i="1" a="1"/>
  <c r="G1631" i="1" s="1"/>
  <c r="D1631" i="1" s="1"/>
  <c r="I1630" i="1" a="1"/>
  <c r="I1630" i="1" s="1"/>
  <c r="H1630" i="1" a="1"/>
  <c r="H1630" i="1" s="1"/>
  <c r="G1630" i="1" a="1"/>
  <c r="G1630" i="1"/>
  <c r="I1629" i="1" a="1"/>
  <c r="I1629" i="1"/>
  <c r="H1629" i="1" a="1"/>
  <c r="H1629" i="1"/>
  <c r="G1629" i="1" a="1"/>
  <c r="G1629" i="1" s="1"/>
  <c r="I1628" i="1" a="1"/>
  <c r="I1628" i="1" s="1"/>
  <c r="H1628" i="1" a="1"/>
  <c r="H1628" i="1"/>
  <c r="G1628" i="1" a="1"/>
  <c r="G1628" i="1" s="1"/>
  <c r="I1627" i="1" a="1"/>
  <c r="I1627" i="1"/>
  <c r="H1627" i="1" a="1"/>
  <c r="H1627" i="1"/>
  <c r="G1627" i="1" a="1"/>
  <c r="G1627" i="1" s="1"/>
  <c r="I1626" i="1" a="1"/>
  <c r="I1626" i="1"/>
  <c r="H1626" i="1" a="1"/>
  <c r="H1626" i="1" s="1"/>
  <c r="G1626" i="1" a="1"/>
  <c r="G1626" i="1"/>
  <c r="I1625" i="1" a="1"/>
  <c r="I1625" i="1" s="1"/>
  <c r="H1625" i="1" a="1"/>
  <c r="H1625" i="1"/>
  <c r="G1625" i="1" a="1"/>
  <c r="G1625" i="1" s="1"/>
  <c r="D1625" i="1" s="1"/>
  <c r="I1624" i="1" a="1"/>
  <c r="I1624" i="1" s="1"/>
  <c r="H1624" i="1" a="1"/>
  <c r="H1624" i="1"/>
  <c r="G1624" i="1" a="1"/>
  <c r="G1624" i="1"/>
  <c r="D1624" i="1"/>
  <c r="I1623" i="1" a="1"/>
  <c r="I1623" i="1" s="1"/>
  <c r="H1623" i="1" a="1"/>
  <c r="H1623" i="1" s="1"/>
  <c r="G1623" i="1" a="1"/>
  <c r="G1623" i="1" s="1"/>
  <c r="I1622" i="1" a="1"/>
  <c r="I1622" i="1"/>
  <c r="H1622" i="1" a="1"/>
  <c r="H1622" i="1" s="1"/>
  <c r="G1622" i="1" a="1"/>
  <c r="G1622" i="1"/>
  <c r="I1621" i="1" a="1"/>
  <c r="I1621" i="1"/>
  <c r="H1621" i="1" a="1"/>
  <c r="H1621" i="1"/>
  <c r="G1621" i="1" a="1"/>
  <c r="G1621" i="1" s="1"/>
  <c r="D1621" i="1" s="1"/>
  <c r="I1620" i="1" a="1"/>
  <c r="I1620" i="1" s="1"/>
  <c r="H1620" i="1" a="1"/>
  <c r="H1620" i="1"/>
  <c r="G1620" i="1" a="1"/>
  <c r="G1620" i="1" s="1"/>
  <c r="I1619" i="1" a="1"/>
  <c r="I1619" i="1" s="1"/>
  <c r="H1619" i="1" a="1"/>
  <c r="H1619" i="1"/>
  <c r="G1619" i="1" a="1"/>
  <c r="G1619" i="1" s="1"/>
  <c r="I1618" i="1" a="1"/>
  <c r="I1618" i="1"/>
  <c r="H1618" i="1" a="1"/>
  <c r="H1618" i="1" s="1"/>
  <c r="G1618" i="1" a="1"/>
  <c r="G1618" i="1"/>
  <c r="I1617" i="1" a="1"/>
  <c r="I1617" i="1" s="1"/>
  <c r="H1617" i="1" a="1"/>
  <c r="H1617" i="1"/>
  <c r="G1617" i="1" a="1"/>
  <c r="G1617" i="1" s="1"/>
  <c r="D1617" i="1" s="1"/>
  <c r="I1616" i="1" a="1"/>
  <c r="I1616" i="1" s="1"/>
  <c r="H1616" i="1" a="1"/>
  <c r="H1616" i="1"/>
  <c r="G1616" i="1" a="1"/>
  <c r="G1616" i="1"/>
  <c r="D1616" i="1" s="1"/>
  <c r="I1615" i="1" a="1"/>
  <c r="I1615" i="1" s="1"/>
  <c r="H1615" i="1" a="1"/>
  <c r="H1615" i="1" s="1"/>
  <c r="G1615" i="1" a="1"/>
  <c r="G1615" i="1" s="1"/>
  <c r="I1614" i="1" a="1"/>
  <c r="I1614" i="1"/>
  <c r="H1614" i="1" a="1"/>
  <c r="H1614" i="1" s="1"/>
  <c r="G1614" i="1" a="1"/>
  <c r="G1614" i="1"/>
  <c r="I1613" i="1" a="1"/>
  <c r="I1613" i="1"/>
  <c r="H1613" i="1" a="1"/>
  <c r="H1613" i="1" s="1"/>
  <c r="G1613" i="1" a="1"/>
  <c r="G1613" i="1" s="1"/>
  <c r="I1612" i="1" a="1"/>
  <c r="I1612" i="1" s="1"/>
  <c r="H1612" i="1" a="1"/>
  <c r="H1612" i="1"/>
  <c r="G1612" i="1" a="1"/>
  <c r="G1612" i="1" s="1"/>
  <c r="I1611" i="1" a="1"/>
  <c r="I1611" i="1" s="1"/>
  <c r="H1611" i="1" a="1"/>
  <c r="H1611" i="1"/>
  <c r="G1611" i="1" a="1"/>
  <c r="G1611" i="1" s="1"/>
  <c r="I1610" i="1" a="1"/>
  <c r="I1610" i="1"/>
  <c r="H1610" i="1" a="1"/>
  <c r="H1610" i="1" s="1"/>
  <c r="G1610" i="1" a="1"/>
  <c r="G1610" i="1"/>
  <c r="I1609" i="1" a="1"/>
  <c r="I1609" i="1" s="1"/>
  <c r="H1609" i="1" a="1"/>
  <c r="H1609" i="1"/>
  <c r="G1609" i="1" a="1"/>
  <c r="G1609" i="1"/>
  <c r="D1609" i="1" s="1"/>
  <c r="I1608" i="1" a="1"/>
  <c r="I1608" i="1" s="1"/>
  <c r="H1608" i="1" a="1"/>
  <c r="H1608" i="1"/>
  <c r="G1608" i="1" a="1"/>
  <c r="G1608" i="1"/>
  <c r="D1608" i="1" s="1"/>
  <c r="I1607" i="1" a="1"/>
  <c r="I1607" i="1"/>
  <c r="D1607" i="1" s="1"/>
  <c r="H1607" i="1" a="1"/>
  <c r="H1607" i="1" s="1"/>
  <c r="G1607" i="1" a="1"/>
  <c r="G1607" i="1"/>
  <c r="I1606" i="1" a="1"/>
  <c r="I1606" i="1" s="1"/>
  <c r="H1606" i="1" a="1"/>
  <c r="H1606" i="1"/>
  <c r="G1606" i="1" a="1"/>
  <c r="G1606" i="1"/>
  <c r="I1605" i="1" a="1"/>
  <c r="I1605" i="1"/>
  <c r="H1605" i="1" a="1"/>
  <c r="H1605" i="1" s="1"/>
  <c r="G1605" i="1" a="1"/>
  <c r="G1605" i="1" s="1"/>
  <c r="I1604" i="1" a="1"/>
  <c r="I1604" i="1"/>
  <c r="H1604" i="1" a="1"/>
  <c r="H1604" i="1" s="1"/>
  <c r="G1604" i="1" a="1"/>
  <c r="G1604" i="1" s="1"/>
  <c r="I1603" i="1" a="1"/>
  <c r="I1603" i="1" s="1"/>
  <c r="H1603" i="1" a="1"/>
  <c r="H1603" i="1"/>
  <c r="G1603" i="1" a="1"/>
  <c r="G1603" i="1"/>
  <c r="D1603" i="1" s="1"/>
  <c r="I1602" i="1" a="1"/>
  <c r="I1602" i="1"/>
  <c r="H1602" i="1" a="1"/>
  <c r="H1602" i="1" s="1"/>
  <c r="G1602" i="1" a="1"/>
  <c r="G1602" i="1"/>
  <c r="D1602" i="1" s="1"/>
  <c r="I1601" i="1" a="1"/>
  <c r="I1601" i="1" s="1"/>
  <c r="H1601" i="1" a="1"/>
  <c r="H1601" i="1"/>
  <c r="G1601" i="1" a="1"/>
  <c r="G1601" i="1" s="1"/>
  <c r="I1600" i="1" a="1"/>
  <c r="I1600" i="1"/>
  <c r="H1600" i="1" a="1"/>
  <c r="H1600" i="1"/>
  <c r="G1600" i="1" a="1"/>
  <c r="G1600" i="1" s="1"/>
  <c r="D1600" i="1" s="1"/>
  <c r="I1599" i="1" a="1"/>
  <c r="I1599" i="1"/>
  <c r="H1599" i="1" a="1"/>
  <c r="H1599" i="1" s="1"/>
  <c r="G1599" i="1" a="1"/>
  <c r="G1599" i="1" s="1"/>
  <c r="D1599" i="1"/>
  <c r="I1598" i="1" a="1"/>
  <c r="I1598" i="1" s="1"/>
  <c r="H1598" i="1" a="1"/>
  <c r="H1598" i="1"/>
  <c r="G1598" i="1" a="1"/>
  <c r="G1598" i="1"/>
  <c r="I1597" i="1" a="1"/>
  <c r="I1597" i="1" s="1"/>
  <c r="H1597" i="1" a="1"/>
  <c r="H1597" i="1"/>
  <c r="G1597" i="1" a="1"/>
  <c r="G1597" i="1" s="1"/>
  <c r="D1597" i="1" s="1"/>
  <c r="I1596" i="1" a="1"/>
  <c r="I1596" i="1" s="1"/>
  <c r="H1596" i="1" a="1"/>
  <c r="H1596" i="1" s="1"/>
  <c r="G1596" i="1" a="1"/>
  <c r="G1596" i="1"/>
  <c r="I1595" i="1" a="1"/>
  <c r="I1595" i="1"/>
  <c r="H1595" i="1" a="1"/>
  <c r="H1595" i="1" s="1"/>
  <c r="G1595" i="1" a="1"/>
  <c r="G1595" i="1" s="1"/>
  <c r="I1594" i="1" a="1"/>
  <c r="I1594" i="1"/>
  <c r="H1594" i="1" a="1"/>
  <c r="H1594" i="1"/>
  <c r="G1594" i="1" a="1"/>
  <c r="G1594" i="1"/>
  <c r="D1594" i="1" s="1"/>
  <c r="I1593" i="1" a="1"/>
  <c r="I1593" i="1" s="1"/>
  <c r="H1593" i="1" a="1"/>
  <c r="H1593" i="1"/>
  <c r="G1593" i="1" a="1"/>
  <c r="G1593" i="1" s="1"/>
  <c r="D1593" i="1" s="1"/>
  <c r="I1592" i="1" a="1"/>
  <c r="I1592" i="1" s="1"/>
  <c r="H1592" i="1" a="1"/>
  <c r="H1592" i="1"/>
  <c r="G1592" i="1" a="1"/>
  <c r="G1592" i="1" s="1"/>
  <c r="D1592" i="1" s="1"/>
  <c r="I1591" i="1" a="1"/>
  <c r="I1591" i="1"/>
  <c r="H1591" i="1" a="1"/>
  <c r="H1591" i="1" s="1"/>
  <c r="G1591" i="1" a="1"/>
  <c r="G1591" i="1"/>
  <c r="D1591" i="1"/>
  <c r="I1590" i="1" a="1"/>
  <c r="I1590" i="1"/>
  <c r="H1590" i="1" a="1"/>
  <c r="H1590" i="1"/>
  <c r="G1590" i="1" a="1"/>
  <c r="G1590" i="1"/>
  <c r="I1589" i="1" a="1"/>
  <c r="I1589" i="1" s="1"/>
  <c r="H1589" i="1" a="1"/>
  <c r="H1589" i="1" s="1"/>
  <c r="G1589" i="1" a="1"/>
  <c r="G1589" i="1" s="1"/>
  <c r="I1588" i="1" a="1"/>
  <c r="I1588" i="1"/>
  <c r="H1588" i="1" a="1"/>
  <c r="H1588" i="1"/>
  <c r="G1588" i="1" a="1"/>
  <c r="G1588" i="1" s="1"/>
  <c r="D1588" i="1" s="1"/>
  <c r="I1587" i="1" a="1"/>
  <c r="I1587" i="1" s="1"/>
  <c r="H1587" i="1" a="1"/>
  <c r="H1587" i="1"/>
  <c r="G1587" i="1" a="1"/>
  <c r="G1587" i="1" s="1"/>
  <c r="D1587" i="1" s="1"/>
  <c r="I1586" i="1" a="1"/>
  <c r="I1586" i="1"/>
  <c r="H1586" i="1" a="1"/>
  <c r="H1586" i="1"/>
  <c r="G1586" i="1" a="1"/>
  <c r="G1586" i="1"/>
  <c r="I1585" i="1" a="1"/>
  <c r="I1585" i="1" s="1"/>
  <c r="H1585" i="1" a="1"/>
  <c r="H1585" i="1"/>
  <c r="G1585" i="1" a="1"/>
  <c r="G1585" i="1" s="1"/>
  <c r="I1584" i="1" a="1"/>
  <c r="I1584" i="1"/>
  <c r="H1584" i="1" a="1"/>
  <c r="H1584" i="1"/>
  <c r="G1584" i="1" a="1"/>
  <c r="G1584" i="1" s="1"/>
  <c r="I1583" i="1" a="1"/>
  <c r="I1583" i="1"/>
  <c r="H1583" i="1" a="1"/>
  <c r="H1583" i="1" s="1"/>
  <c r="G1583" i="1" a="1"/>
  <c r="G1583" i="1" s="1"/>
  <c r="D1583" i="1"/>
  <c r="I1582" i="1" a="1"/>
  <c r="I1582" i="1" s="1"/>
  <c r="H1582" i="1" a="1"/>
  <c r="H1582" i="1"/>
  <c r="G1582" i="1" a="1"/>
  <c r="G1582" i="1"/>
  <c r="D1582" i="1" s="1"/>
  <c r="I1581" i="1" a="1"/>
  <c r="I1581" i="1" s="1"/>
  <c r="H1581" i="1" a="1"/>
  <c r="H1581" i="1"/>
  <c r="G1581" i="1" a="1"/>
  <c r="G1581" i="1" s="1"/>
  <c r="D1581" i="1" s="1"/>
  <c r="I1580" i="1" a="1"/>
  <c r="I1580" i="1" s="1"/>
  <c r="H1580" i="1" a="1"/>
  <c r="H1580" i="1" s="1"/>
  <c r="G1580" i="1" a="1"/>
  <c r="G1580" i="1"/>
  <c r="I1579" i="1" a="1"/>
  <c r="I1579" i="1"/>
  <c r="H1579" i="1" a="1"/>
  <c r="H1579" i="1" s="1"/>
  <c r="G1579" i="1" a="1"/>
  <c r="G1579" i="1" s="1"/>
  <c r="I1578" i="1" a="1"/>
  <c r="I1578" i="1"/>
  <c r="H1578" i="1" a="1"/>
  <c r="H1578" i="1" s="1"/>
  <c r="G1578" i="1" a="1"/>
  <c r="G1578" i="1"/>
  <c r="D1578" i="1" s="1"/>
  <c r="I1577" i="1" a="1"/>
  <c r="I1577" i="1" s="1"/>
  <c r="H1577" i="1" a="1"/>
  <c r="H1577" i="1"/>
  <c r="G1577" i="1" a="1"/>
  <c r="G1577" i="1"/>
  <c r="D1577" i="1" s="1"/>
  <c r="I1576" i="1" a="1"/>
  <c r="I1576" i="1" s="1"/>
  <c r="H1576" i="1" a="1"/>
  <c r="H1576" i="1"/>
  <c r="G1576" i="1" a="1"/>
  <c r="G1576" i="1" s="1"/>
  <c r="D1576" i="1" s="1"/>
  <c r="I1575" i="1" a="1"/>
  <c r="I1575" i="1"/>
  <c r="D1575" i="1" s="1"/>
  <c r="H1575" i="1" a="1"/>
  <c r="H1575" i="1" s="1"/>
  <c r="G1575" i="1" a="1"/>
  <c r="G1575" i="1"/>
  <c r="I1574" i="1" a="1"/>
  <c r="I1574" i="1"/>
  <c r="H1574" i="1" a="1"/>
  <c r="H1574" i="1"/>
  <c r="D1574" i="1" s="1"/>
  <c r="G1574" i="1" a="1"/>
  <c r="G1574" i="1"/>
  <c r="I1573" i="1" a="1"/>
  <c r="I1573" i="1" s="1"/>
  <c r="H1573" i="1" a="1"/>
  <c r="H1573" i="1" s="1"/>
  <c r="G1573" i="1" a="1"/>
  <c r="G1573" i="1" s="1"/>
  <c r="I1572" i="1" a="1"/>
  <c r="I1572" i="1"/>
  <c r="H1572" i="1" a="1"/>
  <c r="H1572" i="1" s="1"/>
  <c r="G1572" i="1" a="1"/>
  <c r="G1572" i="1" s="1"/>
  <c r="D1572" i="1" s="1"/>
  <c r="I1571" i="1" a="1"/>
  <c r="I1571" i="1" s="1"/>
  <c r="H1571" i="1" a="1"/>
  <c r="H1571" i="1"/>
  <c r="G1571" i="1" a="1"/>
  <c r="G1571" i="1"/>
  <c r="D1571" i="1" s="1"/>
  <c r="I1570" i="1" a="1"/>
  <c r="I1570" i="1"/>
  <c r="D1570" i="1" s="1"/>
  <c r="H1570" i="1" a="1"/>
  <c r="H1570" i="1"/>
  <c r="G1570" i="1" a="1"/>
  <c r="G1570" i="1"/>
  <c r="I1569" i="1" a="1"/>
  <c r="I1569" i="1" s="1"/>
  <c r="H1569" i="1" a="1"/>
  <c r="H1569" i="1"/>
  <c r="G1569" i="1" a="1"/>
  <c r="G1569" i="1"/>
  <c r="I1568" i="1" a="1"/>
  <c r="I1568" i="1" s="1"/>
  <c r="H1568" i="1" a="1"/>
  <c r="H1568" i="1"/>
  <c r="G1568" i="1" a="1"/>
  <c r="G1568" i="1" s="1"/>
  <c r="I1567" i="1" a="1"/>
  <c r="I1567" i="1"/>
  <c r="H1567" i="1" a="1"/>
  <c r="H1567" i="1" s="1"/>
  <c r="G1567" i="1" a="1"/>
  <c r="G1567" i="1" s="1"/>
  <c r="D1567" i="1" s="1"/>
  <c r="I1566" i="1" a="1"/>
  <c r="I1566" i="1"/>
  <c r="H1566" i="1" a="1"/>
  <c r="H1566" i="1"/>
  <c r="G1566" i="1" a="1"/>
  <c r="G1566" i="1"/>
  <c r="I1565" i="1" a="1"/>
  <c r="I1565" i="1" s="1"/>
  <c r="H1565" i="1" a="1"/>
  <c r="H1565" i="1"/>
  <c r="G1565" i="1" a="1"/>
  <c r="G1565" i="1" s="1"/>
  <c r="D1565" i="1" s="1"/>
  <c r="I1564" i="1" a="1"/>
  <c r="I1564" i="1" s="1"/>
  <c r="H1564" i="1" a="1"/>
  <c r="H1564" i="1" s="1"/>
  <c r="G1564" i="1" a="1"/>
  <c r="G1564" i="1"/>
  <c r="I1563" i="1" a="1"/>
  <c r="I1563" i="1"/>
  <c r="H1563" i="1" a="1"/>
  <c r="H1563" i="1" s="1"/>
  <c r="G1563" i="1" a="1"/>
  <c r="G1563" i="1" s="1"/>
  <c r="I1562" i="1" a="1"/>
  <c r="I1562" i="1"/>
  <c r="H1562" i="1" a="1"/>
  <c r="H1562" i="1"/>
  <c r="G1562" i="1" a="1"/>
  <c r="G1562" i="1"/>
  <c r="D1562" i="1" s="1"/>
  <c r="I1561" i="1" a="1"/>
  <c r="I1561" i="1" s="1"/>
  <c r="H1561" i="1" a="1"/>
  <c r="H1561" i="1"/>
  <c r="G1561" i="1" a="1"/>
  <c r="G1561" i="1" s="1"/>
  <c r="I1560" i="1" a="1"/>
  <c r="I1560" i="1" s="1"/>
  <c r="H1560" i="1" a="1"/>
  <c r="H1560" i="1"/>
  <c r="G1560" i="1" a="1"/>
  <c r="G1560" i="1" s="1"/>
  <c r="D1560" i="1" s="1"/>
  <c r="I1559" i="1" a="1"/>
  <c r="I1559" i="1"/>
  <c r="H1559" i="1" a="1"/>
  <c r="H1559" i="1"/>
  <c r="G1559" i="1" a="1"/>
  <c r="G1559" i="1"/>
  <c r="D1559" i="1" s="1"/>
  <c r="I1558" i="1" a="1"/>
  <c r="I1558" i="1" s="1"/>
  <c r="H1558" i="1" a="1"/>
  <c r="H1558" i="1" s="1"/>
  <c r="G1558" i="1" a="1"/>
  <c r="G1558" i="1"/>
  <c r="I1557" i="1" a="1"/>
  <c r="I1557" i="1" s="1"/>
  <c r="H1557" i="1" a="1"/>
  <c r="H1557" i="1"/>
  <c r="G1557" i="1" a="1"/>
  <c r="G1557" i="1"/>
  <c r="I1556" i="1" a="1"/>
  <c r="I1556" i="1" s="1"/>
  <c r="H1556" i="1" a="1"/>
  <c r="H1556" i="1" s="1"/>
  <c r="G1556" i="1" a="1"/>
  <c r="G1556" i="1" s="1"/>
  <c r="D1556" i="1" s="1"/>
  <c r="I1555" i="1" a="1"/>
  <c r="I1555" i="1"/>
  <c r="H1555" i="1" a="1"/>
  <c r="H1555" i="1" s="1"/>
  <c r="G1555" i="1" a="1"/>
  <c r="G1555" i="1"/>
  <c r="I1554" i="1" a="1"/>
  <c r="I1554" i="1"/>
  <c r="H1554" i="1" a="1"/>
  <c r="H1554" i="1"/>
  <c r="G1554" i="1" a="1"/>
  <c r="G1554" i="1" s="1"/>
  <c r="D1554" i="1" s="1"/>
  <c r="I1553" i="1" a="1"/>
  <c r="I1553" i="1"/>
  <c r="H1553" i="1" a="1"/>
  <c r="H1553" i="1"/>
  <c r="G1553" i="1" a="1"/>
  <c r="G1553" i="1"/>
  <c r="D1553" i="1" s="1"/>
  <c r="I1552" i="1" a="1"/>
  <c r="I1552" i="1" s="1"/>
  <c r="H1552" i="1" a="1"/>
  <c r="H1552" i="1"/>
  <c r="G1552" i="1" a="1"/>
  <c r="G1552" i="1" s="1"/>
  <c r="D1552" i="1" s="1"/>
  <c r="I1551" i="1" a="1"/>
  <c r="I1551" i="1" s="1"/>
  <c r="H1551" i="1" a="1"/>
  <c r="H1551" i="1"/>
  <c r="G1551" i="1" a="1"/>
  <c r="G1551" i="1"/>
  <c r="D1551" i="1" s="1"/>
  <c r="I1550" i="1" a="1"/>
  <c r="I1550" i="1"/>
  <c r="H1550" i="1" a="1"/>
  <c r="H1550" i="1" s="1"/>
  <c r="D1550" i="1" s="1"/>
  <c r="G1550" i="1" a="1"/>
  <c r="G1550" i="1"/>
  <c r="I1549" i="1" a="1"/>
  <c r="I1549" i="1"/>
  <c r="H1549" i="1" a="1"/>
  <c r="H1549" i="1"/>
  <c r="G1549" i="1" a="1"/>
  <c r="G1549" i="1"/>
  <c r="I1548" i="1" a="1"/>
  <c r="I1548" i="1" s="1"/>
  <c r="H1548" i="1" a="1"/>
  <c r="H1548" i="1" s="1"/>
  <c r="G1548" i="1" a="1"/>
  <c r="G1548" i="1" s="1"/>
  <c r="I1547" i="1" a="1"/>
  <c r="I1547" i="1"/>
  <c r="H1547" i="1" a="1"/>
  <c r="H1547" i="1"/>
  <c r="G1547" i="1" a="1"/>
  <c r="G1547" i="1"/>
  <c r="D1547" i="1" s="1"/>
  <c r="I1546" i="1" a="1"/>
  <c r="I1546" i="1"/>
  <c r="H1546" i="1" a="1"/>
  <c r="H1546" i="1" s="1"/>
  <c r="G1546" i="1" a="1"/>
  <c r="G1546" i="1"/>
  <c r="I1545" i="1" a="1"/>
  <c r="I1545" i="1"/>
  <c r="H1545" i="1" a="1"/>
  <c r="H1545" i="1"/>
  <c r="G1545" i="1" a="1"/>
  <c r="G1545" i="1" s="1"/>
  <c r="D1545" i="1" s="1"/>
  <c r="I1544" i="1" a="1"/>
  <c r="I1544" i="1" s="1"/>
  <c r="H1544" i="1" a="1"/>
  <c r="H1544" i="1"/>
  <c r="G1544" i="1" a="1"/>
  <c r="G1544" i="1"/>
  <c r="D1544" i="1" s="1"/>
  <c r="I1543" i="1" a="1"/>
  <c r="I1543" i="1"/>
  <c r="H1543" i="1" a="1"/>
  <c r="H1543" i="1"/>
  <c r="G1543" i="1" a="1"/>
  <c r="G1543" i="1"/>
  <c r="D1543" i="1"/>
  <c r="I1542" i="1" a="1"/>
  <c r="I1542" i="1" s="1"/>
  <c r="D1542" i="1" s="1"/>
  <c r="H1542" i="1" a="1"/>
  <c r="H1542" i="1" s="1"/>
  <c r="G1542" i="1" a="1"/>
  <c r="G1542" i="1"/>
  <c r="I1541" i="1" a="1"/>
  <c r="I1541" i="1"/>
  <c r="H1541" i="1" a="1"/>
  <c r="H1541" i="1" s="1"/>
  <c r="D1541" i="1" s="1"/>
  <c r="G1541" i="1" a="1"/>
  <c r="G1541" i="1"/>
  <c r="I1540" i="1" a="1"/>
  <c r="I1540" i="1" s="1"/>
  <c r="H1540" i="1" a="1"/>
  <c r="H1540" i="1"/>
  <c r="G1540" i="1" a="1"/>
  <c r="G1540" i="1" s="1"/>
  <c r="I1539" i="1" a="1"/>
  <c r="I1539" i="1"/>
  <c r="H1539" i="1" a="1"/>
  <c r="H1539" i="1"/>
  <c r="G1539" i="1" a="1"/>
  <c r="G1539" i="1" s="1"/>
  <c r="I1538" i="1" a="1"/>
  <c r="I1538" i="1"/>
  <c r="H1538" i="1" a="1"/>
  <c r="H1538" i="1"/>
  <c r="G1538" i="1" a="1"/>
  <c r="G1538" i="1"/>
  <c r="D1538" i="1"/>
  <c r="I1537" i="1" a="1"/>
  <c r="I1537" i="1"/>
  <c r="H1537" i="1" a="1"/>
  <c r="H1537" i="1"/>
  <c r="G1537" i="1" a="1"/>
  <c r="G1537" i="1" s="1"/>
  <c r="D1537" i="1" s="1"/>
  <c r="I1536" i="1" a="1"/>
  <c r="I1536" i="1" s="1"/>
  <c r="H1536" i="1" a="1"/>
  <c r="H1536" i="1"/>
  <c r="G1536" i="1" a="1"/>
  <c r="G1536" i="1" s="1"/>
  <c r="I1535" i="1" a="1"/>
  <c r="I1535" i="1"/>
  <c r="H1535" i="1" a="1"/>
  <c r="H1535" i="1"/>
  <c r="G1535" i="1" a="1"/>
  <c r="G1535" i="1"/>
  <c r="D1535" i="1" s="1"/>
  <c r="I1534" i="1" a="1"/>
  <c r="I1534" i="1" s="1"/>
  <c r="H1534" i="1" a="1"/>
  <c r="H1534" i="1" s="1"/>
  <c r="G1534" i="1" a="1"/>
  <c r="G1534" i="1"/>
  <c r="D1534" i="1"/>
  <c r="I1533" i="1" a="1"/>
  <c r="I1533" i="1" s="1"/>
  <c r="H1533" i="1" a="1"/>
  <c r="H1533" i="1" s="1"/>
  <c r="D1533" i="1" s="1"/>
  <c r="G1533" i="1" a="1"/>
  <c r="G1533" i="1"/>
  <c r="I1532" i="1" a="1"/>
  <c r="I1532" i="1"/>
  <c r="H1532" i="1" a="1"/>
  <c r="H1532" i="1" s="1"/>
  <c r="G1532" i="1" a="1"/>
  <c r="G1532" i="1" s="1"/>
  <c r="I1531" i="1" a="1"/>
  <c r="I1531" i="1"/>
  <c r="H1531" i="1" a="1"/>
  <c r="H1531" i="1" s="1"/>
  <c r="G1531" i="1" a="1"/>
  <c r="G1531" i="1" s="1"/>
  <c r="D1531" i="1" s="1"/>
  <c r="I1530" i="1" a="1"/>
  <c r="I1530" i="1"/>
  <c r="H1530" i="1" a="1"/>
  <c r="H1530" i="1"/>
  <c r="G1530" i="1" a="1"/>
  <c r="G1530" i="1" s="1"/>
  <c r="D1530" i="1"/>
  <c r="I1529" i="1" a="1"/>
  <c r="I1529" i="1"/>
  <c r="H1529" i="1" a="1"/>
  <c r="H1529" i="1" s="1"/>
  <c r="G1529" i="1" a="1"/>
  <c r="G1529" i="1"/>
  <c r="D1529" i="1" s="1"/>
  <c r="I1528" i="1" a="1"/>
  <c r="I1528" i="1" s="1"/>
  <c r="H1528" i="1" a="1"/>
  <c r="H1528" i="1"/>
  <c r="G1528" i="1" a="1"/>
  <c r="G1528" i="1" s="1"/>
  <c r="D1528" i="1" s="1"/>
  <c r="I1527" i="1" a="1"/>
  <c r="I1527" i="1" s="1"/>
  <c r="H1527" i="1" a="1"/>
  <c r="H1527" i="1"/>
  <c r="G1527" i="1" a="1"/>
  <c r="G1527" i="1"/>
  <c r="D1527" i="1" s="1"/>
  <c r="I1526" i="1" a="1"/>
  <c r="I1526" i="1" s="1"/>
  <c r="H1526" i="1" a="1"/>
  <c r="H1526" i="1" s="1"/>
  <c r="G1526" i="1" a="1"/>
  <c r="G1526" i="1"/>
  <c r="I1525" i="1" a="1"/>
  <c r="I1525" i="1" s="1"/>
  <c r="H1525" i="1" a="1"/>
  <c r="H1525" i="1"/>
  <c r="G1525" i="1" a="1"/>
  <c r="G1525" i="1"/>
  <c r="D1525" i="1" s="1"/>
  <c r="I1524" i="1" a="1"/>
  <c r="I1524" i="1"/>
  <c r="H1524" i="1" a="1"/>
  <c r="H1524" i="1"/>
  <c r="G1524" i="1" a="1"/>
  <c r="G1524" i="1" s="1"/>
  <c r="D1524" i="1" s="1"/>
  <c r="I1523" i="1" a="1"/>
  <c r="I1523" i="1" s="1"/>
  <c r="H1523" i="1" a="1"/>
  <c r="H1523" i="1"/>
  <c r="G1523" i="1" a="1"/>
  <c r="G1523" i="1"/>
  <c r="I1522" i="1" a="1"/>
  <c r="I1522" i="1" s="1"/>
  <c r="H1522" i="1" a="1"/>
  <c r="H1522" i="1"/>
  <c r="G1522" i="1" a="1"/>
  <c r="G1522" i="1"/>
  <c r="I1521" i="1" a="1"/>
  <c r="I1521" i="1"/>
  <c r="H1521" i="1" a="1"/>
  <c r="H1521" i="1"/>
  <c r="G1521" i="1" a="1"/>
  <c r="G1521" i="1" s="1"/>
  <c r="D1521" i="1" s="1"/>
  <c r="I1520" i="1" a="1"/>
  <c r="I1520" i="1" s="1"/>
  <c r="H1520" i="1" a="1"/>
  <c r="H1520" i="1" s="1"/>
  <c r="D1520" i="1" s="1"/>
  <c r="G1520" i="1" a="1"/>
  <c r="G1520" i="1"/>
  <c r="I1519" i="1" a="1"/>
  <c r="I1519" i="1"/>
  <c r="H1519" i="1" a="1"/>
  <c r="H1519" i="1"/>
  <c r="G1519" i="1" a="1"/>
  <c r="G1519" i="1" s="1"/>
  <c r="D1519" i="1"/>
  <c r="I1518" i="1" a="1"/>
  <c r="I1518" i="1" s="1"/>
  <c r="H1518" i="1" a="1"/>
  <c r="H1518" i="1" s="1"/>
  <c r="G1518" i="1" a="1"/>
  <c r="G1518" i="1"/>
  <c r="D1518" i="1"/>
  <c r="I1517" i="1" a="1"/>
  <c r="I1517" i="1"/>
  <c r="H1517" i="1" a="1"/>
  <c r="H1517" i="1" s="1"/>
  <c r="G1517" i="1" a="1"/>
  <c r="G1517" i="1"/>
  <c r="D1517" i="1"/>
  <c r="I1516" i="1" a="1"/>
  <c r="I1516" i="1" s="1"/>
  <c r="H1516" i="1" a="1"/>
  <c r="H1516" i="1" s="1"/>
  <c r="D1516" i="1" s="1"/>
  <c r="G1516" i="1" a="1"/>
  <c r="G1516" i="1" s="1"/>
  <c r="I1515" i="1" a="1"/>
  <c r="I1515" i="1"/>
  <c r="H1515" i="1" a="1"/>
  <c r="H1515" i="1" s="1"/>
  <c r="G1515" i="1" a="1"/>
  <c r="G1515" i="1"/>
  <c r="I1514" i="1" a="1"/>
  <c r="I1514" i="1"/>
  <c r="H1514" i="1" a="1"/>
  <c r="H1514" i="1"/>
  <c r="G1514" i="1" a="1"/>
  <c r="G1514" i="1" s="1"/>
  <c r="D1514" i="1"/>
  <c r="I1513" i="1" a="1"/>
  <c r="I1513" i="1" s="1"/>
  <c r="H1513" i="1" a="1"/>
  <c r="H1513" i="1" s="1"/>
  <c r="G1513" i="1" a="1"/>
  <c r="G1513" i="1" s="1"/>
  <c r="D1513" i="1" s="1"/>
  <c r="I1512" i="1" a="1"/>
  <c r="I1512" i="1"/>
  <c r="H1512" i="1" a="1"/>
  <c r="H1512" i="1"/>
  <c r="G1512" i="1" a="1"/>
  <c r="G1512" i="1"/>
  <c r="D1512" i="1"/>
  <c r="I1511" i="1" a="1"/>
  <c r="I1511" i="1"/>
  <c r="H1511" i="1" a="1"/>
  <c r="H1511" i="1" s="1"/>
  <c r="G1511" i="1" a="1"/>
  <c r="G1511" i="1" s="1"/>
  <c r="D1511" i="1"/>
  <c r="I1510" i="1" a="1"/>
  <c r="I1510" i="1" s="1"/>
  <c r="H1510" i="1" a="1"/>
  <c r="H1510" i="1"/>
  <c r="G1510" i="1" a="1"/>
  <c r="G1510" i="1"/>
  <c r="I1509" i="1" a="1"/>
  <c r="I1509" i="1"/>
  <c r="H1509" i="1" a="1"/>
  <c r="H1509" i="1"/>
  <c r="G1509" i="1" a="1"/>
  <c r="G1509" i="1" s="1"/>
  <c r="D1509" i="1" s="1"/>
  <c r="I1508" i="1" a="1"/>
  <c r="I1508" i="1"/>
  <c r="H1508" i="1" a="1"/>
  <c r="H1508" i="1" s="1"/>
  <c r="G1508" i="1" a="1"/>
  <c r="G1508" i="1"/>
  <c r="D1508" i="1" s="1"/>
  <c r="I1507" i="1" a="1"/>
  <c r="I1507" i="1" s="1"/>
  <c r="H1507" i="1" a="1"/>
  <c r="H1507" i="1"/>
  <c r="D1507" i="1" s="1"/>
  <c r="G1507" i="1" a="1"/>
  <c r="G1507" i="1"/>
  <c r="I1506" i="1" a="1"/>
  <c r="I1506" i="1"/>
  <c r="H1506" i="1" a="1"/>
  <c r="H1506" i="1"/>
  <c r="G1506" i="1" a="1"/>
  <c r="G1506" i="1" s="1"/>
  <c r="D1506" i="1" s="1"/>
  <c r="I1505" i="1" a="1"/>
  <c r="I1505" i="1" s="1"/>
  <c r="H1505" i="1" a="1"/>
  <c r="H1505" i="1" s="1"/>
  <c r="G1505" i="1" a="1"/>
  <c r="G1505" i="1"/>
  <c r="D1505" i="1" s="1"/>
  <c r="I1504" i="1" a="1"/>
  <c r="I1504" i="1" s="1"/>
  <c r="D1504" i="1" s="1"/>
  <c r="H1504" i="1" a="1"/>
  <c r="H1504" i="1"/>
  <c r="G1504" i="1" a="1"/>
  <c r="G1504" i="1"/>
  <c r="I1503" i="1" a="1"/>
  <c r="I1503" i="1"/>
  <c r="H1503" i="1" a="1"/>
  <c r="H1503" i="1" s="1"/>
  <c r="G1503" i="1" a="1"/>
  <c r="G1503" i="1" s="1"/>
  <c r="D1503" i="1" s="1"/>
  <c r="I1502" i="1" a="1"/>
  <c r="I1502" i="1" s="1"/>
  <c r="H1502" i="1" a="1"/>
  <c r="H1502" i="1"/>
  <c r="G1502" i="1" a="1"/>
  <c r="G1502" i="1"/>
  <c r="D1502" i="1" s="1"/>
  <c r="I1501" i="1" a="1"/>
  <c r="I1501" i="1"/>
  <c r="H1501" i="1" a="1"/>
  <c r="H1501" i="1"/>
  <c r="G1501" i="1" a="1"/>
  <c r="G1501" i="1" s="1"/>
  <c r="I1500" i="1" a="1"/>
  <c r="I1500" i="1"/>
  <c r="H1500" i="1" a="1"/>
  <c r="H1500" i="1" s="1"/>
  <c r="G1500" i="1" a="1"/>
  <c r="G1500" i="1"/>
  <c r="I1499" i="1" a="1"/>
  <c r="I1499" i="1" s="1"/>
  <c r="H1499" i="1" a="1"/>
  <c r="H1499" i="1" s="1"/>
  <c r="D1499" i="1" s="1"/>
  <c r="G1499" i="1" a="1"/>
  <c r="G1499" i="1"/>
  <c r="I1498" i="1" a="1"/>
  <c r="I1498" i="1"/>
  <c r="H1498" i="1" a="1"/>
  <c r="H1498" i="1"/>
  <c r="G1498" i="1" a="1"/>
  <c r="G1498" i="1" s="1"/>
  <c r="D1498" i="1"/>
  <c r="I1497" i="1" a="1"/>
  <c r="I1497" i="1" s="1"/>
  <c r="H1497" i="1" a="1"/>
  <c r="H1497" i="1" s="1"/>
  <c r="G1497" i="1" a="1"/>
  <c r="G1497" i="1"/>
  <c r="I1496" i="1" a="1"/>
  <c r="I1496" i="1" s="1"/>
  <c r="H1496" i="1" a="1"/>
  <c r="H1496" i="1"/>
  <c r="G1496" i="1" a="1"/>
  <c r="G1496" i="1"/>
  <c r="I1495" i="1" a="1"/>
  <c r="I1495" i="1"/>
  <c r="D1495" i="1" s="1"/>
  <c r="H1495" i="1" a="1"/>
  <c r="H1495" i="1" s="1"/>
  <c r="G1495" i="1" a="1"/>
  <c r="G1495" i="1" s="1"/>
  <c r="I1494" i="1" a="1"/>
  <c r="I1494" i="1" s="1"/>
  <c r="H1494" i="1" a="1"/>
  <c r="H1494" i="1" s="1"/>
  <c r="G1494" i="1" a="1"/>
  <c r="G1494" i="1"/>
  <c r="I1493" i="1" a="1"/>
  <c r="I1493" i="1" s="1"/>
  <c r="H1493" i="1" a="1"/>
  <c r="H1493" i="1"/>
  <c r="G1493" i="1" a="1"/>
  <c r="G1493" i="1" s="1"/>
  <c r="I1492" i="1" a="1"/>
  <c r="I1492" i="1"/>
  <c r="H1492" i="1" a="1"/>
  <c r="H1492" i="1" s="1"/>
  <c r="G1492" i="1" a="1"/>
  <c r="G1492" i="1" s="1"/>
  <c r="D1492" i="1" s="1"/>
  <c r="I1491" i="1" a="1"/>
  <c r="I1491" i="1" s="1"/>
  <c r="H1491" i="1" a="1"/>
  <c r="H1491" i="1"/>
  <c r="D1491" i="1" s="1"/>
  <c r="G1491" i="1" a="1"/>
  <c r="G1491" i="1"/>
  <c r="I1490" i="1" a="1"/>
  <c r="I1490" i="1"/>
  <c r="H1490" i="1" a="1"/>
  <c r="H1490" i="1"/>
  <c r="G1490" i="1" a="1"/>
  <c r="G1490" i="1" s="1"/>
  <c r="D1490" i="1" s="1"/>
  <c r="I1489" i="1" a="1"/>
  <c r="I1489" i="1" s="1"/>
  <c r="H1489" i="1" a="1"/>
  <c r="H1489" i="1" s="1"/>
  <c r="G1489" i="1" a="1"/>
  <c r="G1489" i="1" s="1"/>
  <c r="D1489" i="1" s="1"/>
  <c r="I1488" i="1" a="1"/>
  <c r="I1488" i="1"/>
  <c r="H1488" i="1" a="1"/>
  <c r="H1488" i="1"/>
  <c r="G1488" i="1" a="1"/>
  <c r="G1488" i="1"/>
  <c r="D1488" i="1" s="1"/>
  <c r="I1487" i="1" a="1"/>
  <c r="I1487" i="1"/>
  <c r="H1487" i="1" a="1"/>
  <c r="H1487" i="1" s="1"/>
  <c r="G1487" i="1" a="1"/>
  <c r="G1487" i="1" s="1"/>
  <c r="D1487" i="1" s="1"/>
  <c r="I1486" i="1" a="1"/>
  <c r="I1486" i="1" s="1"/>
  <c r="H1486" i="1" a="1"/>
  <c r="H1486" i="1" s="1"/>
  <c r="G1486" i="1" a="1"/>
  <c r="G1486" i="1"/>
  <c r="I1485" i="1" a="1"/>
  <c r="I1485" i="1"/>
  <c r="H1485" i="1" a="1"/>
  <c r="H1485" i="1"/>
  <c r="G1485" i="1" a="1"/>
  <c r="G1485" i="1" s="1"/>
  <c r="I1484" i="1" a="1"/>
  <c r="I1484" i="1"/>
  <c r="H1484" i="1" a="1"/>
  <c r="H1484" i="1" s="1"/>
  <c r="G1484" i="1" a="1"/>
  <c r="G1484" i="1"/>
  <c r="D1484" i="1" s="1"/>
  <c r="I1483" i="1" a="1"/>
  <c r="I1483" i="1" s="1"/>
  <c r="H1483" i="1" a="1"/>
  <c r="H1483" i="1" s="1"/>
  <c r="D1483" i="1" s="1"/>
  <c r="G1483" i="1" a="1"/>
  <c r="G1483" i="1"/>
  <c r="I1482" i="1" a="1"/>
  <c r="I1482" i="1"/>
  <c r="H1482" i="1" a="1"/>
  <c r="H1482" i="1"/>
  <c r="G1482" i="1" a="1"/>
  <c r="G1482" i="1" s="1"/>
  <c r="D1482" i="1" s="1"/>
  <c r="I1481" i="1" a="1"/>
  <c r="I1481" i="1" s="1"/>
  <c r="H1481" i="1" a="1"/>
  <c r="H1481" i="1" s="1"/>
  <c r="G1481" i="1" a="1"/>
  <c r="G1481" i="1"/>
  <c r="D1481" i="1" s="1"/>
  <c r="I1480" i="1" a="1"/>
  <c r="I1480" i="1"/>
  <c r="D1480" i="1" s="1"/>
  <c r="H1480" i="1" a="1"/>
  <c r="H1480" i="1"/>
  <c r="G1480" i="1" a="1"/>
  <c r="G1480" i="1"/>
  <c r="I1479" i="1" a="1"/>
  <c r="I1479" i="1"/>
  <c r="H1479" i="1" a="1"/>
  <c r="H1479" i="1" s="1"/>
  <c r="G1479" i="1" a="1"/>
  <c r="G1479" i="1" s="1"/>
  <c r="D1479" i="1" s="1"/>
  <c r="I1478" i="1" a="1"/>
  <c r="I1478" i="1" s="1"/>
  <c r="H1478" i="1" a="1"/>
  <c r="H1478" i="1"/>
  <c r="G1478" i="1" a="1"/>
  <c r="G1478" i="1"/>
  <c r="I1477" i="1" a="1"/>
  <c r="I1477" i="1" s="1"/>
  <c r="H1477" i="1" a="1"/>
  <c r="H1477" i="1"/>
  <c r="G1477" i="1" a="1"/>
  <c r="G1477" i="1" s="1"/>
  <c r="I1476" i="1" a="1"/>
  <c r="I1476" i="1"/>
  <c r="H1476" i="1" a="1"/>
  <c r="H1476" i="1" s="1"/>
  <c r="G1476" i="1" a="1"/>
  <c r="G1476" i="1" s="1"/>
  <c r="D1476" i="1" s="1"/>
  <c r="I1475" i="1" a="1"/>
  <c r="I1475" i="1" s="1"/>
  <c r="H1475" i="1" a="1"/>
  <c r="H1475" i="1"/>
  <c r="G1475" i="1" a="1"/>
  <c r="G1475" i="1"/>
  <c r="D1475" i="1" s="1"/>
  <c r="I1474" i="1" a="1"/>
  <c r="I1474" i="1"/>
  <c r="H1474" i="1" a="1"/>
  <c r="H1474" i="1"/>
  <c r="G1474" i="1" a="1"/>
  <c r="G1474" i="1" s="1"/>
  <c r="D1474" i="1"/>
  <c r="I1473" i="1" a="1"/>
  <c r="I1473" i="1" s="1"/>
  <c r="H1473" i="1" a="1"/>
  <c r="H1473" i="1" s="1"/>
  <c r="G1473" i="1" a="1"/>
  <c r="G1473" i="1" s="1"/>
  <c r="D1473" i="1" s="1"/>
  <c r="I1472" i="1" a="1"/>
  <c r="I1472" i="1" s="1"/>
  <c r="D1472" i="1" s="1"/>
  <c r="H1472" i="1" a="1"/>
  <c r="H1472" i="1"/>
  <c r="G1472" i="1" a="1"/>
  <c r="G1472" i="1"/>
  <c r="I1471" i="1" a="1"/>
  <c r="I1471" i="1"/>
  <c r="H1471" i="1" a="1"/>
  <c r="H1471" i="1" s="1"/>
  <c r="G1471" i="1" a="1"/>
  <c r="G1471" i="1" s="1"/>
  <c r="D1471" i="1"/>
  <c r="I1470" i="1" a="1"/>
  <c r="I1470" i="1" s="1"/>
  <c r="H1470" i="1" a="1"/>
  <c r="H1470" i="1"/>
  <c r="G1470" i="1" a="1"/>
  <c r="G1470" i="1"/>
  <c r="I1469" i="1" a="1"/>
  <c r="I1469" i="1"/>
  <c r="H1469" i="1" a="1"/>
  <c r="H1469" i="1"/>
  <c r="G1469" i="1" a="1"/>
  <c r="G1469" i="1" s="1"/>
  <c r="I1468" i="1" a="1"/>
  <c r="I1468" i="1"/>
  <c r="H1468" i="1" a="1"/>
  <c r="H1468" i="1" s="1"/>
  <c r="G1468" i="1" a="1"/>
  <c r="G1468" i="1"/>
  <c r="I1467" i="1" a="1"/>
  <c r="I1467" i="1" s="1"/>
  <c r="H1467" i="1" a="1"/>
  <c r="H1467" i="1" s="1"/>
  <c r="G1467" i="1" a="1"/>
  <c r="G1467" i="1"/>
  <c r="D1467" i="1" s="1"/>
  <c r="I1466" i="1" a="1"/>
  <c r="I1466" i="1"/>
  <c r="H1466" i="1" a="1"/>
  <c r="H1466" i="1"/>
  <c r="D1466" i="1" s="1"/>
  <c r="G1466" i="1" a="1"/>
  <c r="G1466" i="1" s="1"/>
  <c r="I1465" i="1" a="1"/>
  <c r="I1465" i="1" s="1"/>
  <c r="H1465" i="1" a="1"/>
  <c r="H1465" i="1" s="1"/>
  <c r="G1465" i="1" a="1"/>
  <c r="G1465" i="1"/>
  <c r="I1464" i="1" a="1"/>
  <c r="I1464" i="1"/>
  <c r="H1464" i="1" a="1"/>
  <c r="H1464" i="1"/>
  <c r="G1464" i="1" a="1"/>
  <c r="G1464" i="1"/>
  <c r="D1464" i="1" s="1"/>
  <c r="I1463" i="1" a="1"/>
  <c r="I1463" i="1"/>
  <c r="H1463" i="1" a="1"/>
  <c r="H1463" i="1" s="1"/>
  <c r="D1463" i="1" s="1"/>
  <c r="G1463" i="1" a="1"/>
  <c r="G1463" i="1" s="1"/>
  <c r="I1462" i="1" a="1"/>
  <c r="I1462" i="1" s="1"/>
  <c r="H1462" i="1" a="1"/>
  <c r="H1462" i="1" s="1"/>
  <c r="G1462" i="1" a="1"/>
  <c r="G1462" i="1"/>
  <c r="I1461" i="1" a="1"/>
  <c r="I1461" i="1" s="1"/>
  <c r="H1461" i="1" a="1"/>
  <c r="H1461" i="1"/>
  <c r="G1461" i="1" a="1"/>
  <c r="G1461" i="1" s="1"/>
  <c r="I1460" i="1" a="1"/>
  <c r="I1460" i="1"/>
  <c r="H1460" i="1" a="1"/>
  <c r="H1460" i="1" s="1"/>
  <c r="G1460" i="1" a="1"/>
  <c r="G1460" i="1" s="1"/>
  <c r="D1460" i="1" s="1"/>
  <c r="I1459" i="1" a="1"/>
  <c r="I1459" i="1" s="1"/>
  <c r="H1459" i="1" a="1"/>
  <c r="H1459" i="1" s="1"/>
  <c r="D1459" i="1" s="1"/>
  <c r="G1459" i="1" a="1"/>
  <c r="G1459" i="1"/>
  <c r="I1458" i="1" a="1"/>
  <c r="I1458" i="1"/>
  <c r="H1458" i="1" a="1"/>
  <c r="H1458" i="1"/>
  <c r="G1458" i="1" a="1"/>
  <c r="G1458" i="1" s="1"/>
  <c r="D1458" i="1" s="1"/>
  <c r="I1457" i="1" a="1"/>
  <c r="I1457" i="1" s="1"/>
  <c r="H1457" i="1" a="1"/>
  <c r="H1457" i="1" s="1"/>
  <c r="G1457" i="1" a="1"/>
  <c r="G1457" i="1" s="1"/>
  <c r="D1457" i="1" s="1"/>
  <c r="I1456" i="1" a="1"/>
  <c r="I1456" i="1" s="1"/>
  <c r="D1456" i="1" s="1"/>
  <c r="H1456" i="1" a="1"/>
  <c r="H1456" i="1"/>
  <c r="G1456" i="1" a="1"/>
  <c r="G1456" i="1"/>
  <c r="I1455" i="1" a="1"/>
  <c r="I1455" i="1"/>
  <c r="H1455" i="1" a="1"/>
  <c r="H1455" i="1" s="1"/>
  <c r="G1455" i="1" a="1"/>
  <c r="G1455" i="1" s="1"/>
  <c r="D1455" i="1" s="1"/>
  <c r="I1454" i="1" a="1"/>
  <c r="I1454" i="1" s="1"/>
  <c r="H1454" i="1" a="1"/>
  <c r="H1454" i="1"/>
  <c r="G1454" i="1" a="1"/>
  <c r="G1454" i="1"/>
  <c r="I1453" i="1" a="1"/>
  <c r="I1453" i="1" s="1"/>
  <c r="H1453" i="1" a="1"/>
  <c r="H1453" i="1"/>
  <c r="G1453" i="1" a="1"/>
  <c r="G1453" i="1" s="1"/>
  <c r="I1452" i="1" a="1"/>
  <c r="I1452" i="1"/>
  <c r="H1452" i="1" a="1"/>
  <c r="H1452" i="1" s="1"/>
  <c r="G1452" i="1" a="1"/>
  <c r="G1452" i="1" s="1"/>
  <c r="D1452" i="1" s="1"/>
  <c r="I1451" i="1" a="1"/>
  <c r="I1451" i="1" s="1"/>
  <c r="H1451" i="1" a="1"/>
  <c r="H1451" i="1"/>
  <c r="G1451" i="1" a="1"/>
  <c r="G1451" i="1"/>
  <c r="D1451" i="1"/>
  <c r="I1450" i="1" a="1"/>
  <c r="I1450" i="1"/>
  <c r="H1450" i="1" a="1"/>
  <c r="H1450" i="1"/>
  <c r="G1450" i="1" a="1"/>
  <c r="G1450" i="1" s="1"/>
  <c r="D1450" i="1"/>
  <c r="I1449" i="1" a="1"/>
  <c r="I1449" i="1" s="1"/>
  <c r="H1449" i="1" a="1"/>
  <c r="H1449" i="1" s="1"/>
  <c r="G1449" i="1" a="1"/>
  <c r="G1449" i="1" s="1"/>
  <c r="D1449" i="1" s="1"/>
  <c r="I1448" i="1" a="1"/>
  <c r="I1448" i="1"/>
  <c r="H1448" i="1" a="1"/>
  <c r="H1448" i="1"/>
  <c r="G1448" i="1" a="1"/>
  <c r="G1448" i="1"/>
  <c r="D1448" i="1"/>
  <c r="I1447" i="1" a="1"/>
  <c r="I1447" i="1"/>
  <c r="H1447" i="1" a="1"/>
  <c r="H1447" i="1" s="1"/>
  <c r="G1447" i="1" a="1"/>
  <c r="G1447" i="1" s="1"/>
  <c r="D1447" i="1"/>
  <c r="I1446" i="1" a="1"/>
  <c r="I1446" i="1" s="1"/>
  <c r="H1446" i="1" a="1"/>
  <c r="H1446" i="1"/>
  <c r="G1446" i="1" a="1"/>
  <c r="G1446" i="1"/>
  <c r="I1445" i="1" a="1"/>
  <c r="I1445" i="1"/>
  <c r="H1445" i="1" a="1"/>
  <c r="H1445" i="1"/>
  <c r="G1445" i="1" a="1"/>
  <c r="G1445" i="1" s="1"/>
  <c r="D1445" i="1" s="1"/>
  <c r="I1444" i="1" a="1"/>
  <c r="I1444" i="1"/>
  <c r="H1444" i="1" a="1"/>
  <c r="H1444" i="1" s="1"/>
  <c r="G1444" i="1" a="1"/>
  <c r="G1444" i="1"/>
  <c r="D1444" i="1" s="1"/>
  <c r="I1443" i="1" a="1"/>
  <c r="I1443" i="1" s="1"/>
  <c r="H1443" i="1" a="1"/>
  <c r="H1443" i="1"/>
  <c r="G1443" i="1" a="1"/>
  <c r="G1443" i="1"/>
  <c r="D1443" i="1" s="1"/>
  <c r="I1442" i="1" a="1"/>
  <c r="I1442" i="1"/>
  <c r="H1442" i="1" a="1"/>
  <c r="H1442" i="1"/>
  <c r="G1442" i="1" a="1"/>
  <c r="G1442" i="1" s="1"/>
  <c r="D1442" i="1"/>
  <c r="I1441" i="1" a="1"/>
  <c r="I1441" i="1" s="1"/>
  <c r="H1441" i="1" a="1"/>
  <c r="H1441" i="1" s="1"/>
  <c r="G1441" i="1" a="1"/>
  <c r="G1441" i="1"/>
  <c r="D1441" i="1" s="1"/>
  <c r="I1440" i="1" a="1"/>
  <c r="I1440" i="1" s="1"/>
  <c r="D1440" i="1" s="1"/>
  <c r="H1440" i="1" a="1"/>
  <c r="H1440" i="1"/>
  <c r="G1440" i="1" a="1"/>
  <c r="G1440" i="1"/>
  <c r="I1439" i="1" a="1"/>
  <c r="I1439" i="1"/>
  <c r="D1439" i="1" s="1"/>
  <c r="H1439" i="1" a="1"/>
  <c r="H1439" i="1" s="1"/>
  <c r="G1439" i="1" a="1"/>
  <c r="G1439" i="1" s="1"/>
  <c r="I1438" i="1" a="1"/>
  <c r="I1438" i="1" s="1"/>
  <c r="H1438" i="1" a="1"/>
  <c r="H1438" i="1"/>
  <c r="G1438" i="1" a="1"/>
  <c r="G1438" i="1"/>
  <c r="D1438" i="1" s="1"/>
  <c r="I1437" i="1" a="1"/>
  <c r="I1437" i="1"/>
  <c r="H1437" i="1" a="1"/>
  <c r="H1437" i="1"/>
  <c r="G1437" i="1" a="1"/>
  <c r="G1437" i="1" s="1"/>
  <c r="I1436" i="1" a="1"/>
  <c r="I1436" i="1"/>
  <c r="H1436" i="1" a="1"/>
  <c r="H1436" i="1" s="1"/>
  <c r="G1436" i="1" a="1"/>
  <c r="G1436" i="1"/>
  <c r="I1435" i="1" a="1"/>
  <c r="I1435" i="1" s="1"/>
  <c r="H1435" i="1" a="1"/>
  <c r="H1435" i="1" s="1"/>
  <c r="D1435" i="1" s="1"/>
  <c r="G1435" i="1" a="1"/>
  <c r="G1435" i="1"/>
  <c r="I1434" i="1" a="1"/>
  <c r="I1434" i="1"/>
  <c r="H1434" i="1" a="1"/>
  <c r="H1434" i="1"/>
  <c r="G1434" i="1" a="1"/>
  <c r="G1434" i="1" s="1"/>
  <c r="D1434" i="1"/>
  <c r="I1433" i="1" a="1"/>
  <c r="I1433" i="1" s="1"/>
  <c r="H1433" i="1" a="1"/>
  <c r="H1433" i="1" s="1"/>
  <c r="G1433" i="1" a="1"/>
  <c r="G1433" i="1"/>
  <c r="I1432" i="1" a="1"/>
  <c r="I1432" i="1" s="1"/>
  <c r="H1432" i="1" a="1"/>
  <c r="H1432" i="1"/>
  <c r="G1432" i="1" a="1"/>
  <c r="G1432" i="1"/>
  <c r="I1431" i="1" a="1"/>
  <c r="I1431" i="1"/>
  <c r="D1431" i="1" s="1"/>
  <c r="H1431" i="1" a="1"/>
  <c r="H1431" i="1" s="1"/>
  <c r="G1431" i="1" a="1"/>
  <c r="G1431" i="1" s="1"/>
  <c r="I1430" i="1" a="1"/>
  <c r="I1430" i="1" s="1"/>
  <c r="H1430" i="1" a="1"/>
  <c r="H1430" i="1" s="1"/>
  <c r="G1430" i="1" a="1"/>
  <c r="G1430" i="1"/>
  <c r="I1429" i="1" a="1"/>
  <c r="I1429" i="1" s="1"/>
  <c r="H1429" i="1" a="1"/>
  <c r="H1429" i="1"/>
  <c r="G1429" i="1" a="1"/>
  <c r="G1429" i="1" s="1"/>
  <c r="I1428" i="1" a="1"/>
  <c r="I1428" i="1"/>
  <c r="H1428" i="1" a="1"/>
  <c r="H1428" i="1" s="1"/>
  <c r="G1428" i="1" a="1"/>
  <c r="G1428" i="1" s="1"/>
  <c r="D1428" i="1" s="1"/>
  <c r="I1427" i="1" a="1"/>
  <c r="I1427" i="1" s="1"/>
  <c r="H1427" i="1" a="1"/>
  <c r="H1427" i="1"/>
  <c r="D1427" i="1" s="1"/>
  <c r="G1427" i="1" a="1"/>
  <c r="G1427" i="1"/>
  <c r="I1426" i="1" a="1"/>
  <c r="I1426" i="1"/>
  <c r="H1426" i="1" a="1"/>
  <c r="H1426" i="1"/>
  <c r="G1426" i="1" a="1"/>
  <c r="G1426" i="1" s="1"/>
  <c r="D1426" i="1" s="1"/>
  <c r="I1425" i="1" a="1"/>
  <c r="I1425" i="1" s="1"/>
  <c r="H1425" i="1" a="1"/>
  <c r="H1425" i="1" s="1"/>
  <c r="G1425" i="1" a="1"/>
  <c r="G1425" i="1" s="1"/>
  <c r="D1425" i="1" s="1"/>
  <c r="I1424" i="1" a="1"/>
  <c r="I1424" i="1"/>
  <c r="H1424" i="1" a="1"/>
  <c r="H1424" i="1"/>
  <c r="G1424" i="1" a="1"/>
  <c r="G1424" i="1"/>
  <c r="D1424" i="1" s="1"/>
  <c r="I1423" i="1" a="1"/>
  <c r="I1423" i="1"/>
  <c r="H1423" i="1" a="1"/>
  <c r="H1423" i="1" s="1"/>
  <c r="G1423" i="1" a="1"/>
  <c r="G1423" i="1" s="1"/>
  <c r="D1423" i="1" s="1"/>
  <c r="I1422" i="1" a="1"/>
  <c r="I1422" i="1" s="1"/>
  <c r="H1422" i="1" a="1"/>
  <c r="H1422" i="1" s="1"/>
  <c r="G1422" i="1" a="1"/>
  <c r="G1422" i="1"/>
  <c r="I1421" i="1" a="1"/>
  <c r="I1421" i="1"/>
  <c r="H1421" i="1" a="1"/>
  <c r="H1421" i="1"/>
  <c r="G1421" i="1" a="1"/>
  <c r="G1421" i="1" s="1"/>
  <c r="I1420" i="1" a="1"/>
  <c r="I1420" i="1"/>
  <c r="H1420" i="1" a="1"/>
  <c r="H1420" i="1" s="1"/>
  <c r="G1420" i="1" a="1"/>
  <c r="G1420" i="1"/>
  <c r="D1420" i="1" s="1"/>
  <c r="I1419" i="1" a="1"/>
  <c r="I1419" i="1" s="1"/>
  <c r="H1419" i="1" a="1"/>
  <c r="H1419" i="1"/>
  <c r="G1419" i="1" a="1"/>
  <c r="G1419" i="1" s="1"/>
  <c r="D1419" i="1" s="1"/>
  <c r="I1418" i="1" a="1"/>
  <c r="I1418" i="1"/>
  <c r="H1418" i="1" a="1"/>
  <c r="H1418" i="1"/>
  <c r="G1418" i="1" a="1"/>
  <c r="G1418" i="1" s="1"/>
  <c r="D1418" i="1" s="1"/>
  <c r="I1417" i="1" a="1"/>
  <c r="I1417" i="1" s="1"/>
  <c r="H1417" i="1" a="1"/>
  <c r="H1417" i="1" s="1"/>
  <c r="G1417" i="1" a="1"/>
  <c r="G1417" i="1" s="1"/>
  <c r="D1417" i="1" s="1"/>
  <c r="I1416" i="1" a="1"/>
  <c r="I1416" i="1" s="1"/>
  <c r="H1416" i="1" a="1"/>
  <c r="H1416" i="1"/>
  <c r="G1416" i="1" a="1"/>
  <c r="G1416" i="1"/>
  <c r="D1416" i="1" s="1"/>
  <c r="I1415" i="1" a="1"/>
  <c r="I1415" i="1"/>
  <c r="D1415" i="1" s="1"/>
  <c r="H1415" i="1" a="1"/>
  <c r="H1415" i="1" s="1"/>
  <c r="G1415" i="1" a="1"/>
  <c r="G1415" i="1" s="1"/>
  <c r="I1414" i="1" a="1"/>
  <c r="I1414" i="1"/>
  <c r="H1414" i="1" a="1"/>
  <c r="H1414" i="1"/>
  <c r="G1414" i="1" a="1"/>
  <c r="G1414" i="1"/>
  <c r="I1413" i="1" a="1"/>
  <c r="I1413" i="1"/>
  <c r="H1413" i="1" a="1"/>
  <c r="H1413" i="1"/>
  <c r="G1413" i="1" a="1"/>
  <c r="G1413" i="1" s="1"/>
  <c r="I1412" i="1" a="1"/>
  <c r="I1412" i="1"/>
  <c r="H1412" i="1" a="1"/>
  <c r="H1412" i="1" s="1"/>
  <c r="G1412" i="1" a="1"/>
  <c r="G1412" i="1"/>
  <c r="I1411" i="1" a="1"/>
  <c r="I1411" i="1" s="1"/>
  <c r="H1411" i="1" a="1"/>
  <c r="H1411" i="1"/>
  <c r="G1411" i="1" a="1"/>
  <c r="G1411" i="1" s="1"/>
  <c r="D1411" i="1" s="1"/>
  <c r="I1410" i="1" a="1"/>
  <c r="I1410" i="1"/>
  <c r="H1410" i="1" a="1"/>
  <c r="H1410" i="1"/>
  <c r="G1410" i="1" a="1"/>
  <c r="G1410" i="1"/>
  <c r="D1410" i="1" s="1"/>
  <c r="I1409" i="1" a="1"/>
  <c r="I1409" i="1" s="1"/>
  <c r="H1409" i="1" a="1"/>
  <c r="H1409" i="1" s="1"/>
  <c r="G1409" i="1" a="1"/>
  <c r="G1409" i="1"/>
  <c r="D1409" i="1" s="1"/>
  <c r="I1408" i="1" a="1"/>
  <c r="I1408" i="1"/>
  <c r="H1408" i="1" a="1"/>
  <c r="H1408" i="1"/>
  <c r="G1408" i="1" a="1"/>
  <c r="G1408" i="1"/>
  <c r="D1408" i="1"/>
  <c r="I1407" i="1" a="1"/>
  <c r="I1407" i="1"/>
  <c r="H1407" i="1" a="1"/>
  <c r="H1407" i="1" s="1"/>
  <c r="G1407" i="1" a="1"/>
  <c r="G1407" i="1" s="1"/>
  <c r="D1407" i="1" s="1"/>
  <c r="I1406" i="1" a="1"/>
  <c r="I1406" i="1"/>
  <c r="H1406" i="1" a="1"/>
  <c r="H1406" i="1" s="1"/>
  <c r="G1406" i="1" a="1"/>
  <c r="G1406" i="1"/>
  <c r="I1405" i="1" a="1"/>
  <c r="I1405" i="1" s="1"/>
  <c r="H1405" i="1" a="1"/>
  <c r="H1405" i="1"/>
  <c r="G1405" i="1" a="1"/>
  <c r="G1405" i="1" s="1"/>
  <c r="I1404" i="1" a="1"/>
  <c r="I1404" i="1"/>
  <c r="H1404" i="1" a="1"/>
  <c r="H1404" i="1" s="1"/>
  <c r="G1404" i="1" a="1"/>
  <c r="G1404" i="1"/>
  <c r="I1403" i="1" a="1"/>
  <c r="I1403" i="1" s="1"/>
  <c r="H1403" i="1" a="1"/>
  <c r="H1403" i="1" s="1"/>
  <c r="G1403" i="1" a="1"/>
  <c r="G1403" i="1"/>
  <c r="I1402" i="1" a="1"/>
  <c r="I1402" i="1"/>
  <c r="H1402" i="1" a="1"/>
  <c r="H1402" i="1"/>
  <c r="D1402" i="1" s="1"/>
  <c r="G1402" i="1" a="1"/>
  <c r="G1402" i="1"/>
  <c r="I1401" i="1" a="1"/>
  <c r="I1401" i="1" s="1"/>
  <c r="H1401" i="1" a="1"/>
  <c r="H1401" i="1" s="1"/>
  <c r="G1401" i="1" a="1"/>
  <c r="G1401" i="1"/>
  <c r="D1401" i="1"/>
  <c r="I1400" i="1" a="1"/>
  <c r="I1400" i="1"/>
  <c r="D1400" i="1" s="1"/>
  <c r="H1400" i="1" a="1"/>
  <c r="H1400" i="1"/>
  <c r="G1400" i="1" a="1"/>
  <c r="G1400" i="1"/>
  <c r="I1399" i="1" a="1"/>
  <c r="I1399" i="1" s="1"/>
  <c r="H1399" i="1" a="1"/>
  <c r="H1399" i="1" s="1"/>
  <c r="G1399" i="1" a="1"/>
  <c r="G1399" i="1" s="1"/>
  <c r="I1398" i="1" a="1"/>
  <c r="I1398" i="1"/>
  <c r="H1398" i="1" a="1"/>
  <c r="H1398" i="1"/>
  <c r="G1398" i="1" a="1"/>
  <c r="G1398" i="1"/>
  <c r="I1397" i="1" a="1"/>
  <c r="I1397" i="1" s="1"/>
  <c r="H1397" i="1" a="1"/>
  <c r="H1397" i="1"/>
  <c r="G1397" i="1" a="1"/>
  <c r="G1397" i="1" s="1"/>
  <c r="I1396" i="1" a="1"/>
  <c r="I1396" i="1"/>
  <c r="H1396" i="1" a="1"/>
  <c r="H1396" i="1"/>
  <c r="G1396" i="1" a="1"/>
  <c r="G1396" i="1" s="1"/>
  <c r="D1396" i="1" s="1"/>
  <c r="I1395" i="1" a="1"/>
  <c r="I1395" i="1" s="1"/>
  <c r="H1395" i="1" a="1"/>
  <c r="H1395" i="1"/>
  <c r="D1395" i="1" s="1"/>
  <c r="G1395" i="1" a="1"/>
  <c r="G1395" i="1"/>
  <c r="I1394" i="1" a="1"/>
  <c r="I1394" i="1"/>
  <c r="H1394" i="1" a="1"/>
  <c r="H1394" i="1"/>
  <c r="G1394" i="1" a="1"/>
  <c r="G1394" i="1" s="1"/>
  <c r="D1394" i="1" s="1"/>
  <c r="I1393" i="1" a="1"/>
  <c r="I1393" i="1" s="1"/>
  <c r="D1393" i="1" s="1"/>
  <c r="H1393" i="1" a="1"/>
  <c r="H1393" i="1" s="1"/>
  <c r="G1393" i="1" a="1"/>
  <c r="G1393" i="1"/>
  <c r="I1392" i="1" a="1"/>
  <c r="I1392" i="1" s="1"/>
  <c r="D1392" i="1" s="1"/>
  <c r="H1392" i="1" a="1"/>
  <c r="H1392" i="1"/>
  <c r="G1392" i="1" a="1"/>
  <c r="G1392" i="1"/>
  <c r="I1391" i="1" a="1"/>
  <c r="I1391" i="1"/>
  <c r="D1391" i="1" s="1"/>
  <c r="H1391" i="1" a="1"/>
  <c r="H1391" i="1" s="1"/>
  <c r="G1391" i="1" a="1"/>
  <c r="G1391" i="1" s="1"/>
  <c r="I1390" i="1" a="1"/>
  <c r="I1390" i="1" s="1"/>
  <c r="H1390" i="1" a="1"/>
  <c r="H1390" i="1"/>
  <c r="G1390" i="1" a="1"/>
  <c r="G1390" i="1"/>
  <c r="I1389" i="1" a="1"/>
  <c r="I1389" i="1"/>
  <c r="H1389" i="1" a="1"/>
  <c r="H1389" i="1" s="1"/>
  <c r="G1389" i="1" a="1"/>
  <c r="G1389" i="1" s="1"/>
  <c r="I1388" i="1" a="1"/>
  <c r="I1388" i="1"/>
  <c r="H1388" i="1" a="1"/>
  <c r="H1388" i="1"/>
  <c r="G1388" i="1" a="1"/>
  <c r="G1388" i="1" s="1"/>
  <c r="D1388" i="1" s="1"/>
  <c r="I1387" i="1" a="1"/>
  <c r="I1387" i="1" s="1"/>
  <c r="H1387" i="1" a="1"/>
  <c r="H1387" i="1"/>
  <c r="G1387" i="1" a="1"/>
  <c r="G1387" i="1" s="1"/>
  <c r="D1387" i="1" s="1"/>
  <c r="I1386" i="1" a="1"/>
  <c r="I1386" i="1"/>
  <c r="H1386" i="1" a="1"/>
  <c r="H1386" i="1"/>
  <c r="G1386" i="1" a="1"/>
  <c r="G1386" i="1"/>
  <c r="D1386" i="1" s="1"/>
  <c r="I1385" i="1" a="1"/>
  <c r="I1385" i="1" s="1"/>
  <c r="H1385" i="1" a="1"/>
  <c r="H1385" i="1" s="1"/>
  <c r="G1385" i="1" a="1"/>
  <c r="G1385" i="1" s="1"/>
  <c r="D1385" i="1" s="1"/>
  <c r="I1384" i="1" a="1"/>
  <c r="I1384" i="1"/>
  <c r="H1384" i="1" a="1"/>
  <c r="H1384" i="1"/>
  <c r="G1384" i="1" a="1"/>
  <c r="G1384" i="1"/>
  <c r="D1384" i="1" s="1"/>
  <c r="I1383" i="1" a="1"/>
  <c r="I1383" i="1"/>
  <c r="H1383" i="1" a="1"/>
  <c r="H1383" i="1" s="1"/>
  <c r="D1383" i="1" s="1"/>
  <c r="G1383" i="1" a="1"/>
  <c r="G1383" i="1" s="1"/>
  <c r="I1382" i="1" a="1"/>
  <c r="I1382" i="1" s="1"/>
  <c r="H1382" i="1" a="1"/>
  <c r="H1382" i="1"/>
  <c r="G1382" i="1" a="1"/>
  <c r="G1382" i="1"/>
  <c r="I1381" i="1" a="1"/>
  <c r="I1381" i="1"/>
  <c r="H1381" i="1" a="1"/>
  <c r="H1381" i="1" s="1"/>
  <c r="G1381" i="1" a="1"/>
  <c r="G1381" i="1" s="1"/>
  <c r="I1380" i="1" a="1"/>
  <c r="I1380" i="1"/>
  <c r="H1380" i="1" a="1"/>
  <c r="H1380" i="1" s="1"/>
  <c r="G1380" i="1" a="1"/>
  <c r="G1380" i="1"/>
  <c r="I1379" i="1" a="1"/>
  <c r="I1379" i="1" s="1"/>
  <c r="H1379" i="1" a="1"/>
  <c r="H1379" i="1"/>
  <c r="G1379" i="1" a="1"/>
  <c r="G1379" i="1"/>
  <c r="D1379" i="1" s="1"/>
  <c r="I1378" i="1" a="1"/>
  <c r="I1378" i="1"/>
  <c r="H1378" i="1" a="1"/>
  <c r="H1378" i="1"/>
  <c r="G1378" i="1" a="1"/>
  <c r="G1378" i="1"/>
  <c r="D1378" i="1"/>
  <c r="I1377" i="1" a="1"/>
  <c r="I1377" i="1" s="1"/>
  <c r="H1377" i="1" a="1"/>
  <c r="H1377" i="1" s="1"/>
  <c r="G1377" i="1" a="1"/>
  <c r="G1377" i="1" s="1"/>
  <c r="D1377" i="1" s="1"/>
  <c r="I1376" i="1" a="1"/>
  <c r="I1376" i="1"/>
  <c r="H1376" i="1" a="1"/>
  <c r="H1376" i="1"/>
  <c r="G1376" i="1" a="1"/>
  <c r="G1376" i="1"/>
  <c r="D1376" i="1" s="1"/>
  <c r="I1375" i="1" a="1"/>
  <c r="I1375" i="1"/>
  <c r="H1375" i="1" a="1"/>
  <c r="H1375" i="1" s="1"/>
  <c r="G1375" i="1" a="1"/>
  <c r="G1375" i="1" s="1"/>
  <c r="D1375" i="1" s="1"/>
  <c r="I1374" i="1" a="1"/>
  <c r="I1374" i="1"/>
  <c r="H1374" i="1" a="1"/>
  <c r="H1374" i="1" s="1"/>
  <c r="G1374" i="1" a="1"/>
  <c r="G1374" i="1"/>
  <c r="I1373" i="1" a="1"/>
  <c r="I1373" i="1" s="1"/>
  <c r="H1373" i="1" a="1"/>
  <c r="H1373" i="1"/>
  <c r="G1373" i="1" a="1"/>
  <c r="G1373" i="1" s="1"/>
  <c r="D1373" i="1" s="1"/>
  <c r="I1372" i="1" a="1"/>
  <c r="I1372" i="1"/>
  <c r="H1372" i="1" a="1"/>
  <c r="H1372" i="1" s="1"/>
  <c r="G1372" i="1" a="1"/>
  <c r="G1372" i="1"/>
  <c r="I1371" i="1" a="1"/>
  <c r="I1371" i="1" s="1"/>
  <c r="H1371" i="1" a="1"/>
  <c r="H1371" i="1"/>
  <c r="G1371" i="1" a="1"/>
  <c r="G1371" i="1"/>
  <c r="D1371" i="1" s="1"/>
  <c r="I1370" i="1" a="1"/>
  <c r="I1370" i="1"/>
  <c r="H1370" i="1" a="1"/>
  <c r="H1370" i="1"/>
  <c r="G1370" i="1" a="1"/>
  <c r="G1370" i="1"/>
  <c r="D1370" i="1"/>
  <c r="I1369" i="1" a="1"/>
  <c r="I1369" i="1" s="1"/>
  <c r="H1369" i="1" a="1"/>
  <c r="H1369" i="1"/>
  <c r="G1369" i="1" a="1"/>
  <c r="G1369" i="1" s="1"/>
  <c r="D1369" i="1" s="1"/>
  <c r="I1368" i="1" a="1"/>
  <c r="I1368" i="1"/>
  <c r="H1368" i="1" a="1"/>
  <c r="H1368" i="1"/>
  <c r="G1368" i="1" a="1"/>
  <c r="G1368" i="1" s="1"/>
  <c r="D1368" i="1" s="1"/>
  <c r="I1367" i="1" a="1"/>
  <c r="I1367" i="1"/>
  <c r="H1367" i="1" a="1"/>
  <c r="H1367" i="1" s="1"/>
  <c r="G1367" i="1" a="1"/>
  <c r="G1367" i="1"/>
  <c r="D1367" i="1" s="1"/>
  <c r="I1366" i="1" a="1"/>
  <c r="I1366" i="1"/>
  <c r="H1366" i="1" a="1"/>
  <c r="H1366" i="1"/>
  <c r="D1366" i="1" s="1"/>
  <c r="G1366" i="1" a="1"/>
  <c r="G1366" i="1"/>
  <c r="I1365" i="1" a="1"/>
  <c r="I1365" i="1" s="1"/>
  <c r="H1365" i="1" a="1"/>
  <c r="H1365" i="1"/>
  <c r="G1365" i="1" a="1"/>
  <c r="G1365" i="1" s="1"/>
  <c r="D1365" i="1" s="1"/>
  <c r="I1364" i="1" a="1"/>
  <c r="I1364" i="1" s="1"/>
  <c r="H1364" i="1" a="1"/>
  <c r="H1364" i="1"/>
  <c r="G1364" i="1" a="1"/>
  <c r="G1364" i="1"/>
  <c r="I1363" i="1" a="1"/>
  <c r="I1363" i="1"/>
  <c r="H1363" i="1" a="1"/>
  <c r="H1363" i="1" s="1"/>
  <c r="D1363" i="1" s="1"/>
  <c r="G1363" i="1" a="1"/>
  <c r="G1363" i="1"/>
  <c r="I1362" i="1" a="1"/>
  <c r="I1362" i="1"/>
  <c r="H1362" i="1" a="1"/>
  <c r="H1362" i="1" s="1"/>
  <c r="D1362" i="1" s="1"/>
  <c r="G1362" i="1" a="1"/>
  <c r="G1362" i="1"/>
  <c r="I1361" i="1" a="1"/>
  <c r="I1361" i="1" s="1"/>
  <c r="H1361" i="1" a="1"/>
  <c r="H1361" i="1"/>
  <c r="G1361" i="1" a="1"/>
  <c r="G1361" i="1" s="1"/>
  <c r="I1360" i="1" a="1"/>
  <c r="I1360" i="1"/>
  <c r="H1360" i="1" a="1"/>
  <c r="H1360" i="1"/>
  <c r="G1360" i="1" a="1"/>
  <c r="G1360" i="1" s="1"/>
  <c r="D1360" i="1" s="1"/>
  <c r="I1359" i="1" a="1"/>
  <c r="I1359" i="1"/>
  <c r="H1359" i="1" a="1"/>
  <c r="H1359" i="1" s="1"/>
  <c r="G1359" i="1" a="1"/>
  <c r="G1359" i="1"/>
  <c r="D1359" i="1" s="1"/>
  <c r="I1358" i="1" a="1"/>
  <c r="I1358" i="1"/>
  <c r="H1358" i="1" a="1"/>
  <c r="H1358" i="1"/>
  <c r="D1358" i="1" s="1"/>
  <c r="G1358" i="1" a="1"/>
  <c r="G1358" i="1"/>
  <c r="I1357" i="1" a="1"/>
  <c r="I1357" i="1" s="1"/>
  <c r="H1357" i="1" a="1"/>
  <c r="H1357" i="1"/>
  <c r="G1357" i="1" a="1"/>
  <c r="G1357" i="1" s="1"/>
  <c r="D1357" i="1" s="1"/>
  <c r="I1356" i="1" a="1"/>
  <c r="I1356" i="1" s="1"/>
  <c r="H1356" i="1" a="1"/>
  <c r="H1356" i="1"/>
  <c r="G1356" i="1" a="1"/>
  <c r="G1356" i="1"/>
  <c r="I1355" i="1" a="1"/>
  <c r="I1355" i="1"/>
  <c r="H1355" i="1" a="1"/>
  <c r="H1355" i="1" s="1"/>
  <c r="D1355" i="1" s="1"/>
  <c r="G1355" i="1" a="1"/>
  <c r="G1355" i="1"/>
  <c r="I1354" i="1" a="1"/>
  <c r="I1354" i="1"/>
  <c r="H1354" i="1" a="1"/>
  <c r="H1354" i="1" s="1"/>
  <c r="D1354" i="1" s="1"/>
  <c r="G1354" i="1" a="1"/>
  <c r="G1354" i="1"/>
  <c r="I1353" i="1" a="1"/>
  <c r="I1353" i="1" s="1"/>
  <c r="H1353" i="1" a="1"/>
  <c r="H1353" i="1"/>
  <c r="G1353" i="1" a="1"/>
  <c r="G1353" i="1" s="1"/>
  <c r="I1352" i="1" a="1"/>
  <c r="I1352" i="1"/>
  <c r="H1352" i="1" a="1"/>
  <c r="H1352" i="1"/>
  <c r="G1352" i="1" a="1"/>
  <c r="G1352" i="1" s="1"/>
  <c r="D1352" i="1" s="1"/>
  <c r="I1351" i="1" a="1"/>
  <c r="I1351" i="1"/>
  <c r="H1351" i="1" a="1"/>
  <c r="H1351" i="1" s="1"/>
  <c r="G1351" i="1" a="1"/>
  <c r="G1351" i="1"/>
  <c r="I1350" i="1" a="1"/>
  <c r="I1350" i="1"/>
  <c r="H1350" i="1" a="1"/>
  <c r="H1350" i="1"/>
  <c r="D1350" i="1" s="1"/>
  <c r="G1350" i="1" a="1"/>
  <c r="G1350" i="1"/>
  <c r="I1349" i="1" a="1"/>
  <c r="I1349" i="1" s="1"/>
  <c r="H1349" i="1" a="1"/>
  <c r="H1349" i="1"/>
  <c r="G1349" i="1" a="1"/>
  <c r="G1349" i="1" s="1"/>
  <c r="D1349" i="1" s="1"/>
  <c r="I1348" i="1" a="1"/>
  <c r="I1348" i="1" s="1"/>
  <c r="H1348" i="1" a="1"/>
  <c r="H1348" i="1"/>
  <c r="G1348" i="1" a="1"/>
  <c r="G1348" i="1"/>
  <c r="I1347" i="1" a="1"/>
  <c r="I1347" i="1"/>
  <c r="H1347" i="1" a="1"/>
  <c r="H1347" i="1" s="1"/>
  <c r="D1347" i="1" s="1"/>
  <c r="G1347" i="1" a="1"/>
  <c r="G1347" i="1"/>
  <c r="I1346" i="1" a="1"/>
  <c r="I1346" i="1"/>
  <c r="H1346" i="1" a="1"/>
  <c r="H1346" i="1" s="1"/>
  <c r="D1346" i="1" s="1"/>
  <c r="G1346" i="1" a="1"/>
  <c r="G1346" i="1"/>
  <c r="I1345" i="1" a="1"/>
  <c r="I1345" i="1" s="1"/>
  <c r="H1345" i="1" a="1"/>
  <c r="H1345" i="1"/>
  <c r="G1345" i="1" a="1"/>
  <c r="G1345" i="1" s="1"/>
  <c r="I1344" i="1" a="1"/>
  <c r="I1344" i="1"/>
  <c r="H1344" i="1" a="1"/>
  <c r="H1344" i="1"/>
  <c r="G1344" i="1" a="1"/>
  <c r="G1344" i="1" s="1"/>
  <c r="D1344" i="1" s="1"/>
  <c r="I1343" i="1" a="1"/>
  <c r="I1343" i="1"/>
  <c r="H1343" i="1" a="1"/>
  <c r="H1343" i="1" s="1"/>
  <c r="G1343" i="1" a="1"/>
  <c r="G1343" i="1"/>
  <c r="I1342" i="1" a="1"/>
  <c r="I1342" i="1"/>
  <c r="H1342" i="1" a="1"/>
  <c r="H1342" i="1"/>
  <c r="D1342" i="1" s="1"/>
  <c r="G1342" i="1" a="1"/>
  <c r="G1342" i="1"/>
  <c r="I1341" i="1" a="1"/>
  <c r="I1341" i="1" s="1"/>
  <c r="H1341" i="1" a="1"/>
  <c r="H1341" i="1"/>
  <c r="G1341" i="1" a="1"/>
  <c r="G1341" i="1" s="1"/>
  <c r="I1340" i="1" a="1"/>
  <c r="I1340" i="1" s="1"/>
  <c r="H1340" i="1" a="1"/>
  <c r="H1340" i="1"/>
  <c r="G1340" i="1" a="1"/>
  <c r="G1340" i="1"/>
  <c r="I1339" i="1" a="1"/>
  <c r="I1339" i="1"/>
  <c r="H1339" i="1" a="1"/>
  <c r="H1339" i="1" s="1"/>
  <c r="D1339" i="1" s="1"/>
  <c r="G1339" i="1" a="1"/>
  <c r="G1339" i="1"/>
  <c r="I1338" i="1" a="1"/>
  <c r="I1338" i="1" s="1"/>
  <c r="H1338" i="1" a="1"/>
  <c r="H1338" i="1" s="1"/>
  <c r="G1338" i="1" a="1"/>
  <c r="G1338" i="1"/>
  <c r="I1337" i="1" a="1"/>
  <c r="I1337" i="1"/>
  <c r="H1337" i="1" a="1"/>
  <c r="H1337" i="1"/>
  <c r="G1337" i="1" a="1"/>
  <c r="G1337" i="1" s="1"/>
  <c r="D1337" i="1" s="1"/>
  <c r="I1336" i="1" a="1"/>
  <c r="I1336" i="1"/>
  <c r="H1336" i="1" a="1"/>
  <c r="H1336" i="1" s="1"/>
  <c r="G1336" i="1" a="1"/>
  <c r="G1336" i="1" s="1"/>
  <c r="I1335" i="1" a="1"/>
  <c r="I1335" i="1"/>
  <c r="H1335" i="1" a="1"/>
  <c r="H1335" i="1" s="1"/>
  <c r="G1335" i="1" a="1"/>
  <c r="G1335" i="1"/>
  <c r="I1334" i="1" a="1"/>
  <c r="I1334" i="1"/>
  <c r="H1334" i="1" a="1"/>
  <c r="H1334" i="1"/>
  <c r="G1334" i="1" a="1"/>
  <c r="G1334" i="1" s="1"/>
  <c r="D1334" i="1" s="1"/>
  <c r="I1333" i="1" a="1"/>
  <c r="I1333" i="1"/>
  <c r="H1333" i="1" a="1"/>
  <c r="H1333" i="1" s="1"/>
  <c r="G1333" i="1" a="1"/>
  <c r="G1333" i="1"/>
  <c r="I1332" i="1" a="1"/>
  <c r="I1332" i="1" s="1"/>
  <c r="H1332" i="1" a="1"/>
  <c r="H1332" i="1" s="1"/>
  <c r="G1332" i="1" a="1"/>
  <c r="G1332" i="1" s="1"/>
  <c r="I1331" i="1" a="1"/>
  <c r="I1331" i="1"/>
  <c r="H1331" i="1" a="1"/>
  <c r="H1331" i="1"/>
  <c r="G1331" i="1" a="1"/>
  <c r="G1331" i="1"/>
  <c r="D1331" i="1" s="1"/>
  <c r="I1330" i="1" a="1"/>
  <c r="I1330" i="1"/>
  <c r="H1330" i="1" a="1"/>
  <c r="H1330" i="1" s="1"/>
  <c r="G1330" i="1" a="1"/>
  <c r="G1330" i="1"/>
  <c r="D1330" i="1" s="1"/>
  <c r="I1329" i="1" a="1"/>
  <c r="I1329" i="1" s="1"/>
  <c r="D1329" i="1" s="1"/>
  <c r="H1329" i="1" a="1"/>
  <c r="H1329" i="1"/>
  <c r="G1329" i="1" a="1"/>
  <c r="G1329" i="1"/>
  <c r="I1328" i="1" a="1"/>
  <c r="I1328" i="1"/>
  <c r="H1328" i="1" a="1"/>
  <c r="H1328" i="1" s="1"/>
  <c r="D1328" i="1" s="1"/>
  <c r="G1328" i="1" a="1"/>
  <c r="G1328" i="1" s="1"/>
  <c r="I1327" i="1" a="1"/>
  <c r="I1327" i="1"/>
  <c r="H1327" i="1" a="1"/>
  <c r="H1327" i="1" s="1"/>
  <c r="G1327" i="1" a="1"/>
  <c r="G1327" i="1" s="1"/>
  <c r="I1326" i="1" a="1"/>
  <c r="I1326" i="1"/>
  <c r="H1326" i="1" a="1"/>
  <c r="H1326" i="1"/>
  <c r="G1326" i="1" a="1"/>
  <c r="G1326" i="1" s="1"/>
  <c r="D1326" i="1" s="1"/>
  <c r="I1325" i="1" a="1"/>
  <c r="I1325" i="1"/>
  <c r="H1325" i="1" a="1"/>
  <c r="H1325" i="1"/>
  <c r="G1325" i="1" a="1"/>
  <c r="G1325" i="1" s="1"/>
  <c r="D1325" i="1" s="1"/>
  <c r="I1324" i="1" a="1"/>
  <c r="I1324" i="1" s="1"/>
  <c r="H1324" i="1" a="1"/>
  <c r="H1324" i="1"/>
  <c r="G1324" i="1" a="1"/>
  <c r="G1324" i="1"/>
  <c r="D1324" i="1"/>
  <c r="I1323" i="1" a="1"/>
  <c r="I1323" i="1" s="1"/>
  <c r="D1323" i="1" s="1"/>
  <c r="H1323" i="1" a="1"/>
  <c r="H1323" i="1"/>
  <c r="G1323" i="1" a="1"/>
  <c r="G1323" i="1"/>
  <c r="I1322" i="1" a="1"/>
  <c r="I1322" i="1" s="1"/>
  <c r="H1322" i="1" a="1"/>
  <c r="H1322" i="1" s="1"/>
  <c r="G1322" i="1" a="1"/>
  <c r="G1322" i="1" s="1"/>
  <c r="D1322" i="1" s="1"/>
  <c r="I1321" i="1" a="1"/>
  <c r="I1321" i="1"/>
  <c r="H1321" i="1" a="1"/>
  <c r="H1321" i="1" s="1"/>
  <c r="G1321" i="1" a="1"/>
  <c r="G1321" i="1"/>
  <c r="I1320" i="1" a="1"/>
  <c r="I1320" i="1"/>
  <c r="H1320" i="1" a="1"/>
  <c r="H1320" i="1"/>
  <c r="G1320" i="1" a="1"/>
  <c r="G1320" i="1" s="1"/>
  <c r="D1320" i="1" s="1"/>
  <c r="I1319" i="1" a="1"/>
  <c r="I1319" i="1" s="1"/>
  <c r="H1319" i="1" a="1"/>
  <c r="H1319" i="1"/>
  <c r="G1319" i="1" a="1"/>
  <c r="G1319" i="1"/>
  <c r="I1318" i="1" a="1"/>
  <c r="I1318" i="1" s="1"/>
  <c r="H1318" i="1" a="1"/>
  <c r="H1318" i="1" s="1"/>
  <c r="G1318" i="1" a="1"/>
  <c r="G1318" i="1"/>
  <c r="I1317" i="1" a="1"/>
  <c r="I1317" i="1"/>
  <c r="H1317" i="1" a="1"/>
  <c r="H1317" i="1" s="1"/>
  <c r="D1317" i="1" s="1"/>
  <c r="G1317" i="1" a="1"/>
  <c r="G1317" i="1"/>
  <c r="I1316" i="1" a="1"/>
  <c r="I1316" i="1" s="1"/>
  <c r="H1316" i="1" a="1"/>
  <c r="H1316" i="1" s="1"/>
  <c r="G1316" i="1" a="1"/>
  <c r="G1316" i="1" s="1"/>
  <c r="D1316" i="1" s="1"/>
  <c r="I1315" i="1" a="1"/>
  <c r="I1315" i="1"/>
  <c r="H1315" i="1" a="1"/>
  <c r="H1315" i="1"/>
  <c r="G1315" i="1" a="1"/>
  <c r="G1315" i="1"/>
  <c r="D1315" i="1" s="1"/>
  <c r="I1314" i="1" a="1"/>
  <c r="I1314" i="1"/>
  <c r="H1314" i="1" a="1"/>
  <c r="H1314" i="1" s="1"/>
  <c r="G1314" i="1" a="1"/>
  <c r="G1314" i="1"/>
  <c r="D1314" i="1" s="1"/>
  <c r="I1313" i="1" a="1"/>
  <c r="I1313" i="1" s="1"/>
  <c r="D1313" i="1" s="1"/>
  <c r="H1313" i="1" a="1"/>
  <c r="H1313" i="1"/>
  <c r="G1313" i="1" a="1"/>
  <c r="G1313" i="1"/>
  <c r="I1312" i="1" a="1"/>
  <c r="I1312" i="1"/>
  <c r="H1312" i="1" a="1"/>
  <c r="H1312" i="1" s="1"/>
  <c r="D1312" i="1" s="1"/>
  <c r="G1312" i="1" a="1"/>
  <c r="G1312" i="1" s="1"/>
  <c r="I1311" i="1" a="1"/>
  <c r="I1311" i="1"/>
  <c r="H1311" i="1" a="1"/>
  <c r="H1311" i="1" s="1"/>
  <c r="G1311" i="1" a="1"/>
  <c r="G1311" i="1" s="1"/>
  <c r="D1311" i="1" s="1"/>
  <c r="I1310" i="1" a="1"/>
  <c r="I1310" i="1"/>
  <c r="H1310" i="1" a="1"/>
  <c r="H1310" i="1"/>
  <c r="G1310" i="1" a="1"/>
  <c r="G1310" i="1" s="1"/>
  <c r="D1310" i="1" s="1"/>
  <c r="I1309" i="1" a="1"/>
  <c r="I1309" i="1"/>
  <c r="H1309" i="1" a="1"/>
  <c r="H1309" i="1"/>
  <c r="G1309" i="1" a="1"/>
  <c r="G1309" i="1" s="1"/>
  <c r="D1309" i="1" s="1"/>
  <c r="I1308" i="1" a="1"/>
  <c r="I1308" i="1" s="1"/>
  <c r="H1308" i="1" a="1"/>
  <c r="H1308" i="1"/>
  <c r="G1308" i="1" a="1"/>
  <c r="G1308" i="1"/>
  <c r="D1308" i="1"/>
  <c r="I1307" i="1" a="1"/>
  <c r="I1307" i="1" s="1"/>
  <c r="D1307" i="1" s="1"/>
  <c r="H1307" i="1" a="1"/>
  <c r="H1307" i="1"/>
  <c r="G1307" i="1" a="1"/>
  <c r="G1307" i="1"/>
  <c r="I1306" i="1" a="1"/>
  <c r="I1306" i="1" s="1"/>
  <c r="H1306" i="1" a="1"/>
  <c r="H1306" i="1" s="1"/>
  <c r="G1306" i="1" a="1"/>
  <c r="G1306" i="1" s="1"/>
  <c r="D1306" i="1" s="1"/>
  <c r="I1305" i="1" a="1"/>
  <c r="I1305" i="1"/>
  <c r="H1305" i="1" a="1"/>
  <c r="H1305" i="1" s="1"/>
  <c r="G1305" i="1" a="1"/>
  <c r="G1305" i="1"/>
  <c r="D1305" i="1" s="1"/>
  <c r="I1304" i="1" a="1"/>
  <c r="I1304" i="1"/>
  <c r="H1304" i="1" a="1"/>
  <c r="H1304" i="1"/>
  <c r="G1304" i="1" a="1"/>
  <c r="G1304" i="1" s="1"/>
  <c r="D1304" i="1" s="1"/>
  <c r="I1303" i="1" a="1"/>
  <c r="I1303" i="1" s="1"/>
  <c r="H1303" i="1" a="1"/>
  <c r="H1303" i="1"/>
  <c r="G1303" i="1" a="1"/>
  <c r="G1303" i="1"/>
  <c r="I1302" i="1" a="1"/>
  <c r="I1302" i="1" s="1"/>
  <c r="H1302" i="1" a="1"/>
  <c r="H1302" i="1" s="1"/>
  <c r="G1302" i="1" a="1"/>
  <c r="G1302" i="1"/>
  <c r="I1301" i="1" a="1"/>
  <c r="I1301" i="1"/>
  <c r="H1301" i="1" a="1"/>
  <c r="H1301" i="1" s="1"/>
  <c r="D1301" i="1" s="1"/>
  <c r="G1301" i="1" a="1"/>
  <c r="G1301" i="1"/>
  <c r="I1300" i="1" a="1"/>
  <c r="I1300" i="1" s="1"/>
  <c r="H1300" i="1" a="1"/>
  <c r="H1300" i="1" s="1"/>
  <c r="G1300" i="1" a="1"/>
  <c r="G1300" i="1" s="1"/>
  <c r="D1300" i="1" s="1"/>
  <c r="I1299" i="1" a="1"/>
  <c r="I1299" i="1"/>
  <c r="H1299" i="1" a="1"/>
  <c r="H1299" i="1"/>
  <c r="G1299" i="1" a="1"/>
  <c r="G1299" i="1"/>
  <c r="D1299" i="1" s="1"/>
  <c r="I1298" i="1" a="1"/>
  <c r="I1298" i="1"/>
  <c r="H1298" i="1" a="1"/>
  <c r="H1298" i="1" s="1"/>
  <c r="G1298" i="1" a="1"/>
  <c r="G1298" i="1"/>
  <c r="D1298" i="1" s="1"/>
  <c r="I1297" i="1" a="1"/>
  <c r="I1297" i="1" s="1"/>
  <c r="D1297" i="1" s="1"/>
  <c r="H1297" i="1" a="1"/>
  <c r="H1297" i="1"/>
  <c r="G1297" i="1" a="1"/>
  <c r="G1297" i="1"/>
  <c r="I1296" i="1" a="1"/>
  <c r="I1296" i="1"/>
  <c r="H1296" i="1" a="1"/>
  <c r="H1296" i="1" s="1"/>
  <c r="D1296" i="1" s="1"/>
  <c r="G1296" i="1" a="1"/>
  <c r="G1296" i="1" s="1"/>
  <c r="I1295" i="1" a="1"/>
  <c r="I1295" i="1"/>
  <c r="H1295" i="1" a="1"/>
  <c r="H1295" i="1" s="1"/>
  <c r="G1295" i="1" a="1"/>
  <c r="G1295" i="1" s="1"/>
  <c r="D1295" i="1" s="1"/>
  <c r="I1294" i="1" a="1"/>
  <c r="I1294" i="1"/>
  <c r="H1294" i="1" a="1"/>
  <c r="H1294" i="1"/>
  <c r="G1294" i="1" a="1"/>
  <c r="G1294" i="1" s="1"/>
  <c r="D1294" i="1" s="1"/>
  <c r="I1293" i="1" a="1"/>
  <c r="I1293" i="1"/>
  <c r="H1293" i="1" a="1"/>
  <c r="H1293" i="1"/>
  <c r="G1293" i="1" a="1"/>
  <c r="G1293" i="1" s="1"/>
  <c r="D1293" i="1" s="1"/>
  <c r="I1292" i="1" a="1"/>
  <c r="I1292" i="1" s="1"/>
  <c r="H1292" i="1" a="1"/>
  <c r="H1292" i="1"/>
  <c r="G1292" i="1" a="1"/>
  <c r="G1292" i="1"/>
  <c r="D1292" i="1"/>
  <c r="I1291" i="1" a="1"/>
  <c r="I1291" i="1" s="1"/>
  <c r="D1291" i="1" s="1"/>
  <c r="H1291" i="1" a="1"/>
  <c r="H1291" i="1"/>
  <c r="G1291" i="1" a="1"/>
  <c r="G1291" i="1"/>
  <c r="I1290" i="1" a="1"/>
  <c r="I1290" i="1" s="1"/>
  <c r="H1290" i="1" a="1"/>
  <c r="H1290" i="1" s="1"/>
  <c r="G1290" i="1" a="1"/>
  <c r="G1290" i="1" s="1"/>
  <c r="I1289" i="1" a="1"/>
  <c r="I1289" i="1"/>
  <c r="H1289" i="1" a="1"/>
  <c r="H1289" i="1" s="1"/>
  <c r="G1289" i="1" a="1"/>
  <c r="G1289" i="1"/>
  <c r="D1289" i="1" s="1"/>
  <c r="I1288" i="1" a="1"/>
  <c r="I1288" i="1"/>
  <c r="H1288" i="1" a="1"/>
  <c r="H1288" i="1"/>
  <c r="G1288" i="1" a="1"/>
  <c r="G1288" i="1" s="1"/>
  <c r="D1288" i="1" s="1"/>
  <c r="I1287" i="1" a="1"/>
  <c r="I1287" i="1" s="1"/>
  <c r="H1287" i="1" a="1"/>
  <c r="H1287" i="1"/>
  <c r="G1287" i="1" a="1"/>
  <c r="G1287" i="1"/>
  <c r="I1286" i="1" a="1"/>
  <c r="I1286" i="1" s="1"/>
  <c r="H1286" i="1" a="1"/>
  <c r="H1286" i="1" s="1"/>
  <c r="D1286" i="1" s="1"/>
  <c r="G1286" i="1" a="1"/>
  <c r="G1286" i="1"/>
  <c r="I1285" i="1" a="1"/>
  <c r="I1285" i="1"/>
  <c r="H1285" i="1" a="1"/>
  <c r="H1285" i="1" s="1"/>
  <c r="D1285" i="1" s="1"/>
  <c r="G1285" i="1" a="1"/>
  <c r="G1285" i="1"/>
  <c r="I1284" i="1" a="1"/>
  <c r="I1284" i="1" s="1"/>
  <c r="H1284" i="1" a="1"/>
  <c r="H1284" i="1" s="1"/>
  <c r="G1284" i="1" a="1"/>
  <c r="G1284" i="1" s="1"/>
  <c r="I1283" i="1" a="1"/>
  <c r="I1283" i="1"/>
  <c r="H1283" i="1" a="1"/>
  <c r="H1283" i="1"/>
  <c r="G1283" i="1" a="1"/>
  <c r="G1283" i="1"/>
  <c r="D1283" i="1" s="1"/>
  <c r="I1282" i="1" a="1"/>
  <c r="I1282" i="1"/>
  <c r="H1282" i="1" a="1"/>
  <c r="H1282" i="1" s="1"/>
  <c r="G1282" i="1" a="1"/>
  <c r="G1282" i="1"/>
  <c r="D1282" i="1" s="1"/>
  <c r="I1281" i="1" a="1"/>
  <c r="I1281" i="1" s="1"/>
  <c r="H1281" i="1" a="1"/>
  <c r="H1281" i="1"/>
  <c r="G1281" i="1" a="1"/>
  <c r="G1281" i="1"/>
  <c r="D1281" i="1"/>
  <c r="I1280" i="1" a="1"/>
  <c r="I1280" i="1"/>
  <c r="H1280" i="1" a="1"/>
  <c r="H1280" i="1" s="1"/>
  <c r="D1280" i="1" s="1"/>
  <c r="G1280" i="1" a="1"/>
  <c r="G1280" i="1" s="1"/>
  <c r="I1279" i="1" a="1"/>
  <c r="I1279" i="1"/>
  <c r="H1279" i="1" a="1"/>
  <c r="H1279" i="1" s="1"/>
  <c r="G1279" i="1" a="1"/>
  <c r="G1279" i="1" s="1"/>
  <c r="D1279" i="1" s="1"/>
  <c r="I1278" i="1" a="1"/>
  <c r="I1278" i="1"/>
  <c r="H1278" i="1" a="1"/>
  <c r="H1278" i="1"/>
  <c r="G1278" i="1" a="1"/>
  <c r="G1278" i="1" s="1"/>
  <c r="D1278" i="1" s="1"/>
  <c r="I1277" i="1" a="1"/>
  <c r="I1277" i="1"/>
  <c r="H1277" i="1" a="1"/>
  <c r="H1277" i="1"/>
  <c r="G1277" i="1" a="1"/>
  <c r="G1277" i="1" s="1"/>
  <c r="I1276" i="1" a="1"/>
  <c r="I1276" i="1" s="1"/>
  <c r="H1276" i="1" a="1"/>
  <c r="H1276" i="1"/>
  <c r="G1276" i="1" a="1"/>
  <c r="G1276" i="1"/>
  <c r="D1276" i="1"/>
  <c r="I1275" i="1" a="1"/>
  <c r="I1275" i="1" s="1"/>
  <c r="D1275" i="1" s="1"/>
  <c r="H1275" i="1" a="1"/>
  <c r="H1275" i="1"/>
  <c r="G1275" i="1" a="1"/>
  <c r="G1275" i="1"/>
  <c r="I1274" i="1" a="1"/>
  <c r="I1274" i="1" s="1"/>
  <c r="H1274" i="1" a="1"/>
  <c r="H1274" i="1" s="1"/>
  <c r="G1274" i="1" a="1"/>
  <c r="G1274" i="1" s="1"/>
  <c r="D1274" i="1" s="1"/>
  <c r="I1273" i="1" a="1"/>
  <c r="I1273" i="1"/>
  <c r="H1273" i="1" a="1"/>
  <c r="H1273" i="1" s="1"/>
  <c r="G1273" i="1" a="1"/>
  <c r="G1273" i="1"/>
  <c r="D1273" i="1" s="1"/>
  <c r="I1272" i="1" a="1"/>
  <c r="I1272" i="1"/>
  <c r="H1272" i="1" a="1"/>
  <c r="H1272" i="1" s="1"/>
  <c r="D1272" i="1" s="1"/>
  <c r="G1272" i="1" a="1"/>
  <c r="G1272" i="1" s="1"/>
  <c r="I1271" i="1" a="1"/>
  <c r="I1271" i="1" s="1"/>
  <c r="H1271" i="1" a="1"/>
  <c r="H1271" i="1"/>
  <c r="G1271" i="1" a="1"/>
  <c r="G1271" i="1"/>
  <c r="D1271" i="1" s="1"/>
  <c r="I1270" i="1" a="1"/>
  <c r="I1270" i="1" s="1"/>
  <c r="D1270" i="1" s="1"/>
  <c r="H1270" i="1" a="1"/>
  <c r="H1270" i="1" s="1"/>
  <c r="G1270" i="1" a="1"/>
  <c r="G1270" i="1"/>
  <c r="I1269" i="1" a="1"/>
  <c r="I1269" i="1"/>
  <c r="H1269" i="1" a="1"/>
  <c r="H1269" i="1" s="1"/>
  <c r="G1269" i="1" a="1"/>
  <c r="G1269" i="1"/>
  <c r="I1268" i="1" a="1"/>
  <c r="I1268" i="1" s="1"/>
  <c r="H1268" i="1" a="1"/>
  <c r="H1268" i="1" s="1"/>
  <c r="G1268" i="1" a="1"/>
  <c r="G1268" i="1" s="1"/>
  <c r="I1267" i="1" a="1"/>
  <c r="I1267" i="1"/>
  <c r="H1267" i="1" a="1"/>
  <c r="H1267" i="1"/>
  <c r="G1267" i="1" a="1"/>
  <c r="G1267" i="1"/>
  <c r="D1267" i="1" s="1"/>
  <c r="I1266" i="1" a="1"/>
  <c r="I1266" i="1"/>
  <c r="H1266" i="1" a="1"/>
  <c r="H1266" i="1" s="1"/>
  <c r="G1266" i="1" a="1"/>
  <c r="G1266" i="1" s="1"/>
  <c r="D1266" i="1" s="1"/>
  <c r="I1265" i="1" a="1"/>
  <c r="I1265" i="1" s="1"/>
  <c r="H1265" i="1" a="1"/>
  <c r="H1265" i="1"/>
  <c r="G1265" i="1" a="1"/>
  <c r="G1265" i="1"/>
  <c r="D1265" i="1" s="1"/>
  <c r="I1264" i="1" a="1"/>
  <c r="I1264" i="1"/>
  <c r="H1264" i="1" a="1"/>
  <c r="H1264" i="1" s="1"/>
  <c r="D1264" i="1" s="1"/>
  <c r="G1264" i="1" a="1"/>
  <c r="G1264" i="1" s="1"/>
  <c r="I1263" i="1" a="1"/>
  <c r="I1263" i="1"/>
  <c r="H1263" i="1" a="1"/>
  <c r="H1263" i="1" s="1"/>
  <c r="G1263" i="1" a="1"/>
  <c r="G1263" i="1" s="1"/>
  <c r="I1262" i="1" a="1"/>
  <c r="I1262" i="1"/>
  <c r="H1262" i="1" a="1"/>
  <c r="H1262" i="1" s="1"/>
  <c r="G1262" i="1" a="1"/>
  <c r="G1262" i="1"/>
  <c r="I1261" i="1" a="1"/>
  <c r="I1261" i="1"/>
  <c r="H1261" i="1" a="1"/>
  <c r="H1261" i="1"/>
  <c r="G1261" i="1" a="1"/>
  <c r="G1261" i="1" s="1"/>
  <c r="D1261" i="1" s="1"/>
  <c r="I1260" i="1" a="1"/>
  <c r="I1260" i="1" s="1"/>
  <c r="H1260" i="1" a="1"/>
  <c r="H1260" i="1"/>
  <c r="G1260" i="1" a="1"/>
  <c r="G1260" i="1"/>
  <c r="D1260" i="1"/>
  <c r="I1259" i="1" a="1"/>
  <c r="I1259" i="1"/>
  <c r="D1259" i="1" s="1"/>
  <c r="H1259" i="1" a="1"/>
  <c r="H1259" i="1"/>
  <c r="G1259" i="1" a="1"/>
  <c r="G1259" i="1"/>
  <c r="I1258" i="1" a="1"/>
  <c r="I1258" i="1" s="1"/>
  <c r="H1258" i="1" a="1"/>
  <c r="H1258" i="1" s="1"/>
  <c r="G1258" i="1" a="1"/>
  <c r="G1258" i="1" s="1"/>
  <c r="I1257" i="1" a="1"/>
  <c r="I1257" i="1"/>
  <c r="H1257" i="1" a="1"/>
  <c r="H1257" i="1"/>
  <c r="G1257" i="1" a="1"/>
  <c r="G1257" i="1"/>
  <c r="D1257" i="1" s="1"/>
  <c r="I1256" i="1" a="1"/>
  <c r="I1256" i="1"/>
  <c r="H1256" i="1" a="1"/>
  <c r="H1256" i="1" s="1"/>
  <c r="D1256" i="1" s="1"/>
  <c r="G1256" i="1" a="1"/>
  <c r="G1256" i="1" s="1"/>
  <c r="I1255" i="1" a="1"/>
  <c r="I1255" i="1" s="1"/>
  <c r="H1255" i="1" a="1"/>
  <c r="H1255" i="1"/>
  <c r="G1255" i="1" a="1"/>
  <c r="G1255" i="1" s="1"/>
  <c r="D1255" i="1" s="1"/>
  <c r="I1254" i="1" a="1"/>
  <c r="I1254" i="1"/>
  <c r="H1254" i="1" a="1"/>
  <c r="H1254" i="1" s="1"/>
  <c r="G1254" i="1" a="1"/>
  <c r="G1254" i="1"/>
  <c r="D1254" i="1"/>
  <c r="I1253" i="1" a="1"/>
  <c r="I1253" i="1"/>
  <c r="H1253" i="1" a="1"/>
  <c r="H1253" i="1" s="1"/>
  <c r="G1253" i="1" a="1"/>
  <c r="G1253" i="1"/>
  <c r="I1252" i="1" a="1"/>
  <c r="I1252" i="1" s="1"/>
  <c r="H1252" i="1" a="1"/>
  <c r="H1252" i="1"/>
  <c r="G1252" i="1" a="1"/>
  <c r="G1252" i="1" s="1"/>
  <c r="D1252" i="1" s="1"/>
  <c r="I1251" i="1" a="1"/>
  <c r="I1251" i="1"/>
  <c r="H1251" i="1" a="1"/>
  <c r="H1251" i="1"/>
  <c r="G1251" i="1" a="1"/>
  <c r="G1251" i="1" s="1"/>
  <c r="D1251" i="1" s="1"/>
  <c r="I1250" i="1" a="1"/>
  <c r="I1250" i="1"/>
  <c r="H1250" i="1" a="1"/>
  <c r="H1250" i="1" s="1"/>
  <c r="G1250" i="1" a="1"/>
  <c r="G1250" i="1"/>
  <c r="D1250" i="1"/>
  <c r="I1249" i="1" a="1"/>
  <c r="I1249" i="1" s="1"/>
  <c r="H1249" i="1" a="1"/>
  <c r="H1249" i="1"/>
  <c r="G1249" i="1" a="1"/>
  <c r="G1249" i="1"/>
  <c r="D1249" i="1" s="1"/>
  <c r="I1248" i="1" a="1"/>
  <c r="I1248" i="1"/>
  <c r="H1248" i="1" a="1"/>
  <c r="H1248" i="1" s="1"/>
  <c r="D1248" i="1" s="1"/>
  <c r="G1248" i="1" a="1"/>
  <c r="G1248" i="1" s="1"/>
  <c r="I1247" i="1" a="1"/>
  <c r="I1247" i="1"/>
  <c r="H1247" i="1" a="1"/>
  <c r="H1247" i="1" s="1"/>
  <c r="G1247" i="1" a="1"/>
  <c r="G1247" i="1" s="1"/>
  <c r="I1246" i="1" a="1"/>
  <c r="I1246" i="1"/>
  <c r="H1246" i="1" a="1"/>
  <c r="H1246" i="1" s="1"/>
  <c r="G1246" i="1" a="1"/>
  <c r="G1246" i="1" s="1"/>
  <c r="I1245" i="1" a="1"/>
  <c r="I1245" i="1"/>
  <c r="H1245" i="1" a="1"/>
  <c r="H1245" i="1"/>
  <c r="G1245" i="1" a="1"/>
  <c r="G1245" i="1" s="1"/>
  <c r="D1245" i="1" s="1"/>
  <c r="I1244" i="1" a="1"/>
  <c r="I1244" i="1" s="1"/>
  <c r="H1244" i="1" a="1"/>
  <c r="H1244" i="1"/>
  <c r="G1244" i="1" a="1"/>
  <c r="G1244" i="1"/>
  <c r="D1244" i="1" s="1"/>
  <c r="I1243" i="1" a="1"/>
  <c r="I1243" i="1"/>
  <c r="D1243" i="1" s="1"/>
  <c r="H1243" i="1" a="1"/>
  <c r="H1243" i="1"/>
  <c r="G1243" i="1" a="1"/>
  <c r="G1243" i="1"/>
  <c r="I1242" i="1" a="1"/>
  <c r="I1242" i="1" s="1"/>
  <c r="H1242" i="1" a="1"/>
  <c r="H1242" i="1" s="1"/>
  <c r="G1242" i="1" a="1"/>
  <c r="G1242" i="1" s="1"/>
  <c r="I1241" i="1" a="1"/>
  <c r="I1241" i="1"/>
  <c r="H1241" i="1" a="1"/>
  <c r="H1241" i="1"/>
  <c r="G1241" i="1" a="1"/>
  <c r="G1241" i="1"/>
  <c r="I1240" i="1" a="1"/>
  <c r="I1240" i="1"/>
  <c r="H1240" i="1" a="1"/>
  <c r="H1240" i="1"/>
  <c r="G1240" i="1" a="1"/>
  <c r="G1240" i="1" s="1"/>
  <c r="D1240" i="1"/>
  <c r="I1239" i="1" a="1"/>
  <c r="I1239" i="1" s="1"/>
  <c r="H1239" i="1" a="1"/>
  <c r="H1239" i="1"/>
  <c r="G1239" i="1" a="1"/>
  <c r="G1239" i="1" s="1"/>
  <c r="D1239" i="1" s="1"/>
  <c r="I1238" i="1" a="1"/>
  <c r="I1238" i="1"/>
  <c r="H1238" i="1" a="1"/>
  <c r="H1238" i="1" s="1"/>
  <c r="G1238" i="1" a="1"/>
  <c r="G1238" i="1"/>
  <c r="D1238" i="1"/>
  <c r="I1237" i="1" a="1"/>
  <c r="I1237" i="1"/>
  <c r="H1237" i="1" a="1"/>
  <c r="H1237" i="1" s="1"/>
  <c r="D1237" i="1" s="1"/>
  <c r="G1237" i="1" a="1"/>
  <c r="G1237" i="1"/>
  <c r="I1236" i="1" a="1"/>
  <c r="I1236" i="1" s="1"/>
  <c r="H1236" i="1" a="1"/>
  <c r="H1236" i="1"/>
  <c r="G1236" i="1" a="1"/>
  <c r="G1236" i="1" s="1"/>
  <c r="I1235" i="1" a="1"/>
  <c r="I1235" i="1"/>
  <c r="H1235" i="1" a="1"/>
  <c r="H1235" i="1"/>
  <c r="G1235" i="1" a="1"/>
  <c r="G1235" i="1" s="1"/>
  <c r="D1235" i="1" s="1"/>
  <c r="I1234" i="1" a="1"/>
  <c r="I1234" i="1"/>
  <c r="H1234" i="1" a="1"/>
  <c r="H1234" i="1" s="1"/>
  <c r="G1234" i="1" a="1"/>
  <c r="G1234" i="1"/>
  <c r="D1234" i="1"/>
  <c r="I1233" i="1" a="1"/>
  <c r="I1233" i="1" s="1"/>
  <c r="D1233" i="1" s="1"/>
  <c r="H1233" i="1" a="1"/>
  <c r="H1233" i="1"/>
  <c r="G1233" i="1" a="1"/>
  <c r="G1233" i="1"/>
  <c r="I1232" i="1" a="1"/>
  <c r="I1232" i="1"/>
  <c r="H1232" i="1" a="1"/>
  <c r="H1232" i="1" s="1"/>
  <c r="G1232" i="1" a="1"/>
  <c r="G1232" i="1" s="1"/>
  <c r="I1231" i="1" a="1"/>
  <c r="I1231" i="1" s="1"/>
  <c r="H1231" i="1" a="1"/>
  <c r="H1231" i="1"/>
  <c r="G1231" i="1" a="1"/>
  <c r="G1231" i="1" s="1"/>
  <c r="I1230" i="1" a="1"/>
  <c r="I1230" i="1"/>
  <c r="H1230" i="1" a="1"/>
  <c r="H1230" i="1"/>
  <c r="G1230" i="1" a="1"/>
  <c r="G1230" i="1" s="1"/>
  <c r="D1230" i="1" s="1"/>
  <c r="I1229" i="1" a="1"/>
  <c r="I1229" i="1"/>
  <c r="H1229" i="1" a="1"/>
  <c r="H1229" i="1"/>
  <c r="G1229" i="1" a="1"/>
  <c r="G1229" i="1"/>
  <c r="D1229" i="1" s="1"/>
  <c r="I1228" i="1" a="1"/>
  <c r="I1228" i="1" s="1"/>
  <c r="H1228" i="1" a="1"/>
  <c r="H1228" i="1"/>
  <c r="G1228" i="1" a="1"/>
  <c r="G1228" i="1"/>
  <c r="D1228" i="1"/>
  <c r="I1227" i="1" a="1"/>
  <c r="I1227" i="1" s="1"/>
  <c r="D1227" i="1" s="1"/>
  <c r="H1227" i="1" a="1"/>
  <c r="H1227" i="1"/>
  <c r="G1227" i="1" a="1"/>
  <c r="G1227" i="1"/>
  <c r="I1226" i="1" a="1"/>
  <c r="I1226" i="1"/>
  <c r="H1226" i="1" a="1"/>
  <c r="H1226" i="1" s="1"/>
  <c r="G1226" i="1" a="1"/>
  <c r="G1226" i="1" s="1"/>
  <c r="I1225" i="1" a="1"/>
  <c r="I1225" i="1"/>
  <c r="H1225" i="1" a="1"/>
  <c r="H1225" i="1" s="1"/>
  <c r="G1225" i="1" a="1"/>
  <c r="G1225" i="1"/>
  <c r="I1224" i="1" a="1"/>
  <c r="I1224" i="1"/>
  <c r="H1224" i="1" a="1"/>
  <c r="H1224" i="1"/>
  <c r="G1224" i="1" a="1"/>
  <c r="G1224" i="1" s="1"/>
  <c r="D1224" i="1" s="1"/>
  <c r="I1223" i="1" a="1"/>
  <c r="I1223" i="1" s="1"/>
  <c r="H1223" i="1" a="1"/>
  <c r="H1223" i="1"/>
  <c r="G1223" i="1" a="1"/>
  <c r="G1223" i="1"/>
  <c r="I1222" i="1" a="1"/>
  <c r="I1222" i="1"/>
  <c r="H1222" i="1" a="1"/>
  <c r="H1222" i="1" s="1"/>
  <c r="D1222" i="1" s="1"/>
  <c r="G1222" i="1" a="1"/>
  <c r="G1222" i="1"/>
  <c r="I1221" i="1" a="1"/>
  <c r="I1221" i="1"/>
  <c r="H1221" i="1" a="1"/>
  <c r="H1221" i="1" s="1"/>
  <c r="D1221" i="1" s="1"/>
  <c r="G1221" i="1" a="1"/>
  <c r="G1221" i="1"/>
  <c r="I1220" i="1" a="1"/>
  <c r="I1220" i="1" s="1"/>
  <c r="H1220" i="1" a="1"/>
  <c r="H1220" i="1" s="1"/>
  <c r="G1220" i="1" a="1"/>
  <c r="G1220" i="1" s="1"/>
  <c r="I1219" i="1" a="1"/>
  <c r="I1219" i="1"/>
  <c r="H1219" i="1" a="1"/>
  <c r="H1219" i="1"/>
  <c r="G1219" i="1" a="1"/>
  <c r="G1219" i="1"/>
  <c r="D1219" i="1" s="1"/>
  <c r="I1218" i="1" a="1"/>
  <c r="I1218" i="1"/>
  <c r="H1218" i="1" a="1"/>
  <c r="H1218" i="1" s="1"/>
  <c r="G1218" i="1" a="1"/>
  <c r="G1218" i="1"/>
  <c r="D1218" i="1" s="1"/>
  <c r="I1217" i="1" a="1"/>
  <c r="I1217" i="1" s="1"/>
  <c r="D1217" i="1" s="1"/>
  <c r="H1217" i="1" a="1"/>
  <c r="H1217" i="1"/>
  <c r="G1217" i="1" a="1"/>
  <c r="G1217" i="1"/>
  <c r="I1216" i="1" a="1"/>
  <c r="I1216" i="1" s="1"/>
  <c r="H1216" i="1" a="1"/>
  <c r="H1216" i="1" s="1"/>
  <c r="G1216" i="1" a="1"/>
  <c r="G1216" i="1" s="1"/>
  <c r="I1215" i="1" a="1"/>
  <c r="I1215" i="1" s="1"/>
  <c r="H1215" i="1" a="1"/>
  <c r="H1215" i="1"/>
  <c r="G1215" i="1" a="1"/>
  <c r="G1215" i="1" s="1"/>
  <c r="I1214" i="1" a="1"/>
  <c r="I1214" i="1"/>
  <c r="H1214" i="1" a="1"/>
  <c r="H1214" i="1" s="1"/>
  <c r="G1214" i="1" a="1"/>
  <c r="G1214" i="1"/>
  <c r="I1213" i="1" a="1"/>
  <c r="I1213" i="1"/>
  <c r="H1213" i="1" a="1"/>
  <c r="H1213" i="1"/>
  <c r="G1213" i="1" a="1"/>
  <c r="G1213" i="1" s="1"/>
  <c r="D1213" i="1" s="1"/>
  <c r="I1212" i="1" a="1"/>
  <c r="I1212" i="1" s="1"/>
  <c r="H1212" i="1" a="1"/>
  <c r="H1212" i="1"/>
  <c r="G1212" i="1" a="1"/>
  <c r="G1212" i="1"/>
  <c r="D1212" i="1"/>
  <c r="I1211" i="1" a="1"/>
  <c r="I1211" i="1" s="1"/>
  <c r="D1211" i="1" s="1"/>
  <c r="H1211" i="1" a="1"/>
  <c r="H1211" i="1"/>
  <c r="G1211" i="1" a="1"/>
  <c r="G1211" i="1"/>
  <c r="I1210" i="1" a="1"/>
  <c r="I1210" i="1" s="1"/>
  <c r="H1210" i="1" a="1"/>
  <c r="H1210" i="1" s="1"/>
  <c r="G1210" i="1" a="1"/>
  <c r="G1210" i="1" s="1"/>
  <c r="I1209" i="1" a="1"/>
  <c r="I1209" i="1"/>
  <c r="H1209" i="1" a="1"/>
  <c r="H1209" i="1"/>
  <c r="G1209" i="1" a="1"/>
  <c r="G1209" i="1"/>
  <c r="I1208" i="1" a="1"/>
  <c r="I1208" i="1"/>
  <c r="H1208" i="1" a="1"/>
  <c r="H1208" i="1"/>
  <c r="G1208" i="1" a="1"/>
  <c r="G1208" i="1" s="1"/>
  <c r="D1208" i="1"/>
  <c r="I1207" i="1" a="1"/>
  <c r="I1207" i="1" s="1"/>
  <c r="H1207" i="1" a="1"/>
  <c r="H1207" i="1"/>
  <c r="G1207" i="1" a="1"/>
  <c r="G1207" i="1"/>
  <c r="I1206" i="1" a="1"/>
  <c r="I1206" i="1" s="1"/>
  <c r="H1206" i="1" a="1"/>
  <c r="H1206" i="1" s="1"/>
  <c r="D1206" i="1" s="1"/>
  <c r="G1206" i="1" a="1"/>
  <c r="G1206" i="1"/>
  <c r="I1205" i="1" a="1"/>
  <c r="I1205" i="1"/>
  <c r="H1205" i="1" a="1"/>
  <c r="H1205" i="1" s="1"/>
  <c r="D1205" i="1" s="1"/>
  <c r="G1205" i="1" a="1"/>
  <c r="G1205" i="1"/>
  <c r="I1204" i="1" a="1"/>
  <c r="I1204" i="1" s="1"/>
  <c r="H1204" i="1" a="1"/>
  <c r="H1204" i="1" s="1"/>
  <c r="G1204" i="1" a="1"/>
  <c r="G1204" i="1" s="1"/>
  <c r="I1203" i="1" a="1"/>
  <c r="I1203" i="1"/>
  <c r="H1203" i="1" a="1"/>
  <c r="H1203" i="1"/>
  <c r="G1203" i="1" a="1"/>
  <c r="G1203" i="1" s="1"/>
  <c r="D1203" i="1" s="1"/>
  <c r="I1202" i="1" a="1"/>
  <c r="I1202" i="1"/>
  <c r="H1202" i="1" a="1"/>
  <c r="H1202" i="1" s="1"/>
  <c r="G1202" i="1" a="1"/>
  <c r="G1202" i="1" s="1"/>
  <c r="D1202" i="1" s="1"/>
  <c r="I1201" i="1" a="1"/>
  <c r="I1201" i="1" s="1"/>
  <c r="D1201" i="1" s="1"/>
  <c r="H1201" i="1" a="1"/>
  <c r="H1201" i="1"/>
  <c r="G1201" i="1" a="1"/>
  <c r="G1201" i="1"/>
  <c r="I1200" i="1" a="1"/>
  <c r="I1200" i="1"/>
  <c r="H1200" i="1" a="1"/>
  <c r="H1200" i="1" s="1"/>
  <c r="D1200" i="1" s="1"/>
  <c r="G1200" i="1" a="1"/>
  <c r="G1200" i="1" s="1"/>
  <c r="I1199" i="1" a="1"/>
  <c r="I1199" i="1"/>
  <c r="H1199" i="1" a="1"/>
  <c r="H1199" i="1"/>
  <c r="G1199" i="1" a="1"/>
  <c r="G1199" i="1" s="1"/>
  <c r="I1198" i="1" a="1"/>
  <c r="I1198" i="1"/>
  <c r="H1198" i="1" a="1"/>
  <c r="H1198" i="1" s="1"/>
  <c r="G1198" i="1" a="1"/>
  <c r="G1198" i="1"/>
  <c r="I1197" i="1" a="1"/>
  <c r="I1197" i="1"/>
  <c r="H1197" i="1" a="1"/>
  <c r="H1197" i="1"/>
  <c r="G1197" i="1" a="1"/>
  <c r="G1197" i="1" s="1"/>
  <c r="D1197" i="1" s="1"/>
  <c r="I1196" i="1" a="1"/>
  <c r="I1196" i="1" s="1"/>
  <c r="H1196" i="1" a="1"/>
  <c r="H1196" i="1"/>
  <c r="G1196" i="1" a="1"/>
  <c r="G1196" i="1"/>
  <c r="D1196" i="1" s="1"/>
  <c r="I1195" i="1" a="1"/>
  <c r="I1195" i="1"/>
  <c r="H1195" i="1" a="1"/>
  <c r="H1195" i="1"/>
  <c r="G1195" i="1" a="1"/>
  <c r="G1195" i="1"/>
  <c r="D1195" i="1"/>
  <c r="I1194" i="1" a="1"/>
  <c r="I1194" i="1" s="1"/>
  <c r="H1194" i="1" a="1"/>
  <c r="H1194" i="1" s="1"/>
  <c r="G1194" i="1" a="1"/>
  <c r="G1194" i="1" s="1"/>
  <c r="I1193" i="1" a="1"/>
  <c r="I1193" i="1"/>
  <c r="H1193" i="1" a="1"/>
  <c r="H1193" i="1"/>
  <c r="G1193" i="1" a="1"/>
  <c r="G1193" i="1"/>
  <c r="I1192" i="1" a="1"/>
  <c r="I1192" i="1"/>
  <c r="H1192" i="1" a="1"/>
  <c r="H1192" i="1" s="1"/>
  <c r="D1192" i="1" s="1"/>
  <c r="G1192" i="1" a="1"/>
  <c r="G1192" i="1" s="1"/>
  <c r="I1191" i="1" a="1"/>
  <c r="I1191" i="1" s="1"/>
  <c r="H1191" i="1" a="1"/>
  <c r="H1191" i="1"/>
  <c r="G1191" i="1" a="1"/>
  <c r="G1191" i="1"/>
  <c r="D1191" i="1" s="1"/>
  <c r="I1190" i="1" a="1"/>
  <c r="I1190" i="1"/>
  <c r="H1190" i="1" a="1"/>
  <c r="H1190" i="1" s="1"/>
  <c r="D1190" i="1" s="1"/>
  <c r="G1190" i="1" a="1"/>
  <c r="G1190" i="1"/>
  <c r="I1189" i="1" a="1"/>
  <c r="I1189" i="1"/>
  <c r="H1189" i="1" a="1"/>
  <c r="H1189" i="1" s="1"/>
  <c r="G1189" i="1" a="1"/>
  <c r="G1189" i="1"/>
  <c r="I1188" i="1" a="1"/>
  <c r="I1188" i="1" s="1"/>
  <c r="H1188" i="1" a="1"/>
  <c r="H1188" i="1"/>
  <c r="G1188" i="1" a="1"/>
  <c r="G1188" i="1" s="1"/>
  <c r="I1187" i="1" a="1"/>
  <c r="I1187" i="1"/>
  <c r="H1187" i="1" a="1"/>
  <c r="H1187" i="1"/>
  <c r="G1187" i="1" a="1"/>
  <c r="G1187" i="1" s="1"/>
  <c r="D1187" i="1" s="1"/>
  <c r="I1186" i="1" a="1"/>
  <c r="I1186" i="1"/>
  <c r="H1186" i="1" a="1"/>
  <c r="H1186" i="1" s="1"/>
  <c r="G1186" i="1" a="1"/>
  <c r="G1186" i="1" s="1"/>
  <c r="D1186" i="1" s="1"/>
  <c r="I1185" i="1" a="1"/>
  <c r="I1185" i="1" s="1"/>
  <c r="H1185" i="1" a="1"/>
  <c r="H1185" i="1"/>
  <c r="G1185" i="1" a="1"/>
  <c r="G1185" i="1"/>
  <c r="D1185" i="1" s="1"/>
  <c r="I1184" i="1" a="1"/>
  <c r="I1184" i="1"/>
  <c r="H1184" i="1" a="1"/>
  <c r="H1184" i="1" s="1"/>
  <c r="G1184" i="1" a="1"/>
  <c r="G1184" i="1" s="1"/>
  <c r="I1183" i="1" a="1"/>
  <c r="I1183" i="1"/>
  <c r="H1183" i="1" a="1"/>
  <c r="H1183" i="1" s="1"/>
  <c r="G1183" i="1" a="1"/>
  <c r="G1183" i="1" s="1"/>
  <c r="I1182" i="1" a="1"/>
  <c r="I1182" i="1"/>
  <c r="H1182" i="1" a="1"/>
  <c r="H1182" i="1"/>
  <c r="G1182" i="1" a="1"/>
  <c r="G1182" i="1"/>
  <c r="D1182" i="1" s="1"/>
  <c r="I1181" i="1" a="1"/>
  <c r="I1181" i="1"/>
  <c r="H1181" i="1" a="1"/>
  <c r="H1181" i="1"/>
  <c r="D1181" i="1" s="1"/>
  <c r="G1181" i="1" a="1"/>
  <c r="G1181" i="1"/>
  <c r="I1180" i="1" a="1"/>
  <c r="I1180" i="1" s="1"/>
  <c r="H1180" i="1" a="1"/>
  <c r="H1180" i="1"/>
  <c r="G1180" i="1" a="1"/>
  <c r="G1180" i="1"/>
  <c r="D1180" i="1" s="1"/>
  <c r="I1179" i="1" a="1"/>
  <c r="I1179" i="1"/>
  <c r="H1179" i="1" a="1"/>
  <c r="H1179" i="1"/>
  <c r="G1179" i="1" a="1"/>
  <c r="G1179" i="1"/>
  <c r="D1179" i="1"/>
  <c r="I1178" i="1" a="1"/>
  <c r="I1178" i="1"/>
  <c r="H1178" i="1" a="1"/>
  <c r="H1178" i="1" s="1"/>
  <c r="G1178" i="1" a="1"/>
  <c r="G1178" i="1" s="1"/>
  <c r="D1178" i="1" s="1"/>
  <c r="I1177" i="1" a="1"/>
  <c r="I1177" i="1"/>
  <c r="H1177" i="1" a="1"/>
  <c r="H1177" i="1" s="1"/>
  <c r="G1177" i="1" a="1"/>
  <c r="G1177" i="1"/>
  <c r="I1176" i="1" a="1"/>
  <c r="I1176" i="1"/>
  <c r="H1176" i="1" a="1"/>
  <c r="H1176" i="1" s="1"/>
  <c r="G1176" i="1" a="1"/>
  <c r="G1176" i="1" s="1"/>
  <c r="D1176" i="1" s="1"/>
  <c r="I1175" i="1" a="1"/>
  <c r="I1175" i="1" s="1"/>
  <c r="H1175" i="1" a="1"/>
  <c r="H1175" i="1"/>
  <c r="G1175" i="1" a="1"/>
  <c r="G1175" i="1" s="1"/>
  <c r="D1175" i="1" s="1"/>
  <c r="I1174" i="1" a="1"/>
  <c r="I1174" i="1"/>
  <c r="H1174" i="1" a="1"/>
  <c r="H1174" i="1" s="1"/>
  <c r="D1174" i="1" s="1"/>
  <c r="G1174" i="1" a="1"/>
  <c r="G1174" i="1"/>
  <c r="I1173" i="1" a="1"/>
  <c r="I1173" i="1"/>
  <c r="H1173" i="1" a="1"/>
  <c r="H1173" i="1" s="1"/>
  <c r="D1173" i="1" s="1"/>
  <c r="G1173" i="1" a="1"/>
  <c r="G1173" i="1"/>
  <c r="I1172" i="1" a="1"/>
  <c r="I1172" i="1" s="1"/>
  <c r="H1172" i="1" a="1"/>
  <c r="H1172" i="1"/>
  <c r="G1172" i="1" a="1"/>
  <c r="G1172" i="1" s="1"/>
  <c r="D1172" i="1" s="1"/>
  <c r="I1171" i="1" a="1"/>
  <c r="I1171" i="1"/>
  <c r="H1171" i="1" a="1"/>
  <c r="H1171" i="1"/>
  <c r="G1171" i="1" a="1"/>
  <c r="G1171" i="1"/>
  <c r="I1170" i="1" a="1"/>
  <c r="I1170" i="1"/>
  <c r="H1170" i="1" a="1"/>
  <c r="H1170" i="1" s="1"/>
  <c r="G1170" i="1" a="1"/>
  <c r="G1170" i="1"/>
  <c r="D1170" i="1" s="1"/>
  <c r="I1169" i="1" a="1"/>
  <c r="I1169" i="1" s="1"/>
  <c r="H1169" i="1" a="1"/>
  <c r="H1169" i="1"/>
  <c r="G1169" i="1" a="1"/>
  <c r="G1169" i="1"/>
  <c r="D1169" i="1"/>
  <c r="I1168" i="1" a="1"/>
  <c r="I1168" i="1" s="1"/>
  <c r="H1168" i="1" a="1"/>
  <c r="H1168" i="1" s="1"/>
  <c r="G1168" i="1" a="1"/>
  <c r="G1168" i="1" s="1"/>
  <c r="I1167" i="1" a="1"/>
  <c r="I1167" i="1"/>
  <c r="H1167" i="1" a="1"/>
  <c r="H1167" i="1"/>
  <c r="G1167" i="1" a="1"/>
  <c r="G1167" i="1" s="1"/>
  <c r="D1167" i="1" s="1"/>
  <c r="I1166" i="1" a="1"/>
  <c r="I1166" i="1"/>
  <c r="H1166" i="1" a="1"/>
  <c r="H1166" i="1"/>
  <c r="G1166" i="1" a="1"/>
  <c r="G1166" i="1" s="1"/>
  <c r="D1166" i="1" s="1"/>
  <c r="I1165" i="1" a="1"/>
  <c r="I1165" i="1"/>
  <c r="H1165" i="1" a="1"/>
  <c r="H1165" i="1"/>
  <c r="G1165" i="1" a="1"/>
  <c r="G1165" i="1"/>
  <c r="D1165" i="1"/>
  <c r="I1164" i="1" a="1"/>
  <c r="I1164" i="1" s="1"/>
  <c r="H1164" i="1" a="1"/>
  <c r="H1164" i="1"/>
  <c r="G1164" i="1" a="1"/>
  <c r="G1164" i="1"/>
  <c r="D1164" i="1"/>
  <c r="I1163" i="1" a="1"/>
  <c r="I1163" i="1"/>
  <c r="D1163" i="1" s="1"/>
  <c r="H1163" i="1" a="1"/>
  <c r="H1163" i="1"/>
  <c r="G1163" i="1" a="1"/>
  <c r="G1163" i="1"/>
  <c r="I1162" i="1" a="1"/>
  <c r="I1162" i="1"/>
  <c r="H1162" i="1" a="1"/>
  <c r="H1162" i="1" s="1"/>
  <c r="G1162" i="1" a="1"/>
  <c r="G1162" i="1" s="1"/>
  <c r="I1161" i="1" a="1"/>
  <c r="I1161" i="1"/>
  <c r="H1161" i="1" a="1"/>
  <c r="H1161" i="1" s="1"/>
  <c r="G1161" i="1" a="1"/>
  <c r="G1161" i="1"/>
  <c r="I1160" i="1" a="1"/>
  <c r="I1160" i="1"/>
  <c r="H1160" i="1" a="1"/>
  <c r="H1160" i="1"/>
  <c r="G1160" i="1" a="1"/>
  <c r="G1160" i="1" s="1"/>
  <c r="D1160" i="1" s="1"/>
  <c r="I1159" i="1" a="1"/>
  <c r="I1159" i="1" s="1"/>
  <c r="H1159" i="1" a="1"/>
  <c r="H1159" i="1"/>
  <c r="G1159" i="1" a="1"/>
  <c r="G1159" i="1"/>
  <c r="D1159" i="1" s="1"/>
  <c r="I1158" i="1" a="1"/>
  <c r="I1158" i="1" s="1"/>
  <c r="D1158" i="1" s="1"/>
  <c r="H1158" i="1" a="1"/>
  <c r="H1158" i="1" s="1"/>
  <c r="G1158" i="1" a="1"/>
  <c r="G1158" i="1"/>
  <c r="I1157" i="1" a="1"/>
  <c r="I1157" i="1"/>
  <c r="H1157" i="1" a="1"/>
  <c r="H1157" i="1" s="1"/>
  <c r="D1157" i="1" s="1"/>
  <c r="G1157" i="1" a="1"/>
  <c r="G1157" i="1"/>
  <c r="I1156" i="1" a="1"/>
  <c r="I1156" i="1" s="1"/>
  <c r="H1156" i="1" a="1"/>
  <c r="H1156" i="1"/>
  <c r="G1156" i="1" a="1"/>
  <c r="G1156" i="1" s="1"/>
  <c r="I1155" i="1" a="1"/>
  <c r="I1155" i="1"/>
  <c r="H1155" i="1" a="1"/>
  <c r="H1155" i="1"/>
  <c r="G1155" i="1" a="1"/>
  <c r="G1155" i="1"/>
  <c r="D1155" i="1" s="1"/>
  <c r="I1154" i="1" a="1"/>
  <c r="I1154" i="1"/>
  <c r="H1154" i="1" a="1"/>
  <c r="H1154" i="1" s="1"/>
  <c r="G1154" i="1" a="1"/>
  <c r="G1154" i="1" s="1"/>
  <c r="D1154" i="1" s="1"/>
  <c r="I1153" i="1" a="1"/>
  <c r="I1153" i="1" s="1"/>
  <c r="H1153" i="1" a="1"/>
  <c r="H1153" i="1"/>
  <c r="G1153" i="1" a="1"/>
  <c r="G1153" i="1"/>
  <c r="D1153" i="1"/>
  <c r="I1152" i="1" a="1"/>
  <c r="I1152" i="1" s="1"/>
  <c r="H1152" i="1" a="1"/>
  <c r="H1152" i="1" s="1"/>
  <c r="G1152" i="1" a="1"/>
  <c r="G1152" i="1" s="1"/>
  <c r="I1151" i="1" a="1"/>
  <c r="I1151" i="1" s="1"/>
  <c r="H1151" i="1" a="1"/>
  <c r="H1151" i="1"/>
  <c r="G1151" i="1" a="1"/>
  <c r="G1151" i="1" s="1"/>
  <c r="I1150" i="1" a="1"/>
  <c r="I1150" i="1"/>
  <c r="H1150" i="1" a="1"/>
  <c r="H1150" i="1"/>
  <c r="G1150" i="1" a="1"/>
  <c r="G1150" i="1"/>
  <c r="I1149" i="1" a="1"/>
  <c r="I1149" i="1"/>
  <c r="H1149" i="1" a="1"/>
  <c r="H1149" i="1"/>
  <c r="G1149" i="1" a="1"/>
  <c r="G1149" i="1"/>
  <c r="D1149" i="1" s="1"/>
  <c r="I1148" i="1" a="1"/>
  <c r="I1148" i="1" s="1"/>
  <c r="H1148" i="1" a="1"/>
  <c r="H1148" i="1"/>
  <c r="G1148" i="1" a="1"/>
  <c r="G1148" i="1"/>
  <c r="D1148" i="1"/>
  <c r="I1147" i="1" a="1"/>
  <c r="I1147" i="1" s="1"/>
  <c r="D1147" i="1" s="1"/>
  <c r="H1147" i="1" a="1"/>
  <c r="H1147" i="1"/>
  <c r="G1147" i="1" a="1"/>
  <c r="G1147" i="1"/>
  <c r="I1146" i="1" a="1"/>
  <c r="I1146" i="1"/>
  <c r="H1146" i="1" a="1"/>
  <c r="H1146" i="1" s="1"/>
  <c r="G1146" i="1" a="1"/>
  <c r="G1146" i="1" s="1"/>
  <c r="I1145" i="1" a="1"/>
  <c r="I1145" i="1"/>
  <c r="H1145" i="1" a="1"/>
  <c r="H1145" i="1"/>
  <c r="G1145" i="1" a="1"/>
  <c r="G1145" i="1"/>
  <c r="D1145" i="1" s="1"/>
  <c r="I1144" i="1" a="1"/>
  <c r="I1144" i="1"/>
  <c r="H1144" i="1" a="1"/>
  <c r="H1144" i="1" s="1"/>
  <c r="D1144" i="1" s="1"/>
  <c r="G1144" i="1" a="1"/>
  <c r="G1144" i="1" s="1"/>
  <c r="I1143" i="1" a="1"/>
  <c r="I1143" i="1" s="1"/>
  <c r="H1143" i="1" a="1"/>
  <c r="H1143" i="1"/>
  <c r="G1143" i="1" a="1"/>
  <c r="G1143" i="1"/>
  <c r="D1143" i="1" s="1"/>
  <c r="I1142" i="1" a="1"/>
  <c r="I1142" i="1" s="1"/>
  <c r="D1142" i="1" s="1"/>
  <c r="H1142" i="1" a="1"/>
  <c r="H1142" i="1" s="1"/>
  <c r="G1142" i="1" a="1"/>
  <c r="G1142" i="1"/>
  <c r="I1141" i="1" a="1"/>
  <c r="I1141" i="1"/>
  <c r="H1141" i="1" a="1"/>
  <c r="H1141" i="1" s="1"/>
  <c r="G1141" i="1" a="1"/>
  <c r="G1141" i="1"/>
  <c r="I1140" i="1" a="1"/>
  <c r="I1140" i="1" s="1"/>
  <c r="H1140" i="1" a="1"/>
  <c r="H1140" i="1" s="1"/>
  <c r="G1140" i="1" a="1"/>
  <c r="G1140" i="1" s="1"/>
  <c r="I1139" i="1" a="1"/>
  <c r="I1139" i="1"/>
  <c r="H1139" i="1" a="1"/>
  <c r="H1139" i="1"/>
  <c r="G1139" i="1" a="1"/>
  <c r="G1139" i="1"/>
  <c r="D1139" i="1" s="1"/>
  <c r="I1138" i="1" a="1"/>
  <c r="I1138" i="1"/>
  <c r="H1138" i="1" a="1"/>
  <c r="H1138" i="1" s="1"/>
  <c r="G1138" i="1" a="1"/>
  <c r="G1138" i="1" s="1"/>
  <c r="D1138" i="1" s="1"/>
  <c r="I1137" i="1" a="1"/>
  <c r="I1137" i="1" s="1"/>
  <c r="H1137" i="1" a="1"/>
  <c r="H1137" i="1"/>
  <c r="G1137" i="1" a="1"/>
  <c r="G1137" i="1"/>
  <c r="D1137" i="1" s="1"/>
  <c r="I1136" i="1" a="1"/>
  <c r="I1136" i="1"/>
  <c r="H1136" i="1" a="1"/>
  <c r="H1136" i="1" s="1"/>
  <c r="D1136" i="1" s="1"/>
  <c r="G1136" i="1" a="1"/>
  <c r="G1136" i="1" s="1"/>
  <c r="I1135" i="1" a="1"/>
  <c r="I1135" i="1"/>
  <c r="H1135" i="1" a="1"/>
  <c r="H1135" i="1" s="1"/>
  <c r="G1135" i="1" a="1"/>
  <c r="G1135" i="1" s="1"/>
  <c r="I1134" i="1" a="1"/>
  <c r="I1134" i="1"/>
  <c r="H1134" i="1" a="1"/>
  <c r="H1134" i="1" s="1"/>
  <c r="G1134" i="1" a="1"/>
  <c r="G1134" i="1"/>
  <c r="I1133" i="1" a="1"/>
  <c r="I1133" i="1"/>
  <c r="H1133" i="1" a="1"/>
  <c r="H1133" i="1"/>
  <c r="G1133" i="1" a="1"/>
  <c r="G1133" i="1" s="1"/>
  <c r="D1133" i="1" s="1"/>
  <c r="I1132" i="1" a="1"/>
  <c r="I1132" i="1" s="1"/>
  <c r="H1132" i="1" a="1"/>
  <c r="H1132" i="1"/>
  <c r="G1132" i="1" a="1"/>
  <c r="G1132" i="1"/>
  <c r="D1132" i="1"/>
  <c r="I1131" i="1" a="1"/>
  <c r="I1131" i="1"/>
  <c r="D1131" i="1" s="1"/>
  <c r="H1131" i="1" a="1"/>
  <c r="H1131" i="1"/>
  <c r="G1131" i="1" a="1"/>
  <c r="G1131" i="1"/>
  <c r="I1130" i="1" a="1"/>
  <c r="I1130" i="1" s="1"/>
  <c r="H1130" i="1" a="1"/>
  <c r="H1130" i="1" s="1"/>
  <c r="G1130" i="1" a="1"/>
  <c r="G1130" i="1" s="1"/>
  <c r="I1129" i="1" a="1"/>
  <c r="I1129" i="1"/>
  <c r="H1129" i="1" a="1"/>
  <c r="H1129" i="1"/>
  <c r="G1129" i="1" a="1"/>
  <c r="G1129" i="1"/>
  <c r="D1129" i="1" s="1"/>
  <c r="I1128" i="1" a="1"/>
  <c r="I1128" i="1"/>
  <c r="H1128" i="1" a="1"/>
  <c r="H1128" i="1" s="1"/>
  <c r="D1128" i="1" s="1"/>
  <c r="G1128" i="1" a="1"/>
  <c r="G1128" i="1" s="1"/>
  <c r="I1127" i="1" a="1"/>
  <c r="I1127" i="1" s="1"/>
  <c r="H1127" i="1" a="1"/>
  <c r="H1127" i="1"/>
  <c r="G1127" i="1" a="1"/>
  <c r="G1127" i="1" s="1"/>
  <c r="I1126" i="1" a="1"/>
  <c r="I1126" i="1"/>
  <c r="H1126" i="1" a="1"/>
  <c r="H1126" i="1" s="1"/>
  <c r="G1126" i="1" a="1"/>
  <c r="G1126" i="1"/>
  <c r="D1126" i="1"/>
  <c r="I1125" i="1" a="1"/>
  <c r="I1125" i="1"/>
  <c r="H1125" i="1" a="1"/>
  <c r="H1125" i="1" s="1"/>
  <c r="G1125" i="1" a="1"/>
  <c r="G1125" i="1"/>
  <c r="I1124" i="1" a="1"/>
  <c r="I1124" i="1" s="1"/>
  <c r="H1124" i="1" a="1"/>
  <c r="H1124" i="1"/>
  <c r="G1124" i="1" a="1"/>
  <c r="G1124" i="1" s="1"/>
  <c r="I1123" i="1" a="1"/>
  <c r="I1123" i="1"/>
  <c r="H1123" i="1" a="1"/>
  <c r="H1123" i="1"/>
  <c r="G1123" i="1" a="1"/>
  <c r="G1123" i="1" s="1"/>
  <c r="D1123" i="1" s="1"/>
  <c r="I1122" i="1" a="1"/>
  <c r="I1122" i="1"/>
  <c r="H1122" i="1" a="1"/>
  <c r="H1122" i="1" s="1"/>
  <c r="G1122" i="1" a="1"/>
  <c r="G1122" i="1"/>
  <c r="D1122" i="1"/>
  <c r="I1121" i="1" a="1"/>
  <c r="I1121" i="1" s="1"/>
  <c r="H1121" i="1" a="1"/>
  <c r="H1121" i="1"/>
  <c r="G1121" i="1" a="1"/>
  <c r="G1121" i="1"/>
  <c r="I1120" i="1" a="1"/>
  <c r="I1120" i="1"/>
  <c r="H1120" i="1" a="1"/>
  <c r="H1120" i="1" s="1"/>
  <c r="D1120" i="1" s="1"/>
  <c r="G1120" i="1" a="1"/>
  <c r="G1120" i="1" s="1"/>
  <c r="I1119" i="1" a="1"/>
  <c r="I1119" i="1"/>
  <c r="H1119" i="1" a="1"/>
  <c r="H1119" i="1" s="1"/>
  <c r="G1119" i="1" a="1"/>
  <c r="G1119" i="1" s="1"/>
  <c r="I1118" i="1" a="1"/>
  <c r="I1118" i="1"/>
  <c r="H1118" i="1" a="1"/>
  <c r="H1118" i="1" s="1"/>
  <c r="G1118" i="1" a="1"/>
  <c r="G1118" i="1" s="1"/>
  <c r="D1118" i="1" s="1"/>
  <c r="I1117" i="1" a="1"/>
  <c r="I1117" i="1"/>
  <c r="H1117" i="1" a="1"/>
  <c r="H1117" i="1"/>
  <c r="G1117" i="1" a="1"/>
  <c r="G1117" i="1" s="1"/>
  <c r="D1117" i="1" s="1"/>
  <c r="I1116" i="1" a="1"/>
  <c r="I1116" i="1" s="1"/>
  <c r="H1116" i="1" a="1"/>
  <c r="H1116" i="1"/>
  <c r="G1116" i="1" a="1"/>
  <c r="G1116" i="1"/>
  <c r="D1116" i="1" s="1"/>
  <c r="I1115" i="1" a="1"/>
  <c r="I1115" i="1"/>
  <c r="H1115" i="1" a="1"/>
  <c r="H1115" i="1"/>
  <c r="G1115" i="1" a="1"/>
  <c r="G1115" i="1"/>
  <c r="D1115" i="1"/>
  <c r="I1114" i="1" a="1"/>
  <c r="I1114" i="1" s="1"/>
  <c r="H1114" i="1" a="1"/>
  <c r="H1114" i="1" s="1"/>
  <c r="G1114" i="1" a="1"/>
  <c r="G1114" i="1" s="1"/>
  <c r="I1113" i="1" a="1"/>
  <c r="I1113" i="1"/>
  <c r="H1113" i="1" a="1"/>
  <c r="H1113" i="1"/>
  <c r="G1113" i="1" a="1"/>
  <c r="G1113" i="1"/>
  <c r="I1112" i="1" a="1"/>
  <c r="I1112" i="1"/>
  <c r="H1112" i="1" a="1"/>
  <c r="H1112" i="1"/>
  <c r="G1112" i="1" a="1"/>
  <c r="G1112" i="1" s="1"/>
  <c r="D1112" i="1"/>
  <c r="I1111" i="1" a="1"/>
  <c r="I1111" i="1" s="1"/>
  <c r="H1111" i="1" a="1"/>
  <c r="H1111" i="1"/>
  <c r="G1111" i="1" a="1"/>
  <c r="G1111" i="1" s="1"/>
  <c r="D1111" i="1" s="1"/>
  <c r="I1110" i="1" a="1"/>
  <c r="I1110" i="1"/>
  <c r="H1110" i="1" a="1"/>
  <c r="H1110" i="1" s="1"/>
  <c r="D1110" i="1" s="1"/>
  <c r="G1110" i="1" a="1"/>
  <c r="G1110" i="1"/>
  <c r="I1109" i="1" a="1"/>
  <c r="I1109" i="1"/>
  <c r="H1109" i="1" a="1"/>
  <c r="H1109" i="1" s="1"/>
  <c r="D1109" i="1" s="1"/>
  <c r="G1109" i="1" a="1"/>
  <c r="G1109" i="1"/>
  <c r="I1108" i="1" a="1"/>
  <c r="I1108" i="1" s="1"/>
  <c r="H1108" i="1" a="1"/>
  <c r="H1108" i="1"/>
  <c r="G1108" i="1" a="1"/>
  <c r="G1108" i="1" s="1"/>
  <c r="I1107" i="1" a="1"/>
  <c r="I1107" i="1"/>
  <c r="H1107" i="1" a="1"/>
  <c r="H1107" i="1"/>
  <c r="G1107" i="1" a="1"/>
  <c r="G1107" i="1" s="1"/>
  <c r="D1107" i="1" s="1"/>
  <c r="I1106" i="1" a="1"/>
  <c r="I1106" i="1"/>
  <c r="H1106" i="1" a="1"/>
  <c r="H1106" i="1" s="1"/>
  <c r="G1106" i="1" a="1"/>
  <c r="G1106" i="1"/>
  <c r="D1106" i="1"/>
  <c r="I1105" i="1" a="1"/>
  <c r="I1105" i="1" s="1"/>
  <c r="D1105" i="1" s="1"/>
  <c r="H1105" i="1" a="1"/>
  <c r="H1105" i="1"/>
  <c r="G1105" i="1" a="1"/>
  <c r="G1105" i="1"/>
  <c r="I1104" i="1" a="1"/>
  <c r="I1104" i="1"/>
  <c r="H1104" i="1" a="1"/>
  <c r="H1104" i="1" s="1"/>
  <c r="G1104" i="1" a="1"/>
  <c r="G1104" i="1" s="1"/>
  <c r="I1103" i="1" a="1"/>
  <c r="I1103" i="1" s="1"/>
  <c r="H1103" i="1" a="1"/>
  <c r="H1103" i="1"/>
  <c r="G1103" i="1" a="1"/>
  <c r="G1103" i="1" s="1"/>
  <c r="I1102" i="1" a="1"/>
  <c r="I1102" i="1"/>
  <c r="H1102" i="1" a="1"/>
  <c r="H1102" i="1"/>
  <c r="G1102" i="1" a="1"/>
  <c r="G1102" i="1" s="1"/>
  <c r="I1101" i="1" a="1"/>
  <c r="I1101" i="1"/>
  <c r="H1101" i="1" a="1"/>
  <c r="H1101" i="1"/>
  <c r="G1101" i="1" a="1"/>
  <c r="G1101" i="1"/>
  <c r="I1100" i="1" a="1"/>
  <c r="I1100" i="1"/>
  <c r="H1100" i="1" a="1"/>
  <c r="H1100" i="1"/>
  <c r="G1100" i="1" a="1"/>
  <c r="G1100" i="1"/>
  <c r="D1100" i="1" s="1"/>
  <c r="I1099" i="1" a="1"/>
  <c r="I1099" i="1" s="1"/>
  <c r="D1099" i="1" s="1"/>
  <c r="H1099" i="1" a="1"/>
  <c r="H1099" i="1"/>
  <c r="G1099" i="1" a="1"/>
  <c r="G1099" i="1"/>
  <c r="I1098" i="1" a="1"/>
  <c r="I1098" i="1" s="1"/>
  <c r="H1098" i="1" a="1"/>
  <c r="H1098" i="1"/>
  <c r="G1098" i="1" a="1"/>
  <c r="G1098" i="1"/>
  <c r="I1097" i="1" a="1"/>
  <c r="I1097" i="1"/>
  <c r="H1097" i="1" a="1"/>
  <c r="H1097" i="1" s="1"/>
  <c r="D1097" i="1" s="1"/>
  <c r="G1097" i="1" a="1"/>
  <c r="G1097" i="1"/>
  <c r="I1096" i="1" a="1"/>
  <c r="I1096" i="1" s="1"/>
  <c r="H1096" i="1" a="1"/>
  <c r="H1096" i="1" s="1"/>
  <c r="G1096" i="1" a="1"/>
  <c r="G1096" i="1"/>
  <c r="I1095" i="1" a="1"/>
  <c r="I1095" i="1" s="1"/>
  <c r="H1095" i="1" a="1"/>
  <c r="H1095" i="1" s="1"/>
  <c r="G1095" i="1" a="1"/>
  <c r="G1095" i="1" s="1"/>
  <c r="I1094" i="1" a="1"/>
  <c r="I1094" i="1"/>
  <c r="H1094" i="1" a="1"/>
  <c r="H1094" i="1" s="1"/>
  <c r="G1094" i="1" a="1"/>
  <c r="G1094" i="1" s="1"/>
  <c r="I1093" i="1" a="1"/>
  <c r="I1093" i="1"/>
  <c r="H1093" i="1" a="1"/>
  <c r="H1093" i="1"/>
  <c r="G1093" i="1" a="1"/>
  <c r="G1093" i="1"/>
  <c r="D1093" i="1" s="1"/>
  <c r="I1092" i="1" a="1"/>
  <c r="I1092" i="1"/>
  <c r="H1092" i="1" a="1"/>
  <c r="H1092" i="1"/>
  <c r="D1092" i="1" s="1"/>
  <c r="G1092" i="1" a="1"/>
  <c r="G1092" i="1"/>
  <c r="I1091" i="1" a="1"/>
  <c r="I1091" i="1" s="1"/>
  <c r="H1091" i="1" a="1"/>
  <c r="H1091" i="1"/>
  <c r="G1091" i="1" a="1"/>
  <c r="G1091" i="1" s="1"/>
  <c r="I1090" i="1" a="1"/>
  <c r="I1090" i="1" s="1"/>
  <c r="H1090" i="1" a="1"/>
  <c r="H1090" i="1"/>
  <c r="G1090" i="1" a="1"/>
  <c r="G1090" i="1"/>
  <c r="D1090" i="1"/>
  <c r="I1089" i="1" a="1"/>
  <c r="I1089" i="1" s="1"/>
  <c r="D1089" i="1" s="1"/>
  <c r="H1089" i="1" a="1"/>
  <c r="H1089" i="1" s="1"/>
  <c r="G1089" i="1" a="1"/>
  <c r="G1089" i="1"/>
  <c r="I1088" i="1" a="1"/>
  <c r="I1088" i="1"/>
  <c r="H1088" i="1" a="1"/>
  <c r="H1088" i="1" s="1"/>
  <c r="G1088" i="1" a="1"/>
  <c r="G1088" i="1"/>
  <c r="I1087" i="1" a="1"/>
  <c r="I1087" i="1"/>
  <c r="H1087" i="1" a="1"/>
  <c r="H1087" i="1" s="1"/>
  <c r="G1087" i="1" a="1"/>
  <c r="G1087" i="1" s="1"/>
  <c r="I1086" i="1" a="1"/>
  <c r="I1086" i="1"/>
  <c r="H1086" i="1" a="1"/>
  <c r="H1086" i="1"/>
  <c r="G1086" i="1" a="1"/>
  <c r="G1086" i="1" s="1"/>
  <c r="D1086" i="1" s="1"/>
  <c r="I1085" i="1" a="1"/>
  <c r="I1085" i="1"/>
  <c r="H1085" i="1" a="1"/>
  <c r="H1085" i="1" s="1"/>
  <c r="D1085" i="1" s="1"/>
  <c r="G1085" i="1" a="1"/>
  <c r="G1085" i="1"/>
  <c r="I1084" i="1" a="1"/>
  <c r="I1084" i="1"/>
  <c r="H1084" i="1" a="1"/>
  <c r="H1084" i="1"/>
  <c r="D1084" i="1" s="1"/>
  <c r="G1084" i="1" a="1"/>
  <c r="G1084" i="1"/>
  <c r="I1083" i="1" a="1"/>
  <c r="I1083" i="1" s="1"/>
  <c r="H1083" i="1" a="1"/>
  <c r="H1083" i="1"/>
  <c r="G1083" i="1" a="1"/>
  <c r="G1083" i="1" s="1"/>
  <c r="I1082" i="1" a="1"/>
  <c r="I1082" i="1"/>
  <c r="H1082" i="1" a="1"/>
  <c r="H1082" i="1"/>
  <c r="G1082" i="1" a="1"/>
  <c r="G1082" i="1"/>
  <c r="D1082" i="1" s="1"/>
  <c r="I1081" i="1" a="1"/>
  <c r="I1081" i="1"/>
  <c r="H1081" i="1" a="1"/>
  <c r="H1081" i="1" s="1"/>
  <c r="G1081" i="1" a="1"/>
  <c r="G1081" i="1"/>
  <c r="D1081" i="1"/>
  <c r="I1080" i="1" a="1"/>
  <c r="I1080" i="1" s="1"/>
  <c r="H1080" i="1" a="1"/>
  <c r="H1080" i="1"/>
  <c r="G1080" i="1" a="1"/>
  <c r="G1080" i="1"/>
  <c r="I1079" i="1" a="1"/>
  <c r="I1079" i="1" s="1"/>
  <c r="H1079" i="1" a="1"/>
  <c r="H1079" i="1" s="1"/>
  <c r="G1079" i="1" a="1"/>
  <c r="G1079" i="1" s="1"/>
  <c r="I1078" i="1" a="1"/>
  <c r="I1078" i="1"/>
  <c r="H1078" i="1" a="1"/>
  <c r="H1078" i="1" s="1"/>
  <c r="G1078" i="1" a="1"/>
  <c r="G1078" i="1"/>
  <c r="I1077" i="1" a="1"/>
  <c r="I1077" i="1"/>
  <c r="H1077" i="1" a="1"/>
  <c r="H1077" i="1"/>
  <c r="G1077" i="1" a="1"/>
  <c r="G1077" i="1" s="1"/>
  <c r="D1077" i="1" s="1"/>
  <c r="I1076" i="1" a="1"/>
  <c r="I1076" i="1"/>
  <c r="H1076" i="1" a="1"/>
  <c r="H1076" i="1"/>
  <c r="G1076" i="1" a="1"/>
  <c r="G1076" i="1"/>
  <c r="D1076" i="1" s="1"/>
  <c r="I1075" i="1" a="1"/>
  <c r="I1075" i="1" s="1"/>
  <c r="D1075" i="1" s="1"/>
  <c r="H1075" i="1" a="1"/>
  <c r="H1075" i="1"/>
  <c r="G1075" i="1" a="1"/>
  <c r="G1075" i="1"/>
  <c r="I1074" i="1" a="1"/>
  <c r="I1074" i="1" s="1"/>
  <c r="D1074" i="1" s="1"/>
  <c r="H1074" i="1" a="1"/>
  <c r="H1074" i="1"/>
  <c r="G1074" i="1" a="1"/>
  <c r="G1074" i="1"/>
  <c r="I1073" i="1" a="1"/>
  <c r="I1073" i="1"/>
  <c r="H1073" i="1" a="1"/>
  <c r="H1073" i="1" s="1"/>
  <c r="G1073" i="1" a="1"/>
  <c r="G1073" i="1"/>
  <c r="I1072" i="1" a="1"/>
  <c r="I1072" i="1"/>
  <c r="H1072" i="1" a="1"/>
  <c r="H1072" i="1"/>
  <c r="D1072" i="1" s="1"/>
  <c r="G1072" i="1" a="1"/>
  <c r="G1072" i="1"/>
  <c r="I1071" i="1" a="1"/>
  <c r="I1071" i="1" s="1"/>
  <c r="H1071" i="1" a="1"/>
  <c r="H1071" i="1"/>
  <c r="G1071" i="1" a="1"/>
  <c r="G1071" i="1" s="1"/>
  <c r="I1070" i="1" a="1"/>
  <c r="I1070" i="1"/>
  <c r="H1070" i="1" a="1"/>
  <c r="H1070" i="1"/>
  <c r="G1070" i="1" a="1"/>
  <c r="G1070" i="1" s="1"/>
  <c r="D1070" i="1" s="1"/>
  <c r="I1069" i="1" a="1"/>
  <c r="I1069" i="1"/>
  <c r="H1069" i="1" a="1"/>
  <c r="H1069" i="1" s="1"/>
  <c r="G1069" i="1" a="1"/>
  <c r="G1069" i="1"/>
  <c r="I1068" i="1" a="1"/>
  <c r="I1068" i="1"/>
  <c r="H1068" i="1" a="1"/>
  <c r="H1068" i="1"/>
  <c r="G1068" i="1" a="1"/>
  <c r="G1068" i="1" s="1"/>
  <c r="D1068" i="1" s="1"/>
  <c r="I1067" i="1" a="1"/>
  <c r="I1067" i="1" s="1"/>
  <c r="H1067" i="1" a="1"/>
  <c r="H1067" i="1"/>
  <c r="G1067" i="1" a="1"/>
  <c r="G1067" i="1"/>
  <c r="D1067" i="1" s="1"/>
  <c r="I1066" i="1" a="1"/>
  <c r="I1066" i="1"/>
  <c r="H1066" i="1" a="1"/>
  <c r="H1066" i="1"/>
  <c r="G1066" i="1" a="1"/>
  <c r="G1066" i="1"/>
  <c r="D1066" i="1"/>
  <c r="I1065" i="1" a="1"/>
  <c r="I1065" i="1" s="1"/>
  <c r="H1065" i="1" a="1"/>
  <c r="H1065" i="1" s="1"/>
  <c r="D1065" i="1" s="1"/>
  <c r="G1065" i="1" a="1"/>
  <c r="G1065" i="1"/>
  <c r="I1064" i="1" a="1"/>
  <c r="I1064" i="1"/>
  <c r="H1064" i="1" a="1"/>
  <c r="H1064" i="1" s="1"/>
  <c r="D1064" i="1" s="1"/>
  <c r="G1064" i="1" a="1"/>
  <c r="G1064" i="1"/>
  <c r="I1063" i="1" a="1"/>
  <c r="I1063" i="1"/>
  <c r="H1063" i="1" a="1"/>
  <c r="H1063" i="1"/>
  <c r="G1063" i="1" a="1"/>
  <c r="G1063" i="1" s="1"/>
  <c r="I1062" i="1" a="1"/>
  <c r="I1062" i="1"/>
  <c r="H1062" i="1" a="1"/>
  <c r="H1062" i="1" s="1"/>
  <c r="G1062" i="1" a="1"/>
  <c r="G1062" i="1"/>
  <c r="I1061" i="1" a="1"/>
  <c r="I1061" i="1"/>
  <c r="H1061" i="1" a="1"/>
  <c r="H1061" i="1"/>
  <c r="G1061" i="1" a="1"/>
  <c r="G1061" i="1" s="1"/>
  <c r="D1061" i="1" s="1"/>
  <c r="I1060" i="1" a="1"/>
  <c r="I1060" i="1"/>
  <c r="H1060" i="1" a="1"/>
  <c r="H1060" i="1"/>
  <c r="G1060" i="1" a="1"/>
  <c r="G1060" i="1" s="1"/>
  <c r="D1060" i="1" s="1"/>
  <c r="I1059" i="1" a="1"/>
  <c r="I1059" i="1" s="1"/>
  <c r="H1059" i="1" a="1"/>
  <c r="H1059" i="1"/>
  <c r="G1059" i="1" a="1"/>
  <c r="G1059" i="1" s="1"/>
  <c r="D1059" i="1" s="1"/>
  <c r="I1058" i="1" a="1"/>
  <c r="I1058" i="1" s="1"/>
  <c r="H1058" i="1" a="1"/>
  <c r="H1058" i="1"/>
  <c r="G1058" i="1" a="1"/>
  <c r="G1058" i="1"/>
  <c r="I1057" i="1" a="1"/>
  <c r="I1057" i="1" s="1"/>
  <c r="H1057" i="1" a="1"/>
  <c r="H1057" i="1" s="1"/>
  <c r="G1057" i="1" a="1"/>
  <c r="G1057" i="1"/>
  <c r="D1057" i="1"/>
  <c r="I1056" i="1" a="1"/>
  <c r="I1056" i="1" s="1"/>
  <c r="H1056" i="1" a="1"/>
  <c r="H1056" i="1" s="1"/>
  <c r="G1056" i="1" a="1"/>
  <c r="G1056" i="1"/>
  <c r="I1055" i="1" a="1"/>
  <c r="I1055" i="1"/>
  <c r="H1055" i="1" a="1"/>
  <c r="H1055" i="1" s="1"/>
  <c r="G1055" i="1" a="1"/>
  <c r="G1055" i="1" s="1"/>
  <c r="D1055" i="1" s="1"/>
  <c r="I1054" i="1" a="1"/>
  <c r="I1054" i="1"/>
  <c r="H1054" i="1" a="1"/>
  <c r="H1054" i="1"/>
  <c r="G1054" i="1" a="1"/>
  <c r="G1054" i="1" s="1"/>
  <c r="D1054" i="1" s="1"/>
  <c r="I1053" i="1" a="1"/>
  <c r="I1053" i="1"/>
  <c r="H1053" i="1" a="1"/>
  <c r="H1053" i="1" s="1"/>
  <c r="D1053" i="1" s="1"/>
  <c r="G1053" i="1" a="1"/>
  <c r="G1053" i="1"/>
  <c r="I1052" i="1" a="1"/>
  <c r="I1052" i="1"/>
  <c r="H1052" i="1" a="1"/>
  <c r="H1052" i="1"/>
  <c r="D1052" i="1" s="1"/>
  <c r="G1052" i="1" a="1"/>
  <c r="G1052" i="1"/>
  <c r="I1051" i="1" a="1"/>
  <c r="I1051" i="1" s="1"/>
  <c r="H1051" i="1" a="1"/>
  <c r="H1051" i="1"/>
  <c r="G1051" i="1" a="1"/>
  <c r="G1051" i="1" s="1"/>
  <c r="I1050" i="1" a="1"/>
  <c r="I1050" i="1"/>
  <c r="H1050" i="1" a="1"/>
  <c r="H1050" i="1"/>
  <c r="G1050" i="1" a="1"/>
  <c r="G1050" i="1"/>
  <c r="D1050" i="1" s="1"/>
  <c r="I1049" i="1" a="1"/>
  <c r="I1049" i="1"/>
  <c r="H1049" i="1" a="1"/>
  <c r="H1049" i="1" s="1"/>
  <c r="G1049" i="1" a="1"/>
  <c r="G1049" i="1"/>
  <c r="D1049" i="1"/>
  <c r="I1048" i="1" a="1"/>
  <c r="I1048" i="1" s="1"/>
  <c r="H1048" i="1" a="1"/>
  <c r="H1048" i="1"/>
  <c r="G1048" i="1" a="1"/>
  <c r="G1048" i="1"/>
  <c r="I1047" i="1" a="1"/>
  <c r="I1047" i="1" s="1"/>
  <c r="H1047" i="1" a="1"/>
  <c r="H1047" i="1" s="1"/>
  <c r="G1047" i="1" a="1"/>
  <c r="G1047" i="1" s="1"/>
  <c r="I1046" i="1" a="1"/>
  <c r="I1046" i="1"/>
  <c r="H1046" i="1" a="1"/>
  <c r="H1046" i="1" s="1"/>
  <c r="G1046" i="1" a="1"/>
  <c r="G1046" i="1"/>
  <c r="D1046" i="1" s="1"/>
  <c r="I1045" i="1" a="1"/>
  <c r="I1045" i="1"/>
  <c r="H1045" i="1" a="1"/>
  <c r="H1045" i="1"/>
  <c r="G1045" i="1" a="1"/>
  <c r="G1045" i="1" s="1"/>
  <c r="D1045" i="1" s="1"/>
  <c r="I1044" i="1" a="1"/>
  <c r="I1044" i="1"/>
  <c r="H1044" i="1" a="1"/>
  <c r="H1044" i="1"/>
  <c r="G1044" i="1" a="1"/>
  <c r="G1044" i="1"/>
  <c r="D1044" i="1" s="1"/>
  <c r="I1043" i="1" a="1"/>
  <c r="I1043" i="1" s="1"/>
  <c r="D1043" i="1" s="1"/>
  <c r="H1043" i="1" a="1"/>
  <c r="H1043" i="1"/>
  <c r="G1043" i="1" a="1"/>
  <c r="G1043" i="1"/>
  <c r="I1042" i="1" a="1"/>
  <c r="I1042" i="1" s="1"/>
  <c r="D1042" i="1" s="1"/>
  <c r="H1042" i="1" a="1"/>
  <c r="H1042" i="1"/>
  <c r="G1042" i="1" a="1"/>
  <c r="G1042" i="1"/>
  <c r="I1041" i="1" a="1"/>
  <c r="I1041" i="1"/>
  <c r="H1041" i="1" a="1"/>
  <c r="H1041" i="1" s="1"/>
  <c r="G1041" i="1" a="1"/>
  <c r="G1041" i="1"/>
  <c r="I1040" i="1" a="1"/>
  <c r="I1040" i="1"/>
  <c r="H1040" i="1" a="1"/>
  <c r="H1040" i="1"/>
  <c r="D1040" i="1" s="1"/>
  <c r="G1040" i="1" a="1"/>
  <c r="G1040" i="1"/>
  <c r="I1039" i="1" a="1"/>
  <c r="I1039" i="1" s="1"/>
  <c r="H1039" i="1" a="1"/>
  <c r="H1039" i="1"/>
  <c r="G1039" i="1" a="1"/>
  <c r="G1039" i="1" s="1"/>
  <c r="I1038" i="1" a="1"/>
  <c r="I1038" i="1"/>
  <c r="H1038" i="1" a="1"/>
  <c r="H1038" i="1"/>
  <c r="G1038" i="1" a="1"/>
  <c r="G1038" i="1" s="1"/>
  <c r="D1038" i="1" s="1"/>
  <c r="I1037" i="1" a="1"/>
  <c r="I1037" i="1"/>
  <c r="H1037" i="1" a="1"/>
  <c r="H1037" i="1" s="1"/>
  <c r="G1037" i="1" a="1"/>
  <c r="G1037" i="1"/>
  <c r="I1036" i="1" a="1"/>
  <c r="I1036" i="1"/>
  <c r="H1036" i="1" a="1"/>
  <c r="H1036" i="1"/>
  <c r="D1036" i="1" s="1"/>
  <c r="G1036" i="1" a="1"/>
  <c r="G1036" i="1" s="1"/>
  <c r="I1035" i="1" a="1"/>
  <c r="I1035" i="1" s="1"/>
  <c r="H1035" i="1" a="1"/>
  <c r="H1035" i="1"/>
  <c r="G1035" i="1" a="1"/>
  <c r="G1035" i="1"/>
  <c r="D1035" i="1" s="1"/>
  <c r="I1034" i="1" a="1"/>
  <c r="I1034" i="1"/>
  <c r="D1034" i="1" s="1"/>
  <c r="H1034" i="1" a="1"/>
  <c r="H1034" i="1"/>
  <c r="G1034" i="1" a="1"/>
  <c r="G1034" i="1"/>
  <c r="I1033" i="1" a="1"/>
  <c r="I1033" i="1" s="1"/>
  <c r="H1033" i="1" a="1"/>
  <c r="H1033" i="1" s="1"/>
  <c r="G1033" i="1" a="1"/>
  <c r="G1033" i="1"/>
  <c r="I1032" i="1" a="1"/>
  <c r="I1032" i="1"/>
  <c r="H1032" i="1" a="1"/>
  <c r="H1032" i="1" s="1"/>
  <c r="D1032" i="1" s="1"/>
  <c r="G1032" i="1" a="1"/>
  <c r="G1032" i="1"/>
  <c r="I1031" i="1" a="1"/>
  <c r="I1031" i="1"/>
  <c r="H1031" i="1" a="1"/>
  <c r="H1031" i="1"/>
  <c r="G1031" i="1" a="1"/>
  <c r="G1031" i="1" s="1"/>
  <c r="I1030" i="1" a="1"/>
  <c r="I1030" i="1"/>
  <c r="H1030" i="1" a="1"/>
  <c r="H1030" i="1" s="1"/>
  <c r="G1030" i="1" a="1"/>
  <c r="G1030" i="1"/>
  <c r="I1029" i="1" a="1"/>
  <c r="I1029" i="1"/>
  <c r="H1029" i="1" a="1"/>
  <c r="H1029" i="1"/>
  <c r="G1029" i="1" a="1"/>
  <c r="G1029" i="1" s="1"/>
  <c r="I1028" i="1" a="1"/>
  <c r="I1028" i="1"/>
  <c r="H1028" i="1" a="1"/>
  <c r="H1028" i="1"/>
  <c r="G1028" i="1" a="1"/>
  <c r="G1028" i="1" s="1"/>
  <c r="D1028" i="1" s="1"/>
  <c r="I1027" i="1" a="1"/>
  <c r="I1027" i="1" s="1"/>
  <c r="H1027" i="1" a="1"/>
  <c r="H1027" i="1"/>
  <c r="G1027" i="1" a="1"/>
  <c r="G1027" i="1" s="1"/>
  <c r="D1027" i="1"/>
  <c r="I1026" i="1" a="1"/>
  <c r="I1026" i="1" s="1"/>
  <c r="H1026" i="1" a="1"/>
  <c r="H1026" i="1"/>
  <c r="G1026" i="1" a="1"/>
  <c r="G1026" i="1"/>
  <c r="I1025" i="1" a="1"/>
  <c r="I1025" i="1" s="1"/>
  <c r="H1025" i="1" a="1"/>
  <c r="H1025" i="1" s="1"/>
  <c r="G1025" i="1" a="1"/>
  <c r="G1025" i="1"/>
  <c r="D1025" i="1"/>
  <c r="I1024" i="1" a="1"/>
  <c r="I1024" i="1" s="1"/>
  <c r="H1024" i="1" a="1"/>
  <c r="H1024" i="1" s="1"/>
  <c r="D1024" i="1" s="1"/>
  <c r="G1024" i="1" a="1"/>
  <c r="G1024" i="1"/>
  <c r="I1023" i="1" a="1"/>
  <c r="I1023" i="1"/>
  <c r="H1023" i="1" a="1"/>
  <c r="H1023" i="1" s="1"/>
  <c r="G1023" i="1" a="1"/>
  <c r="G1023" i="1" s="1"/>
  <c r="I1022" i="1" a="1"/>
  <c r="I1022" i="1"/>
  <c r="H1022" i="1" a="1"/>
  <c r="H1022" i="1"/>
  <c r="G1022" i="1" a="1"/>
  <c r="G1022" i="1"/>
  <c r="D1022" i="1" s="1"/>
  <c r="I1021" i="1" a="1"/>
  <c r="I1021" i="1"/>
  <c r="H1021" i="1" a="1"/>
  <c r="H1021" i="1" s="1"/>
  <c r="G1021" i="1" a="1"/>
  <c r="G1021" i="1"/>
  <c r="D1021" i="1"/>
  <c r="I1020" i="1" a="1"/>
  <c r="I1020" i="1"/>
  <c r="H1020" i="1" a="1"/>
  <c r="H1020" i="1"/>
  <c r="D1020" i="1" s="1"/>
  <c r="G1020" i="1" a="1"/>
  <c r="G1020" i="1"/>
  <c r="I1019" i="1" a="1"/>
  <c r="I1019" i="1" s="1"/>
  <c r="H1019" i="1" a="1"/>
  <c r="H1019" i="1"/>
  <c r="G1019" i="1" a="1"/>
  <c r="G1019" i="1" s="1"/>
  <c r="D1019" i="1" s="1"/>
  <c r="I1018" i="1" a="1"/>
  <c r="I1018" i="1"/>
  <c r="H1018" i="1" a="1"/>
  <c r="H1018" i="1"/>
  <c r="G1018" i="1" a="1"/>
  <c r="G1018" i="1"/>
  <c r="D1018" i="1" s="1"/>
  <c r="I1017" i="1" a="1"/>
  <c r="I1017" i="1"/>
  <c r="H1017" i="1" a="1"/>
  <c r="H1017" i="1" s="1"/>
  <c r="G1017" i="1" a="1"/>
  <c r="G1017" i="1"/>
  <c r="D1017" i="1"/>
  <c r="I1016" i="1" a="1"/>
  <c r="I1016" i="1" s="1"/>
  <c r="H1016" i="1" a="1"/>
  <c r="H1016" i="1"/>
  <c r="G1016" i="1" a="1"/>
  <c r="G1016" i="1"/>
  <c r="I1015" i="1" a="1"/>
  <c r="I1015" i="1" s="1"/>
  <c r="H1015" i="1" a="1"/>
  <c r="H1015" i="1" s="1"/>
  <c r="G1015" i="1" a="1"/>
  <c r="G1015" i="1" s="1"/>
  <c r="I1014" i="1" a="1"/>
  <c r="I1014" i="1"/>
  <c r="H1014" i="1" a="1"/>
  <c r="H1014" i="1"/>
  <c r="G1014" i="1" a="1"/>
  <c r="G1014" i="1"/>
  <c r="I1013" i="1" a="1"/>
  <c r="I1013" i="1"/>
  <c r="H1013" i="1" a="1"/>
  <c r="H1013" i="1"/>
  <c r="G1013" i="1" a="1"/>
  <c r="G1013" i="1" s="1"/>
  <c r="D1013" i="1" s="1"/>
  <c r="I1012" i="1" a="1"/>
  <c r="I1012" i="1"/>
  <c r="H1012" i="1" a="1"/>
  <c r="H1012" i="1"/>
  <c r="G1012" i="1" a="1"/>
  <c r="G1012" i="1"/>
  <c r="D1012" i="1"/>
  <c r="I1011" i="1" a="1"/>
  <c r="I1011" i="1" s="1"/>
  <c r="H1011" i="1" a="1"/>
  <c r="H1011" i="1"/>
  <c r="D1011" i="1" s="1"/>
  <c r="G1011" i="1" a="1"/>
  <c r="G1011" i="1"/>
  <c r="I1010" i="1" a="1"/>
  <c r="I1010" i="1" s="1"/>
  <c r="H1010" i="1" a="1"/>
  <c r="H1010" i="1"/>
  <c r="G1010" i="1" a="1"/>
  <c r="G1010" i="1" s="1"/>
  <c r="I1009" i="1" a="1"/>
  <c r="I1009" i="1"/>
  <c r="H1009" i="1" a="1"/>
  <c r="H1009" i="1" s="1"/>
  <c r="G1009" i="1" a="1"/>
  <c r="G1009" i="1"/>
  <c r="D1009" i="1" s="1"/>
  <c r="I1008" i="1" a="1"/>
  <c r="I1008" i="1"/>
  <c r="H1008" i="1" a="1"/>
  <c r="H1008" i="1"/>
  <c r="D1008" i="1" s="1"/>
  <c r="G1008" i="1" a="1"/>
  <c r="G1008" i="1"/>
  <c r="I1007" i="1" a="1"/>
  <c r="I1007" i="1" s="1"/>
  <c r="H1007" i="1" a="1"/>
  <c r="H1007" i="1"/>
  <c r="G1007" i="1" a="1"/>
  <c r="G1007" i="1" s="1"/>
  <c r="D1007" i="1" s="1"/>
  <c r="I1006" i="1" a="1"/>
  <c r="I1006" i="1" s="1"/>
  <c r="H1006" i="1" a="1"/>
  <c r="H1006" i="1" s="1"/>
  <c r="G1006" i="1" a="1"/>
  <c r="G1006" i="1"/>
  <c r="I1005" i="1" a="1"/>
  <c r="I1005" i="1"/>
  <c r="H1005" i="1" a="1"/>
  <c r="H1005" i="1" s="1"/>
  <c r="G1005" i="1" a="1"/>
  <c r="G1005" i="1" s="1"/>
  <c r="I1004" i="1" a="1"/>
  <c r="I1004" i="1"/>
  <c r="H1004" i="1" a="1"/>
  <c r="H1004" i="1"/>
  <c r="G1004" i="1" a="1"/>
  <c r="G1004" i="1"/>
  <c r="D1004" i="1" s="1"/>
  <c r="I1003" i="1" a="1"/>
  <c r="I1003" i="1" s="1"/>
  <c r="H1003" i="1" a="1"/>
  <c r="H1003" i="1"/>
  <c r="G1003" i="1" a="1"/>
  <c r="G1003" i="1"/>
  <c r="D1003" i="1"/>
  <c r="I1002" i="1" a="1"/>
  <c r="I1002" i="1" s="1"/>
  <c r="H1002" i="1" a="1"/>
  <c r="H1002" i="1"/>
  <c r="G1002" i="1" a="1"/>
  <c r="G1002" i="1"/>
  <c r="D1002" i="1" s="1"/>
  <c r="I1001" i="1" a="1"/>
  <c r="I1001" i="1"/>
  <c r="H1001" i="1" a="1"/>
  <c r="H1001" i="1" s="1"/>
  <c r="G1001" i="1" a="1"/>
  <c r="G1001" i="1"/>
  <c r="I1000" i="1" a="1"/>
  <c r="I1000" i="1"/>
  <c r="H1000" i="1" a="1"/>
  <c r="H1000" i="1"/>
  <c r="G1000" i="1" a="1"/>
  <c r="G1000" i="1"/>
  <c r="I999" i="1" a="1"/>
  <c r="I999" i="1"/>
  <c r="H999" i="1" a="1"/>
  <c r="H999" i="1" s="1"/>
  <c r="G999" i="1" a="1"/>
  <c r="G999" i="1" s="1"/>
  <c r="I998" i="1" a="1"/>
  <c r="I998" i="1" s="1"/>
  <c r="H998" i="1" a="1"/>
  <c r="H998" i="1"/>
  <c r="G998" i="1" a="1"/>
  <c r="G998" i="1" s="1"/>
  <c r="D998" i="1" s="1"/>
  <c r="I997" i="1" a="1"/>
  <c r="I997" i="1"/>
  <c r="D997" i="1" s="1"/>
  <c r="H997" i="1" a="1"/>
  <c r="H997" i="1" s="1"/>
  <c r="G997" i="1" a="1"/>
  <c r="G997" i="1"/>
  <c r="I996" i="1" a="1"/>
  <c r="I996" i="1"/>
  <c r="H996" i="1" a="1"/>
  <c r="H996" i="1" s="1"/>
  <c r="D996" i="1" s="1"/>
  <c r="G996" i="1" a="1"/>
  <c r="G996" i="1"/>
  <c r="I995" i="1" a="1"/>
  <c r="I995" i="1" s="1"/>
  <c r="H995" i="1" a="1"/>
  <c r="H995" i="1"/>
  <c r="G995" i="1" a="1"/>
  <c r="G995" i="1" s="1"/>
  <c r="D995" i="1" s="1"/>
  <c r="I994" i="1" a="1"/>
  <c r="I994" i="1"/>
  <c r="H994" i="1" a="1"/>
  <c r="H994" i="1"/>
  <c r="G994" i="1" a="1"/>
  <c r="G994" i="1"/>
  <c r="D994" i="1" s="1"/>
  <c r="I993" i="1" a="1"/>
  <c r="I993" i="1"/>
  <c r="H993" i="1" a="1"/>
  <c r="H993" i="1" s="1"/>
  <c r="G993" i="1" a="1"/>
  <c r="G993" i="1" s="1"/>
  <c r="D993" i="1" s="1"/>
  <c r="I992" i="1" a="1"/>
  <c r="I992" i="1" s="1"/>
  <c r="H992" i="1" a="1"/>
  <c r="H992" i="1"/>
  <c r="G992" i="1" a="1"/>
  <c r="G992" i="1"/>
  <c r="D992" i="1"/>
  <c r="I991" i="1" a="1"/>
  <c r="I991" i="1" s="1"/>
  <c r="H991" i="1" a="1"/>
  <c r="H991" i="1" s="1"/>
  <c r="G991" i="1" a="1"/>
  <c r="G991" i="1" s="1"/>
  <c r="I990" i="1" a="1"/>
  <c r="I990" i="1"/>
  <c r="H990" i="1" a="1"/>
  <c r="H990" i="1"/>
  <c r="G990" i="1" a="1"/>
  <c r="G990" i="1" s="1"/>
  <c r="I989" i="1" a="1"/>
  <c r="I989" i="1"/>
  <c r="H989" i="1" a="1"/>
  <c r="H989" i="1" s="1"/>
  <c r="G989" i="1" a="1"/>
  <c r="G989" i="1" s="1"/>
  <c r="D989" i="1" s="1"/>
  <c r="I988" i="1" a="1"/>
  <c r="I988" i="1"/>
  <c r="H988" i="1" a="1"/>
  <c r="H988" i="1"/>
  <c r="G988" i="1" a="1"/>
  <c r="G988" i="1" s="1"/>
  <c r="D988" i="1" s="1"/>
  <c r="I987" i="1" a="1"/>
  <c r="I987" i="1" s="1"/>
  <c r="H987" i="1" a="1"/>
  <c r="H987" i="1"/>
  <c r="G987" i="1" a="1"/>
  <c r="G987" i="1"/>
  <c r="D987" i="1"/>
  <c r="I986" i="1" a="1"/>
  <c r="I986" i="1"/>
  <c r="D986" i="1" s="1"/>
  <c r="H986" i="1" a="1"/>
  <c r="H986" i="1"/>
  <c r="G986" i="1" a="1"/>
  <c r="G986" i="1"/>
  <c r="I985" i="1" a="1"/>
  <c r="I985" i="1" s="1"/>
  <c r="H985" i="1" a="1"/>
  <c r="H985" i="1" s="1"/>
  <c r="G985" i="1" a="1"/>
  <c r="G985" i="1" s="1"/>
  <c r="I984" i="1" a="1"/>
  <c r="I984" i="1"/>
  <c r="H984" i="1" a="1"/>
  <c r="H984" i="1"/>
  <c r="G984" i="1" a="1"/>
  <c r="G984" i="1"/>
  <c r="I983" i="1" a="1"/>
  <c r="I983" i="1"/>
  <c r="H983" i="1" a="1"/>
  <c r="H983" i="1" s="1"/>
  <c r="D983" i="1" s="1"/>
  <c r="G983" i="1" a="1"/>
  <c r="G983" i="1" s="1"/>
  <c r="I982" i="1" a="1"/>
  <c r="I982" i="1" s="1"/>
  <c r="H982" i="1" a="1"/>
  <c r="H982" i="1"/>
  <c r="G982" i="1" a="1"/>
  <c r="G982" i="1"/>
  <c r="D982" i="1" s="1"/>
  <c r="I981" i="1" a="1"/>
  <c r="I981" i="1" s="1"/>
  <c r="D981" i="1" s="1"/>
  <c r="H981" i="1" a="1"/>
  <c r="H981" i="1" s="1"/>
  <c r="G981" i="1" a="1"/>
  <c r="G981" i="1"/>
  <c r="I980" i="1" a="1"/>
  <c r="I980" i="1"/>
  <c r="H980" i="1" a="1"/>
  <c r="H980" i="1" s="1"/>
  <c r="G980" i="1" a="1"/>
  <c r="G980" i="1"/>
  <c r="I979" i="1" a="1"/>
  <c r="I979" i="1" s="1"/>
  <c r="H979" i="1" a="1"/>
  <c r="H979" i="1"/>
  <c r="G979" i="1" a="1"/>
  <c r="G979" i="1" s="1"/>
  <c r="I978" i="1" a="1"/>
  <c r="I978" i="1"/>
  <c r="H978" i="1" a="1"/>
  <c r="H978" i="1"/>
  <c r="G978" i="1" a="1"/>
  <c r="G978" i="1" s="1"/>
  <c r="D978" i="1" s="1"/>
  <c r="I977" i="1" a="1"/>
  <c r="I977" i="1"/>
  <c r="H977" i="1" a="1"/>
  <c r="H977" i="1" s="1"/>
  <c r="G977" i="1" a="1"/>
  <c r="G977" i="1" s="1"/>
  <c r="D977" i="1" s="1"/>
  <c r="I976" i="1" a="1"/>
  <c r="I976" i="1" s="1"/>
  <c r="H976" i="1" a="1"/>
  <c r="H976" i="1"/>
  <c r="G976" i="1" a="1"/>
  <c r="G976" i="1"/>
  <c r="D976" i="1" s="1"/>
  <c r="I975" i="1" a="1"/>
  <c r="I975" i="1"/>
  <c r="H975" i="1" a="1"/>
  <c r="H975" i="1" s="1"/>
  <c r="D975" i="1" s="1"/>
  <c r="G975" i="1" a="1"/>
  <c r="G975" i="1" s="1"/>
  <c r="I974" i="1" a="1"/>
  <c r="I974" i="1" s="1"/>
  <c r="H974" i="1" a="1"/>
  <c r="H974" i="1" s="1"/>
  <c r="G974" i="1" a="1"/>
  <c r="G974" i="1" s="1"/>
  <c r="I973" i="1" a="1"/>
  <c r="I973" i="1"/>
  <c r="H973" i="1" a="1"/>
  <c r="H973" i="1"/>
  <c r="G973" i="1" a="1"/>
  <c r="G973" i="1"/>
  <c r="D973" i="1" s="1"/>
  <c r="I972" i="1" a="1"/>
  <c r="I972" i="1"/>
  <c r="H972" i="1" a="1"/>
  <c r="H972" i="1"/>
  <c r="G972" i="1" a="1"/>
  <c r="G972" i="1"/>
  <c r="D972" i="1" s="1"/>
  <c r="I971" i="1" a="1"/>
  <c r="I971" i="1" s="1"/>
  <c r="H971" i="1" a="1"/>
  <c r="H971" i="1"/>
  <c r="G971" i="1" a="1"/>
  <c r="G971" i="1"/>
  <c r="D971" i="1" s="1"/>
  <c r="I970" i="1" a="1"/>
  <c r="I970" i="1" s="1"/>
  <c r="D970" i="1" s="1"/>
  <c r="H970" i="1" a="1"/>
  <c r="H970" i="1"/>
  <c r="G970" i="1" a="1"/>
  <c r="G970" i="1"/>
  <c r="I969" i="1" a="1"/>
  <c r="I969" i="1"/>
  <c r="H969" i="1" a="1"/>
  <c r="H969" i="1" s="1"/>
  <c r="G969" i="1" a="1"/>
  <c r="G969" i="1" s="1"/>
  <c r="D969" i="1" s="1"/>
  <c r="I968" i="1" a="1"/>
  <c r="I968" i="1"/>
  <c r="H968" i="1" a="1"/>
  <c r="H968" i="1"/>
  <c r="G968" i="1" a="1"/>
  <c r="G968" i="1"/>
  <c r="D968" i="1" s="1"/>
  <c r="I967" i="1" a="1"/>
  <c r="I967" i="1"/>
  <c r="H967" i="1" a="1"/>
  <c r="H967" i="1" s="1"/>
  <c r="D967" i="1" s="1"/>
  <c r="G967" i="1" a="1"/>
  <c r="G967" i="1" s="1"/>
  <c r="I966" i="1" a="1"/>
  <c r="I966" i="1" s="1"/>
  <c r="H966" i="1" a="1"/>
  <c r="H966" i="1"/>
  <c r="G966" i="1" a="1"/>
  <c r="G966" i="1" s="1"/>
  <c r="D966" i="1" s="1"/>
  <c r="I965" i="1" a="1"/>
  <c r="I965" i="1"/>
  <c r="H965" i="1" a="1"/>
  <c r="H965" i="1" s="1"/>
  <c r="G965" i="1" a="1"/>
  <c r="G965" i="1"/>
  <c r="D965" i="1"/>
  <c r="I964" i="1" a="1"/>
  <c r="I964" i="1"/>
  <c r="H964" i="1" a="1"/>
  <c r="H964" i="1" s="1"/>
  <c r="G964" i="1" a="1"/>
  <c r="G964" i="1"/>
  <c r="I963" i="1" a="1"/>
  <c r="I963" i="1" s="1"/>
  <c r="H963" i="1" a="1"/>
  <c r="H963" i="1" s="1"/>
  <c r="G963" i="1" a="1"/>
  <c r="G963" i="1" s="1"/>
  <c r="I962" i="1" a="1"/>
  <c r="I962" i="1"/>
  <c r="H962" i="1" a="1"/>
  <c r="H962" i="1"/>
  <c r="G962" i="1" a="1"/>
  <c r="G962" i="1"/>
  <c r="D962" i="1" s="1"/>
  <c r="I961" i="1" a="1"/>
  <c r="I961" i="1"/>
  <c r="H961" i="1" a="1"/>
  <c r="H961" i="1" s="1"/>
  <c r="G961" i="1" a="1"/>
  <c r="G961" i="1"/>
  <c r="D961" i="1"/>
  <c r="I960" i="1" a="1"/>
  <c r="I960" i="1" s="1"/>
  <c r="H960" i="1" a="1"/>
  <c r="H960" i="1"/>
  <c r="G960" i="1" a="1"/>
  <c r="G960" i="1"/>
  <c r="D960" i="1" s="1"/>
  <c r="I959" i="1" a="1"/>
  <c r="I959" i="1"/>
  <c r="H959" i="1" a="1"/>
  <c r="H959" i="1" s="1"/>
  <c r="G959" i="1" a="1"/>
  <c r="G959" i="1" s="1"/>
  <c r="I958" i="1" a="1"/>
  <c r="I958" i="1"/>
  <c r="H958" i="1" a="1"/>
  <c r="H958" i="1" s="1"/>
  <c r="G958" i="1" a="1"/>
  <c r="G958" i="1" s="1"/>
  <c r="I957" i="1" a="1"/>
  <c r="I957" i="1"/>
  <c r="H957" i="1" a="1"/>
  <c r="H957" i="1" s="1"/>
  <c r="G957" i="1" a="1"/>
  <c r="G957" i="1" s="1"/>
  <c r="I956" i="1" a="1"/>
  <c r="I956" i="1"/>
  <c r="H956" i="1" a="1"/>
  <c r="H956" i="1"/>
  <c r="G956" i="1" a="1"/>
  <c r="G956" i="1" s="1"/>
  <c r="D956" i="1" s="1"/>
  <c r="I955" i="1" a="1"/>
  <c r="I955" i="1" s="1"/>
  <c r="H955" i="1" a="1"/>
  <c r="H955" i="1"/>
  <c r="G955" i="1" a="1"/>
  <c r="G955" i="1"/>
  <c r="D955" i="1"/>
  <c r="I954" i="1" a="1"/>
  <c r="I954" i="1" s="1"/>
  <c r="D954" i="1" s="1"/>
  <c r="H954" i="1" a="1"/>
  <c r="H954" i="1"/>
  <c r="G954" i="1" a="1"/>
  <c r="G954" i="1"/>
  <c r="I953" i="1" a="1"/>
  <c r="I953" i="1"/>
  <c r="H953" i="1" a="1"/>
  <c r="H953" i="1" s="1"/>
  <c r="G953" i="1" a="1"/>
  <c r="G953" i="1" s="1"/>
  <c r="I952" i="1" a="1"/>
  <c r="I952" i="1"/>
  <c r="H952" i="1" a="1"/>
  <c r="H952" i="1" s="1"/>
  <c r="G952" i="1" a="1"/>
  <c r="G952" i="1"/>
  <c r="D952" i="1" s="1"/>
  <c r="I951" i="1" a="1"/>
  <c r="I951" i="1"/>
  <c r="H951" i="1" a="1"/>
  <c r="H951" i="1"/>
  <c r="G951" i="1" a="1"/>
  <c r="G951" i="1" s="1"/>
  <c r="D951" i="1" s="1"/>
  <c r="I950" i="1" a="1"/>
  <c r="I950" i="1" s="1"/>
  <c r="H950" i="1" a="1"/>
  <c r="H950" i="1"/>
  <c r="G950" i="1" a="1"/>
  <c r="G950" i="1" s="1"/>
  <c r="D950" i="1" s="1"/>
  <c r="I949" i="1" a="1"/>
  <c r="I949" i="1"/>
  <c r="H949" i="1" a="1"/>
  <c r="H949" i="1" s="1"/>
  <c r="G949" i="1" a="1"/>
  <c r="G949" i="1"/>
  <c r="D949" i="1"/>
  <c r="I948" i="1" a="1"/>
  <c r="I948" i="1"/>
  <c r="H948" i="1" a="1"/>
  <c r="H948" i="1" s="1"/>
  <c r="D948" i="1" s="1"/>
  <c r="G948" i="1" a="1"/>
  <c r="G948" i="1"/>
  <c r="I947" i="1" a="1"/>
  <c r="I947" i="1" s="1"/>
  <c r="H947" i="1" a="1"/>
  <c r="H947" i="1"/>
  <c r="G947" i="1" a="1"/>
  <c r="G947" i="1" s="1"/>
  <c r="D947" i="1" s="1"/>
  <c r="I946" i="1" a="1"/>
  <c r="I946" i="1"/>
  <c r="H946" i="1" a="1"/>
  <c r="H946" i="1"/>
  <c r="G946" i="1" a="1"/>
  <c r="G946" i="1" s="1"/>
  <c r="D946" i="1" s="1"/>
  <c r="I945" i="1" a="1"/>
  <c r="I945" i="1"/>
  <c r="H945" i="1" a="1"/>
  <c r="H945" i="1" s="1"/>
  <c r="G945" i="1" a="1"/>
  <c r="G945" i="1"/>
  <c r="D945" i="1" s="1"/>
  <c r="I944" i="1" a="1"/>
  <c r="I944" i="1" s="1"/>
  <c r="D944" i="1" s="1"/>
  <c r="H944" i="1" a="1"/>
  <c r="H944" i="1"/>
  <c r="G944" i="1" a="1"/>
  <c r="G944" i="1"/>
  <c r="I943" i="1" a="1"/>
  <c r="I943" i="1" s="1"/>
  <c r="H943" i="1" a="1"/>
  <c r="H943" i="1" s="1"/>
  <c r="G943" i="1" a="1"/>
  <c r="G943" i="1" s="1"/>
  <c r="I942" i="1" a="1"/>
  <c r="I942" i="1" s="1"/>
  <c r="H942" i="1" a="1"/>
  <c r="H942" i="1"/>
  <c r="G942" i="1" a="1"/>
  <c r="G942" i="1" s="1"/>
  <c r="I941" i="1" a="1"/>
  <c r="I941" i="1"/>
  <c r="H941" i="1" a="1"/>
  <c r="H941" i="1" s="1"/>
  <c r="G941" i="1" a="1"/>
  <c r="G941" i="1" s="1"/>
  <c r="I940" i="1" a="1"/>
  <c r="I940" i="1"/>
  <c r="H940" i="1" a="1"/>
  <c r="H940" i="1" s="1"/>
  <c r="G940" i="1" a="1"/>
  <c r="G940" i="1" s="1"/>
  <c r="D940" i="1" s="1"/>
  <c r="I939" i="1" a="1"/>
  <c r="I939" i="1"/>
  <c r="H939" i="1" a="1"/>
  <c r="H939" i="1"/>
  <c r="G939" i="1" a="1"/>
  <c r="G939" i="1" s="1"/>
  <c r="D939" i="1"/>
  <c r="I938" i="1" a="1"/>
  <c r="I938" i="1" s="1"/>
  <c r="D938" i="1" s="1"/>
  <c r="H938" i="1" a="1"/>
  <c r="H938" i="1"/>
  <c r="G938" i="1" a="1"/>
  <c r="G938" i="1"/>
  <c r="I937" i="1" a="1"/>
  <c r="I937" i="1" s="1"/>
  <c r="H937" i="1" a="1"/>
  <c r="H937" i="1"/>
  <c r="G937" i="1" a="1"/>
  <c r="G937" i="1"/>
  <c r="D937" i="1" s="1"/>
  <c r="I936" i="1" a="1"/>
  <c r="I936" i="1"/>
  <c r="H936" i="1" a="1"/>
  <c r="H936" i="1" s="1"/>
  <c r="G936" i="1" a="1"/>
  <c r="G936" i="1"/>
  <c r="D936" i="1"/>
  <c r="I935" i="1" a="1"/>
  <c r="I935" i="1" s="1"/>
  <c r="H935" i="1" a="1"/>
  <c r="H935" i="1" s="1"/>
  <c r="G935" i="1" a="1"/>
  <c r="G935" i="1"/>
  <c r="I934" i="1" a="1"/>
  <c r="I934" i="1" s="1"/>
  <c r="H934" i="1" a="1"/>
  <c r="H934" i="1"/>
  <c r="G934" i="1" a="1"/>
  <c r="G934" i="1" s="1"/>
  <c r="I933" i="1" a="1"/>
  <c r="I933" i="1"/>
  <c r="H933" i="1" a="1"/>
  <c r="H933" i="1"/>
  <c r="G933" i="1" a="1"/>
  <c r="G933" i="1" s="1"/>
  <c r="I932" i="1" a="1"/>
  <c r="I932" i="1"/>
  <c r="H932" i="1" a="1"/>
  <c r="H932" i="1"/>
  <c r="G932" i="1" a="1"/>
  <c r="G932" i="1" s="1"/>
  <c r="D932" i="1" s="1"/>
  <c r="I931" i="1" a="1"/>
  <c r="I931" i="1"/>
  <c r="H931" i="1" a="1"/>
  <c r="H931" i="1"/>
  <c r="D931" i="1" s="1"/>
  <c r="G931" i="1" a="1"/>
  <c r="G931" i="1"/>
  <c r="I930" i="1" a="1"/>
  <c r="I930" i="1" s="1"/>
  <c r="H930" i="1" a="1"/>
  <c r="H930" i="1"/>
  <c r="G930" i="1" a="1"/>
  <c r="G930" i="1" s="1"/>
  <c r="D930" i="1" s="1"/>
  <c r="I929" i="1" a="1"/>
  <c r="I929" i="1" s="1"/>
  <c r="H929" i="1" a="1"/>
  <c r="H929" i="1"/>
  <c r="G929" i="1" a="1"/>
  <c r="G929" i="1"/>
  <c r="D929" i="1" s="1"/>
  <c r="I928" i="1" a="1"/>
  <c r="I928" i="1" s="1"/>
  <c r="H928" i="1" a="1"/>
  <c r="H928" i="1" s="1"/>
  <c r="G928" i="1" a="1"/>
  <c r="G928" i="1"/>
  <c r="D928" i="1"/>
  <c r="I927" i="1" a="1"/>
  <c r="I927" i="1" s="1"/>
  <c r="H927" i="1" a="1"/>
  <c r="H927" i="1" s="1"/>
  <c r="G927" i="1" a="1"/>
  <c r="G927" i="1"/>
  <c r="I926" i="1" a="1"/>
  <c r="I926" i="1" s="1"/>
  <c r="H926" i="1" a="1"/>
  <c r="H926" i="1"/>
  <c r="G926" i="1" a="1"/>
  <c r="G926" i="1" s="1"/>
  <c r="I925" i="1" a="1"/>
  <c r="I925" i="1"/>
  <c r="H925" i="1" a="1"/>
  <c r="H925" i="1"/>
  <c r="G925" i="1" a="1"/>
  <c r="G925" i="1" s="1"/>
  <c r="I924" i="1" a="1"/>
  <c r="I924" i="1"/>
  <c r="H924" i="1" a="1"/>
  <c r="H924" i="1" s="1"/>
  <c r="G924" i="1" a="1"/>
  <c r="G924" i="1"/>
  <c r="I923" i="1" a="1"/>
  <c r="I923" i="1"/>
  <c r="H923" i="1" a="1"/>
  <c r="H923" i="1"/>
  <c r="G923" i="1" a="1"/>
  <c r="G923" i="1" s="1"/>
  <c r="D923" i="1" s="1"/>
  <c r="I922" i="1" a="1"/>
  <c r="I922" i="1" s="1"/>
  <c r="H922" i="1" a="1"/>
  <c r="H922" i="1"/>
  <c r="G922" i="1" a="1"/>
  <c r="G922" i="1"/>
  <c r="D922" i="1"/>
  <c r="I921" i="1" a="1"/>
  <c r="I921" i="1" s="1"/>
  <c r="D921" i="1" s="1"/>
  <c r="H921" i="1" a="1"/>
  <c r="H921" i="1"/>
  <c r="G921" i="1" a="1"/>
  <c r="G921" i="1"/>
  <c r="I920" i="1" a="1"/>
  <c r="I920" i="1"/>
  <c r="H920" i="1" a="1"/>
  <c r="H920" i="1" s="1"/>
  <c r="D920" i="1" s="1"/>
  <c r="G920" i="1" a="1"/>
  <c r="G920" i="1"/>
  <c r="I919" i="1" a="1"/>
  <c r="I919" i="1"/>
  <c r="H919" i="1" a="1"/>
  <c r="H919" i="1" s="1"/>
  <c r="D919" i="1" s="1"/>
  <c r="G919" i="1" a="1"/>
  <c r="G919" i="1"/>
  <c r="I918" i="1" a="1"/>
  <c r="I918" i="1"/>
  <c r="H918" i="1" a="1"/>
  <c r="H918" i="1" s="1"/>
  <c r="G918" i="1" a="1"/>
  <c r="G918" i="1" s="1"/>
  <c r="I917" i="1" a="1"/>
  <c r="I917" i="1"/>
  <c r="H917" i="1" a="1"/>
  <c r="H917" i="1" s="1"/>
  <c r="G917" i="1" a="1"/>
  <c r="G917" i="1" s="1"/>
  <c r="I916" i="1" a="1"/>
  <c r="I916" i="1"/>
  <c r="H916" i="1" a="1"/>
  <c r="H916" i="1" s="1"/>
  <c r="G916" i="1" a="1"/>
  <c r="G916" i="1"/>
  <c r="I915" i="1" a="1"/>
  <c r="I915" i="1"/>
  <c r="H915" i="1" a="1"/>
  <c r="H915" i="1"/>
  <c r="G915" i="1" a="1"/>
  <c r="G915" i="1" s="1"/>
  <c r="D915" i="1" s="1"/>
  <c r="I914" i="1" a="1"/>
  <c r="I914" i="1" s="1"/>
  <c r="H914" i="1" a="1"/>
  <c r="H914" i="1"/>
  <c r="G914" i="1" a="1"/>
  <c r="G914" i="1" s="1"/>
  <c r="D914" i="1" s="1"/>
  <c r="I913" i="1" a="1"/>
  <c r="I913" i="1" s="1"/>
  <c r="D913" i="1" s="1"/>
  <c r="H913" i="1" a="1"/>
  <c r="H913" i="1"/>
  <c r="G913" i="1" a="1"/>
  <c r="G913" i="1"/>
  <c r="I912" i="1" a="1"/>
  <c r="I912" i="1"/>
  <c r="H912" i="1" a="1"/>
  <c r="H912" i="1" s="1"/>
  <c r="G912" i="1" a="1"/>
  <c r="G912" i="1"/>
  <c r="I911" i="1" a="1"/>
  <c r="I911" i="1"/>
  <c r="H911" i="1" a="1"/>
  <c r="H911" i="1" s="1"/>
  <c r="G911" i="1" a="1"/>
  <c r="G911" i="1"/>
  <c r="I910" i="1" a="1"/>
  <c r="I910" i="1"/>
  <c r="H910" i="1" a="1"/>
  <c r="H910" i="1"/>
  <c r="G910" i="1" a="1"/>
  <c r="G910" i="1" s="1"/>
  <c r="I909" i="1" a="1"/>
  <c r="I909" i="1"/>
  <c r="H909" i="1" a="1"/>
  <c r="H909" i="1" s="1"/>
  <c r="G909" i="1" a="1"/>
  <c r="G909" i="1" s="1"/>
  <c r="I908" i="1" a="1"/>
  <c r="I908" i="1"/>
  <c r="H908" i="1" a="1"/>
  <c r="H908" i="1" s="1"/>
  <c r="G908" i="1" a="1"/>
  <c r="G908" i="1"/>
  <c r="D908" i="1" s="1"/>
  <c r="I907" i="1" a="1"/>
  <c r="I907" i="1"/>
  <c r="H907" i="1" a="1"/>
  <c r="H907" i="1"/>
  <c r="G907" i="1" a="1"/>
  <c r="G907" i="1" s="1"/>
  <c r="D907" i="1"/>
  <c r="I906" i="1" a="1"/>
  <c r="I906" i="1" s="1"/>
  <c r="D906" i="1" s="1"/>
  <c r="H906" i="1" a="1"/>
  <c r="H906" i="1"/>
  <c r="G906" i="1" a="1"/>
  <c r="G906" i="1"/>
  <c r="I905" i="1" a="1"/>
  <c r="I905" i="1" s="1"/>
  <c r="H905" i="1" a="1"/>
  <c r="H905" i="1"/>
  <c r="G905" i="1" a="1"/>
  <c r="G905" i="1"/>
  <c r="D905" i="1" s="1"/>
  <c r="I904" i="1" a="1"/>
  <c r="I904" i="1"/>
  <c r="H904" i="1" a="1"/>
  <c r="H904" i="1" s="1"/>
  <c r="G904" i="1" a="1"/>
  <c r="G904" i="1"/>
  <c r="D904" i="1"/>
  <c r="I903" i="1" a="1"/>
  <c r="I903" i="1" s="1"/>
  <c r="H903" i="1" a="1"/>
  <c r="H903" i="1" s="1"/>
  <c r="G903" i="1" a="1"/>
  <c r="G903" i="1"/>
  <c r="I902" i="1" a="1"/>
  <c r="I902" i="1" s="1"/>
  <c r="H902" i="1" a="1"/>
  <c r="H902" i="1"/>
  <c r="G902" i="1" a="1"/>
  <c r="G902" i="1" s="1"/>
  <c r="I901" i="1" a="1"/>
  <c r="I901" i="1"/>
  <c r="H901" i="1" a="1"/>
  <c r="H901" i="1"/>
  <c r="G901" i="1" a="1"/>
  <c r="G901" i="1" s="1"/>
  <c r="I900" i="1" a="1"/>
  <c r="I900" i="1"/>
  <c r="H900" i="1" a="1"/>
  <c r="H900" i="1"/>
  <c r="G900" i="1" a="1"/>
  <c r="G900" i="1" s="1"/>
  <c r="D900" i="1" s="1"/>
  <c r="I899" i="1" a="1"/>
  <c r="I899" i="1"/>
  <c r="H899" i="1" a="1"/>
  <c r="H899" i="1"/>
  <c r="D899" i="1" s="1"/>
  <c r="G899" i="1" a="1"/>
  <c r="G899" i="1"/>
  <c r="I898" i="1" a="1"/>
  <c r="I898" i="1" s="1"/>
  <c r="H898" i="1" a="1"/>
  <c r="H898" i="1"/>
  <c r="G898" i="1" a="1"/>
  <c r="G898" i="1" s="1"/>
  <c r="D898" i="1" s="1"/>
  <c r="I897" i="1" a="1"/>
  <c r="I897" i="1" s="1"/>
  <c r="H897" i="1" a="1"/>
  <c r="H897" i="1"/>
  <c r="G897" i="1" a="1"/>
  <c r="G897" i="1"/>
  <c r="D897" i="1" s="1"/>
  <c r="I896" i="1" a="1"/>
  <c r="I896" i="1" s="1"/>
  <c r="D896" i="1" s="1"/>
  <c r="H896" i="1" a="1"/>
  <c r="H896" i="1" s="1"/>
  <c r="G896" i="1" a="1"/>
  <c r="G896" i="1"/>
  <c r="I895" i="1" a="1"/>
  <c r="I895" i="1"/>
  <c r="H895" i="1" a="1"/>
  <c r="H895" i="1" s="1"/>
  <c r="G895" i="1" a="1"/>
  <c r="G895" i="1"/>
  <c r="I894" i="1" a="1"/>
  <c r="I894" i="1" s="1"/>
  <c r="H894" i="1" a="1"/>
  <c r="H894" i="1"/>
  <c r="G894" i="1" a="1"/>
  <c r="G894" i="1" s="1"/>
  <c r="D894" i="1" s="1"/>
  <c r="I893" i="1" a="1"/>
  <c r="I893" i="1"/>
  <c r="H893" i="1" a="1"/>
  <c r="H893" i="1"/>
  <c r="G893" i="1" a="1"/>
  <c r="G893" i="1" s="1"/>
  <c r="I892" i="1" a="1"/>
  <c r="I892" i="1"/>
  <c r="H892" i="1" a="1"/>
  <c r="H892" i="1"/>
  <c r="G892" i="1" a="1"/>
  <c r="G892" i="1"/>
  <c r="I891" i="1" a="1"/>
  <c r="I891" i="1"/>
  <c r="H891" i="1" a="1"/>
  <c r="H891" i="1"/>
  <c r="G891" i="1" a="1"/>
  <c r="G891" i="1" s="1"/>
  <c r="D891" i="1" s="1"/>
  <c r="I890" i="1" a="1"/>
  <c r="I890" i="1" s="1"/>
  <c r="H890" i="1" a="1"/>
  <c r="H890" i="1"/>
  <c r="G890" i="1" a="1"/>
  <c r="G890" i="1"/>
  <c r="D890" i="1"/>
  <c r="I889" i="1" a="1"/>
  <c r="I889" i="1" s="1"/>
  <c r="D889" i="1" s="1"/>
  <c r="H889" i="1" a="1"/>
  <c r="H889" i="1"/>
  <c r="G889" i="1" a="1"/>
  <c r="G889" i="1"/>
  <c r="I888" i="1" a="1"/>
  <c r="I888" i="1"/>
  <c r="H888" i="1" a="1"/>
  <c r="H888" i="1" s="1"/>
  <c r="D888" i="1" s="1"/>
  <c r="G888" i="1" a="1"/>
  <c r="G888" i="1"/>
  <c r="I887" i="1" a="1"/>
  <c r="I887" i="1"/>
  <c r="H887" i="1" a="1"/>
  <c r="H887" i="1" s="1"/>
  <c r="G887" i="1" a="1"/>
  <c r="G887" i="1"/>
  <c r="I886" i="1" a="1"/>
  <c r="I886" i="1"/>
  <c r="H886" i="1" a="1"/>
  <c r="H886" i="1" s="1"/>
  <c r="G886" i="1" a="1"/>
  <c r="G886" i="1" s="1"/>
  <c r="D886" i="1" s="1"/>
  <c r="I885" i="1" a="1"/>
  <c r="I885" i="1"/>
  <c r="H885" i="1" a="1"/>
  <c r="H885" i="1" s="1"/>
  <c r="G885" i="1" a="1"/>
  <c r="G885" i="1" s="1"/>
  <c r="I884" i="1" a="1"/>
  <c r="I884" i="1"/>
  <c r="H884" i="1" a="1"/>
  <c r="H884" i="1"/>
  <c r="G884" i="1" a="1"/>
  <c r="G884" i="1" s="1"/>
  <c r="D884" i="1" s="1"/>
  <c r="I883" i="1" a="1"/>
  <c r="I883" i="1"/>
  <c r="H883" i="1" a="1"/>
  <c r="H883" i="1"/>
  <c r="G883" i="1" a="1"/>
  <c r="G883" i="1"/>
  <c r="D883" i="1" s="1"/>
  <c r="I882" i="1" a="1"/>
  <c r="I882" i="1" s="1"/>
  <c r="H882" i="1" a="1"/>
  <c r="H882" i="1"/>
  <c r="G882" i="1" a="1"/>
  <c r="G882" i="1" s="1"/>
  <c r="D882" i="1" s="1"/>
  <c r="I881" i="1" a="1"/>
  <c r="I881" i="1" s="1"/>
  <c r="D881" i="1" s="1"/>
  <c r="H881" i="1" a="1"/>
  <c r="H881" i="1"/>
  <c r="G881" i="1" a="1"/>
  <c r="G881" i="1"/>
  <c r="I880" i="1" a="1"/>
  <c r="I880" i="1"/>
  <c r="H880" i="1" a="1"/>
  <c r="H880" i="1" s="1"/>
  <c r="G880" i="1" a="1"/>
  <c r="G880" i="1"/>
  <c r="I879" i="1" a="1"/>
  <c r="I879" i="1"/>
  <c r="H879" i="1" a="1"/>
  <c r="H879" i="1" s="1"/>
  <c r="G879" i="1" a="1"/>
  <c r="G879" i="1"/>
  <c r="I878" i="1" a="1"/>
  <c r="I878" i="1" s="1"/>
  <c r="H878" i="1" a="1"/>
  <c r="H878" i="1"/>
  <c r="G878" i="1" a="1"/>
  <c r="G878" i="1" s="1"/>
  <c r="I877" i="1" a="1"/>
  <c r="I877" i="1"/>
  <c r="H877" i="1" a="1"/>
  <c r="H877" i="1" s="1"/>
  <c r="G877" i="1" a="1"/>
  <c r="G877" i="1" s="1"/>
  <c r="I876" i="1" a="1"/>
  <c r="I876" i="1"/>
  <c r="H876" i="1" a="1"/>
  <c r="H876" i="1" s="1"/>
  <c r="G876" i="1" a="1"/>
  <c r="G876" i="1" s="1"/>
  <c r="D876" i="1" s="1"/>
  <c r="I875" i="1" a="1"/>
  <c r="I875" i="1"/>
  <c r="H875" i="1" a="1"/>
  <c r="H875" i="1"/>
  <c r="G875" i="1" a="1"/>
  <c r="G875" i="1" s="1"/>
  <c r="D875" i="1" s="1"/>
  <c r="I874" i="1" a="1"/>
  <c r="I874" i="1" s="1"/>
  <c r="D874" i="1" s="1"/>
  <c r="H874" i="1" a="1"/>
  <c r="H874" i="1"/>
  <c r="G874" i="1" a="1"/>
  <c r="G874" i="1"/>
  <c r="I873" i="1" a="1"/>
  <c r="I873" i="1" s="1"/>
  <c r="H873" i="1" a="1"/>
  <c r="H873" i="1"/>
  <c r="G873" i="1" a="1"/>
  <c r="G873" i="1"/>
  <c r="D873" i="1" s="1"/>
  <c r="I872" i="1" a="1"/>
  <c r="I872" i="1"/>
  <c r="H872" i="1" a="1"/>
  <c r="H872" i="1" s="1"/>
  <c r="G872" i="1" a="1"/>
  <c r="G872" i="1"/>
  <c r="D872" i="1"/>
  <c r="I871" i="1" a="1"/>
  <c r="I871" i="1" s="1"/>
  <c r="H871" i="1" a="1"/>
  <c r="H871" i="1" s="1"/>
  <c r="G871" i="1" a="1"/>
  <c r="G871" i="1"/>
  <c r="I870" i="1" a="1"/>
  <c r="I870" i="1"/>
  <c r="H870" i="1" a="1"/>
  <c r="H870" i="1" s="1"/>
  <c r="G870" i="1" a="1"/>
  <c r="G870" i="1" s="1"/>
  <c r="I869" i="1" a="1"/>
  <c r="I869" i="1"/>
  <c r="H869" i="1" a="1"/>
  <c r="H869" i="1"/>
  <c r="G869" i="1" a="1"/>
  <c r="G869" i="1" s="1"/>
  <c r="D869" i="1" s="1"/>
  <c r="I868" i="1" a="1"/>
  <c r="I868" i="1"/>
  <c r="H868" i="1" a="1"/>
  <c r="H868" i="1"/>
  <c r="G868" i="1" a="1"/>
  <c r="G868" i="1" s="1"/>
  <c r="D868" i="1" s="1"/>
  <c r="I867" i="1" a="1"/>
  <c r="I867" i="1"/>
  <c r="H867" i="1" a="1"/>
  <c r="H867" i="1"/>
  <c r="D867" i="1" s="1"/>
  <c r="G867" i="1" a="1"/>
  <c r="G867" i="1"/>
  <c r="I866" i="1" a="1"/>
  <c r="I866" i="1" s="1"/>
  <c r="H866" i="1" a="1"/>
  <c r="H866" i="1"/>
  <c r="G866" i="1" a="1"/>
  <c r="G866" i="1"/>
  <c r="D866" i="1" s="1"/>
  <c r="I865" i="1" a="1"/>
  <c r="I865" i="1" s="1"/>
  <c r="H865" i="1" a="1"/>
  <c r="H865" i="1"/>
  <c r="G865" i="1" a="1"/>
  <c r="G865" i="1"/>
  <c r="D865" i="1" s="1"/>
  <c r="I864" i="1" a="1"/>
  <c r="I864" i="1" s="1"/>
  <c r="D864" i="1" s="1"/>
  <c r="H864" i="1" a="1"/>
  <c r="H864" i="1" s="1"/>
  <c r="G864" i="1" a="1"/>
  <c r="G864" i="1"/>
  <c r="I863" i="1" a="1"/>
  <c r="I863" i="1"/>
  <c r="H863" i="1" a="1"/>
  <c r="H863" i="1" s="1"/>
  <c r="G863" i="1" a="1"/>
  <c r="G863" i="1"/>
  <c r="I862" i="1" a="1"/>
  <c r="I862" i="1" s="1"/>
  <c r="H862" i="1" a="1"/>
  <c r="H862" i="1"/>
  <c r="G862" i="1" a="1"/>
  <c r="G862" i="1" s="1"/>
  <c r="I861" i="1" a="1"/>
  <c r="I861" i="1"/>
  <c r="H861" i="1" a="1"/>
  <c r="H861" i="1"/>
  <c r="G861" i="1" a="1"/>
  <c r="G861" i="1" s="1"/>
  <c r="I860" i="1" a="1"/>
  <c r="I860" i="1"/>
  <c r="H860" i="1" a="1"/>
  <c r="H860" i="1"/>
  <c r="G860" i="1" a="1"/>
  <c r="G860" i="1"/>
  <c r="I859" i="1" a="1"/>
  <c r="I859" i="1"/>
  <c r="H859" i="1" a="1"/>
  <c r="H859" i="1"/>
  <c r="G859" i="1" a="1"/>
  <c r="G859" i="1"/>
  <c r="D859" i="1" s="1"/>
  <c r="I858" i="1" a="1"/>
  <c r="I858" i="1" s="1"/>
  <c r="H858" i="1" a="1"/>
  <c r="H858" i="1"/>
  <c r="G858" i="1" a="1"/>
  <c r="G858" i="1" s="1"/>
  <c r="D858" i="1" s="1"/>
  <c r="I857" i="1" a="1"/>
  <c r="I857" i="1" s="1"/>
  <c r="D857" i="1" s="1"/>
  <c r="H857" i="1" a="1"/>
  <c r="H857" i="1"/>
  <c r="G857" i="1" a="1"/>
  <c r="G857" i="1"/>
  <c r="I856" i="1" a="1"/>
  <c r="I856" i="1"/>
  <c r="H856" i="1" a="1"/>
  <c r="H856" i="1" s="1"/>
  <c r="D856" i="1" s="1"/>
  <c r="G856" i="1" a="1"/>
  <c r="G856" i="1"/>
  <c r="I855" i="1" a="1"/>
  <c r="I855" i="1"/>
  <c r="H855" i="1" a="1"/>
  <c r="H855" i="1" s="1"/>
  <c r="G855" i="1" a="1"/>
  <c r="G855" i="1"/>
  <c r="I854" i="1" a="1"/>
  <c r="I854" i="1"/>
  <c r="H854" i="1" a="1"/>
  <c r="H854" i="1" s="1"/>
  <c r="G854" i="1" a="1"/>
  <c r="G854" i="1" s="1"/>
  <c r="I853" i="1" a="1"/>
  <c r="I853" i="1"/>
  <c r="H853" i="1" a="1"/>
  <c r="H853" i="1" s="1"/>
  <c r="G853" i="1" a="1"/>
  <c r="G853" i="1" s="1"/>
  <c r="I852" i="1" a="1"/>
  <c r="I852" i="1"/>
  <c r="H852" i="1" a="1"/>
  <c r="H852" i="1" s="1"/>
  <c r="G852" i="1" a="1"/>
  <c r="G852" i="1" s="1"/>
  <c r="D852" i="1" s="1"/>
  <c r="I851" i="1" a="1"/>
  <c r="I851" i="1"/>
  <c r="H851" i="1" a="1"/>
  <c r="H851" i="1"/>
  <c r="G851" i="1" a="1"/>
  <c r="G851" i="1" s="1"/>
  <c r="D851" i="1" s="1"/>
  <c r="I850" i="1" a="1"/>
  <c r="I850" i="1" s="1"/>
  <c r="H850" i="1" a="1"/>
  <c r="H850" i="1"/>
  <c r="G850" i="1" a="1"/>
  <c r="G850" i="1" s="1"/>
  <c r="D850" i="1"/>
  <c r="I849" i="1" a="1"/>
  <c r="I849" i="1" s="1"/>
  <c r="D849" i="1" s="1"/>
  <c r="H849" i="1" a="1"/>
  <c r="H849" i="1"/>
  <c r="G849" i="1" a="1"/>
  <c r="G849" i="1"/>
  <c r="I848" i="1" a="1"/>
  <c r="I848" i="1"/>
  <c r="H848" i="1" a="1"/>
  <c r="H848" i="1" s="1"/>
  <c r="D848" i="1" s="1"/>
  <c r="G848" i="1" a="1"/>
  <c r="G848" i="1"/>
  <c r="I847" i="1" a="1"/>
  <c r="I847" i="1"/>
  <c r="H847" i="1" a="1"/>
  <c r="H847" i="1" s="1"/>
  <c r="G847" i="1" a="1"/>
  <c r="G847" i="1"/>
  <c r="I846" i="1" a="1"/>
  <c r="I846" i="1"/>
  <c r="H846" i="1" a="1"/>
  <c r="H846" i="1"/>
  <c r="G846" i="1" a="1"/>
  <c r="G846" i="1" s="1"/>
  <c r="I845" i="1" a="1"/>
  <c r="I845" i="1"/>
  <c r="H845" i="1" a="1"/>
  <c r="H845" i="1"/>
  <c r="G845" i="1" a="1"/>
  <c r="G845" i="1" s="1"/>
  <c r="D845" i="1" s="1"/>
  <c r="I844" i="1" a="1"/>
  <c r="I844" i="1"/>
  <c r="H844" i="1" a="1"/>
  <c r="H844" i="1" s="1"/>
  <c r="G844" i="1" a="1"/>
  <c r="G844" i="1"/>
  <c r="D844" i="1" s="1"/>
  <c r="I843" i="1" a="1"/>
  <c r="I843" i="1"/>
  <c r="H843" i="1" a="1"/>
  <c r="H843" i="1"/>
  <c r="G843" i="1" a="1"/>
  <c r="G843" i="1" s="1"/>
  <c r="D843" i="1" s="1"/>
  <c r="I842" i="1" a="1"/>
  <c r="I842" i="1" s="1"/>
  <c r="D842" i="1" s="1"/>
  <c r="H842" i="1" a="1"/>
  <c r="H842" i="1"/>
  <c r="G842" i="1" a="1"/>
  <c r="G842" i="1"/>
  <c r="I841" i="1" a="1"/>
  <c r="I841" i="1" s="1"/>
  <c r="H841" i="1" a="1"/>
  <c r="H841" i="1"/>
  <c r="G841" i="1" a="1"/>
  <c r="G841" i="1"/>
  <c r="D841" i="1" s="1"/>
  <c r="I840" i="1" a="1"/>
  <c r="I840" i="1"/>
  <c r="H840" i="1" a="1"/>
  <c r="H840" i="1" s="1"/>
  <c r="G840" i="1" a="1"/>
  <c r="G840" i="1"/>
  <c r="D840" i="1"/>
  <c r="I839" i="1" a="1"/>
  <c r="I839" i="1" s="1"/>
  <c r="H839" i="1" a="1"/>
  <c r="H839" i="1" s="1"/>
  <c r="G839" i="1" a="1"/>
  <c r="G839" i="1"/>
  <c r="I838" i="1" a="1"/>
  <c r="I838" i="1" s="1"/>
  <c r="H838" i="1" a="1"/>
  <c r="H838" i="1" s="1"/>
  <c r="G838" i="1" a="1"/>
  <c r="G838" i="1" s="1"/>
  <c r="I837" i="1" a="1"/>
  <c r="I837" i="1"/>
  <c r="H837" i="1" a="1"/>
  <c r="H837" i="1"/>
  <c r="G837" i="1" a="1"/>
  <c r="G837" i="1" s="1"/>
  <c r="I836" i="1" a="1"/>
  <c r="I836" i="1"/>
  <c r="H836" i="1" a="1"/>
  <c r="H836" i="1"/>
  <c r="G836" i="1" a="1"/>
  <c r="G836" i="1" s="1"/>
  <c r="D836" i="1" s="1"/>
  <c r="I835" i="1" a="1"/>
  <c r="I835" i="1"/>
  <c r="H835" i="1" a="1"/>
  <c r="H835" i="1"/>
  <c r="D835" i="1" s="1"/>
  <c r="G835" i="1" a="1"/>
  <c r="G835" i="1"/>
  <c r="I834" i="1" a="1"/>
  <c r="I834" i="1" s="1"/>
  <c r="H834" i="1" a="1"/>
  <c r="H834" i="1"/>
  <c r="G834" i="1" a="1"/>
  <c r="G834" i="1" s="1"/>
  <c r="D834" i="1" s="1"/>
  <c r="I833" i="1" a="1"/>
  <c r="I833" i="1" s="1"/>
  <c r="H833" i="1" a="1"/>
  <c r="H833" i="1"/>
  <c r="G833" i="1" a="1"/>
  <c r="G833" i="1"/>
  <c r="D833" i="1"/>
  <c r="I832" i="1" a="1"/>
  <c r="I832" i="1" s="1"/>
  <c r="D832" i="1" s="1"/>
  <c r="H832" i="1" a="1"/>
  <c r="H832" i="1" s="1"/>
  <c r="G832" i="1" a="1"/>
  <c r="G832" i="1"/>
  <c r="I831" i="1" a="1"/>
  <c r="I831" i="1"/>
  <c r="H831" i="1" a="1"/>
  <c r="H831" i="1" s="1"/>
  <c r="D831" i="1" s="1"/>
  <c r="G831" i="1" a="1"/>
  <c r="G831" i="1"/>
  <c r="I830" i="1" a="1"/>
  <c r="I830" i="1" s="1"/>
  <c r="H830" i="1" a="1"/>
  <c r="H830" i="1" s="1"/>
  <c r="G830" i="1" a="1"/>
  <c r="G830" i="1" s="1"/>
  <c r="I829" i="1" a="1"/>
  <c r="I829" i="1"/>
  <c r="H829" i="1" a="1"/>
  <c r="H829" i="1"/>
  <c r="G829" i="1" a="1"/>
  <c r="G829" i="1" s="1"/>
  <c r="I828" i="1" a="1"/>
  <c r="I828" i="1"/>
  <c r="H828" i="1" a="1"/>
  <c r="H828" i="1"/>
  <c r="G828" i="1" a="1"/>
  <c r="G828" i="1"/>
  <c r="I827" i="1" a="1"/>
  <c r="I827" i="1"/>
  <c r="H827" i="1" a="1"/>
  <c r="H827" i="1"/>
  <c r="G827" i="1" a="1"/>
  <c r="G827" i="1"/>
  <c r="D827" i="1" s="1"/>
  <c r="I826" i="1" a="1"/>
  <c r="I826" i="1" s="1"/>
  <c r="H826" i="1" a="1"/>
  <c r="H826" i="1"/>
  <c r="G826" i="1" a="1"/>
  <c r="G826" i="1" s="1"/>
  <c r="D826" i="1" s="1"/>
  <c r="I825" i="1" a="1"/>
  <c r="I825" i="1" s="1"/>
  <c r="H825" i="1" a="1"/>
  <c r="H825" i="1"/>
  <c r="G825" i="1" a="1"/>
  <c r="G825" i="1"/>
  <c r="D825" i="1"/>
  <c r="I824" i="1" a="1"/>
  <c r="I824" i="1" s="1"/>
  <c r="H824" i="1" a="1"/>
  <c r="H824" i="1" s="1"/>
  <c r="G824" i="1" a="1"/>
  <c r="G824" i="1"/>
  <c r="I823" i="1" a="1"/>
  <c r="I823" i="1"/>
  <c r="H823" i="1" a="1"/>
  <c r="H823" i="1" s="1"/>
  <c r="D823" i="1" s="1"/>
  <c r="G823" i="1" a="1"/>
  <c r="G823" i="1"/>
  <c r="I822" i="1" a="1"/>
  <c r="I822" i="1"/>
  <c r="H822" i="1" a="1"/>
  <c r="H822" i="1" s="1"/>
  <c r="G822" i="1" a="1"/>
  <c r="G822" i="1" s="1"/>
  <c r="D822" i="1" s="1"/>
  <c r="I821" i="1" a="1"/>
  <c r="I821" i="1"/>
  <c r="H821" i="1" a="1"/>
  <c r="H821" i="1" s="1"/>
  <c r="G821" i="1" a="1"/>
  <c r="G821" i="1" s="1"/>
  <c r="I820" i="1" a="1"/>
  <c r="I820" i="1"/>
  <c r="H820" i="1" a="1"/>
  <c r="H820" i="1" s="1"/>
  <c r="G820" i="1" a="1"/>
  <c r="G820" i="1"/>
  <c r="I819" i="1" a="1"/>
  <c r="I819" i="1"/>
  <c r="H819" i="1" a="1"/>
  <c r="H819" i="1"/>
  <c r="G819" i="1" a="1"/>
  <c r="G819" i="1" s="1"/>
  <c r="D819" i="1" s="1"/>
  <c r="I818" i="1" a="1"/>
  <c r="I818" i="1" s="1"/>
  <c r="D818" i="1" s="1"/>
  <c r="H818" i="1" a="1"/>
  <c r="H818" i="1"/>
  <c r="G818" i="1" a="1"/>
  <c r="G818" i="1" s="1"/>
  <c r="I817" i="1" a="1"/>
  <c r="I817" i="1" s="1"/>
  <c r="D817" i="1" s="1"/>
  <c r="H817" i="1" a="1"/>
  <c r="H817" i="1"/>
  <c r="G817" i="1" a="1"/>
  <c r="G817" i="1"/>
  <c r="I816" i="1" a="1"/>
  <c r="I816" i="1"/>
  <c r="H816" i="1" a="1"/>
  <c r="H816" i="1" s="1"/>
  <c r="D816" i="1" s="1"/>
  <c r="G816" i="1" a="1"/>
  <c r="G816" i="1"/>
  <c r="I815" i="1" a="1"/>
  <c r="I815" i="1"/>
  <c r="H815" i="1" a="1"/>
  <c r="H815" i="1" s="1"/>
  <c r="G815" i="1" a="1"/>
  <c r="G815" i="1"/>
  <c r="I814" i="1" a="1"/>
  <c r="I814" i="1"/>
  <c r="H814" i="1" a="1"/>
  <c r="H814" i="1"/>
  <c r="G814" i="1" a="1"/>
  <c r="G814" i="1" s="1"/>
  <c r="I813" i="1" a="1"/>
  <c r="I813" i="1"/>
  <c r="H813" i="1" a="1"/>
  <c r="H813" i="1"/>
  <c r="G813" i="1" a="1"/>
  <c r="G813" i="1" s="1"/>
  <c r="D813" i="1" s="1"/>
  <c r="I812" i="1" a="1"/>
  <c r="I812" i="1"/>
  <c r="H812" i="1" a="1"/>
  <c r="H812" i="1" s="1"/>
  <c r="G812" i="1" a="1"/>
  <c r="G812" i="1" s="1"/>
  <c r="D812" i="1" s="1"/>
  <c r="I811" i="1" a="1"/>
  <c r="I811" i="1"/>
  <c r="H811" i="1" a="1"/>
  <c r="H811" i="1"/>
  <c r="G811" i="1" a="1"/>
  <c r="G811" i="1" s="1"/>
  <c r="D811" i="1"/>
  <c r="I810" i="1" a="1"/>
  <c r="I810" i="1" s="1"/>
  <c r="D810" i="1" s="1"/>
  <c r="H810" i="1" a="1"/>
  <c r="H810" i="1"/>
  <c r="G810" i="1" a="1"/>
  <c r="G810" i="1"/>
  <c r="I809" i="1" a="1"/>
  <c r="I809" i="1" s="1"/>
  <c r="H809" i="1" a="1"/>
  <c r="H809" i="1"/>
  <c r="G809" i="1" a="1"/>
  <c r="G809" i="1"/>
  <c r="D809" i="1" s="1"/>
  <c r="I808" i="1" a="1"/>
  <c r="I808" i="1"/>
  <c r="H808" i="1" a="1"/>
  <c r="H808" i="1" s="1"/>
  <c r="G808" i="1" a="1"/>
  <c r="G808" i="1"/>
  <c r="D808" i="1"/>
  <c r="I807" i="1" a="1"/>
  <c r="I807" i="1" s="1"/>
  <c r="H807" i="1" a="1"/>
  <c r="H807" i="1" s="1"/>
  <c r="G807" i="1" a="1"/>
  <c r="G807" i="1"/>
  <c r="I806" i="1" a="1"/>
  <c r="I806" i="1" s="1"/>
  <c r="H806" i="1" a="1"/>
  <c r="H806" i="1"/>
  <c r="G806" i="1" a="1"/>
  <c r="G806" i="1" s="1"/>
  <c r="I805" i="1" a="1"/>
  <c r="I805" i="1"/>
  <c r="H805" i="1" a="1"/>
  <c r="H805" i="1"/>
  <c r="G805" i="1" a="1"/>
  <c r="G805" i="1" s="1"/>
  <c r="I804" i="1" a="1"/>
  <c r="I804" i="1"/>
  <c r="H804" i="1" a="1"/>
  <c r="H804" i="1"/>
  <c r="G804" i="1" a="1"/>
  <c r="G804" i="1" s="1"/>
  <c r="D804" i="1" s="1"/>
  <c r="I803" i="1" a="1"/>
  <c r="I803" i="1"/>
  <c r="H803" i="1" a="1"/>
  <c r="H803" i="1"/>
  <c r="D803" i="1" s="1"/>
  <c r="G803" i="1" a="1"/>
  <c r="G803" i="1"/>
  <c r="I802" i="1" a="1"/>
  <c r="I802" i="1" s="1"/>
  <c r="H802" i="1" a="1"/>
  <c r="H802" i="1"/>
  <c r="G802" i="1" a="1"/>
  <c r="G802" i="1" s="1"/>
  <c r="D802" i="1" s="1"/>
  <c r="I801" i="1" a="1"/>
  <c r="I801" i="1" s="1"/>
  <c r="H801" i="1" a="1"/>
  <c r="H801" i="1"/>
  <c r="G801" i="1" a="1"/>
  <c r="G801" i="1"/>
  <c r="D801" i="1" s="1"/>
  <c r="I800" i="1" a="1"/>
  <c r="I800" i="1" s="1"/>
  <c r="D800" i="1" s="1"/>
  <c r="H800" i="1" a="1"/>
  <c r="H800" i="1" s="1"/>
  <c r="G800" i="1" a="1"/>
  <c r="G800" i="1"/>
  <c r="I799" i="1" a="1"/>
  <c r="I799" i="1"/>
  <c r="H799" i="1" a="1"/>
  <c r="H799" i="1" s="1"/>
  <c r="D799" i="1" s="1"/>
  <c r="G799" i="1" a="1"/>
  <c r="G799" i="1"/>
  <c r="I798" i="1" a="1"/>
  <c r="I798" i="1" s="1"/>
  <c r="H798" i="1" a="1"/>
  <c r="H798" i="1" s="1"/>
  <c r="G798" i="1" a="1"/>
  <c r="G798" i="1" s="1"/>
  <c r="I797" i="1" a="1"/>
  <c r="I797" i="1"/>
  <c r="H797" i="1" a="1"/>
  <c r="H797" i="1"/>
  <c r="G797" i="1" a="1"/>
  <c r="G797" i="1" s="1"/>
  <c r="I796" i="1" a="1"/>
  <c r="I796" i="1"/>
  <c r="H796" i="1" a="1"/>
  <c r="H796" i="1"/>
  <c r="G796" i="1" a="1"/>
  <c r="G796" i="1"/>
  <c r="I795" i="1" a="1"/>
  <c r="I795" i="1"/>
  <c r="H795" i="1" a="1"/>
  <c r="H795" i="1"/>
  <c r="G795" i="1" a="1"/>
  <c r="G795" i="1"/>
  <c r="D795" i="1" s="1"/>
  <c r="I794" i="1" a="1"/>
  <c r="I794" i="1" s="1"/>
  <c r="H794" i="1" a="1"/>
  <c r="H794" i="1"/>
  <c r="G794" i="1" a="1"/>
  <c r="G794" i="1"/>
  <c r="D794" i="1" s="1"/>
  <c r="I793" i="1" a="1"/>
  <c r="I793" i="1" s="1"/>
  <c r="H793" i="1" a="1"/>
  <c r="H793" i="1"/>
  <c r="G793" i="1" a="1"/>
  <c r="G793" i="1"/>
  <c r="D793" i="1"/>
  <c r="I792" i="1" a="1"/>
  <c r="I792" i="1" s="1"/>
  <c r="H792" i="1" a="1"/>
  <c r="H792" i="1" s="1"/>
  <c r="G792" i="1" a="1"/>
  <c r="G792" i="1"/>
  <c r="I791" i="1" a="1"/>
  <c r="I791" i="1"/>
  <c r="H791" i="1" a="1"/>
  <c r="H791" i="1" s="1"/>
  <c r="G791" i="1" a="1"/>
  <c r="G791" i="1"/>
  <c r="I790" i="1" a="1"/>
  <c r="I790" i="1"/>
  <c r="H790" i="1" a="1"/>
  <c r="H790" i="1" s="1"/>
  <c r="G790" i="1" a="1"/>
  <c r="G790" i="1" s="1"/>
  <c r="D790" i="1" s="1"/>
  <c r="I789" i="1" a="1"/>
  <c r="I789" i="1"/>
  <c r="H789" i="1" a="1"/>
  <c r="H789" i="1" s="1"/>
  <c r="G789" i="1" a="1"/>
  <c r="G789" i="1" s="1"/>
  <c r="I788" i="1" a="1"/>
  <c r="I788" i="1"/>
  <c r="H788" i="1" a="1"/>
  <c r="H788" i="1"/>
  <c r="G788" i="1" a="1"/>
  <c r="G788" i="1" s="1"/>
  <c r="D788" i="1" s="1"/>
  <c r="I787" i="1" a="1"/>
  <c r="I787" i="1"/>
  <c r="H787" i="1" a="1"/>
  <c r="H787" i="1"/>
  <c r="G787" i="1" a="1"/>
  <c r="G787" i="1"/>
  <c r="D787" i="1" s="1"/>
  <c r="I786" i="1" a="1"/>
  <c r="I786" i="1" s="1"/>
  <c r="D786" i="1" s="1"/>
  <c r="H786" i="1" a="1"/>
  <c r="H786" i="1"/>
  <c r="G786" i="1" a="1"/>
  <c r="G786" i="1" s="1"/>
  <c r="I785" i="1" a="1"/>
  <c r="I785" i="1" s="1"/>
  <c r="D785" i="1" s="1"/>
  <c r="H785" i="1" a="1"/>
  <c r="H785" i="1"/>
  <c r="G785" i="1" a="1"/>
  <c r="G785" i="1"/>
  <c r="I784" i="1" a="1"/>
  <c r="I784" i="1"/>
  <c r="H784" i="1" a="1"/>
  <c r="H784" i="1" s="1"/>
  <c r="D784" i="1" s="1"/>
  <c r="G784" i="1" a="1"/>
  <c r="G784" i="1"/>
  <c r="I783" i="1" a="1"/>
  <c r="I783" i="1"/>
  <c r="H783" i="1" a="1"/>
  <c r="H783" i="1" s="1"/>
  <c r="G783" i="1" a="1"/>
  <c r="G783" i="1"/>
  <c r="I782" i="1" a="1"/>
  <c r="I782" i="1"/>
  <c r="H782" i="1" a="1"/>
  <c r="H782" i="1"/>
  <c r="G782" i="1" a="1"/>
  <c r="G782" i="1" s="1"/>
  <c r="I781" i="1" a="1"/>
  <c r="I781" i="1"/>
  <c r="H781" i="1" a="1"/>
  <c r="H781" i="1"/>
  <c r="G781" i="1" a="1"/>
  <c r="G781" i="1" s="1"/>
  <c r="D781" i="1" s="1"/>
  <c r="I780" i="1" a="1"/>
  <c r="I780" i="1"/>
  <c r="H780" i="1" a="1"/>
  <c r="H780" i="1"/>
  <c r="G780" i="1" a="1"/>
  <c r="G780" i="1" s="1"/>
  <c r="D780" i="1" s="1"/>
  <c r="I779" i="1" a="1"/>
  <c r="I779" i="1"/>
  <c r="H779" i="1" a="1"/>
  <c r="H779" i="1"/>
  <c r="G779" i="1" a="1"/>
  <c r="G779" i="1" s="1"/>
  <c r="D779" i="1" s="1"/>
  <c r="I778" i="1" a="1"/>
  <c r="I778" i="1" s="1"/>
  <c r="H778" i="1" a="1"/>
  <c r="H778" i="1"/>
  <c r="G778" i="1" a="1"/>
  <c r="G778" i="1" s="1"/>
  <c r="D778" i="1" s="1"/>
  <c r="I777" i="1" a="1"/>
  <c r="I777" i="1" s="1"/>
  <c r="H777" i="1" a="1"/>
  <c r="H777" i="1"/>
  <c r="G777" i="1" a="1"/>
  <c r="G777" i="1"/>
  <c r="I776" i="1" a="1"/>
  <c r="I776" i="1" s="1"/>
  <c r="H776" i="1" a="1"/>
  <c r="H776" i="1" s="1"/>
  <c r="G776" i="1" a="1"/>
  <c r="G776" i="1"/>
  <c r="I775" i="1" a="1"/>
  <c r="I775" i="1" s="1"/>
  <c r="H775" i="1" a="1"/>
  <c r="H775" i="1"/>
  <c r="D775" i="1" s="1"/>
  <c r="G775" i="1" a="1"/>
  <c r="G775" i="1"/>
  <c r="I774" i="1" a="1"/>
  <c r="I774" i="1"/>
  <c r="H774" i="1" a="1"/>
  <c r="H774" i="1" s="1"/>
  <c r="G774" i="1" a="1"/>
  <c r="G774" i="1" s="1"/>
  <c r="D774" i="1" s="1"/>
  <c r="I773" i="1" a="1"/>
  <c r="I773" i="1"/>
  <c r="H773" i="1" a="1"/>
  <c r="H773" i="1" s="1"/>
  <c r="G773" i="1" a="1"/>
  <c r="G773" i="1"/>
  <c r="I772" i="1" a="1"/>
  <c r="I772" i="1"/>
  <c r="H772" i="1" a="1"/>
  <c r="H772" i="1"/>
  <c r="G772" i="1" a="1"/>
  <c r="G772" i="1" s="1"/>
  <c r="D772" i="1" s="1"/>
  <c r="I771" i="1" a="1"/>
  <c r="I771" i="1"/>
  <c r="H771" i="1" a="1"/>
  <c r="H771" i="1"/>
  <c r="G771" i="1" a="1"/>
  <c r="G771" i="1"/>
  <c r="D771" i="1" s="1"/>
  <c r="I770" i="1" a="1"/>
  <c r="I770" i="1" s="1"/>
  <c r="H770" i="1" a="1"/>
  <c r="H770" i="1"/>
  <c r="G770" i="1" a="1"/>
  <c r="G770" i="1"/>
  <c r="D770" i="1" s="1"/>
  <c r="I769" i="1" a="1"/>
  <c r="I769" i="1" s="1"/>
  <c r="H769" i="1" a="1"/>
  <c r="H769" i="1"/>
  <c r="G769" i="1" a="1"/>
  <c r="G769" i="1"/>
  <c r="D769" i="1" s="1"/>
  <c r="I768" i="1" a="1"/>
  <c r="I768" i="1" s="1"/>
  <c r="D768" i="1" s="1"/>
  <c r="H768" i="1" a="1"/>
  <c r="H768" i="1" s="1"/>
  <c r="G768" i="1" a="1"/>
  <c r="G768" i="1"/>
  <c r="I767" i="1" a="1"/>
  <c r="I767" i="1" s="1"/>
  <c r="H767" i="1" a="1"/>
  <c r="H767" i="1"/>
  <c r="G767" i="1" a="1"/>
  <c r="G767" i="1"/>
  <c r="I766" i="1" a="1"/>
  <c r="I766" i="1" s="1"/>
  <c r="H766" i="1" a="1"/>
  <c r="H766" i="1"/>
  <c r="G766" i="1" a="1"/>
  <c r="G766" i="1" s="1"/>
  <c r="I765" i="1" a="1"/>
  <c r="I765" i="1"/>
  <c r="H765" i="1" a="1"/>
  <c r="H765" i="1"/>
  <c r="G765" i="1" a="1"/>
  <c r="G765" i="1"/>
  <c r="D765" i="1" s="1"/>
  <c r="I764" i="1" a="1"/>
  <c r="I764" i="1"/>
  <c r="H764" i="1" a="1"/>
  <c r="H764" i="1" s="1"/>
  <c r="G764" i="1" a="1"/>
  <c r="G764" i="1"/>
  <c r="I763" i="1" a="1"/>
  <c r="I763" i="1"/>
  <c r="H763" i="1" a="1"/>
  <c r="H763" i="1"/>
  <c r="D763" i="1" s="1"/>
  <c r="G763" i="1" a="1"/>
  <c r="G763" i="1"/>
  <c r="I762" i="1" a="1"/>
  <c r="I762" i="1" s="1"/>
  <c r="H762" i="1" a="1"/>
  <c r="H762" i="1"/>
  <c r="G762" i="1" a="1"/>
  <c r="G762" i="1"/>
  <c r="D762" i="1" s="1"/>
  <c r="I761" i="1" a="1"/>
  <c r="I761" i="1"/>
  <c r="H761" i="1" a="1"/>
  <c r="H761" i="1"/>
  <c r="G761" i="1" a="1"/>
  <c r="G761" i="1"/>
  <c r="D761" i="1"/>
  <c r="I760" i="1" a="1"/>
  <c r="I760" i="1"/>
  <c r="H760" i="1" a="1"/>
  <c r="H760" i="1" s="1"/>
  <c r="G760" i="1" a="1"/>
  <c r="G760" i="1"/>
  <c r="D760" i="1"/>
  <c r="I759" i="1" a="1"/>
  <c r="I759" i="1"/>
  <c r="H759" i="1" a="1"/>
  <c r="H759" i="1"/>
  <c r="G759" i="1" a="1"/>
  <c r="G759" i="1"/>
  <c r="I758" i="1" a="1"/>
  <c r="I758" i="1" s="1"/>
  <c r="H758" i="1" a="1"/>
  <c r="H758" i="1"/>
  <c r="G758" i="1" a="1"/>
  <c r="G758" i="1" s="1"/>
  <c r="I757" i="1" a="1"/>
  <c r="I757" i="1"/>
  <c r="H757" i="1" a="1"/>
  <c r="H757" i="1"/>
  <c r="G757" i="1" a="1"/>
  <c r="G757" i="1" s="1"/>
  <c r="D757" i="1" s="1"/>
  <c r="I756" i="1" a="1"/>
  <c r="I756" i="1"/>
  <c r="H756" i="1" a="1"/>
  <c r="H756" i="1"/>
  <c r="G756" i="1" a="1"/>
  <c r="G756" i="1"/>
  <c r="D756" i="1" s="1"/>
  <c r="I755" i="1" a="1"/>
  <c r="I755" i="1"/>
  <c r="H755" i="1" a="1"/>
  <c r="H755" i="1"/>
  <c r="G755" i="1" a="1"/>
  <c r="G755" i="1" s="1"/>
  <c r="D755" i="1"/>
  <c r="I754" i="1" a="1"/>
  <c r="I754" i="1" s="1"/>
  <c r="D754" i="1" s="1"/>
  <c r="H754" i="1" a="1"/>
  <c r="H754" i="1"/>
  <c r="G754" i="1" a="1"/>
  <c r="G754" i="1"/>
  <c r="I753" i="1" a="1"/>
  <c r="I753" i="1"/>
  <c r="D753" i="1" s="1"/>
  <c r="H753" i="1" a="1"/>
  <c r="H753" i="1"/>
  <c r="G753" i="1" a="1"/>
  <c r="G753" i="1"/>
  <c r="I752" i="1" a="1"/>
  <c r="I752" i="1" s="1"/>
  <c r="H752" i="1" a="1"/>
  <c r="H752" i="1" s="1"/>
  <c r="G752" i="1" a="1"/>
  <c r="G752" i="1"/>
  <c r="D752" i="1"/>
  <c r="I751" i="1" a="1"/>
  <c r="I751" i="1"/>
  <c r="H751" i="1" a="1"/>
  <c r="H751" i="1" s="1"/>
  <c r="D751" i="1" s="1"/>
  <c r="G751" i="1" a="1"/>
  <c r="G751" i="1"/>
  <c r="I750" i="1" a="1"/>
  <c r="I750" i="1" s="1"/>
  <c r="H750" i="1" a="1"/>
  <c r="H750" i="1"/>
  <c r="G750" i="1" a="1"/>
  <c r="G750" i="1" s="1"/>
  <c r="I749" i="1" a="1"/>
  <c r="I749" i="1"/>
  <c r="H749" i="1" a="1"/>
  <c r="H749" i="1"/>
  <c r="G749" i="1" a="1"/>
  <c r="G749" i="1" s="1"/>
  <c r="I748" i="1" a="1"/>
  <c r="I748" i="1"/>
  <c r="H748" i="1" a="1"/>
  <c r="H748" i="1"/>
  <c r="G748" i="1" a="1"/>
  <c r="G748" i="1"/>
  <c r="D748" i="1"/>
  <c r="I747" i="1" a="1"/>
  <c r="I747" i="1"/>
  <c r="H747" i="1" a="1"/>
  <c r="H747" i="1"/>
  <c r="G747" i="1" a="1"/>
  <c r="G747" i="1"/>
  <c r="D747" i="1"/>
  <c r="I746" i="1" a="1"/>
  <c r="I746" i="1" s="1"/>
  <c r="H746" i="1" a="1"/>
  <c r="H746" i="1"/>
  <c r="G746" i="1" a="1"/>
  <c r="G746" i="1" s="1"/>
  <c r="D746" i="1" s="1"/>
  <c r="I745" i="1" a="1"/>
  <c r="I745" i="1"/>
  <c r="H745" i="1" a="1"/>
  <c r="H745" i="1"/>
  <c r="G745" i="1" a="1"/>
  <c r="G745" i="1"/>
  <c r="D745" i="1" s="1"/>
  <c r="I744" i="1" a="1"/>
  <c r="I744" i="1" s="1"/>
  <c r="H744" i="1" a="1"/>
  <c r="H744" i="1" s="1"/>
  <c r="G744" i="1" a="1"/>
  <c r="G744" i="1"/>
  <c r="I743" i="1" a="1"/>
  <c r="I743" i="1" s="1"/>
  <c r="H743" i="1" a="1"/>
  <c r="H743" i="1" s="1"/>
  <c r="D743" i="1" s="1"/>
  <c r="G743" i="1" a="1"/>
  <c r="G743" i="1"/>
  <c r="I742" i="1" a="1"/>
  <c r="I742" i="1"/>
  <c r="H742" i="1" a="1"/>
  <c r="H742" i="1" s="1"/>
  <c r="G742" i="1" a="1"/>
  <c r="G742" i="1" s="1"/>
  <c r="D742" i="1" s="1"/>
  <c r="I741" i="1" a="1"/>
  <c r="I741" i="1"/>
  <c r="H741" i="1" a="1"/>
  <c r="H741" i="1" s="1"/>
  <c r="G741" i="1" a="1"/>
  <c r="G741" i="1"/>
  <c r="I740" i="1" a="1"/>
  <c r="I740" i="1"/>
  <c r="H740" i="1" a="1"/>
  <c r="H740" i="1" s="1"/>
  <c r="G740" i="1" a="1"/>
  <c r="G740" i="1" s="1"/>
  <c r="I739" i="1" a="1"/>
  <c r="I739" i="1"/>
  <c r="H739" i="1" a="1"/>
  <c r="H739" i="1"/>
  <c r="G739" i="1" a="1"/>
  <c r="G739" i="1"/>
  <c r="D739" i="1" s="1"/>
  <c r="I738" i="1" a="1"/>
  <c r="I738" i="1" s="1"/>
  <c r="H738" i="1" a="1"/>
  <c r="H738" i="1"/>
  <c r="G738" i="1" a="1"/>
  <c r="G738" i="1" s="1"/>
  <c r="D738" i="1" s="1"/>
  <c r="I737" i="1" a="1"/>
  <c r="I737" i="1" s="1"/>
  <c r="H737" i="1" a="1"/>
  <c r="H737" i="1"/>
  <c r="G737" i="1" a="1"/>
  <c r="G737" i="1"/>
  <c r="D737" i="1" s="1"/>
  <c r="I736" i="1" a="1"/>
  <c r="I736" i="1"/>
  <c r="D736" i="1" s="1"/>
  <c r="H736" i="1" a="1"/>
  <c r="H736" i="1" s="1"/>
  <c r="G736" i="1" a="1"/>
  <c r="G736" i="1"/>
  <c r="I735" i="1" a="1"/>
  <c r="I735" i="1"/>
  <c r="H735" i="1" a="1"/>
  <c r="H735" i="1" s="1"/>
  <c r="D735" i="1" s="1"/>
  <c r="G735" i="1" a="1"/>
  <c r="G735" i="1"/>
  <c r="I734" i="1" a="1"/>
  <c r="I734" i="1" s="1"/>
  <c r="H734" i="1" a="1"/>
  <c r="H734" i="1" s="1"/>
  <c r="G734" i="1" a="1"/>
  <c r="G734" i="1" s="1"/>
  <c r="I733" i="1" a="1"/>
  <c r="I733" i="1"/>
  <c r="H733" i="1" a="1"/>
  <c r="H733" i="1"/>
  <c r="G733" i="1" a="1"/>
  <c r="G733" i="1"/>
  <c r="D733" i="1" s="1"/>
  <c r="I732" i="1" a="1"/>
  <c r="I732" i="1"/>
  <c r="H732" i="1" a="1"/>
  <c r="H732" i="1" s="1"/>
  <c r="G732" i="1" a="1"/>
  <c r="G732" i="1"/>
  <c r="D732" i="1" s="1"/>
  <c r="I731" i="1" a="1"/>
  <c r="I731" i="1"/>
  <c r="H731" i="1" a="1"/>
  <c r="H731" i="1"/>
  <c r="D731" i="1" s="1"/>
  <c r="G731" i="1" a="1"/>
  <c r="G731" i="1"/>
  <c r="I730" i="1" a="1"/>
  <c r="I730" i="1" s="1"/>
  <c r="H730" i="1" a="1"/>
  <c r="H730" i="1"/>
  <c r="G730" i="1" a="1"/>
  <c r="G730" i="1" s="1"/>
  <c r="D730" i="1" s="1"/>
  <c r="I729" i="1" a="1"/>
  <c r="I729" i="1"/>
  <c r="H729" i="1" a="1"/>
  <c r="H729" i="1"/>
  <c r="G729" i="1" a="1"/>
  <c r="G729" i="1"/>
  <c r="D729" i="1"/>
  <c r="I728" i="1" a="1"/>
  <c r="I728" i="1"/>
  <c r="H728" i="1" a="1"/>
  <c r="H728" i="1" s="1"/>
  <c r="G728" i="1" a="1"/>
  <c r="G728" i="1"/>
  <c r="D728" i="1"/>
  <c r="I727" i="1" a="1"/>
  <c r="I727" i="1"/>
  <c r="H727" i="1" a="1"/>
  <c r="H727" i="1"/>
  <c r="G727" i="1" a="1"/>
  <c r="G727" i="1"/>
  <c r="I726" i="1" a="1"/>
  <c r="I726" i="1"/>
  <c r="H726" i="1" a="1"/>
  <c r="H726" i="1"/>
  <c r="G726" i="1" a="1"/>
  <c r="G726" i="1" s="1"/>
  <c r="I725" i="1" a="1"/>
  <c r="I725" i="1"/>
  <c r="H725" i="1" a="1"/>
  <c r="H725" i="1"/>
  <c r="G725" i="1" a="1"/>
  <c r="G725" i="1"/>
  <c r="D725" i="1" s="1"/>
  <c r="I724" i="1" a="1"/>
  <c r="I724" i="1"/>
  <c r="H724" i="1" a="1"/>
  <c r="H724" i="1"/>
  <c r="G724" i="1" a="1"/>
  <c r="G724" i="1"/>
  <c r="D724" i="1"/>
  <c r="I723" i="1" a="1"/>
  <c r="I723" i="1"/>
  <c r="H723" i="1" a="1"/>
  <c r="H723" i="1"/>
  <c r="G723" i="1" a="1"/>
  <c r="G723" i="1" s="1"/>
  <c r="D723" i="1" s="1"/>
  <c r="I722" i="1" a="1"/>
  <c r="I722" i="1" s="1"/>
  <c r="H722" i="1" a="1"/>
  <c r="H722" i="1"/>
  <c r="D722" i="1" s="1"/>
  <c r="G722" i="1" a="1"/>
  <c r="G722" i="1"/>
  <c r="I721" i="1" a="1"/>
  <c r="I721" i="1"/>
  <c r="H721" i="1" a="1"/>
  <c r="H721" i="1"/>
  <c r="G721" i="1" a="1"/>
  <c r="G721" i="1" s="1"/>
  <c r="I720" i="1" a="1"/>
  <c r="I720" i="1" s="1"/>
  <c r="H720" i="1" a="1"/>
  <c r="H720" i="1" s="1"/>
  <c r="D720" i="1" s="1"/>
  <c r="G720" i="1" a="1"/>
  <c r="G720" i="1"/>
  <c r="I719" i="1" a="1"/>
  <c r="I719" i="1"/>
  <c r="H719" i="1" a="1"/>
  <c r="H719" i="1" s="1"/>
  <c r="G719" i="1" a="1"/>
  <c r="G719" i="1"/>
  <c r="D719" i="1"/>
  <c r="I718" i="1" a="1"/>
  <c r="I718" i="1" s="1"/>
  <c r="H718" i="1" a="1"/>
  <c r="H718" i="1"/>
  <c r="G718" i="1" a="1"/>
  <c r="G718" i="1" s="1"/>
  <c r="I717" i="1" a="1"/>
  <c r="I717" i="1"/>
  <c r="H717" i="1" a="1"/>
  <c r="H717" i="1" s="1"/>
  <c r="G717" i="1" a="1"/>
  <c r="G717" i="1"/>
  <c r="I716" i="1" a="1"/>
  <c r="I716" i="1"/>
  <c r="H716" i="1" a="1"/>
  <c r="H716" i="1"/>
  <c r="G716" i="1" a="1"/>
  <c r="G716" i="1" s="1"/>
  <c r="D716" i="1" s="1"/>
  <c r="I715" i="1" a="1"/>
  <c r="I715" i="1"/>
  <c r="H715" i="1" a="1"/>
  <c r="H715" i="1"/>
  <c r="G715" i="1" a="1"/>
  <c r="G715" i="1"/>
  <c r="D715" i="1"/>
  <c r="I714" i="1" a="1"/>
  <c r="I714" i="1" s="1"/>
  <c r="H714" i="1" a="1"/>
  <c r="H714" i="1"/>
  <c r="G714" i="1" a="1"/>
  <c r="G714" i="1"/>
  <c r="D714" i="1"/>
  <c r="I713" i="1" a="1"/>
  <c r="I713" i="1"/>
  <c r="H713" i="1" a="1"/>
  <c r="H713" i="1"/>
  <c r="G713" i="1" a="1"/>
  <c r="G713" i="1" s="1"/>
  <c r="D713" i="1" s="1"/>
  <c r="I712" i="1" a="1"/>
  <c r="I712" i="1"/>
  <c r="H712" i="1" a="1"/>
  <c r="H712" i="1" s="1"/>
  <c r="G712" i="1" a="1"/>
  <c r="G712" i="1"/>
  <c r="D712" i="1"/>
  <c r="I711" i="1" a="1"/>
  <c r="I711" i="1"/>
  <c r="H711" i="1" a="1"/>
  <c r="H711" i="1"/>
  <c r="D711" i="1" s="1"/>
  <c r="G711" i="1" a="1"/>
  <c r="G711" i="1"/>
  <c r="I710" i="1" a="1"/>
  <c r="I710" i="1" s="1"/>
  <c r="H710" i="1" a="1"/>
  <c r="H710" i="1"/>
  <c r="G710" i="1" a="1"/>
  <c r="G710" i="1" s="1"/>
  <c r="I709" i="1" a="1"/>
  <c r="I709" i="1" s="1"/>
  <c r="H709" i="1" a="1"/>
  <c r="H709" i="1"/>
  <c r="G709" i="1" a="1"/>
  <c r="G709" i="1"/>
  <c r="D709" i="1" s="1"/>
  <c r="I708" i="1" a="1"/>
  <c r="I708" i="1"/>
  <c r="H708" i="1" a="1"/>
  <c r="H708" i="1" s="1"/>
  <c r="G708" i="1" a="1"/>
  <c r="G708" i="1"/>
  <c r="I707" i="1" a="1"/>
  <c r="I707" i="1"/>
  <c r="H707" i="1" a="1"/>
  <c r="H707" i="1" s="1"/>
  <c r="D707" i="1" s="1"/>
  <c r="G707" i="1" a="1"/>
  <c r="G707" i="1"/>
  <c r="I706" i="1" a="1"/>
  <c r="I706" i="1" s="1"/>
  <c r="H706" i="1" a="1"/>
  <c r="H706" i="1"/>
  <c r="G706" i="1" a="1"/>
  <c r="G706" i="1" s="1"/>
  <c r="D706" i="1" s="1"/>
  <c r="I705" i="1" a="1"/>
  <c r="I705" i="1"/>
  <c r="H705" i="1" a="1"/>
  <c r="H705" i="1"/>
  <c r="G705" i="1" a="1"/>
  <c r="G705" i="1"/>
  <c r="D705" i="1" s="1"/>
  <c r="I704" i="1" a="1"/>
  <c r="I704" i="1"/>
  <c r="H704" i="1" a="1"/>
  <c r="H704" i="1" s="1"/>
  <c r="G704" i="1" a="1"/>
  <c r="G704" i="1"/>
  <c r="D704" i="1"/>
  <c r="I703" i="1" a="1"/>
  <c r="I703" i="1" s="1"/>
  <c r="D703" i="1" s="1"/>
  <c r="H703" i="1" a="1"/>
  <c r="H703" i="1"/>
  <c r="G703" i="1" a="1"/>
  <c r="G703" i="1"/>
  <c r="I702" i="1" a="1"/>
  <c r="I702" i="1"/>
  <c r="H702" i="1" a="1"/>
  <c r="H702" i="1" s="1"/>
  <c r="G702" i="1" a="1"/>
  <c r="G702" i="1" s="1"/>
  <c r="I701" i="1" a="1"/>
  <c r="I701" i="1" s="1"/>
  <c r="H701" i="1" a="1"/>
  <c r="H701" i="1" s="1"/>
  <c r="G701" i="1" a="1"/>
  <c r="G701" i="1"/>
  <c r="I700" i="1" a="1"/>
  <c r="I700" i="1"/>
  <c r="H700" i="1" a="1"/>
  <c r="H700" i="1" s="1"/>
  <c r="G700" i="1" a="1"/>
  <c r="G700" i="1" s="1"/>
  <c r="D700" i="1" s="1"/>
  <c r="I699" i="1" a="1"/>
  <c r="I699" i="1"/>
  <c r="H699" i="1" a="1"/>
  <c r="H699" i="1"/>
  <c r="G699" i="1" a="1"/>
  <c r="G699" i="1"/>
  <c r="D699" i="1" s="1"/>
  <c r="I698" i="1" a="1"/>
  <c r="I698" i="1" s="1"/>
  <c r="H698" i="1" a="1"/>
  <c r="H698" i="1"/>
  <c r="G698" i="1" a="1"/>
  <c r="G698" i="1"/>
  <c r="D698" i="1" s="1"/>
  <c r="I697" i="1" a="1"/>
  <c r="I697" i="1" s="1"/>
  <c r="D697" i="1" s="1"/>
  <c r="H697" i="1" a="1"/>
  <c r="H697" i="1"/>
  <c r="G697" i="1" a="1"/>
  <c r="G697" i="1"/>
  <c r="I696" i="1" a="1"/>
  <c r="I696" i="1"/>
  <c r="H696" i="1" a="1"/>
  <c r="H696" i="1" s="1"/>
  <c r="G696" i="1" a="1"/>
  <c r="G696" i="1"/>
  <c r="I695" i="1" a="1"/>
  <c r="I695" i="1"/>
  <c r="H695" i="1" a="1"/>
  <c r="H695" i="1" s="1"/>
  <c r="D695" i="1" s="1"/>
  <c r="G695" i="1" a="1"/>
  <c r="G695" i="1"/>
  <c r="I694" i="1" a="1"/>
  <c r="I694" i="1"/>
  <c r="H694" i="1" a="1"/>
  <c r="H694" i="1" s="1"/>
  <c r="G694" i="1" a="1"/>
  <c r="G694" i="1" s="1"/>
  <c r="I693" i="1" a="1"/>
  <c r="I693" i="1" s="1"/>
  <c r="H693" i="1" a="1"/>
  <c r="H693" i="1" s="1"/>
  <c r="G693" i="1" a="1"/>
  <c r="G693" i="1"/>
  <c r="I692" i="1" a="1"/>
  <c r="I692" i="1"/>
  <c r="H692" i="1" a="1"/>
  <c r="H692" i="1"/>
  <c r="G692" i="1" a="1"/>
  <c r="G692" i="1" s="1"/>
  <c r="I691" i="1" a="1"/>
  <c r="I691" i="1"/>
  <c r="H691" i="1" a="1"/>
  <c r="H691" i="1"/>
  <c r="G691" i="1" a="1"/>
  <c r="G691" i="1" s="1"/>
  <c r="D691" i="1" s="1"/>
  <c r="I690" i="1" a="1"/>
  <c r="I690" i="1" s="1"/>
  <c r="H690" i="1" a="1"/>
  <c r="H690" i="1"/>
  <c r="G690" i="1" a="1"/>
  <c r="G690" i="1"/>
  <c r="D690" i="1"/>
  <c r="I689" i="1" a="1"/>
  <c r="I689" i="1" s="1"/>
  <c r="H689" i="1" a="1"/>
  <c r="H689" i="1"/>
  <c r="G689" i="1" a="1"/>
  <c r="G689" i="1" s="1"/>
  <c r="D689" i="1" s="1"/>
  <c r="I688" i="1" a="1"/>
  <c r="I688" i="1"/>
  <c r="H688" i="1" a="1"/>
  <c r="H688" i="1" s="1"/>
  <c r="G688" i="1" a="1"/>
  <c r="G688" i="1"/>
  <c r="D688" i="1" s="1"/>
  <c r="I687" i="1" a="1"/>
  <c r="I687" i="1"/>
  <c r="H687" i="1" a="1"/>
  <c r="H687" i="1"/>
  <c r="D687" i="1" s="1"/>
  <c r="G687" i="1" a="1"/>
  <c r="G687" i="1"/>
  <c r="I686" i="1" a="1"/>
  <c r="I686" i="1" s="1"/>
  <c r="H686" i="1" a="1"/>
  <c r="H686" i="1"/>
  <c r="G686" i="1" a="1"/>
  <c r="G686" i="1" s="1"/>
  <c r="I685" i="1" a="1"/>
  <c r="I685" i="1" s="1"/>
  <c r="H685" i="1" a="1"/>
  <c r="H685" i="1" s="1"/>
  <c r="G685" i="1" a="1"/>
  <c r="G685" i="1"/>
  <c r="I684" i="1" a="1"/>
  <c r="I684" i="1" s="1"/>
  <c r="H684" i="1" a="1"/>
  <c r="H684" i="1" s="1"/>
  <c r="G684" i="1" a="1"/>
  <c r="G684" i="1"/>
  <c r="D684" i="1" s="1"/>
  <c r="I683" i="1" a="1"/>
  <c r="I683" i="1"/>
  <c r="H683" i="1" a="1"/>
  <c r="H683" i="1"/>
  <c r="G683" i="1" a="1"/>
  <c r="G683" i="1" s="1"/>
  <c r="D683" i="1" s="1"/>
  <c r="I682" i="1" a="1"/>
  <c r="I682" i="1" s="1"/>
  <c r="H682" i="1" a="1"/>
  <c r="H682" i="1"/>
  <c r="G682" i="1" a="1"/>
  <c r="G682" i="1"/>
  <c r="D682" i="1" s="1"/>
  <c r="I681" i="1" a="1"/>
  <c r="I681" i="1"/>
  <c r="D681" i="1" s="1"/>
  <c r="H681" i="1" a="1"/>
  <c r="H681" i="1"/>
  <c r="G681" i="1" a="1"/>
  <c r="G681" i="1" s="1"/>
  <c r="I680" i="1" a="1"/>
  <c r="I680" i="1" s="1"/>
  <c r="H680" i="1" a="1"/>
  <c r="H680" i="1" s="1"/>
  <c r="G680" i="1" a="1"/>
  <c r="G680" i="1" s="1"/>
  <c r="D680" i="1" s="1"/>
  <c r="I679" i="1" a="1"/>
  <c r="I679" i="1"/>
  <c r="H679" i="1" a="1"/>
  <c r="H679" i="1" s="1"/>
  <c r="G679" i="1" a="1"/>
  <c r="G679" i="1"/>
  <c r="D679" i="1" s="1"/>
  <c r="I678" i="1" a="1"/>
  <c r="I678" i="1" s="1"/>
  <c r="H678" i="1" a="1"/>
  <c r="H678" i="1"/>
  <c r="G678" i="1" a="1"/>
  <c r="G678" i="1" s="1"/>
  <c r="D678" i="1" s="1"/>
  <c r="I677" i="1" a="1"/>
  <c r="I677" i="1"/>
  <c r="H677" i="1" a="1"/>
  <c r="H677" i="1" s="1"/>
  <c r="G677" i="1" a="1"/>
  <c r="G677" i="1"/>
  <c r="I676" i="1" a="1"/>
  <c r="I676" i="1"/>
  <c r="H676" i="1" a="1"/>
  <c r="H676" i="1" s="1"/>
  <c r="G676" i="1" a="1"/>
  <c r="G676" i="1" s="1"/>
  <c r="I675" i="1" a="1"/>
  <c r="I675" i="1"/>
  <c r="H675" i="1" a="1"/>
  <c r="H675" i="1"/>
  <c r="G675" i="1" a="1"/>
  <c r="G675" i="1" s="1"/>
  <c r="D675" i="1" s="1"/>
  <c r="I674" i="1" a="1"/>
  <c r="I674" i="1" s="1"/>
  <c r="H674" i="1" a="1"/>
  <c r="H674" i="1" s="1"/>
  <c r="D674" i="1" s="1"/>
  <c r="G674" i="1" a="1"/>
  <c r="G674" i="1"/>
  <c r="I673" i="1" a="1"/>
  <c r="I673" i="1" s="1"/>
  <c r="H673" i="1" a="1"/>
  <c r="H673" i="1"/>
  <c r="G673" i="1" a="1"/>
  <c r="G673" i="1" s="1"/>
  <c r="D673" i="1" s="1"/>
  <c r="I672" i="1" a="1"/>
  <c r="I672" i="1"/>
  <c r="H672" i="1" a="1"/>
  <c r="H672" i="1"/>
  <c r="G672" i="1" a="1"/>
  <c r="G672" i="1" s="1"/>
  <c r="D672" i="1" s="1"/>
  <c r="I671" i="1" a="1"/>
  <c r="I671" i="1"/>
  <c r="H671" i="1" a="1"/>
  <c r="H671" i="1" s="1"/>
  <c r="G671" i="1" a="1"/>
  <c r="G671" i="1" s="1"/>
  <c r="D671" i="1" s="1"/>
  <c r="I670" i="1" a="1"/>
  <c r="I670" i="1" s="1"/>
  <c r="H670" i="1" a="1"/>
  <c r="H670" i="1"/>
  <c r="G670" i="1" a="1"/>
  <c r="G670" i="1"/>
  <c r="I669" i="1" a="1"/>
  <c r="I669" i="1" s="1"/>
  <c r="D669" i="1" s="1"/>
  <c r="H669" i="1" a="1"/>
  <c r="H669" i="1"/>
  <c r="G669" i="1" a="1"/>
  <c r="G669" i="1" s="1"/>
  <c r="I668" i="1" a="1"/>
  <c r="I668" i="1" s="1"/>
  <c r="H668" i="1" a="1"/>
  <c r="H668" i="1" s="1"/>
  <c r="G668" i="1" a="1"/>
  <c r="G668" i="1"/>
  <c r="I667" i="1" a="1"/>
  <c r="I667" i="1"/>
  <c r="H667" i="1" a="1"/>
  <c r="H667" i="1" s="1"/>
  <c r="G667" i="1" a="1"/>
  <c r="G667" i="1" s="1"/>
  <c r="D667" i="1" s="1"/>
  <c r="I666" i="1" a="1"/>
  <c r="I666" i="1"/>
  <c r="H666" i="1" a="1"/>
  <c r="H666" i="1" s="1"/>
  <c r="G666" i="1" a="1"/>
  <c r="G666" i="1"/>
  <c r="D666" i="1" s="1"/>
  <c r="I665" i="1" a="1"/>
  <c r="I665" i="1" s="1"/>
  <c r="H665" i="1" a="1"/>
  <c r="H665" i="1"/>
  <c r="G665" i="1" a="1"/>
  <c r="G665" i="1" s="1"/>
  <c r="D665" i="1" s="1"/>
  <c r="I664" i="1" a="1"/>
  <c r="I664" i="1" s="1"/>
  <c r="H664" i="1" a="1"/>
  <c r="H664" i="1"/>
  <c r="G664" i="1" a="1"/>
  <c r="G664" i="1"/>
  <c r="D664" i="1" s="1"/>
  <c r="I663" i="1" a="1"/>
  <c r="I663" i="1"/>
  <c r="D663" i="1" s="1"/>
  <c r="H663" i="1" a="1"/>
  <c r="H663" i="1" s="1"/>
  <c r="G663" i="1" a="1"/>
  <c r="G663" i="1"/>
  <c r="I662" i="1" a="1"/>
  <c r="I662" i="1" s="1"/>
  <c r="H662" i="1" a="1"/>
  <c r="H662" i="1"/>
  <c r="D662" i="1" s="1"/>
  <c r="G662" i="1" a="1"/>
  <c r="G662" i="1"/>
  <c r="I661" i="1" a="1"/>
  <c r="I661" i="1"/>
  <c r="H661" i="1" a="1"/>
  <c r="H661" i="1" s="1"/>
  <c r="G661" i="1" a="1"/>
  <c r="G661" i="1" s="1"/>
  <c r="D661" i="1" s="1"/>
  <c r="I660" i="1" a="1"/>
  <c r="I660" i="1"/>
  <c r="H660" i="1" a="1"/>
  <c r="H660" i="1"/>
  <c r="G660" i="1" a="1"/>
  <c r="G660" i="1" s="1"/>
  <c r="D660" i="1" s="1"/>
  <c r="I659" i="1" a="1"/>
  <c r="I659" i="1" s="1"/>
  <c r="H659" i="1" a="1"/>
  <c r="H659" i="1"/>
  <c r="G659" i="1" a="1"/>
  <c r="G659" i="1"/>
  <c r="D659" i="1" s="1"/>
  <c r="I658" i="1" a="1"/>
  <c r="I658" i="1"/>
  <c r="H658" i="1" a="1"/>
  <c r="H658" i="1" s="1"/>
  <c r="D658" i="1" s="1"/>
  <c r="G658" i="1" a="1"/>
  <c r="G658" i="1"/>
  <c r="I657" i="1" a="1"/>
  <c r="I657" i="1" s="1"/>
  <c r="H657" i="1" a="1"/>
  <c r="H657" i="1"/>
  <c r="G657" i="1" a="1"/>
  <c r="G657" i="1" s="1"/>
  <c r="D657" i="1" s="1"/>
  <c r="I656" i="1" a="1"/>
  <c r="I656" i="1"/>
  <c r="H656" i="1" a="1"/>
  <c r="H656" i="1"/>
  <c r="G656" i="1" a="1"/>
  <c r="G656" i="1" s="1"/>
  <c r="D656" i="1" s="1"/>
  <c r="I655" i="1" a="1"/>
  <c r="I655" i="1"/>
  <c r="H655" i="1" a="1"/>
  <c r="H655" i="1" s="1"/>
  <c r="G655" i="1" a="1"/>
  <c r="G655" i="1" s="1"/>
  <c r="D655" i="1" s="1"/>
  <c r="I654" i="1" a="1"/>
  <c r="I654" i="1" s="1"/>
  <c r="H654" i="1" a="1"/>
  <c r="H654" i="1"/>
  <c r="G654" i="1" a="1"/>
  <c r="G654" i="1"/>
  <c r="D654" i="1" s="1"/>
  <c r="I653" i="1" a="1"/>
  <c r="I653" i="1" s="1"/>
  <c r="D653" i="1" s="1"/>
  <c r="H653" i="1" a="1"/>
  <c r="H653" i="1"/>
  <c r="G653" i="1" a="1"/>
  <c r="G653" i="1"/>
  <c r="I652" i="1" a="1"/>
  <c r="I652" i="1"/>
  <c r="H652" i="1" a="1"/>
  <c r="H652" i="1" s="1"/>
  <c r="D652" i="1" s="1"/>
  <c r="G652" i="1" a="1"/>
  <c r="G652" i="1"/>
  <c r="I651" i="1" a="1"/>
  <c r="I651" i="1" s="1"/>
  <c r="H651" i="1" a="1"/>
  <c r="H651" i="1" s="1"/>
  <c r="G651" i="1" a="1"/>
  <c r="G651" i="1"/>
  <c r="I650" i="1" a="1"/>
  <c r="I650" i="1"/>
  <c r="H650" i="1" a="1"/>
  <c r="H650" i="1"/>
  <c r="G650" i="1" a="1"/>
  <c r="G650" i="1" s="1"/>
  <c r="D650" i="1" s="1"/>
  <c r="I649" i="1" a="1"/>
  <c r="I649" i="1"/>
  <c r="H649" i="1" a="1"/>
  <c r="H649" i="1" s="1"/>
  <c r="G649" i="1" a="1"/>
  <c r="G649" i="1" s="1"/>
  <c r="D649" i="1" s="1"/>
  <c r="I648" i="1" a="1"/>
  <c r="I648" i="1"/>
  <c r="H648" i="1" a="1"/>
  <c r="H648" i="1"/>
  <c r="G648" i="1" a="1"/>
  <c r="G648" i="1"/>
  <c r="D648" i="1" s="1"/>
  <c r="I647" i="1" a="1"/>
  <c r="I647" i="1"/>
  <c r="H647" i="1" a="1"/>
  <c r="H647" i="1"/>
  <c r="G647" i="1" a="1"/>
  <c r="G647" i="1" s="1"/>
  <c r="D647" i="1" s="1"/>
  <c r="I646" i="1" a="1"/>
  <c r="I646" i="1" s="1"/>
  <c r="H646" i="1" a="1"/>
  <c r="H646" i="1"/>
  <c r="G646" i="1" a="1"/>
  <c r="G646" i="1"/>
  <c r="I645" i="1" a="1"/>
  <c r="I645" i="1" s="1"/>
  <c r="D645" i="1" s="1"/>
  <c r="H645" i="1" a="1"/>
  <c r="H645" i="1"/>
  <c r="G645" i="1" a="1"/>
  <c r="G645" i="1"/>
  <c r="I644" i="1" a="1"/>
  <c r="I644" i="1"/>
  <c r="H644" i="1" a="1"/>
  <c r="H644" i="1" s="1"/>
  <c r="D644" i="1" s="1"/>
  <c r="G644" i="1" a="1"/>
  <c r="G644" i="1"/>
  <c r="I643" i="1" a="1"/>
  <c r="I643" i="1" s="1"/>
  <c r="H643" i="1" a="1"/>
  <c r="H643" i="1" s="1"/>
  <c r="D643" i="1" s="1"/>
  <c r="G643" i="1" a="1"/>
  <c r="G643" i="1"/>
  <c r="I642" i="1" a="1"/>
  <c r="I642" i="1"/>
  <c r="H642" i="1" a="1"/>
  <c r="H642" i="1"/>
  <c r="G642" i="1" a="1"/>
  <c r="G642" i="1" s="1"/>
  <c r="D642" i="1" s="1"/>
  <c r="I641" i="1" a="1"/>
  <c r="I641" i="1"/>
  <c r="H641" i="1" a="1"/>
  <c r="H641" i="1" s="1"/>
  <c r="G641" i="1" a="1"/>
  <c r="G641" i="1" s="1"/>
  <c r="D641" i="1" s="1"/>
  <c r="I640" i="1" a="1"/>
  <c r="I640" i="1"/>
  <c r="H640" i="1" a="1"/>
  <c r="H640" i="1"/>
  <c r="G640" i="1" a="1"/>
  <c r="G640" i="1"/>
  <c r="D640" i="1" s="1"/>
  <c r="I639" i="1" a="1"/>
  <c r="I639" i="1"/>
  <c r="H639" i="1" a="1"/>
  <c r="H639" i="1"/>
  <c r="G639" i="1" a="1"/>
  <c r="G639" i="1" s="1"/>
  <c r="D639" i="1" s="1"/>
  <c r="I638" i="1" a="1"/>
  <c r="I638" i="1" s="1"/>
  <c r="H638" i="1" a="1"/>
  <c r="H638" i="1"/>
  <c r="G638" i="1" a="1"/>
  <c r="G638" i="1"/>
  <c r="I637" i="1" a="1"/>
  <c r="I637" i="1" s="1"/>
  <c r="D637" i="1" s="1"/>
  <c r="H637" i="1" a="1"/>
  <c r="H637" i="1"/>
  <c r="G637" i="1" a="1"/>
  <c r="G637" i="1"/>
  <c r="I636" i="1" a="1"/>
  <c r="I636" i="1"/>
  <c r="H636" i="1" a="1"/>
  <c r="H636" i="1" s="1"/>
  <c r="D636" i="1" s="1"/>
  <c r="G636" i="1" a="1"/>
  <c r="G636" i="1"/>
  <c r="I635" i="1" a="1"/>
  <c r="I635" i="1" s="1"/>
  <c r="H635" i="1" a="1"/>
  <c r="H635" i="1" s="1"/>
  <c r="G635" i="1" a="1"/>
  <c r="G635" i="1"/>
  <c r="I634" i="1" a="1"/>
  <c r="I634" i="1"/>
  <c r="H634" i="1" a="1"/>
  <c r="H634" i="1"/>
  <c r="G634" i="1" a="1"/>
  <c r="G634" i="1" s="1"/>
  <c r="D634" i="1" s="1"/>
  <c r="I633" i="1" a="1"/>
  <c r="I633" i="1"/>
  <c r="H633" i="1" a="1"/>
  <c r="H633" i="1" s="1"/>
  <c r="G633" i="1" a="1"/>
  <c r="G633" i="1" s="1"/>
  <c r="I632" i="1" a="1"/>
  <c r="I632" i="1"/>
  <c r="H632" i="1" a="1"/>
  <c r="H632" i="1"/>
  <c r="G632" i="1" a="1"/>
  <c r="G632" i="1"/>
  <c r="D632" i="1" s="1"/>
  <c r="I631" i="1" a="1"/>
  <c r="I631" i="1"/>
  <c r="H631" i="1" a="1"/>
  <c r="H631" i="1"/>
  <c r="G631" i="1" a="1"/>
  <c r="G631" i="1" s="1"/>
  <c r="D631" i="1" s="1"/>
  <c r="I630" i="1" a="1"/>
  <c r="I630" i="1" s="1"/>
  <c r="H630" i="1" a="1"/>
  <c r="H630" i="1"/>
  <c r="G630" i="1" a="1"/>
  <c r="G630" i="1"/>
  <c r="I629" i="1" a="1"/>
  <c r="I629" i="1" s="1"/>
  <c r="D629" i="1" s="1"/>
  <c r="H629" i="1" a="1"/>
  <c r="H629" i="1"/>
  <c r="G629" i="1" a="1"/>
  <c r="G629" i="1"/>
  <c r="I628" i="1" a="1"/>
  <c r="I628" i="1"/>
  <c r="H628" i="1" a="1"/>
  <c r="H628" i="1" s="1"/>
  <c r="D628" i="1" s="1"/>
  <c r="G628" i="1" a="1"/>
  <c r="G628" i="1"/>
  <c r="I627" i="1" a="1"/>
  <c r="I627" i="1" s="1"/>
  <c r="H627" i="1" a="1"/>
  <c r="H627" i="1" s="1"/>
  <c r="D627" i="1" s="1"/>
  <c r="G627" i="1" a="1"/>
  <c r="G627" i="1"/>
  <c r="I626" i="1" a="1"/>
  <c r="I626" i="1"/>
  <c r="H626" i="1" a="1"/>
  <c r="H626" i="1"/>
  <c r="G626" i="1" a="1"/>
  <c r="G626" i="1" s="1"/>
  <c r="D626" i="1" s="1"/>
  <c r="I625" i="1" a="1"/>
  <c r="I625" i="1"/>
  <c r="H625" i="1" a="1"/>
  <c r="H625" i="1" s="1"/>
  <c r="G625" i="1" a="1"/>
  <c r="G625" i="1" s="1"/>
  <c r="I624" i="1" a="1"/>
  <c r="I624" i="1"/>
  <c r="H624" i="1" a="1"/>
  <c r="H624" i="1"/>
  <c r="G624" i="1" a="1"/>
  <c r="G624" i="1"/>
  <c r="D624" i="1" s="1"/>
  <c r="I623" i="1" a="1"/>
  <c r="I623" i="1"/>
  <c r="H623" i="1" a="1"/>
  <c r="H623" i="1"/>
  <c r="G623" i="1" a="1"/>
  <c r="G623" i="1" s="1"/>
  <c r="D623" i="1" s="1"/>
  <c r="I622" i="1" a="1"/>
  <c r="I622" i="1" s="1"/>
  <c r="H622" i="1" a="1"/>
  <c r="H622" i="1"/>
  <c r="G622" i="1" a="1"/>
  <c r="G622" i="1"/>
  <c r="I621" i="1" a="1"/>
  <c r="I621" i="1" s="1"/>
  <c r="D621" i="1" s="1"/>
  <c r="H621" i="1" a="1"/>
  <c r="H621" i="1"/>
  <c r="G621" i="1" a="1"/>
  <c r="G621" i="1"/>
  <c r="I620" i="1" a="1"/>
  <c r="I620" i="1"/>
  <c r="H620" i="1" a="1"/>
  <c r="H620" i="1" s="1"/>
  <c r="D620" i="1" s="1"/>
  <c r="G620" i="1" a="1"/>
  <c r="G620" i="1"/>
  <c r="I619" i="1" a="1"/>
  <c r="I619" i="1" s="1"/>
  <c r="H619" i="1" a="1"/>
  <c r="H619" i="1" s="1"/>
  <c r="D619" i="1" s="1"/>
  <c r="G619" i="1" a="1"/>
  <c r="G619" i="1"/>
  <c r="I618" i="1" a="1"/>
  <c r="I618" i="1"/>
  <c r="H618" i="1" a="1"/>
  <c r="H618" i="1"/>
  <c r="G618" i="1" a="1"/>
  <c r="G618" i="1" s="1"/>
  <c r="D618" i="1" s="1"/>
  <c r="I617" i="1" a="1"/>
  <c r="I617" i="1"/>
  <c r="H617" i="1" a="1"/>
  <c r="H617" i="1" s="1"/>
  <c r="G617" i="1" a="1"/>
  <c r="G617" i="1" s="1"/>
  <c r="D617" i="1" s="1"/>
  <c r="I616" i="1" a="1"/>
  <c r="I616" i="1"/>
  <c r="H616" i="1" a="1"/>
  <c r="H616" i="1"/>
  <c r="G616" i="1" a="1"/>
  <c r="G616" i="1"/>
  <c r="D616" i="1" s="1"/>
  <c r="I615" i="1" a="1"/>
  <c r="I615" i="1"/>
  <c r="H615" i="1" a="1"/>
  <c r="H615" i="1"/>
  <c r="G615" i="1" a="1"/>
  <c r="G615" i="1" s="1"/>
  <c r="D615" i="1" s="1"/>
  <c r="I614" i="1" a="1"/>
  <c r="I614" i="1" s="1"/>
  <c r="H614" i="1" a="1"/>
  <c r="H614" i="1"/>
  <c r="G614" i="1" a="1"/>
  <c r="G614" i="1"/>
  <c r="D614" i="1" s="1"/>
  <c r="I613" i="1" a="1"/>
  <c r="I613" i="1" s="1"/>
  <c r="D613" i="1" s="1"/>
  <c r="H613" i="1" a="1"/>
  <c r="H613" i="1"/>
  <c r="G613" i="1" a="1"/>
  <c r="G613" i="1"/>
  <c r="I612" i="1" a="1"/>
  <c r="I612" i="1"/>
  <c r="H612" i="1" a="1"/>
  <c r="H612" i="1" s="1"/>
  <c r="D612" i="1" s="1"/>
  <c r="G612" i="1" a="1"/>
  <c r="G612" i="1"/>
  <c r="I611" i="1" a="1"/>
  <c r="I611" i="1" s="1"/>
  <c r="H611" i="1" a="1"/>
  <c r="H611" i="1" s="1"/>
  <c r="D611" i="1" s="1"/>
  <c r="G611" i="1" a="1"/>
  <c r="G611" i="1"/>
  <c r="I610" i="1" a="1"/>
  <c r="I610" i="1"/>
  <c r="H610" i="1" a="1"/>
  <c r="H610" i="1"/>
  <c r="G610" i="1" a="1"/>
  <c r="G610" i="1" s="1"/>
  <c r="D610" i="1" s="1"/>
  <c r="I609" i="1" a="1"/>
  <c r="I609" i="1"/>
  <c r="H609" i="1" a="1"/>
  <c r="H609" i="1" s="1"/>
  <c r="G609" i="1" a="1"/>
  <c r="G609" i="1" s="1"/>
  <c r="I608" i="1" a="1"/>
  <c r="I608" i="1"/>
  <c r="H608" i="1" a="1"/>
  <c r="H608" i="1"/>
  <c r="G608" i="1" a="1"/>
  <c r="G608" i="1"/>
  <c r="D608" i="1" s="1"/>
  <c r="I607" i="1" a="1"/>
  <c r="I607" i="1"/>
  <c r="H607" i="1" a="1"/>
  <c r="H607" i="1"/>
  <c r="G607" i="1" a="1"/>
  <c r="G607" i="1" s="1"/>
  <c r="D607" i="1" s="1"/>
  <c r="I606" i="1" a="1"/>
  <c r="I606" i="1" s="1"/>
  <c r="H606" i="1" a="1"/>
  <c r="H606" i="1"/>
  <c r="G606" i="1" a="1"/>
  <c r="G606" i="1"/>
  <c r="D606" i="1" s="1"/>
  <c r="I605" i="1" a="1"/>
  <c r="I605" i="1" s="1"/>
  <c r="D605" i="1" s="1"/>
  <c r="H605" i="1" a="1"/>
  <c r="H605" i="1"/>
  <c r="G605" i="1" a="1"/>
  <c r="G605" i="1"/>
  <c r="I604" i="1" a="1"/>
  <c r="I604" i="1"/>
  <c r="H604" i="1" a="1"/>
  <c r="H604" i="1" s="1"/>
  <c r="D604" i="1" s="1"/>
  <c r="G604" i="1" a="1"/>
  <c r="G604" i="1"/>
  <c r="I603" i="1" a="1"/>
  <c r="I603" i="1" s="1"/>
  <c r="H603" i="1" a="1"/>
  <c r="H603" i="1" s="1"/>
  <c r="D603" i="1" s="1"/>
  <c r="G603" i="1" a="1"/>
  <c r="G603" i="1"/>
  <c r="I602" i="1" a="1"/>
  <c r="I602" i="1"/>
  <c r="H602" i="1" a="1"/>
  <c r="H602" i="1"/>
  <c r="G602" i="1" a="1"/>
  <c r="G602" i="1" s="1"/>
  <c r="D602" i="1" s="1"/>
  <c r="I601" i="1" a="1"/>
  <c r="I601" i="1"/>
  <c r="H601" i="1" a="1"/>
  <c r="H601" i="1" s="1"/>
  <c r="G601" i="1" a="1"/>
  <c r="G601" i="1" s="1"/>
  <c r="D601" i="1" s="1"/>
  <c r="I600" i="1" a="1"/>
  <c r="I600" i="1"/>
  <c r="H600" i="1" a="1"/>
  <c r="H600" i="1"/>
  <c r="G600" i="1" a="1"/>
  <c r="G600" i="1"/>
  <c r="D600" i="1" s="1"/>
  <c r="I599" i="1" a="1"/>
  <c r="I599" i="1"/>
  <c r="H599" i="1" a="1"/>
  <c r="H599" i="1"/>
  <c r="G599" i="1" a="1"/>
  <c r="G599" i="1" s="1"/>
  <c r="D599" i="1" s="1"/>
  <c r="I598" i="1" a="1"/>
  <c r="I598" i="1" s="1"/>
  <c r="H598" i="1" a="1"/>
  <c r="H598" i="1"/>
  <c r="G598" i="1" a="1"/>
  <c r="G598" i="1"/>
  <c r="D598" i="1" s="1"/>
  <c r="I597" i="1" a="1"/>
  <c r="I597" i="1" s="1"/>
  <c r="D597" i="1" s="1"/>
  <c r="H597" i="1" a="1"/>
  <c r="H597" i="1"/>
  <c r="G597" i="1" a="1"/>
  <c r="G597" i="1"/>
  <c r="I596" i="1" a="1"/>
  <c r="I596" i="1"/>
  <c r="H596" i="1" a="1"/>
  <c r="H596" i="1" s="1"/>
  <c r="D596" i="1" s="1"/>
  <c r="G596" i="1" a="1"/>
  <c r="G596" i="1"/>
  <c r="I595" i="1" a="1"/>
  <c r="I595" i="1" s="1"/>
  <c r="H595" i="1" a="1"/>
  <c r="H595" i="1" s="1"/>
  <c r="G595" i="1" a="1"/>
  <c r="G595" i="1"/>
  <c r="I594" i="1" a="1"/>
  <c r="I594" i="1"/>
  <c r="H594" i="1" a="1"/>
  <c r="H594" i="1"/>
  <c r="G594" i="1" a="1"/>
  <c r="G594" i="1" s="1"/>
  <c r="D594" i="1" s="1"/>
  <c r="I593" i="1" a="1"/>
  <c r="I593" i="1"/>
  <c r="H593" i="1" a="1"/>
  <c r="H593" i="1" s="1"/>
  <c r="G593" i="1" a="1"/>
  <c r="G593" i="1" s="1"/>
  <c r="D593" i="1" s="1"/>
  <c r="I592" i="1" a="1"/>
  <c r="I592" i="1"/>
  <c r="H592" i="1" a="1"/>
  <c r="H592" i="1"/>
  <c r="G592" i="1" a="1"/>
  <c r="G592" i="1"/>
  <c r="D592" i="1" s="1"/>
  <c r="I591" i="1" a="1"/>
  <c r="I591" i="1"/>
  <c r="H591" i="1" a="1"/>
  <c r="H591" i="1"/>
  <c r="G591" i="1" a="1"/>
  <c r="G591" i="1" s="1"/>
  <c r="D591" i="1" s="1"/>
  <c r="I590" i="1" a="1"/>
  <c r="I590" i="1" s="1"/>
  <c r="H590" i="1" a="1"/>
  <c r="H590" i="1"/>
  <c r="G590" i="1" a="1"/>
  <c r="G590" i="1"/>
  <c r="D590" i="1" s="1"/>
  <c r="I589" i="1" a="1"/>
  <c r="I589" i="1" s="1"/>
  <c r="D589" i="1" s="1"/>
  <c r="H589" i="1" a="1"/>
  <c r="H589" i="1"/>
  <c r="G589" i="1" a="1"/>
  <c r="G589" i="1"/>
  <c r="I588" i="1" a="1"/>
  <c r="I588" i="1"/>
  <c r="H588" i="1" a="1"/>
  <c r="H588" i="1" s="1"/>
  <c r="D588" i="1" s="1"/>
  <c r="G588" i="1" a="1"/>
  <c r="G588" i="1"/>
  <c r="I587" i="1" a="1"/>
  <c r="I587" i="1" s="1"/>
  <c r="H587" i="1" a="1"/>
  <c r="H587" i="1" s="1"/>
  <c r="G587" i="1" a="1"/>
  <c r="G587" i="1"/>
  <c r="I586" i="1" a="1"/>
  <c r="I586" i="1"/>
  <c r="H586" i="1" a="1"/>
  <c r="H586" i="1"/>
  <c r="G586" i="1" a="1"/>
  <c r="G586" i="1" s="1"/>
  <c r="D586" i="1" s="1"/>
  <c r="I585" i="1" a="1"/>
  <c r="I585" i="1"/>
  <c r="H585" i="1" a="1"/>
  <c r="H585" i="1" s="1"/>
  <c r="G585" i="1" a="1"/>
  <c r="G585" i="1" s="1"/>
  <c r="D585" i="1" s="1"/>
  <c r="I584" i="1" a="1"/>
  <c r="I584" i="1"/>
  <c r="H584" i="1" a="1"/>
  <c r="H584" i="1"/>
  <c r="G584" i="1" a="1"/>
  <c r="G584" i="1"/>
  <c r="D584" i="1" s="1"/>
  <c r="I583" i="1" a="1"/>
  <c r="I583" i="1"/>
  <c r="H583" i="1" a="1"/>
  <c r="H583" i="1"/>
  <c r="G583" i="1" a="1"/>
  <c r="G583" i="1" s="1"/>
  <c r="D583" i="1" s="1"/>
  <c r="I582" i="1" a="1"/>
  <c r="I582" i="1" s="1"/>
  <c r="H582" i="1" a="1"/>
  <c r="H582" i="1"/>
  <c r="G582" i="1" a="1"/>
  <c r="G582" i="1"/>
  <c r="I581" i="1" a="1"/>
  <c r="I581" i="1" s="1"/>
  <c r="D581" i="1" s="1"/>
  <c r="H581" i="1" a="1"/>
  <c r="H581" i="1"/>
  <c r="G581" i="1" a="1"/>
  <c r="G581" i="1"/>
  <c r="I580" i="1" a="1"/>
  <c r="I580" i="1"/>
  <c r="H580" i="1" a="1"/>
  <c r="H580" i="1" s="1"/>
  <c r="D580" i="1" s="1"/>
  <c r="G580" i="1" a="1"/>
  <c r="G580" i="1"/>
  <c r="I579" i="1" a="1"/>
  <c r="I579" i="1" s="1"/>
  <c r="H579" i="1" a="1"/>
  <c r="H579" i="1" s="1"/>
  <c r="D579" i="1" s="1"/>
  <c r="G579" i="1" a="1"/>
  <c r="G579" i="1"/>
  <c r="I578" i="1" a="1"/>
  <c r="I578" i="1"/>
  <c r="H578" i="1" a="1"/>
  <c r="H578" i="1"/>
  <c r="G578" i="1" a="1"/>
  <c r="G578" i="1" s="1"/>
  <c r="D578" i="1" s="1"/>
  <c r="I577" i="1" a="1"/>
  <c r="I577" i="1"/>
  <c r="H577" i="1" a="1"/>
  <c r="H577" i="1" s="1"/>
  <c r="G577" i="1" a="1"/>
  <c r="G577" i="1" s="1"/>
  <c r="D577" i="1" s="1"/>
  <c r="I576" i="1" a="1"/>
  <c r="I576" i="1"/>
  <c r="H576" i="1" a="1"/>
  <c r="H576" i="1"/>
  <c r="G576" i="1" a="1"/>
  <c r="G576" i="1"/>
  <c r="D576" i="1" s="1"/>
  <c r="I575" i="1" a="1"/>
  <c r="I575" i="1"/>
  <c r="H575" i="1" a="1"/>
  <c r="H575" i="1"/>
  <c r="G575" i="1" a="1"/>
  <c r="G575" i="1" s="1"/>
  <c r="D575" i="1" s="1"/>
  <c r="I574" i="1" a="1"/>
  <c r="I574" i="1" s="1"/>
  <c r="H574" i="1" a="1"/>
  <c r="H574" i="1"/>
  <c r="G574" i="1" a="1"/>
  <c r="G574" i="1"/>
  <c r="I573" i="1" a="1"/>
  <c r="I573" i="1" s="1"/>
  <c r="D573" i="1" s="1"/>
  <c r="H573" i="1" a="1"/>
  <c r="H573" i="1"/>
  <c r="G573" i="1" a="1"/>
  <c r="G573" i="1"/>
  <c r="I572" i="1" a="1"/>
  <c r="I572" i="1"/>
  <c r="H572" i="1" a="1"/>
  <c r="H572" i="1" s="1"/>
  <c r="D572" i="1" s="1"/>
  <c r="G572" i="1" a="1"/>
  <c r="G572" i="1"/>
  <c r="I571" i="1" a="1"/>
  <c r="I571" i="1" s="1"/>
  <c r="H571" i="1" a="1"/>
  <c r="H571" i="1" s="1"/>
  <c r="G571" i="1" a="1"/>
  <c r="G571" i="1"/>
  <c r="I570" i="1" a="1"/>
  <c r="I570" i="1"/>
  <c r="H570" i="1" a="1"/>
  <c r="H570" i="1"/>
  <c r="G570" i="1" a="1"/>
  <c r="G570" i="1" s="1"/>
  <c r="D570" i="1" s="1"/>
  <c r="I569" i="1" a="1"/>
  <c r="I569" i="1"/>
  <c r="H569" i="1" a="1"/>
  <c r="H569" i="1" s="1"/>
  <c r="G569" i="1" a="1"/>
  <c r="G569" i="1" s="1"/>
  <c r="I568" i="1" a="1"/>
  <c r="I568" i="1"/>
  <c r="H568" i="1" a="1"/>
  <c r="H568" i="1"/>
  <c r="G568" i="1" a="1"/>
  <c r="G568" i="1"/>
  <c r="D568" i="1" s="1"/>
  <c r="I567" i="1" a="1"/>
  <c r="I567" i="1"/>
  <c r="H567" i="1" a="1"/>
  <c r="H567" i="1"/>
  <c r="G567" i="1" a="1"/>
  <c r="G567" i="1" s="1"/>
  <c r="D567" i="1" s="1"/>
  <c r="I566" i="1" a="1"/>
  <c r="I566" i="1" s="1"/>
  <c r="H566" i="1" a="1"/>
  <c r="H566" i="1"/>
  <c r="G566" i="1" a="1"/>
  <c r="G566" i="1"/>
  <c r="I565" i="1" a="1"/>
  <c r="I565" i="1" s="1"/>
  <c r="D565" i="1" s="1"/>
  <c r="H565" i="1" a="1"/>
  <c r="H565" i="1"/>
  <c r="G565" i="1" a="1"/>
  <c r="G565" i="1"/>
  <c r="I564" i="1" a="1"/>
  <c r="I564" i="1"/>
  <c r="H564" i="1" a="1"/>
  <c r="H564" i="1" s="1"/>
  <c r="D564" i="1" s="1"/>
  <c r="G564" i="1" a="1"/>
  <c r="G564" i="1"/>
  <c r="I563" i="1" a="1"/>
  <c r="I563" i="1" s="1"/>
  <c r="H563" i="1" a="1"/>
  <c r="H563" i="1" s="1"/>
  <c r="D563" i="1" s="1"/>
  <c r="G563" i="1" a="1"/>
  <c r="G563" i="1"/>
  <c r="I562" i="1" a="1"/>
  <c r="I562" i="1"/>
  <c r="H562" i="1" a="1"/>
  <c r="H562" i="1"/>
  <c r="G562" i="1" a="1"/>
  <c r="G562" i="1" s="1"/>
  <c r="D562" i="1" s="1"/>
  <c r="I561" i="1" a="1"/>
  <c r="I561" i="1"/>
  <c r="H561" i="1" a="1"/>
  <c r="H561" i="1" s="1"/>
  <c r="G561" i="1" a="1"/>
  <c r="G561" i="1" s="1"/>
  <c r="I560" i="1" a="1"/>
  <c r="I560" i="1"/>
  <c r="H560" i="1" a="1"/>
  <c r="H560" i="1"/>
  <c r="G560" i="1" a="1"/>
  <c r="G560" i="1"/>
  <c r="D560" i="1" s="1"/>
  <c r="I559" i="1" a="1"/>
  <c r="I559" i="1"/>
  <c r="H559" i="1" a="1"/>
  <c r="H559" i="1"/>
  <c r="G559" i="1" a="1"/>
  <c r="G559" i="1" s="1"/>
  <c r="D559" i="1" s="1"/>
  <c r="I558" i="1" a="1"/>
  <c r="I558" i="1" s="1"/>
  <c r="H558" i="1" a="1"/>
  <c r="H558" i="1"/>
  <c r="G558" i="1" a="1"/>
  <c r="G558" i="1"/>
  <c r="I557" i="1" a="1"/>
  <c r="I557" i="1" s="1"/>
  <c r="D557" i="1" s="1"/>
  <c r="H557" i="1" a="1"/>
  <c r="H557" i="1"/>
  <c r="G557" i="1" a="1"/>
  <c r="G557" i="1"/>
  <c r="I556" i="1" a="1"/>
  <c r="I556" i="1"/>
  <c r="H556" i="1" a="1"/>
  <c r="H556" i="1" s="1"/>
  <c r="D556" i="1" s="1"/>
  <c r="G556" i="1" a="1"/>
  <c r="G556" i="1"/>
  <c r="I555" i="1" a="1"/>
  <c r="I555" i="1" s="1"/>
  <c r="H555" i="1" a="1"/>
  <c r="H555" i="1" s="1"/>
  <c r="D555" i="1" s="1"/>
  <c r="G555" i="1" a="1"/>
  <c r="G555" i="1"/>
  <c r="I554" i="1" a="1"/>
  <c r="I554" i="1"/>
  <c r="H554" i="1" a="1"/>
  <c r="H554" i="1"/>
  <c r="G554" i="1" a="1"/>
  <c r="G554" i="1" s="1"/>
  <c r="D554" i="1" s="1"/>
  <c r="I553" i="1" a="1"/>
  <c r="I553" i="1"/>
  <c r="H553" i="1" a="1"/>
  <c r="H553" i="1" s="1"/>
  <c r="G553" i="1" a="1"/>
  <c r="G553" i="1" s="1"/>
  <c r="D553" i="1" s="1"/>
  <c r="I552" i="1" a="1"/>
  <c r="I552" i="1"/>
  <c r="H552" i="1" a="1"/>
  <c r="H552" i="1"/>
  <c r="G552" i="1" a="1"/>
  <c r="G552" i="1"/>
  <c r="D552" i="1" s="1"/>
  <c r="I551" i="1" a="1"/>
  <c r="I551" i="1"/>
  <c r="H551" i="1" a="1"/>
  <c r="H551" i="1"/>
  <c r="G551" i="1" a="1"/>
  <c r="G551" i="1" s="1"/>
  <c r="D551" i="1"/>
  <c r="I550" i="1" a="1"/>
  <c r="I550" i="1" s="1"/>
  <c r="H550" i="1" a="1"/>
  <c r="H550" i="1"/>
  <c r="G550" i="1" a="1"/>
  <c r="G550" i="1"/>
  <c r="I549" i="1" a="1"/>
  <c r="I549" i="1" s="1"/>
  <c r="D549" i="1" s="1"/>
  <c r="H549" i="1" a="1"/>
  <c r="H549" i="1"/>
  <c r="G549" i="1" a="1"/>
  <c r="G549" i="1"/>
  <c r="I548" i="1" a="1"/>
  <c r="I548" i="1"/>
  <c r="H548" i="1" a="1"/>
  <c r="H548" i="1" s="1"/>
  <c r="G548" i="1" a="1"/>
  <c r="G548" i="1"/>
  <c r="I547" i="1" a="1"/>
  <c r="I547" i="1" s="1"/>
  <c r="H547" i="1" a="1"/>
  <c r="H547" i="1" s="1"/>
  <c r="D547" i="1" s="1"/>
  <c r="G547" i="1" a="1"/>
  <c r="G547" i="1"/>
  <c r="I546" i="1" a="1"/>
  <c r="I546" i="1"/>
  <c r="H546" i="1" a="1"/>
  <c r="H546" i="1"/>
  <c r="G546" i="1" a="1"/>
  <c r="G546" i="1" s="1"/>
  <c r="D546" i="1" s="1"/>
  <c r="I545" i="1" a="1"/>
  <c r="I545" i="1"/>
  <c r="H545" i="1" a="1"/>
  <c r="H545" i="1" s="1"/>
  <c r="G545" i="1" a="1"/>
  <c r="G545" i="1" s="1"/>
  <c r="D545" i="1" s="1"/>
  <c r="I544" i="1" a="1"/>
  <c r="I544" i="1"/>
  <c r="H544" i="1" a="1"/>
  <c r="H544" i="1"/>
  <c r="G544" i="1" a="1"/>
  <c r="G544" i="1"/>
  <c r="D544" i="1" s="1"/>
  <c r="I543" i="1" a="1"/>
  <c r="I543" i="1"/>
  <c r="H543" i="1" a="1"/>
  <c r="H543" i="1"/>
  <c r="G543" i="1" a="1"/>
  <c r="G543" i="1" s="1"/>
  <c r="D543" i="1"/>
  <c r="I542" i="1" a="1"/>
  <c r="I542" i="1" s="1"/>
  <c r="H542" i="1" a="1"/>
  <c r="H542" i="1"/>
  <c r="G542" i="1" a="1"/>
  <c r="G542" i="1"/>
  <c r="I541" i="1" a="1"/>
  <c r="I541" i="1" s="1"/>
  <c r="H541" i="1" a="1"/>
  <c r="H541" i="1"/>
  <c r="G541" i="1" a="1"/>
  <c r="G541" i="1"/>
  <c r="D541" i="1"/>
  <c r="I540" i="1" a="1"/>
  <c r="I540" i="1"/>
  <c r="H540" i="1" a="1"/>
  <c r="H540" i="1" s="1"/>
  <c r="G540" i="1" a="1"/>
  <c r="G540" i="1"/>
  <c r="I539" i="1" a="1"/>
  <c r="I539" i="1" s="1"/>
  <c r="H539" i="1" a="1"/>
  <c r="H539" i="1" s="1"/>
  <c r="D539" i="1" s="1"/>
  <c r="G539" i="1" a="1"/>
  <c r="G539" i="1"/>
  <c r="I538" i="1" a="1"/>
  <c r="I538" i="1"/>
  <c r="H538" i="1" a="1"/>
  <c r="H538" i="1"/>
  <c r="G538" i="1" a="1"/>
  <c r="G538" i="1" s="1"/>
  <c r="D538" i="1" s="1"/>
  <c r="I537" i="1" a="1"/>
  <c r="I537" i="1"/>
  <c r="H537" i="1" a="1"/>
  <c r="H537" i="1" s="1"/>
  <c r="G537" i="1" a="1"/>
  <c r="G537" i="1" s="1"/>
  <c r="I536" i="1" a="1"/>
  <c r="I536" i="1"/>
  <c r="H536" i="1" a="1"/>
  <c r="H536" i="1"/>
  <c r="G536" i="1" a="1"/>
  <c r="G536" i="1"/>
  <c r="I535" i="1" a="1"/>
  <c r="I535" i="1"/>
  <c r="H535" i="1" a="1"/>
  <c r="H535" i="1"/>
  <c r="G535" i="1" a="1"/>
  <c r="G535" i="1" s="1"/>
  <c r="D535" i="1"/>
  <c r="I534" i="1" a="1"/>
  <c r="I534" i="1" s="1"/>
  <c r="H534" i="1" a="1"/>
  <c r="H534" i="1"/>
  <c r="G534" i="1" a="1"/>
  <c r="G534" i="1"/>
  <c r="I533" i="1" a="1"/>
  <c r="I533" i="1" s="1"/>
  <c r="H533" i="1" a="1"/>
  <c r="H533" i="1"/>
  <c r="G533" i="1" a="1"/>
  <c r="G533" i="1"/>
  <c r="D533" i="1"/>
  <c r="I532" i="1" a="1"/>
  <c r="I532" i="1" s="1"/>
  <c r="D532" i="1" s="1"/>
  <c r="H532" i="1" a="1"/>
  <c r="H532" i="1" s="1"/>
  <c r="G532" i="1" a="1"/>
  <c r="G532" i="1"/>
  <c r="I531" i="1" a="1"/>
  <c r="I531" i="1"/>
  <c r="H531" i="1" a="1"/>
  <c r="H531" i="1" s="1"/>
  <c r="G531" i="1" a="1"/>
  <c r="G531" i="1"/>
  <c r="I530" i="1" a="1"/>
  <c r="I530" i="1"/>
  <c r="H530" i="1" a="1"/>
  <c r="H530" i="1" s="1"/>
  <c r="G530" i="1" a="1"/>
  <c r="G530" i="1" s="1"/>
  <c r="I529" i="1" a="1"/>
  <c r="I529" i="1"/>
  <c r="H529" i="1" a="1"/>
  <c r="H529" i="1"/>
  <c r="G529" i="1" a="1"/>
  <c r="G529" i="1" s="1"/>
  <c r="D529" i="1" s="1"/>
  <c r="I528" i="1" a="1"/>
  <c r="I528" i="1"/>
  <c r="H528" i="1" a="1"/>
  <c r="H528" i="1" s="1"/>
  <c r="G528" i="1" a="1"/>
  <c r="G528" i="1"/>
  <c r="I527" i="1" a="1"/>
  <c r="I527" i="1"/>
  <c r="H527" i="1" a="1"/>
  <c r="H527" i="1"/>
  <c r="G527" i="1" a="1"/>
  <c r="G527" i="1" s="1"/>
  <c r="D527" i="1" s="1"/>
  <c r="I526" i="1" a="1"/>
  <c r="I526" i="1" s="1"/>
  <c r="H526" i="1" a="1"/>
  <c r="H526" i="1"/>
  <c r="G526" i="1" a="1"/>
  <c r="G526" i="1" s="1"/>
  <c r="D526" i="1" s="1"/>
  <c r="I525" i="1" a="1"/>
  <c r="I525" i="1" s="1"/>
  <c r="H525" i="1" a="1"/>
  <c r="H525" i="1"/>
  <c r="G525" i="1" a="1"/>
  <c r="G525" i="1"/>
  <c r="D525" i="1"/>
  <c r="I524" i="1" a="1"/>
  <c r="I524" i="1"/>
  <c r="D524" i="1" s="1"/>
  <c r="H524" i="1" a="1"/>
  <c r="H524" i="1" s="1"/>
  <c r="G524" i="1" a="1"/>
  <c r="G524" i="1"/>
  <c r="I523" i="1" a="1"/>
  <c r="I523" i="1"/>
  <c r="H523" i="1" a="1"/>
  <c r="H523" i="1" s="1"/>
  <c r="G523" i="1" a="1"/>
  <c r="G523" i="1"/>
  <c r="I522" i="1" a="1"/>
  <c r="I522" i="1"/>
  <c r="H522" i="1" a="1"/>
  <c r="H522" i="1"/>
  <c r="G522" i="1" a="1"/>
  <c r="G522" i="1" s="1"/>
  <c r="D522" i="1" s="1"/>
  <c r="I521" i="1" a="1"/>
  <c r="I521" i="1"/>
  <c r="H521" i="1" a="1"/>
  <c r="H521" i="1" s="1"/>
  <c r="G521" i="1" a="1"/>
  <c r="G521" i="1" s="1"/>
  <c r="I520" i="1" a="1"/>
  <c r="I520" i="1"/>
  <c r="H520" i="1" a="1"/>
  <c r="H520" i="1" s="1"/>
  <c r="G520" i="1" a="1"/>
  <c r="G520" i="1" s="1"/>
  <c r="I519" i="1" a="1"/>
  <c r="I519" i="1"/>
  <c r="H519" i="1" a="1"/>
  <c r="H519" i="1"/>
  <c r="G519" i="1" a="1"/>
  <c r="G519" i="1" s="1"/>
  <c r="D519" i="1" s="1"/>
  <c r="I518" i="1" a="1"/>
  <c r="I518" i="1" s="1"/>
  <c r="H518" i="1" a="1"/>
  <c r="H518" i="1"/>
  <c r="G518" i="1" a="1"/>
  <c r="G518" i="1"/>
  <c r="D518" i="1"/>
  <c r="I517" i="1" a="1"/>
  <c r="I517" i="1" s="1"/>
  <c r="D517" i="1" s="1"/>
  <c r="H517" i="1" a="1"/>
  <c r="H517" i="1"/>
  <c r="G517" i="1" a="1"/>
  <c r="G517" i="1"/>
  <c r="I516" i="1" a="1"/>
  <c r="I516" i="1"/>
  <c r="H516" i="1" a="1"/>
  <c r="H516" i="1" s="1"/>
  <c r="D516" i="1" s="1"/>
  <c r="G516" i="1" a="1"/>
  <c r="G516" i="1"/>
  <c r="I515" i="1" a="1"/>
  <c r="I515" i="1"/>
  <c r="H515" i="1" a="1"/>
  <c r="H515" i="1" s="1"/>
  <c r="D515" i="1" s="1"/>
  <c r="G515" i="1" a="1"/>
  <c r="G515" i="1"/>
  <c r="I514" i="1" a="1"/>
  <c r="I514" i="1" s="1"/>
  <c r="H514" i="1" a="1"/>
  <c r="H514" i="1"/>
  <c r="G514" i="1" a="1"/>
  <c r="G514" i="1" s="1"/>
  <c r="I513" i="1" a="1"/>
  <c r="I513" i="1"/>
  <c r="H513" i="1" a="1"/>
  <c r="H513" i="1"/>
  <c r="G513" i="1" a="1"/>
  <c r="G513" i="1" s="1"/>
  <c r="I512" i="1" a="1"/>
  <c r="I512" i="1"/>
  <c r="H512" i="1" a="1"/>
  <c r="H512" i="1"/>
  <c r="G512" i="1" a="1"/>
  <c r="G512" i="1" s="1"/>
  <c r="D512" i="1" s="1"/>
  <c r="I511" i="1" a="1"/>
  <c r="I511" i="1"/>
  <c r="H511" i="1" a="1"/>
  <c r="H511" i="1"/>
  <c r="G511" i="1" a="1"/>
  <c r="G511" i="1"/>
  <c r="D511" i="1"/>
  <c r="I510" i="1" a="1"/>
  <c r="I510" i="1" s="1"/>
  <c r="D510" i="1" s="1"/>
  <c r="H510" i="1" a="1"/>
  <c r="H510" i="1"/>
  <c r="G510" i="1" a="1"/>
  <c r="G510" i="1"/>
  <c r="I509" i="1" a="1"/>
  <c r="I509" i="1" s="1"/>
  <c r="H509" i="1" a="1"/>
  <c r="H509" i="1"/>
  <c r="G509" i="1" a="1"/>
  <c r="G509" i="1"/>
  <c r="D509" i="1" s="1"/>
  <c r="I508" i="1" a="1"/>
  <c r="I508" i="1"/>
  <c r="H508" i="1" a="1"/>
  <c r="H508" i="1" s="1"/>
  <c r="G508" i="1" a="1"/>
  <c r="G508" i="1"/>
  <c r="D508" i="1"/>
  <c r="I507" i="1" a="1"/>
  <c r="I507" i="1" s="1"/>
  <c r="H507" i="1" a="1"/>
  <c r="H507" i="1" s="1"/>
  <c r="G507" i="1" a="1"/>
  <c r="G507" i="1"/>
  <c r="I506" i="1" a="1"/>
  <c r="I506" i="1" s="1"/>
  <c r="H506" i="1" a="1"/>
  <c r="H506" i="1" s="1"/>
  <c r="G506" i="1" a="1"/>
  <c r="G506" i="1" s="1"/>
  <c r="I505" i="1" a="1"/>
  <c r="I505" i="1"/>
  <c r="H505" i="1" a="1"/>
  <c r="H505" i="1"/>
  <c r="G505" i="1" a="1"/>
  <c r="G505" i="1" s="1"/>
  <c r="I504" i="1" a="1"/>
  <c r="I504" i="1"/>
  <c r="H504" i="1" a="1"/>
  <c r="H504" i="1"/>
  <c r="G504" i="1" a="1"/>
  <c r="G504" i="1"/>
  <c r="D504" i="1" s="1"/>
  <c r="I503" i="1" a="1"/>
  <c r="I503" i="1"/>
  <c r="H503" i="1" a="1"/>
  <c r="H503" i="1"/>
  <c r="G503" i="1" a="1"/>
  <c r="G503" i="1"/>
  <c r="D503" i="1"/>
  <c r="I502" i="1" a="1"/>
  <c r="I502" i="1" s="1"/>
  <c r="H502" i="1" a="1"/>
  <c r="H502" i="1"/>
  <c r="G502" i="1" a="1"/>
  <c r="G502" i="1" s="1"/>
  <c r="D502" i="1" s="1"/>
  <c r="I501" i="1" a="1"/>
  <c r="I501" i="1" s="1"/>
  <c r="H501" i="1" a="1"/>
  <c r="H501" i="1"/>
  <c r="G501" i="1" a="1"/>
  <c r="G501" i="1"/>
  <c r="D501" i="1"/>
  <c r="I500" i="1" a="1"/>
  <c r="I500" i="1" s="1"/>
  <c r="D500" i="1" s="1"/>
  <c r="H500" i="1" a="1"/>
  <c r="H500" i="1" s="1"/>
  <c r="G500" i="1" a="1"/>
  <c r="G500" i="1"/>
  <c r="I499" i="1" a="1"/>
  <c r="I499" i="1"/>
  <c r="H499" i="1" a="1"/>
  <c r="H499" i="1" s="1"/>
  <c r="G499" i="1" a="1"/>
  <c r="G499" i="1"/>
  <c r="I498" i="1" a="1"/>
  <c r="I498" i="1"/>
  <c r="H498" i="1" a="1"/>
  <c r="H498" i="1" s="1"/>
  <c r="G498" i="1" a="1"/>
  <c r="G498" i="1" s="1"/>
  <c r="I497" i="1" a="1"/>
  <c r="I497" i="1"/>
  <c r="H497" i="1" a="1"/>
  <c r="H497" i="1"/>
  <c r="G497" i="1" a="1"/>
  <c r="G497" i="1" s="1"/>
  <c r="D497" i="1" s="1"/>
  <c r="I496" i="1" a="1"/>
  <c r="I496" i="1"/>
  <c r="H496" i="1" a="1"/>
  <c r="H496" i="1" s="1"/>
  <c r="G496" i="1" a="1"/>
  <c r="G496" i="1"/>
  <c r="I495" i="1" a="1"/>
  <c r="I495" i="1"/>
  <c r="H495" i="1" a="1"/>
  <c r="H495" i="1"/>
  <c r="G495" i="1" a="1"/>
  <c r="G495" i="1" s="1"/>
  <c r="D495" i="1" s="1"/>
  <c r="I494" i="1" a="1"/>
  <c r="I494" i="1" s="1"/>
  <c r="H494" i="1" a="1"/>
  <c r="H494" i="1"/>
  <c r="G494" i="1" a="1"/>
  <c r="G494" i="1" s="1"/>
  <c r="D494" i="1" s="1"/>
  <c r="I493" i="1" a="1"/>
  <c r="I493" i="1" s="1"/>
  <c r="H493" i="1" a="1"/>
  <c r="H493" i="1"/>
  <c r="G493" i="1" a="1"/>
  <c r="G493" i="1"/>
  <c r="D493" i="1"/>
  <c r="I492" i="1" a="1"/>
  <c r="I492" i="1"/>
  <c r="D492" i="1" s="1"/>
  <c r="H492" i="1" a="1"/>
  <c r="H492" i="1" s="1"/>
  <c r="G492" i="1" a="1"/>
  <c r="G492" i="1"/>
  <c r="I491" i="1" a="1"/>
  <c r="I491" i="1"/>
  <c r="H491" i="1" a="1"/>
  <c r="H491" i="1" s="1"/>
  <c r="G491" i="1" a="1"/>
  <c r="G491" i="1"/>
  <c r="I490" i="1" a="1"/>
  <c r="I490" i="1"/>
  <c r="H490" i="1" a="1"/>
  <c r="H490" i="1"/>
  <c r="G490" i="1" a="1"/>
  <c r="G490" i="1" s="1"/>
  <c r="D490" i="1" s="1"/>
  <c r="I489" i="1" a="1"/>
  <c r="I489" i="1"/>
  <c r="H489" i="1" a="1"/>
  <c r="H489" i="1" s="1"/>
  <c r="G489" i="1" a="1"/>
  <c r="G489" i="1" s="1"/>
  <c r="I488" i="1" a="1"/>
  <c r="I488" i="1"/>
  <c r="H488" i="1" a="1"/>
  <c r="H488" i="1" s="1"/>
  <c r="G488" i="1" a="1"/>
  <c r="G488" i="1" s="1"/>
  <c r="I487" i="1" a="1"/>
  <c r="I487" i="1"/>
  <c r="H487" i="1" a="1"/>
  <c r="H487" i="1"/>
  <c r="G487" i="1" a="1"/>
  <c r="G487" i="1" s="1"/>
  <c r="D487" i="1" s="1"/>
  <c r="I486" i="1" a="1"/>
  <c r="I486" i="1" s="1"/>
  <c r="H486" i="1" a="1"/>
  <c r="H486" i="1"/>
  <c r="G486" i="1" a="1"/>
  <c r="G486" i="1"/>
  <c r="D486" i="1"/>
  <c r="I485" i="1" a="1"/>
  <c r="I485" i="1" s="1"/>
  <c r="D485" i="1" s="1"/>
  <c r="H485" i="1" a="1"/>
  <c r="H485" i="1"/>
  <c r="G485" i="1" a="1"/>
  <c r="G485" i="1"/>
  <c r="I484" i="1" a="1"/>
  <c r="I484" i="1"/>
  <c r="H484" i="1" a="1"/>
  <c r="H484" i="1" s="1"/>
  <c r="D484" i="1" s="1"/>
  <c r="G484" i="1" a="1"/>
  <c r="G484" i="1"/>
  <c r="I483" i="1" a="1"/>
  <c r="I483" i="1"/>
  <c r="H483" i="1" a="1"/>
  <c r="H483" i="1" s="1"/>
  <c r="D483" i="1" s="1"/>
  <c r="G483" i="1" a="1"/>
  <c r="G483" i="1"/>
  <c r="I482" i="1" a="1"/>
  <c r="I482" i="1" s="1"/>
  <c r="H482" i="1" a="1"/>
  <c r="H482" i="1"/>
  <c r="G482" i="1" a="1"/>
  <c r="G482" i="1" s="1"/>
  <c r="I481" i="1" a="1"/>
  <c r="I481" i="1"/>
  <c r="H481" i="1" a="1"/>
  <c r="H481" i="1"/>
  <c r="G481" i="1" a="1"/>
  <c r="G481" i="1" s="1"/>
  <c r="I480" i="1" a="1"/>
  <c r="I480" i="1"/>
  <c r="H480" i="1" a="1"/>
  <c r="H480" i="1"/>
  <c r="G480" i="1" a="1"/>
  <c r="G480" i="1" s="1"/>
  <c r="D480" i="1" s="1"/>
  <c r="I479" i="1" a="1"/>
  <c r="I479" i="1"/>
  <c r="H479" i="1" a="1"/>
  <c r="H479" i="1"/>
  <c r="G479" i="1" a="1"/>
  <c r="G479" i="1"/>
  <c r="D479" i="1"/>
  <c r="I478" i="1" a="1"/>
  <c r="I478" i="1" s="1"/>
  <c r="D478" i="1" s="1"/>
  <c r="H478" i="1" a="1"/>
  <c r="H478" i="1"/>
  <c r="G478" i="1" a="1"/>
  <c r="G478" i="1"/>
  <c r="I477" i="1" a="1"/>
  <c r="I477" i="1" s="1"/>
  <c r="H477" i="1" a="1"/>
  <c r="H477" i="1"/>
  <c r="G477" i="1" a="1"/>
  <c r="G477" i="1"/>
  <c r="D477" i="1" s="1"/>
  <c r="I476" i="1" a="1"/>
  <c r="I476" i="1"/>
  <c r="H476" i="1" a="1"/>
  <c r="H476" i="1" s="1"/>
  <c r="G476" i="1" a="1"/>
  <c r="G476" i="1"/>
  <c r="D476" i="1"/>
  <c r="I475" i="1" a="1"/>
  <c r="I475" i="1" s="1"/>
  <c r="H475" i="1" a="1"/>
  <c r="H475" i="1" s="1"/>
  <c r="G475" i="1" a="1"/>
  <c r="G475" i="1"/>
  <c r="I474" i="1" a="1"/>
  <c r="I474" i="1" s="1"/>
  <c r="H474" i="1" a="1"/>
  <c r="H474" i="1" s="1"/>
  <c r="G474" i="1" a="1"/>
  <c r="G474" i="1" s="1"/>
  <c r="I473" i="1" a="1"/>
  <c r="I473" i="1"/>
  <c r="H473" i="1" a="1"/>
  <c r="H473" i="1"/>
  <c r="G473" i="1" a="1"/>
  <c r="G473" i="1" s="1"/>
  <c r="I472" i="1" a="1"/>
  <c r="I472" i="1"/>
  <c r="H472" i="1" a="1"/>
  <c r="H472" i="1"/>
  <c r="G472" i="1" a="1"/>
  <c r="G472" i="1"/>
  <c r="D472" i="1" s="1"/>
  <c r="I471" i="1" a="1"/>
  <c r="I471" i="1"/>
  <c r="H471" i="1" a="1"/>
  <c r="H471" i="1"/>
  <c r="G471" i="1" a="1"/>
  <c r="G471" i="1"/>
  <c r="D471" i="1"/>
  <c r="I470" i="1" a="1"/>
  <c r="I470" i="1" s="1"/>
  <c r="H470" i="1" a="1"/>
  <c r="H470" i="1"/>
  <c r="G470" i="1" a="1"/>
  <c r="G470" i="1" s="1"/>
  <c r="D470" i="1" s="1"/>
  <c r="I469" i="1" a="1"/>
  <c r="I469" i="1" s="1"/>
  <c r="H469" i="1" a="1"/>
  <c r="H469" i="1"/>
  <c r="G469" i="1" a="1"/>
  <c r="G469" i="1"/>
  <c r="D469" i="1"/>
  <c r="I468" i="1" a="1"/>
  <c r="I468" i="1" s="1"/>
  <c r="D468" i="1" s="1"/>
  <c r="H468" i="1" a="1"/>
  <c r="H468" i="1" s="1"/>
  <c r="G468" i="1" a="1"/>
  <c r="G468" i="1"/>
  <c r="I467" i="1" a="1"/>
  <c r="I467" i="1"/>
  <c r="H467" i="1" a="1"/>
  <c r="H467" i="1" s="1"/>
  <c r="G467" i="1" a="1"/>
  <c r="G467" i="1"/>
  <c r="I466" i="1" a="1"/>
  <c r="I466" i="1"/>
  <c r="H466" i="1" a="1"/>
  <c r="H466" i="1" s="1"/>
  <c r="G466" i="1" a="1"/>
  <c r="G466" i="1" s="1"/>
  <c r="I465" i="1" a="1"/>
  <c r="I465" i="1"/>
  <c r="H465" i="1" a="1"/>
  <c r="H465" i="1"/>
  <c r="G465" i="1" a="1"/>
  <c r="G465" i="1" s="1"/>
  <c r="D465" i="1" s="1"/>
  <c r="I464" i="1" a="1"/>
  <c r="I464" i="1"/>
  <c r="H464" i="1" a="1"/>
  <c r="H464" i="1" s="1"/>
  <c r="G464" i="1" a="1"/>
  <c r="G464" i="1"/>
  <c r="I463" i="1" a="1"/>
  <c r="I463" i="1"/>
  <c r="H463" i="1" a="1"/>
  <c r="H463" i="1"/>
  <c r="G463" i="1" a="1"/>
  <c r="G463" i="1" s="1"/>
  <c r="D463" i="1" s="1"/>
  <c r="I462" i="1" a="1"/>
  <c r="I462" i="1" s="1"/>
  <c r="H462" i="1" a="1"/>
  <c r="H462" i="1"/>
  <c r="G462" i="1" a="1"/>
  <c r="G462" i="1" s="1"/>
  <c r="D462" i="1" s="1"/>
  <c r="I461" i="1" a="1"/>
  <c r="I461" i="1" s="1"/>
  <c r="H461" i="1" a="1"/>
  <c r="H461" i="1"/>
  <c r="G461" i="1" a="1"/>
  <c r="G461" i="1"/>
  <c r="D461" i="1"/>
  <c r="I460" i="1" a="1"/>
  <c r="I460" i="1"/>
  <c r="D460" i="1" s="1"/>
  <c r="H460" i="1" a="1"/>
  <c r="H460" i="1" s="1"/>
  <c r="G460" i="1" a="1"/>
  <c r="G460" i="1"/>
  <c r="I459" i="1" a="1"/>
  <c r="I459" i="1"/>
  <c r="H459" i="1" a="1"/>
  <c r="H459" i="1" s="1"/>
  <c r="G459" i="1" a="1"/>
  <c r="G459" i="1"/>
  <c r="I458" i="1" a="1"/>
  <c r="I458" i="1"/>
  <c r="H458" i="1" a="1"/>
  <c r="H458" i="1"/>
  <c r="G458" i="1" a="1"/>
  <c r="G458" i="1" s="1"/>
  <c r="D458" i="1" s="1"/>
  <c r="I457" i="1" a="1"/>
  <c r="I457" i="1"/>
  <c r="H457" i="1" a="1"/>
  <c r="H457" i="1" s="1"/>
  <c r="G457" i="1" a="1"/>
  <c r="G457" i="1" s="1"/>
  <c r="I456" i="1" a="1"/>
  <c r="I456" i="1"/>
  <c r="H456" i="1" a="1"/>
  <c r="H456" i="1" s="1"/>
  <c r="G456" i="1" a="1"/>
  <c r="G456" i="1" s="1"/>
  <c r="D456" i="1" s="1"/>
  <c r="I455" i="1" a="1"/>
  <c r="I455" i="1"/>
  <c r="H455" i="1" a="1"/>
  <c r="H455" i="1"/>
  <c r="G455" i="1" a="1"/>
  <c r="G455" i="1" s="1"/>
  <c r="D455" i="1" s="1"/>
  <c r="I454" i="1" a="1"/>
  <c r="I454" i="1" s="1"/>
  <c r="H454" i="1" a="1"/>
  <c r="H454" i="1"/>
  <c r="G454" i="1" a="1"/>
  <c r="G454" i="1"/>
  <c r="D454" i="1"/>
  <c r="I453" i="1" a="1"/>
  <c r="I453" i="1" s="1"/>
  <c r="D453" i="1" s="1"/>
  <c r="H453" i="1" a="1"/>
  <c r="H453" i="1"/>
  <c r="G453" i="1" a="1"/>
  <c r="G453" i="1"/>
  <c r="I452" i="1" a="1"/>
  <c r="I452" i="1"/>
  <c r="H452" i="1" a="1"/>
  <c r="H452" i="1" s="1"/>
  <c r="D452" i="1" s="1"/>
  <c r="G452" i="1" a="1"/>
  <c r="G452" i="1"/>
  <c r="I451" i="1" a="1"/>
  <c r="I451" i="1"/>
  <c r="H451" i="1" a="1"/>
  <c r="H451" i="1" s="1"/>
  <c r="D451" i="1" s="1"/>
  <c r="G451" i="1" a="1"/>
  <c r="G451" i="1"/>
  <c r="I450" i="1" a="1"/>
  <c r="I450" i="1" s="1"/>
  <c r="H450" i="1" a="1"/>
  <c r="H450" i="1"/>
  <c r="G450" i="1" a="1"/>
  <c r="G450" i="1" s="1"/>
  <c r="I449" i="1" a="1"/>
  <c r="I449" i="1"/>
  <c r="H449" i="1" a="1"/>
  <c r="H449" i="1"/>
  <c r="G449" i="1" a="1"/>
  <c r="G449" i="1" s="1"/>
  <c r="I448" i="1" a="1"/>
  <c r="I448" i="1"/>
  <c r="H448" i="1" a="1"/>
  <c r="H448" i="1"/>
  <c r="G448" i="1" a="1"/>
  <c r="G448" i="1" s="1"/>
  <c r="D448" i="1" s="1"/>
  <c r="I447" i="1" a="1"/>
  <c r="I447" i="1"/>
  <c r="H447" i="1" a="1"/>
  <c r="H447" i="1"/>
  <c r="G447" i="1" a="1"/>
  <c r="G447" i="1"/>
  <c r="D447" i="1"/>
  <c r="I446" i="1" a="1"/>
  <c r="I446" i="1" s="1"/>
  <c r="D446" i="1" s="1"/>
  <c r="H446" i="1" a="1"/>
  <c r="H446" i="1"/>
  <c r="G446" i="1" a="1"/>
  <c r="G446" i="1"/>
  <c r="I445" i="1" a="1"/>
  <c r="I445" i="1" s="1"/>
  <c r="H445" i="1" a="1"/>
  <c r="H445" i="1"/>
  <c r="G445" i="1" a="1"/>
  <c r="G445" i="1"/>
  <c r="D445" i="1" s="1"/>
  <c r="I444" i="1" a="1"/>
  <c r="I444" i="1"/>
  <c r="H444" i="1" a="1"/>
  <c r="H444" i="1" s="1"/>
  <c r="G444" i="1" a="1"/>
  <c r="G444" i="1"/>
  <c r="D444" i="1"/>
  <c r="I443" i="1" a="1"/>
  <c r="I443" i="1" s="1"/>
  <c r="H443" i="1" a="1"/>
  <c r="H443" i="1" s="1"/>
  <c r="G443" i="1" a="1"/>
  <c r="G443" i="1"/>
  <c r="I442" i="1" a="1"/>
  <c r="I442" i="1" s="1"/>
  <c r="H442" i="1" a="1"/>
  <c r="H442" i="1" s="1"/>
  <c r="G442" i="1" a="1"/>
  <c r="G442" i="1" s="1"/>
  <c r="I441" i="1" a="1"/>
  <c r="I441" i="1"/>
  <c r="H441" i="1" a="1"/>
  <c r="H441" i="1"/>
  <c r="G441" i="1" a="1"/>
  <c r="G441" i="1" s="1"/>
  <c r="I440" i="1" a="1"/>
  <c r="I440" i="1"/>
  <c r="H440" i="1" a="1"/>
  <c r="H440" i="1"/>
  <c r="G440" i="1" a="1"/>
  <c r="G440" i="1"/>
  <c r="D440" i="1" s="1"/>
  <c r="I439" i="1" a="1"/>
  <c r="I439" i="1"/>
  <c r="H439" i="1" a="1"/>
  <c r="H439" i="1"/>
  <c r="G439" i="1" a="1"/>
  <c r="G439" i="1"/>
  <c r="D439" i="1"/>
  <c r="I438" i="1" a="1"/>
  <c r="I438" i="1" s="1"/>
  <c r="H438" i="1" a="1"/>
  <c r="H438" i="1"/>
  <c r="G438" i="1" a="1"/>
  <c r="G438" i="1" s="1"/>
  <c r="D438" i="1" s="1"/>
  <c r="I437" i="1" a="1"/>
  <c r="I437" i="1" s="1"/>
  <c r="H437" i="1" a="1"/>
  <c r="H437" i="1"/>
  <c r="G437" i="1" a="1"/>
  <c r="G437" i="1"/>
  <c r="D437" i="1"/>
  <c r="I436" i="1" a="1"/>
  <c r="I436" i="1" s="1"/>
  <c r="D436" i="1" s="1"/>
  <c r="H436" i="1" a="1"/>
  <c r="H436" i="1" s="1"/>
  <c r="G436" i="1" a="1"/>
  <c r="G436" i="1"/>
  <c r="I435" i="1" a="1"/>
  <c r="I435" i="1"/>
  <c r="H435" i="1" a="1"/>
  <c r="H435" i="1" s="1"/>
  <c r="G435" i="1" a="1"/>
  <c r="G435" i="1"/>
  <c r="I434" i="1" a="1"/>
  <c r="I434" i="1"/>
  <c r="H434" i="1" a="1"/>
  <c r="H434" i="1" s="1"/>
  <c r="G434" i="1" a="1"/>
  <c r="G434" i="1" s="1"/>
  <c r="I433" i="1" a="1"/>
  <c r="I433" i="1"/>
  <c r="H433" i="1" a="1"/>
  <c r="H433" i="1"/>
  <c r="G433" i="1" a="1"/>
  <c r="G433" i="1" s="1"/>
  <c r="D433" i="1" s="1"/>
  <c r="I432" i="1" a="1"/>
  <c r="I432" i="1"/>
  <c r="H432" i="1" a="1"/>
  <c r="H432" i="1" s="1"/>
  <c r="G432" i="1" a="1"/>
  <c r="G432" i="1"/>
  <c r="I431" i="1" a="1"/>
  <c r="I431" i="1"/>
  <c r="H431" i="1" a="1"/>
  <c r="H431" i="1"/>
  <c r="G431" i="1" a="1"/>
  <c r="G431" i="1" s="1"/>
  <c r="D431" i="1" s="1"/>
  <c r="I430" i="1" a="1"/>
  <c r="I430" i="1" s="1"/>
  <c r="H430" i="1" a="1"/>
  <c r="H430" i="1"/>
  <c r="G430" i="1" a="1"/>
  <c r="G430" i="1" s="1"/>
  <c r="D430" i="1" s="1"/>
  <c r="I429" i="1" a="1"/>
  <c r="I429" i="1" s="1"/>
  <c r="H429" i="1" a="1"/>
  <c r="H429" i="1"/>
  <c r="G429" i="1" a="1"/>
  <c r="G429" i="1"/>
  <c r="D429" i="1"/>
  <c r="I428" i="1" a="1"/>
  <c r="I428" i="1"/>
  <c r="D428" i="1" s="1"/>
  <c r="H428" i="1" a="1"/>
  <c r="H428" i="1" s="1"/>
  <c r="G428" i="1" a="1"/>
  <c r="G428" i="1"/>
  <c r="I427" i="1" a="1"/>
  <c r="I427" i="1"/>
  <c r="H427" i="1" a="1"/>
  <c r="H427" i="1" s="1"/>
  <c r="G427" i="1" a="1"/>
  <c r="G427" i="1"/>
  <c r="I426" i="1" a="1"/>
  <c r="I426" i="1"/>
  <c r="H426" i="1" a="1"/>
  <c r="H426" i="1"/>
  <c r="G426" i="1" a="1"/>
  <c r="G426" i="1" s="1"/>
  <c r="D426" i="1" s="1"/>
  <c r="I425" i="1" a="1"/>
  <c r="I425" i="1"/>
  <c r="H425" i="1" a="1"/>
  <c r="H425" i="1" s="1"/>
  <c r="G425" i="1" a="1"/>
  <c r="G425" i="1" s="1"/>
  <c r="I424" i="1" a="1"/>
  <c r="I424" i="1"/>
  <c r="H424" i="1" a="1"/>
  <c r="H424" i="1" s="1"/>
  <c r="G424" i="1" a="1"/>
  <c r="G424" i="1" s="1"/>
  <c r="I423" i="1" a="1"/>
  <c r="I423" i="1"/>
  <c r="H423" i="1" a="1"/>
  <c r="H423" i="1"/>
  <c r="G423" i="1" a="1"/>
  <c r="G423" i="1" s="1"/>
  <c r="D423" i="1" s="1"/>
  <c r="I422" i="1" a="1"/>
  <c r="I422" i="1" s="1"/>
  <c r="H422" i="1" a="1"/>
  <c r="H422" i="1"/>
  <c r="G422" i="1" a="1"/>
  <c r="G422" i="1"/>
  <c r="D422" i="1"/>
  <c r="I421" i="1" a="1"/>
  <c r="I421" i="1" s="1"/>
  <c r="D421" i="1" s="1"/>
  <c r="H421" i="1" a="1"/>
  <c r="H421" i="1"/>
  <c r="G421" i="1" a="1"/>
  <c r="G421" i="1"/>
  <c r="I420" i="1" a="1"/>
  <c r="I420" i="1"/>
  <c r="H420" i="1" a="1"/>
  <c r="H420" i="1" s="1"/>
  <c r="D420" i="1" s="1"/>
  <c r="G420" i="1" a="1"/>
  <c r="G420" i="1"/>
  <c r="I419" i="1" a="1"/>
  <c r="I419" i="1"/>
  <c r="H419" i="1" a="1"/>
  <c r="H419" i="1" s="1"/>
  <c r="D419" i="1" s="1"/>
  <c r="G419" i="1" a="1"/>
  <c r="G419" i="1"/>
  <c r="I418" i="1" a="1"/>
  <c r="I418" i="1" s="1"/>
  <c r="H418" i="1" a="1"/>
  <c r="H418" i="1"/>
  <c r="G418" i="1" a="1"/>
  <c r="G418" i="1" s="1"/>
  <c r="I417" i="1" a="1"/>
  <c r="I417" i="1"/>
  <c r="H417" i="1" a="1"/>
  <c r="H417" i="1"/>
  <c r="G417" i="1" a="1"/>
  <c r="G417" i="1" s="1"/>
  <c r="I416" i="1" a="1"/>
  <c r="I416" i="1"/>
  <c r="H416" i="1" a="1"/>
  <c r="H416" i="1"/>
  <c r="G416" i="1" a="1"/>
  <c r="G416" i="1" s="1"/>
  <c r="D416" i="1" s="1"/>
  <c r="I415" i="1" a="1"/>
  <c r="I415" i="1"/>
  <c r="H415" i="1" a="1"/>
  <c r="H415" i="1"/>
  <c r="G415" i="1" a="1"/>
  <c r="G415" i="1"/>
  <c r="D415" i="1"/>
  <c r="I414" i="1" a="1"/>
  <c r="I414" i="1" s="1"/>
  <c r="D414" i="1" s="1"/>
  <c r="H414" i="1" a="1"/>
  <c r="H414" i="1"/>
  <c r="G414" i="1" a="1"/>
  <c r="G414" i="1"/>
  <c r="I413" i="1" a="1"/>
  <c r="I413" i="1" s="1"/>
  <c r="H413" i="1" a="1"/>
  <c r="H413" i="1"/>
  <c r="G413" i="1" a="1"/>
  <c r="G413" i="1"/>
  <c r="D413" i="1" s="1"/>
  <c r="I412" i="1" a="1"/>
  <c r="I412" i="1"/>
  <c r="H412" i="1" a="1"/>
  <c r="H412" i="1" s="1"/>
  <c r="G412" i="1" a="1"/>
  <c r="G412" i="1"/>
  <c r="D412" i="1"/>
  <c r="I411" i="1" a="1"/>
  <c r="I411" i="1" s="1"/>
  <c r="H411" i="1" a="1"/>
  <c r="H411" i="1" s="1"/>
  <c r="G411" i="1" a="1"/>
  <c r="G411" i="1"/>
  <c r="I410" i="1" a="1"/>
  <c r="I410" i="1" s="1"/>
  <c r="H410" i="1" a="1"/>
  <c r="H410" i="1" s="1"/>
  <c r="G410" i="1" a="1"/>
  <c r="G410" i="1" s="1"/>
  <c r="I409" i="1" a="1"/>
  <c r="I409" i="1"/>
  <c r="H409" i="1" a="1"/>
  <c r="H409" i="1"/>
  <c r="G409" i="1" a="1"/>
  <c r="G409" i="1" s="1"/>
  <c r="I408" i="1" a="1"/>
  <c r="I408" i="1"/>
  <c r="H408" i="1" a="1"/>
  <c r="H408" i="1"/>
  <c r="G408" i="1" a="1"/>
  <c r="G408" i="1"/>
  <c r="D408" i="1" s="1"/>
  <c r="I407" i="1" a="1"/>
  <c r="I407" i="1"/>
  <c r="H407" i="1" a="1"/>
  <c r="H407" i="1"/>
  <c r="G407" i="1" a="1"/>
  <c r="G407" i="1" s="1"/>
  <c r="D407" i="1" s="1"/>
  <c r="I406" i="1" a="1"/>
  <c r="I406" i="1" s="1"/>
  <c r="H406" i="1" a="1"/>
  <c r="H406" i="1"/>
  <c r="G406" i="1" a="1"/>
  <c r="G406" i="1" s="1"/>
  <c r="D406" i="1" s="1"/>
  <c r="I405" i="1" a="1"/>
  <c r="I405" i="1" s="1"/>
  <c r="H405" i="1" a="1"/>
  <c r="H405" i="1"/>
  <c r="G405" i="1" a="1"/>
  <c r="G405" i="1"/>
  <c r="D405" i="1"/>
  <c r="I404" i="1" a="1"/>
  <c r="I404" i="1" s="1"/>
  <c r="D404" i="1" s="1"/>
  <c r="H404" i="1" a="1"/>
  <c r="H404" i="1" s="1"/>
  <c r="G404" i="1" a="1"/>
  <c r="G404" i="1"/>
  <c r="I403" i="1" a="1"/>
  <c r="I403" i="1"/>
  <c r="H403" i="1" a="1"/>
  <c r="H403" i="1" s="1"/>
  <c r="G403" i="1" a="1"/>
  <c r="G403" i="1"/>
  <c r="I402" i="1" a="1"/>
  <c r="I402" i="1"/>
  <c r="H402" i="1" a="1"/>
  <c r="H402" i="1" s="1"/>
  <c r="G402" i="1" a="1"/>
  <c r="G402" i="1" s="1"/>
  <c r="I401" i="1" a="1"/>
  <c r="I401" i="1"/>
  <c r="H401" i="1" a="1"/>
  <c r="H401" i="1"/>
  <c r="G401" i="1" a="1"/>
  <c r="G401" i="1" s="1"/>
  <c r="D401" i="1" s="1"/>
  <c r="I400" i="1" a="1"/>
  <c r="I400" i="1"/>
  <c r="H400" i="1" a="1"/>
  <c r="H400" i="1" s="1"/>
  <c r="G400" i="1" a="1"/>
  <c r="G400" i="1" s="1"/>
  <c r="I399" i="1" a="1"/>
  <c r="I399" i="1"/>
  <c r="H399" i="1" a="1"/>
  <c r="H399" i="1"/>
  <c r="G399" i="1" a="1"/>
  <c r="G399" i="1" s="1"/>
  <c r="D399" i="1" s="1"/>
  <c r="I398" i="1" a="1"/>
  <c r="I398" i="1" s="1"/>
  <c r="H398" i="1" a="1"/>
  <c r="H398" i="1"/>
  <c r="G398" i="1" a="1"/>
  <c r="G398" i="1" s="1"/>
  <c r="D398" i="1" s="1"/>
  <c r="I397" i="1" a="1"/>
  <c r="I397" i="1" s="1"/>
  <c r="H397" i="1" a="1"/>
  <c r="H397" i="1"/>
  <c r="G397" i="1" a="1"/>
  <c r="G397" i="1"/>
  <c r="D397" i="1"/>
  <c r="I396" i="1" a="1"/>
  <c r="I396" i="1"/>
  <c r="D396" i="1" s="1"/>
  <c r="H396" i="1" a="1"/>
  <c r="H396" i="1" s="1"/>
  <c r="G396" i="1" a="1"/>
  <c r="G396" i="1"/>
  <c r="I395" i="1" a="1"/>
  <c r="I395" i="1"/>
  <c r="H395" i="1" a="1"/>
  <c r="H395" i="1" s="1"/>
  <c r="G395" i="1" a="1"/>
  <c r="G395" i="1"/>
  <c r="I394" i="1" a="1"/>
  <c r="I394" i="1" s="1"/>
  <c r="H394" i="1" a="1"/>
  <c r="H394" i="1"/>
  <c r="G394" i="1" a="1"/>
  <c r="G394" i="1" s="1"/>
  <c r="I393" i="1" a="1"/>
  <c r="I393" i="1"/>
  <c r="H393" i="1" a="1"/>
  <c r="H393" i="1" s="1"/>
  <c r="G393" i="1" a="1"/>
  <c r="G393" i="1" s="1"/>
  <c r="I392" i="1" a="1"/>
  <c r="I392" i="1"/>
  <c r="H392" i="1" a="1"/>
  <c r="H392" i="1" s="1"/>
  <c r="G392" i="1" a="1"/>
  <c r="G392" i="1" s="1"/>
  <c r="D392" i="1" s="1"/>
  <c r="I391" i="1" a="1"/>
  <c r="I391" i="1"/>
  <c r="H391" i="1" a="1"/>
  <c r="H391" i="1"/>
  <c r="G391" i="1" a="1"/>
  <c r="G391" i="1" s="1"/>
  <c r="D391" i="1" s="1"/>
  <c r="I390" i="1" a="1"/>
  <c r="I390" i="1" s="1"/>
  <c r="H390" i="1" a="1"/>
  <c r="H390" i="1"/>
  <c r="G390" i="1" a="1"/>
  <c r="G390" i="1"/>
  <c r="D390" i="1"/>
  <c r="I389" i="1" a="1"/>
  <c r="I389" i="1" s="1"/>
  <c r="D389" i="1" s="1"/>
  <c r="H389" i="1" a="1"/>
  <c r="H389" i="1"/>
  <c r="G389" i="1" a="1"/>
  <c r="G389" i="1"/>
  <c r="I388" i="1" a="1"/>
  <c r="I388" i="1"/>
  <c r="H388" i="1" a="1"/>
  <c r="H388" i="1" s="1"/>
  <c r="D388" i="1" s="1"/>
  <c r="G388" i="1" a="1"/>
  <c r="G388" i="1"/>
  <c r="I387" i="1" a="1"/>
  <c r="I387" i="1"/>
  <c r="H387" i="1" a="1"/>
  <c r="H387" i="1" s="1"/>
  <c r="D387" i="1" s="1"/>
  <c r="G387" i="1" a="1"/>
  <c r="G387" i="1"/>
  <c r="I386" i="1" a="1"/>
  <c r="I386" i="1" s="1"/>
  <c r="H386" i="1" a="1"/>
  <c r="H386" i="1"/>
  <c r="G386" i="1" a="1"/>
  <c r="G386" i="1" s="1"/>
  <c r="I385" i="1" a="1"/>
  <c r="I385" i="1"/>
  <c r="H385" i="1" a="1"/>
  <c r="H385" i="1"/>
  <c r="G385" i="1" a="1"/>
  <c r="G385" i="1" s="1"/>
  <c r="I384" i="1" a="1"/>
  <c r="I384" i="1"/>
  <c r="H384" i="1" a="1"/>
  <c r="H384" i="1"/>
  <c r="G384" i="1" a="1"/>
  <c r="G384" i="1" s="1"/>
  <c r="D384" i="1" s="1"/>
  <c r="I383" i="1" a="1"/>
  <c r="I383" i="1"/>
  <c r="H383" i="1" a="1"/>
  <c r="H383" i="1"/>
  <c r="G383" i="1" a="1"/>
  <c r="G383" i="1"/>
  <c r="D383" i="1"/>
  <c r="I382" i="1" a="1"/>
  <c r="I382" i="1" s="1"/>
  <c r="H382" i="1" a="1"/>
  <c r="H382" i="1"/>
  <c r="G382" i="1" a="1"/>
  <c r="G382" i="1" s="1"/>
  <c r="D382" i="1" s="1"/>
  <c r="I381" i="1" a="1"/>
  <c r="I381" i="1" s="1"/>
  <c r="H381" i="1" a="1"/>
  <c r="H381" i="1"/>
  <c r="G381" i="1" a="1"/>
  <c r="G381" i="1"/>
  <c r="D381" i="1" s="1"/>
  <c r="I380" i="1" a="1"/>
  <c r="I380" i="1"/>
  <c r="H380" i="1" a="1"/>
  <c r="H380" i="1" s="1"/>
  <c r="G380" i="1" a="1"/>
  <c r="G380" i="1"/>
  <c r="D380" i="1"/>
  <c r="I379" i="1" a="1"/>
  <c r="I379" i="1" s="1"/>
  <c r="H379" i="1" a="1"/>
  <c r="H379" i="1" s="1"/>
  <c r="G379" i="1" a="1"/>
  <c r="G379" i="1"/>
  <c r="I378" i="1" a="1"/>
  <c r="I378" i="1" s="1"/>
  <c r="H378" i="1" a="1"/>
  <c r="H378" i="1" s="1"/>
  <c r="G378" i="1" a="1"/>
  <c r="G378" i="1" s="1"/>
  <c r="I377" i="1" a="1"/>
  <c r="I377" i="1"/>
  <c r="H377" i="1" a="1"/>
  <c r="H377" i="1"/>
  <c r="G377" i="1" a="1"/>
  <c r="G377" i="1" s="1"/>
  <c r="I376" i="1" a="1"/>
  <c r="I376" i="1"/>
  <c r="H376" i="1" a="1"/>
  <c r="H376" i="1" s="1"/>
  <c r="G376" i="1" a="1"/>
  <c r="G376" i="1"/>
  <c r="I375" i="1" a="1"/>
  <c r="I375" i="1"/>
  <c r="H375" i="1" a="1"/>
  <c r="H375" i="1"/>
  <c r="G375" i="1" a="1"/>
  <c r="G375" i="1" s="1"/>
  <c r="D375" i="1" s="1"/>
  <c r="I374" i="1" a="1"/>
  <c r="I374" i="1" s="1"/>
  <c r="H374" i="1" a="1"/>
  <c r="H374" i="1"/>
  <c r="G374" i="1" a="1"/>
  <c r="G374" i="1" s="1"/>
  <c r="D374" i="1" s="1"/>
  <c r="I373" i="1" a="1"/>
  <c r="I373" i="1" s="1"/>
  <c r="H373" i="1" a="1"/>
  <c r="H373" i="1"/>
  <c r="G373" i="1" a="1"/>
  <c r="G373" i="1"/>
  <c r="D373" i="1"/>
  <c r="I372" i="1" a="1"/>
  <c r="I372" i="1" s="1"/>
  <c r="D372" i="1" s="1"/>
  <c r="H372" i="1" a="1"/>
  <c r="H372" i="1" s="1"/>
  <c r="G372" i="1" a="1"/>
  <c r="G372" i="1"/>
  <c r="I371" i="1" a="1"/>
  <c r="I371" i="1"/>
  <c r="H371" i="1" a="1"/>
  <c r="H371" i="1" s="1"/>
  <c r="G371" i="1" a="1"/>
  <c r="G371" i="1"/>
  <c r="I370" i="1" a="1"/>
  <c r="I370" i="1"/>
  <c r="H370" i="1" a="1"/>
  <c r="H370" i="1" s="1"/>
  <c r="G370" i="1" a="1"/>
  <c r="G370" i="1" s="1"/>
  <c r="I369" i="1" a="1"/>
  <c r="I369" i="1"/>
  <c r="H369" i="1" a="1"/>
  <c r="H369" i="1"/>
  <c r="G369" i="1" a="1"/>
  <c r="G369" i="1" s="1"/>
  <c r="D369" i="1" s="1"/>
  <c r="I368" i="1" a="1"/>
  <c r="I368" i="1"/>
  <c r="H368" i="1" a="1"/>
  <c r="H368" i="1" s="1"/>
  <c r="G368" i="1" a="1"/>
  <c r="G368" i="1" s="1"/>
  <c r="D368" i="1" s="1"/>
  <c r="I367" i="1" a="1"/>
  <c r="I367" i="1"/>
  <c r="H367" i="1" a="1"/>
  <c r="H367" i="1"/>
  <c r="G367" i="1" a="1"/>
  <c r="G367" i="1" s="1"/>
  <c r="D367" i="1" s="1"/>
  <c r="I366" i="1" a="1"/>
  <c r="I366" i="1" s="1"/>
  <c r="H366" i="1" a="1"/>
  <c r="H366" i="1"/>
  <c r="G366" i="1" a="1"/>
  <c r="G366" i="1" s="1"/>
  <c r="D366" i="1" s="1"/>
  <c r="I365" i="1" a="1"/>
  <c r="I365" i="1" s="1"/>
  <c r="H365" i="1" a="1"/>
  <c r="H365" i="1"/>
  <c r="G365" i="1" a="1"/>
  <c r="G365" i="1"/>
  <c r="D365" i="1"/>
  <c r="I364" i="1" a="1"/>
  <c r="I364" i="1"/>
  <c r="D364" i="1" s="1"/>
  <c r="H364" i="1" a="1"/>
  <c r="H364" i="1" s="1"/>
  <c r="G364" i="1" a="1"/>
  <c r="G364" i="1"/>
  <c r="I363" i="1" a="1"/>
  <c r="I363" i="1"/>
  <c r="H363" i="1" a="1"/>
  <c r="H363" i="1" s="1"/>
  <c r="G363" i="1" a="1"/>
  <c r="G363" i="1"/>
  <c r="I362" i="1" a="1"/>
  <c r="I362" i="1" s="1"/>
  <c r="H362" i="1" a="1"/>
  <c r="H362" i="1"/>
  <c r="G362" i="1" a="1"/>
  <c r="G362" i="1" s="1"/>
  <c r="I361" i="1" a="1"/>
  <c r="I361" i="1"/>
  <c r="H361" i="1" a="1"/>
  <c r="H361" i="1" s="1"/>
  <c r="G361" i="1" a="1"/>
  <c r="G361" i="1" s="1"/>
  <c r="I360" i="1" a="1"/>
  <c r="I360" i="1"/>
  <c r="H360" i="1" a="1"/>
  <c r="H360" i="1" s="1"/>
  <c r="G360" i="1" a="1"/>
  <c r="G360" i="1" s="1"/>
  <c r="D360" i="1" s="1"/>
  <c r="I359" i="1" a="1"/>
  <c r="I359" i="1"/>
  <c r="H359" i="1" a="1"/>
  <c r="H359" i="1"/>
  <c r="G359" i="1" a="1"/>
  <c r="G359" i="1" s="1"/>
  <c r="D359" i="1" s="1"/>
  <c r="I358" i="1" a="1"/>
  <c r="I358" i="1" s="1"/>
  <c r="H358" i="1" a="1"/>
  <c r="H358" i="1"/>
  <c r="G358" i="1" a="1"/>
  <c r="G358" i="1"/>
  <c r="D358" i="1"/>
  <c r="I357" i="1" a="1"/>
  <c r="I357" i="1" s="1"/>
  <c r="D357" i="1" s="1"/>
  <c r="H357" i="1" a="1"/>
  <c r="H357" i="1"/>
  <c r="G357" i="1" a="1"/>
  <c r="G357" i="1"/>
  <c r="I356" i="1" a="1"/>
  <c r="I356" i="1"/>
  <c r="H356" i="1" a="1"/>
  <c r="H356" i="1" s="1"/>
  <c r="D356" i="1" s="1"/>
  <c r="G356" i="1" a="1"/>
  <c r="G356" i="1"/>
  <c r="I355" i="1" a="1"/>
  <c r="I355" i="1"/>
  <c r="H355" i="1" a="1"/>
  <c r="H355" i="1" s="1"/>
  <c r="D355" i="1" s="1"/>
  <c r="G355" i="1" a="1"/>
  <c r="G355" i="1"/>
  <c r="I354" i="1" a="1"/>
  <c r="I354" i="1" s="1"/>
  <c r="H354" i="1" a="1"/>
  <c r="H354" i="1" s="1"/>
  <c r="G354" i="1" a="1"/>
  <c r="G354" i="1" s="1"/>
  <c r="I353" i="1" a="1"/>
  <c r="I353" i="1"/>
  <c r="H353" i="1" a="1"/>
  <c r="H353" i="1"/>
  <c r="G353" i="1" a="1"/>
  <c r="G353" i="1" s="1"/>
  <c r="I352" i="1" a="1"/>
  <c r="I352" i="1"/>
  <c r="H352" i="1" a="1"/>
  <c r="H352" i="1"/>
  <c r="G352" i="1" a="1"/>
  <c r="G352" i="1" s="1"/>
  <c r="D352" i="1" s="1"/>
  <c r="I351" i="1" a="1"/>
  <c r="I351" i="1"/>
  <c r="H351" i="1" a="1"/>
  <c r="H351" i="1"/>
  <c r="G351" i="1" a="1"/>
  <c r="G351" i="1"/>
  <c r="D351" i="1"/>
  <c r="I350" i="1" a="1"/>
  <c r="I350" i="1" s="1"/>
  <c r="H350" i="1" a="1"/>
  <c r="H350" i="1"/>
  <c r="G350" i="1" a="1"/>
  <c r="G350" i="1" s="1"/>
  <c r="D350" i="1" s="1"/>
  <c r="I349" i="1" a="1"/>
  <c r="I349" i="1" s="1"/>
  <c r="H349" i="1" a="1"/>
  <c r="H349" i="1"/>
  <c r="G349" i="1" a="1"/>
  <c r="G349" i="1"/>
  <c r="D349" i="1" s="1"/>
  <c r="I348" i="1" a="1"/>
  <c r="I348" i="1"/>
  <c r="H348" i="1" a="1"/>
  <c r="H348" i="1" s="1"/>
  <c r="G348" i="1" a="1"/>
  <c r="G348" i="1"/>
  <c r="D348" i="1"/>
  <c r="I347" i="1" a="1"/>
  <c r="I347" i="1" s="1"/>
  <c r="H347" i="1" a="1"/>
  <c r="H347" i="1" s="1"/>
  <c r="G347" i="1" a="1"/>
  <c r="G347" i="1"/>
  <c r="I346" i="1" a="1"/>
  <c r="I346" i="1" s="1"/>
  <c r="H346" i="1" a="1"/>
  <c r="H346" i="1" s="1"/>
  <c r="G346" i="1" a="1"/>
  <c r="G346" i="1" s="1"/>
  <c r="I345" i="1" a="1"/>
  <c r="I345" i="1"/>
  <c r="H345" i="1" a="1"/>
  <c r="H345" i="1"/>
  <c r="G345" i="1" a="1"/>
  <c r="G345" i="1" s="1"/>
  <c r="I344" i="1" a="1"/>
  <c r="I344" i="1"/>
  <c r="H344" i="1" a="1"/>
  <c r="H344" i="1" s="1"/>
  <c r="G344" i="1" a="1"/>
  <c r="G344" i="1"/>
  <c r="I343" i="1" a="1"/>
  <c r="I343" i="1"/>
  <c r="H343" i="1" a="1"/>
  <c r="H343" i="1"/>
  <c r="G343" i="1" a="1"/>
  <c r="G343" i="1" s="1"/>
  <c r="D343" i="1" s="1"/>
  <c r="I342" i="1" a="1"/>
  <c r="I342" i="1" s="1"/>
  <c r="H342" i="1" a="1"/>
  <c r="H342" i="1"/>
  <c r="G342" i="1" a="1"/>
  <c r="G342" i="1" s="1"/>
  <c r="D342" i="1" s="1"/>
  <c r="I341" i="1" a="1"/>
  <c r="I341" i="1" s="1"/>
  <c r="H341" i="1" a="1"/>
  <c r="H341" i="1"/>
  <c r="G341" i="1" a="1"/>
  <c r="G341" i="1"/>
  <c r="D341" i="1"/>
  <c r="I340" i="1" a="1"/>
  <c r="I340" i="1" s="1"/>
  <c r="D340" i="1" s="1"/>
  <c r="H340" i="1" a="1"/>
  <c r="H340" i="1" s="1"/>
  <c r="G340" i="1" a="1"/>
  <c r="G340" i="1"/>
  <c r="I339" i="1" a="1"/>
  <c r="I339" i="1"/>
  <c r="H339" i="1" a="1"/>
  <c r="H339" i="1" s="1"/>
  <c r="G339" i="1" a="1"/>
  <c r="G339" i="1"/>
  <c r="I338" i="1" a="1"/>
  <c r="I338" i="1"/>
  <c r="H338" i="1" a="1"/>
  <c r="H338" i="1" s="1"/>
  <c r="G338" i="1" a="1"/>
  <c r="G338" i="1" s="1"/>
  <c r="I337" i="1" a="1"/>
  <c r="I337" i="1"/>
  <c r="H337" i="1" a="1"/>
  <c r="H337" i="1"/>
  <c r="G337" i="1" a="1"/>
  <c r="G337" i="1" s="1"/>
  <c r="D337" i="1" s="1"/>
  <c r="I336" i="1" a="1"/>
  <c r="I336" i="1"/>
  <c r="H336" i="1" a="1"/>
  <c r="H336" i="1" s="1"/>
  <c r="G336" i="1" a="1"/>
  <c r="G336" i="1" s="1"/>
  <c r="D336" i="1" s="1"/>
  <c r="I335" i="1" a="1"/>
  <c r="I335" i="1"/>
  <c r="H335" i="1" a="1"/>
  <c r="H335" i="1"/>
  <c r="G335" i="1" a="1"/>
  <c r="G335" i="1" s="1"/>
  <c r="D335" i="1" s="1"/>
  <c r="I334" i="1" a="1"/>
  <c r="I334" i="1" s="1"/>
  <c r="H334" i="1" a="1"/>
  <c r="H334" i="1"/>
  <c r="G334" i="1" a="1"/>
  <c r="G334" i="1" s="1"/>
  <c r="D334" i="1" s="1"/>
  <c r="I333" i="1" a="1"/>
  <c r="I333" i="1" s="1"/>
  <c r="H333" i="1" a="1"/>
  <c r="H333" i="1"/>
  <c r="G333" i="1" a="1"/>
  <c r="G333" i="1"/>
  <c r="D333" i="1"/>
  <c r="I332" i="1" a="1"/>
  <c r="I332" i="1"/>
  <c r="D332" i="1" s="1"/>
  <c r="H332" i="1" a="1"/>
  <c r="H332" i="1" s="1"/>
  <c r="G332" i="1" a="1"/>
  <c r="G332" i="1"/>
  <c r="I331" i="1" a="1"/>
  <c r="I331" i="1"/>
  <c r="H331" i="1" a="1"/>
  <c r="H331" i="1" s="1"/>
  <c r="G331" i="1" a="1"/>
  <c r="G331" i="1"/>
  <c r="I330" i="1" a="1"/>
  <c r="I330" i="1" s="1"/>
  <c r="H330" i="1" a="1"/>
  <c r="H330" i="1"/>
  <c r="G330" i="1" a="1"/>
  <c r="G330" i="1" s="1"/>
  <c r="I329" i="1" a="1"/>
  <c r="I329" i="1"/>
  <c r="H329" i="1" a="1"/>
  <c r="H329" i="1" s="1"/>
  <c r="G329" i="1" a="1"/>
  <c r="G329" i="1" s="1"/>
  <c r="I328" i="1" a="1"/>
  <c r="I328" i="1"/>
  <c r="H328" i="1" a="1"/>
  <c r="H328" i="1" s="1"/>
  <c r="G328" i="1" a="1"/>
  <c r="G328" i="1" s="1"/>
  <c r="D328" i="1" s="1"/>
  <c r="I327" i="1" a="1"/>
  <c r="I327" i="1"/>
  <c r="H327" i="1" a="1"/>
  <c r="H327" i="1"/>
  <c r="G327" i="1" a="1"/>
  <c r="G327" i="1" s="1"/>
  <c r="D327" i="1" s="1"/>
  <c r="I326" i="1" a="1"/>
  <c r="I326" i="1" s="1"/>
  <c r="H326" i="1" a="1"/>
  <c r="H326" i="1"/>
  <c r="G326" i="1" a="1"/>
  <c r="G326" i="1"/>
  <c r="D326" i="1"/>
  <c r="I325" i="1" a="1"/>
  <c r="I325" i="1" s="1"/>
  <c r="D325" i="1" s="1"/>
  <c r="H325" i="1" a="1"/>
  <c r="H325" i="1"/>
  <c r="G325" i="1" a="1"/>
  <c r="G325" i="1"/>
  <c r="I324" i="1" a="1"/>
  <c r="I324" i="1"/>
  <c r="H324" i="1" a="1"/>
  <c r="H324" i="1" s="1"/>
  <c r="D324" i="1" s="1"/>
  <c r="G324" i="1" a="1"/>
  <c r="G324" i="1"/>
  <c r="I323" i="1" a="1"/>
  <c r="I323" i="1"/>
  <c r="H323" i="1" a="1"/>
  <c r="H323" i="1" s="1"/>
  <c r="D323" i="1" s="1"/>
  <c r="G323" i="1" a="1"/>
  <c r="G323" i="1"/>
  <c r="I322" i="1" a="1"/>
  <c r="I322" i="1" s="1"/>
  <c r="H322" i="1" a="1"/>
  <c r="H322" i="1" s="1"/>
  <c r="G322" i="1" a="1"/>
  <c r="G322" i="1" s="1"/>
  <c r="I321" i="1" a="1"/>
  <c r="I321" i="1"/>
  <c r="H321" i="1" a="1"/>
  <c r="H321" i="1"/>
  <c r="G321" i="1" a="1"/>
  <c r="G321" i="1" s="1"/>
  <c r="I320" i="1" a="1"/>
  <c r="I320" i="1"/>
  <c r="H320" i="1" a="1"/>
  <c r="H320" i="1"/>
  <c r="G320" i="1" a="1"/>
  <c r="G320" i="1" s="1"/>
  <c r="D320" i="1" s="1"/>
  <c r="I319" i="1" a="1"/>
  <c r="I319" i="1"/>
  <c r="H319" i="1" a="1"/>
  <c r="H319" i="1"/>
  <c r="G319" i="1" a="1"/>
  <c r="G319" i="1"/>
  <c r="D319" i="1"/>
  <c r="I318" i="1" a="1"/>
  <c r="I318" i="1" s="1"/>
  <c r="H318" i="1" a="1"/>
  <c r="H318" i="1"/>
  <c r="G318" i="1" a="1"/>
  <c r="G318" i="1" s="1"/>
  <c r="D318" i="1" s="1"/>
  <c r="I317" i="1" a="1"/>
  <c r="I317" i="1" s="1"/>
  <c r="H317" i="1" a="1"/>
  <c r="H317" i="1"/>
  <c r="G317" i="1" a="1"/>
  <c r="G317" i="1"/>
  <c r="D317" i="1" s="1"/>
  <c r="I316" i="1" a="1"/>
  <c r="I316" i="1"/>
  <c r="H316" i="1" a="1"/>
  <c r="H316" i="1" s="1"/>
  <c r="G316" i="1" a="1"/>
  <c r="G316" i="1"/>
  <c r="D316" i="1"/>
  <c r="I315" i="1" a="1"/>
  <c r="I315" i="1" s="1"/>
  <c r="H315" i="1" a="1"/>
  <c r="H315" i="1" s="1"/>
  <c r="G315" i="1" a="1"/>
  <c r="G315" i="1"/>
  <c r="I314" i="1" a="1"/>
  <c r="I314" i="1" s="1"/>
  <c r="H314" i="1" a="1"/>
  <c r="H314" i="1" s="1"/>
  <c r="G314" i="1" a="1"/>
  <c r="G314" i="1" s="1"/>
  <c r="I313" i="1" a="1"/>
  <c r="I313" i="1"/>
  <c r="H313" i="1" a="1"/>
  <c r="H313" i="1"/>
  <c r="G313" i="1" a="1"/>
  <c r="G313" i="1" s="1"/>
  <c r="I312" i="1" a="1"/>
  <c r="I312" i="1"/>
  <c r="H312" i="1" a="1"/>
  <c r="H312" i="1" s="1"/>
  <c r="G312" i="1" a="1"/>
  <c r="G312" i="1"/>
  <c r="I311" i="1" a="1"/>
  <c r="I311" i="1"/>
  <c r="H311" i="1" a="1"/>
  <c r="H311" i="1"/>
  <c r="G311" i="1" a="1"/>
  <c r="G311" i="1" s="1"/>
  <c r="D311" i="1" s="1"/>
  <c r="I310" i="1" a="1"/>
  <c r="I310" i="1" s="1"/>
  <c r="H310" i="1" a="1"/>
  <c r="H310" i="1"/>
  <c r="G310" i="1" a="1"/>
  <c r="G310" i="1" s="1"/>
  <c r="D310" i="1" s="1"/>
  <c r="I309" i="1" a="1"/>
  <c r="I309" i="1" s="1"/>
  <c r="H309" i="1" a="1"/>
  <c r="H309" i="1"/>
  <c r="G309" i="1" a="1"/>
  <c r="G309" i="1"/>
  <c r="D309" i="1"/>
  <c r="I308" i="1" a="1"/>
  <c r="I308" i="1" s="1"/>
  <c r="D308" i="1" s="1"/>
  <c r="H308" i="1" a="1"/>
  <c r="H308" i="1" s="1"/>
  <c r="G308" i="1" a="1"/>
  <c r="G308" i="1"/>
  <c r="I307" i="1" a="1"/>
  <c r="I307" i="1"/>
  <c r="H307" i="1" a="1"/>
  <c r="H307" i="1" s="1"/>
  <c r="G307" i="1" a="1"/>
  <c r="G307" i="1"/>
  <c r="I306" i="1" a="1"/>
  <c r="I306" i="1"/>
  <c r="H306" i="1" a="1"/>
  <c r="H306" i="1" s="1"/>
  <c r="G306" i="1" a="1"/>
  <c r="G306" i="1" s="1"/>
  <c r="I305" i="1" a="1"/>
  <c r="I305" i="1"/>
  <c r="H305" i="1" a="1"/>
  <c r="H305" i="1"/>
  <c r="G305" i="1" a="1"/>
  <c r="G305" i="1" s="1"/>
  <c r="D305" i="1" s="1"/>
  <c r="I304" i="1" a="1"/>
  <c r="I304" i="1"/>
  <c r="H304" i="1" a="1"/>
  <c r="H304" i="1" s="1"/>
  <c r="G304" i="1" a="1"/>
  <c r="G304" i="1" s="1"/>
  <c r="D304" i="1" s="1"/>
  <c r="I303" i="1" a="1"/>
  <c r="I303" i="1"/>
  <c r="H303" i="1" a="1"/>
  <c r="H303" i="1"/>
  <c r="G303" i="1" a="1"/>
  <c r="G303" i="1" s="1"/>
  <c r="D303" i="1" s="1"/>
  <c r="I302" i="1" a="1"/>
  <c r="I302" i="1" s="1"/>
  <c r="H302" i="1" a="1"/>
  <c r="H302" i="1"/>
  <c r="G302" i="1" a="1"/>
  <c r="G302" i="1" s="1"/>
  <c r="D302" i="1" s="1"/>
  <c r="I301" i="1" a="1"/>
  <c r="I301" i="1" s="1"/>
  <c r="H301" i="1" a="1"/>
  <c r="H301" i="1"/>
  <c r="G301" i="1" a="1"/>
  <c r="G301" i="1"/>
  <c r="D301" i="1"/>
  <c r="I300" i="1" a="1"/>
  <c r="I300" i="1"/>
  <c r="D300" i="1" s="1"/>
  <c r="H300" i="1" a="1"/>
  <c r="H300" i="1" s="1"/>
  <c r="G300" i="1" a="1"/>
  <c r="G300" i="1"/>
  <c r="I299" i="1" a="1"/>
  <c r="I299" i="1"/>
  <c r="H299" i="1" a="1"/>
  <c r="H299" i="1" s="1"/>
  <c r="G299" i="1" a="1"/>
  <c r="G299" i="1"/>
  <c r="I298" i="1" a="1"/>
  <c r="I298" i="1" s="1"/>
  <c r="H298" i="1" a="1"/>
  <c r="H298" i="1"/>
  <c r="G298" i="1" a="1"/>
  <c r="G298" i="1" s="1"/>
  <c r="I297" i="1" a="1"/>
  <c r="I297" i="1"/>
  <c r="H297" i="1" a="1"/>
  <c r="H297" i="1" s="1"/>
  <c r="G297" i="1" a="1"/>
  <c r="G297" i="1" s="1"/>
  <c r="I296" i="1" a="1"/>
  <c r="I296" i="1"/>
  <c r="H296" i="1" a="1"/>
  <c r="H296" i="1" s="1"/>
  <c r="G296" i="1" a="1"/>
  <c r="G296" i="1" s="1"/>
  <c r="D296" i="1" s="1"/>
  <c r="I295" i="1" a="1"/>
  <c r="I295" i="1"/>
  <c r="H295" i="1" a="1"/>
  <c r="H295" i="1"/>
  <c r="G295" i="1" a="1"/>
  <c r="G295" i="1" s="1"/>
  <c r="D295" i="1" s="1"/>
  <c r="I294" i="1" a="1"/>
  <c r="I294" i="1" s="1"/>
  <c r="H294" i="1" a="1"/>
  <c r="H294" i="1"/>
  <c r="G294" i="1" a="1"/>
  <c r="G294" i="1"/>
  <c r="D294" i="1"/>
  <c r="I293" i="1" a="1"/>
  <c r="I293" i="1" s="1"/>
  <c r="D293" i="1" s="1"/>
  <c r="H293" i="1" a="1"/>
  <c r="H293" i="1"/>
  <c r="G293" i="1" a="1"/>
  <c r="G293" i="1"/>
  <c r="I292" i="1" a="1"/>
  <c r="I292" i="1"/>
  <c r="H292" i="1" a="1"/>
  <c r="H292" i="1" s="1"/>
  <c r="D292" i="1" s="1"/>
  <c r="G292" i="1" a="1"/>
  <c r="G292" i="1"/>
  <c r="I291" i="1" a="1"/>
  <c r="I291" i="1"/>
  <c r="H291" i="1" a="1"/>
  <c r="H291" i="1" s="1"/>
  <c r="D291" i="1" s="1"/>
  <c r="G291" i="1" a="1"/>
  <c r="G291" i="1"/>
  <c r="I290" i="1" a="1"/>
  <c r="I290" i="1" s="1"/>
  <c r="H290" i="1" a="1"/>
  <c r="H290" i="1" s="1"/>
  <c r="G290" i="1" a="1"/>
  <c r="G290" i="1" s="1"/>
  <c r="I289" i="1" a="1"/>
  <c r="I289" i="1"/>
  <c r="H289" i="1" a="1"/>
  <c r="H289" i="1"/>
  <c r="G289" i="1" a="1"/>
  <c r="G289" i="1" s="1"/>
  <c r="I288" i="1" a="1"/>
  <c r="I288" i="1"/>
  <c r="H288" i="1" a="1"/>
  <c r="H288" i="1"/>
  <c r="G288" i="1" a="1"/>
  <c r="G288" i="1" s="1"/>
  <c r="D288" i="1" s="1"/>
  <c r="I287" i="1" a="1"/>
  <c r="I287" i="1"/>
  <c r="H287" i="1" a="1"/>
  <c r="H287" i="1"/>
  <c r="G287" i="1" a="1"/>
  <c r="G287" i="1"/>
  <c r="D287" i="1"/>
  <c r="I286" i="1" a="1"/>
  <c r="I286" i="1" s="1"/>
  <c r="H286" i="1" a="1"/>
  <c r="H286" i="1"/>
  <c r="G286" i="1" a="1"/>
  <c r="G286" i="1" s="1"/>
  <c r="D286" i="1" s="1"/>
  <c r="I285" i="1" a="1"/>
  <c r="I285" i="1" s="1"/>
  <c r="H285" i="1" a="1"/>
  <c r="H285" i="1"/>
  <c r="G285" i="1" a="1"/>
  <c r="G285" i="1"/>
  <c r="D285" i="1" s="1"/>
  <c r="I284" i="1" a="1"/>
  <c r="I284" i="1"/>
  <c r="H284" i="1" a="1"/>
  <c r="H284" i="1" s="1"/>
  <c r="G284" i="1" a="1"/>
  <c r="G284" i="1"/>
  <c r="D284" i="1"/>
  <c r="I283" i="1" a="1"/>
  <c r="I283" i="1" s="1"/>
  <c r="H283" i="1" a="1"/>
  <c r="H283" i="1" s="1"/>
  <c r="G283" i="1" a="1"/>
  <c r="G283" i="1"/>
  <c r="I282" i="1" a="1"/>
  <c r="I282" i="1" s="1"/>
  <c r="H282" i="1" a="1"/>
  <c r="H282" i="1" s="1"/>
  <c r="G282" i="1" a="1"/>
  <c r="G282" i="1" s="1"/>
  <c r="I281" i="1" a="1"/>
  <c r="I281" i="1"/>
  <c r="H281" i="1" a="1"/>
  <c r="H281" i="1"/>
  <c r="G281" i="1" a="1"/>
  <c r="G281" i="1" s="1"/>
  <c r="I280" i="1" a="1"/>
  <c r="I280" i="1"/>
  <c r="H280" i="1" a="1"/>
  <c r="H280" i="1" s="1"/>
  <c r="G280" i="1" a="1"/>
  <c r="G280" i="1"/>
  <c r="I279" i="1" a="1"/>
  <c r="I279" i="1"/>
  <c r="H279" i="1" a="1"/>
  <c r="H279" i="1"/>
  <c r="G279" i="1" a="1"/>
  <c r="G279" i="1" s="1"/>
  <c r="D279" i="1" s="1"/>
  <c r="I278" i="1" a="1"/>
  <c r="I278" i="1" s="1"/>
  <c r="H278" i="1" a="1"/>
  <c r="H278" i="1"/>
  <c r="G278" i="1" a="1"/>
  <c r="G278" i="1" s="1"/>
  <c r="D278" i="1" s="1"/>
  <c r="I277" i="1" a="1"/>
  <c r="I277" i="1" s="1"/>
  <c r="H277" i="1" a="1"/>
  <c r="H277" i="1"/>
  <c r="G277" i="1" a="1"/>
  <c r="G277" i="1"/>
  <c r="D277" i="1"/>
  <c r="I276" i="1" a="1"/>
  <c r="I276" i="1" s="1"/>
  <c r="D276" i="1" s="1"/>
  <c r="H276" i="1" a="1"/>
  <c r="H276" i="1" s="1"/>
  <c r="G276" i="1" a="1"/>
  <c r="G276" i="1"/>
  <c r="I275" i="1" a="1"/>
  <c r="I275" i="1"/>
  <c r="H275" i="1" a="1"/>
  <c r="H275" i="1" s="1"/>
  <c r="G275" i="1" a="1"/>
  <c r="G275" i="1"/>
  <c r="I274" i="1" a="1"/>
  <c r="I274" i="1"/>
  <c r="H274" i="1" a="1"/>
  <c r="H274" i="1" s="1"/>
  <c r="G274" i="1" a="1"/>
  <c r="G274" i="1" s="1"/>
  <c r="I273" i="1" a="1"/>
  <c r="I273" i="1"/>
  <c r="H273" i="1" a="1"/>
  <c r="H273" i="1"/>
  <c r="G273" i="1" a="1"/>
  <c r="G273" i="1" s="1"/>
  <c r="D273" i="1" s="1"/>
  <c r="I272" i="1" a="1"/>
  <c r="I272" i="1"/>
  <c r="H272" i="1" a="1"/>
  <c r="H272" i="1" s="1"/>
  <c r="G272" i="1" a="1"/>
  <c r="G272" i="1" s="1"/>
  <c r="D272" i="1" s="1"/>
  <c r="I271" i="1" a="1"/>
  <c r="I271" i="1"/>
  <c r="H271" i="1" a="1"/>
  <c r="H271" i="1"/>
  <c r="G271" i="1" a="1"/>
  <c r="G271" i="1" s="1"/>
  <c r="D271" i="1" s="1"/>
  <c r="I270" i="1" a="1"/>
  <c r="I270" i="1" s="1"/>
  <c r="H270" i="1" a="1"/>
  <c r="H270" i="1"/>
  <c r="G270" i="1" a="1"/>
  <c r="G270" i="1" s="1"/>
  <c r="D270" i="1" s="1"/>
  <c r="I269" i="1" a="1"/>
  <c r="I269" i="1" s="1"/>
  <c r="H269" i="1" a="1"/>
  <c r="H269" i="1"/>
  <c r="G269" i="1" a="1"/>
  <c r="G269" i="1"/>
  <c r="D269" i="1"/>
  <c r="I268" i="1" a="1"/>
  <c r="I268" i="1"/>
  <c r="D268" i="1" s="1"/>
  <c r="H268" i="1" a="1"/>
  <c r="H268" i="1" s="1"/>
  <c r="G268" i="1" a="1"/>
  <c r="G268" i="1"/>
  <c r="I267" i="1" a="1"/>
  <c r="I267" i="1"/>
  <c r="H267" i="1" a="1"/>
  <c r="H267" i="1" s="1"/>
  <c r="G267" i="1" a="1"/>
  <c r="G267" i="1"/>
  <c r="I266" i="1" a="1"/>
  <c r="I266" i="1" s="1"/>
  <c r="H266" i="1" a="1"/>
  <c r="H266" i="1"/>
  <c r="G266" i="1" a="1"/>
  <c r="G266" i="1" s="1"/>
  <c r="I265" i="1" a="1"/>
  <c r="I265" i="1"/>
  <c r="H265" i="1" a="1"/>
  <c r="H265" i="1" s="1"/>
  <c r="G265" i="1" a="1"/>
  <c r="G265" i="1" s="1"/>
  <c r="I264" i="1" a="1"/>
  <c r="I264" i="1"/>
  <c r="H264" i="1" a="1"/>
  <c r="H264" i="1" s="1"/>
  <c r="G264" i="1" a="1"/>
  <c r="G264" i="1" s="1"/>
  <c r="D264" i="1" s="1"/>
  <c r="I263" i="1" a="1"/>
  <c r="I263" i="1"/>
  <c r="H263" i="1" a="1"/>
  <c r="H263" i="1"/>
  <c r="G263" i="1" a="1"/>
  <c r="G263" i="1" s="1"/>
  <c r="D263" i="1" s="1"/>
  <c r="I262" i="1" a="1"/>
  <c r="I262" i="1" s="1"/>
  <c r="H262" i="1" a="1"/>
  <c r="H262" i="1"/>
  <c r="G262" i="1" a="1"/>
  <c r="G262" i="1"/>
  <c r="D262" i="1"/>
  <c r="I261" i="1" a="1"/>
  <c r="I261" i="1" s="1"/>
  <c r="D261" i="1" s="1"/>
  <c r="H261" i="1" a="1"/>
  <c r="H261" i="1"/>
  <c r="G261" i="1" a="1"/>
  <c r="G261" i="1"/>
  <c r="I260" i="1" a="1"/>
  <c r="I260" i="1"/>
  <c r="H260" i="1" a="1"/>
  <c r="H260" i="1" s="1"/>
  <c r="D260" i="1" s="1"/>
  <c r="G260" i="1" a="1"/>
  <c r="G260" i="1"/>
  <c r="I259" i="1" a="1"/>
  <c r="I259" i="1"/>
  <c r="H259" i="1" a="1"/>
  <c r="H259" i="1" s="1"/>
  <c r="D259" i="1" s="1"/>
  <c r="G259" i="1" a="1"/>
  <c r="G259" i="1"/>
  <c r="I258" i="1" a="1"/>
  <c r="I258" i="1" s="1"/>
  <c r="H258" i="1" a="1"/>
  <c r="H258" i="1" s="1"/>
  <c r="G258" i="1" a="1"/>
  <c r="G258" i="1" s="1"/>
  <c r="I257" i="1" a="1"/>
  <c r="I257" i="1"/>
  <c r="H257" i="1" a="1"/>
  <c r="H257" i="1"/>
  <c r="G257" i="1" a="1"/>
  <c r="G257" i="1" s="1"/>
  <c r="I256" i="1" a="1"/>
  <c r="I256" i="1"/>
  <c r="H256" i="1" a="1"/>
  <c r="H256" i="1"/>
  <c r="G256" i="1" a="1"/>
  <c r="G256" i="1" s="1"/>
  <c r="D256" i="1" s="1"/>
  <c r="I255" i="1" a="1"/>
  <c r="I255" i="1"/>
  <c r="H255" i="1" a="1"/>
  <c r="H255" i="1"/>
  <c r="G255" i="1" a="1"/>
  <c r="G255" i="1"/>
  <c r="D255" i="1"/>
  <c r="I254" i="1" a="1"/>
  <c r="I254" i="1" s="1"/>
  <c r="H254" i="1" a="1"/>
  <c r="H254" i="1"/>
  <c r="G254" i="1" a="1"/>
  <c r="G254" i="1" s="1"/>
  <c r="D254" i="1" s="1"/>
  <c r="I253" i="1" a="1"/>
  <c r="I253" i="1" s="1"/>
  <c r="H253" i="1" a="1"/>
  <c r="H253" i="1"/>
  <c r="G253" i="1" a="1"/>
  <c r="G253" i="1"/>
  <c r="D253" i="1" s="1"/>
  <c r="I252" i="1" a="1"/>
  <c r="I252" i="1"/>
  <c r="H252" i="1" a="1"/>
  <c r="H252" i="1" s="1"/>
  <c r="G252" i="1" a="1"/>
  <c r="G252" i="1"/>
  <c r="D252" i="1"/>
  <c r="I251" i="1" a="1"/>
  <c r="I251" i="1" s="1"/>
  <c r="H251" i="1" a="1"/>
  <c r="H251" i="1" s="1"/>
  <c r="G251" i="1" a="1"/>
  <c r="G251" i="1"/>
  <c r="I250" i="1" a="1"/>
  <c r="I250" i="1" s="1"/>
  <c r="H250" i="1" a="1"/>
  <c r="H250" i="1" s="1"/>
  <c r="G250" i="1" a="1"/>
  <c r="G250" i="1" s="1"/>
  <c r="I249" i="1" a="1"/>
  <c r="I249" i="1"/>
  <c r="H249" i="1" a="1"/>
  <c r="H249" i="1"/>
  <c r="G249" i="1" a="1"/>
  <c r="G249" i="1" s="1"/>
  <c r="D249" i="1" s="1"/>
  <c r="I248" i="1" a="1"/>
  <c r="I248" i="1"/>
  <c r="H248" i="1" a="1"/>
  <c r="H248" i="1" s="1"/>
  <c r="G248" i="1" a="1"/>
  <c r="G248" i="1"/>
  <c r="I247" i="1" a="1"/>
  <c r="I247" i="1"/>
  <c r="H247" i="1" a="1"/>
  <c r="H247" i="1"/>
  <c r="G247" i="1" a="1"/>
  <c r="G247" i="1" s="1"/>
  <c r="D247" i="1" s="1"/>
  <c r="I246" i="1" a="1"/>
  <c r="I246" i="1" s="1"/>
  <c r="H246" i="1" a="1"/>
  <c r="H246" i="1"/>
  <c r="G246" i="1" a="1"/>
  <c r="G246" i="1" s="1"/>
  <c r="D246" i="1" s="1"/>
  <c r="I245" i="1" a="1"/>
  <c r="I245" i="1" s="1"/>
  <c r="H245" i="1" a="1"/>
  <c r="H245" i="1"/>
  <c r="G245" i="1" a="1"/>
  <c r="G245" i="1"/>
  <c r="D245" i="1"/>
  <c r="I244" i="1" a="1"/>
  <c r="I244" i="1" s="1"/>
  <c r="D244" i="1" s="1"/>
  <c r="H244" i="1" a="1"/>
  <c r="H244" i="1" s="1"/>
  <c r="G244" i="1" a="1"/>
  <c r="G244" i="1"/>
  <c r="I243" i="1" a="1"/>
  <c r="I243" i="1"/>
  <c r="H243" i="1" a="1"/>
  <c r="H243" i="1" s="1"/>
  <c r="G243" i="1" a="1"/>
  <c r="G243" i="1"/>
  <c r="I242" i="1" a="1"/>
  <c r="I242" i="1"/>
  <c r="H242" i="1" a="1"/>
  <c r="H242" i="1"/>
  <c r="G242" i="1" a="1"/>
  <c r="G242" i="1" s="1"/>
  <c r="D242" i="1" s="1"/>
  <c r="I241" i="1" a="1"/>
  <c r="I241" i="1"/>
  <c r="H241" i="1" a="1"/>
  <c r="H241" i="1"/>
  <c r="G241" i="1" a="1"/>
  <c r="G241" i="1" s="1"/>
  <c r="D241" i="1" s="1"/>
  <c r="I240" i="1" a="1"/>
  <c r="I240" i="1"/>
  <c r="H240" i="1" a="1"/>
  <c r="H240" i="1" s="1"/>
  <c r="G240" i="1" a="1"/>
  <c r="G240" i="1" s="1"/>
  <c r="I239" i="1" a="1"/>
  <c r="I239" i="1"/>
  <c r="H239" i="1" a="1"/>
  <c r="H239" i="1"/>
  <c r="G239" i="1" a="1"/>
  <c r="G239" i="1" s="1"/>
  <c r="D239" i="1" s="1"/>
  <c r="I238" i="1" a="1"/>
  <c r="I238" i="1" s="1"/>
  <c r="H238" i="1" a="1"/>
  <c r="H238" i="1"/>
  <c r="G238" i="1" a="1"/>
  <c r="G238" i="1"/>
  <c r="D238" i="1"/>
  <c r="I237" i="1" a="1"/>
  <c r="I237" i="1" s="1"/>
  <c r="H237" i="1" a="1"/>
  <c r="H237" i="1"/>
  <c r="G237" i="1" a="1"/>
  <c r="G237" i="1"/>
  <c r="D237" i="1"/>
  <c r="I236" i="1" a="1"/>
  <c r="I236" i="1"/>
  <c r="D236" i="1" s="1"/>
  <c r="H236" i="1" a="1"/>
  <c r="H236" i="1" s="1"/>
  <c r="G236" i="1" a="1"/>
  <c r="G236" i="1"/>
  <c r="I235" i="1" a="1"/>
  <c r="I235" i="1"/>
  <c r="H235" i="1" a="1"/>
  <c r="H235" i="1" s="1"/>
  <c r="D235" i="1" s="1"/>
  <c r="G235" i="1" a="1"/>
  <c r="G235" i="1"/>
  <c r="I234" i="1" a="1"/>
  <c r="I234" i="1" s="1"/>
  <c r="H234" i="1" a="1"/>
  <c r="H234" i="1"/>
  <c r="G234" i="1" a="1"/>
  <c r="G234" i="1" s="1"/>
  <c r="I233" i="1" a="1"/>
  <c r="I233" i="1"/>
  <c r="H233" i="1" a="1"/>
  <c r="H233" i="1" s="1"/>
  <c r="G233" i="1" a="1"/>
  <c r="G233" i="1" s="1"/>
  <c r="I232" i="1" a="1"/>
  <c r="I232" i="1"/>
  <c r="H232" i="1" a="1"/>
  <c r="H232" i="1"/>
  <c r="G232" i="1" a="1"/>
  <c r="G232" i="1" s="1"/>
  <c r="D232" i="1" s="1"/>
  <c r="I231" i="1" a="1"/>
  <c r="I231" i="1"/>
  <c r="H231" i="1" a="1"/>
  <c r="H231" i="1"/>
  <c r="G231" i="1" a="1"/>
  <c r="G231" i="1"/>
  <c r="D231" i="1"/>
  <c r="I230" i="1" a="1"/>
  <c r="I230" i="1" s="1"/>
  <c r="H230" i="1" a="1"/>
  <c r="H230" i="1"/>
  <c r="G230" i="1" a="1"/>
  <c r="G230" i="1"/>
  <c r="D230" i="1"/>
  <c r="I229" i="1" a="1"/>
  <c r="I229" i="1" s="1"/>
  <c r="D229" i="1" s="1"/>
  <c r="H229" i="1" a="1"/>
  <c r="H229" i="1"/>
  <c r="G229" i="1" a="1"/>
  <c r="G229" i="1"/>
  <c r="I228" i="1" a="1"/>
  <c r="I228" i="1"/>
  <c r="H228" i="1" a="1"/>
  <c r="H228" i="1" s="1"/>
  <c r="D228" i="1" s="1"/>
  <c r="G228" i="1" a="1"/>
  <c r="G228" i="1"/>
  <c r="I227" i="1" a="1"/>
  <c r="I227" i="1"/>
  <c r="H227" i="1" a="1"/>
  <c r="H227" i="1" s="1"/>
  <c r="D227" i="1" s="1"/>
  <c r="G227" i="1" a="1"/>
  <c r="G227" i="1"/>
  <c r="I226" i="1" a="1"/>
  <c r="I226" i="1" s="1"/>
  <c r="H226" i="1" a="1"/>
  <c r="H226" i="1" s="1"/>
  <c r="G226" i="1" a="1"/>
  <c r="G226" i="1" s="1"/>
  <c r="I225" i="1" a="1"/>
  <c r="I225" i="1"/>
  <c r="H225" i="1" a="1"/>
  <c r="H225" i="1"/>
  <c r="G225" i="1" a="1"/>
  <c r="G225" i="1" s="1"/>
  <c r="I224" i="1" a="1"/>
  <c r="I224" i="1"/>
  <c r="H224" i="1" a="1"/>
  <c r="H224" i="1"/>
  <c r="G224" i="1" a="1"/>
  <c r="G224" i="1"/>
  <c r="D224" i="1" s="1"/>
  <c r="I223" i="1" a="1"/>
  <c r="I223" i="1"/>
  <c r="H223" i="1" a="1"/>
  <c r="H223" i="1"/>
  <c r="G223" i="1" a="1"/>
  <c r="G223" i="1"/>
  <c r="D223" i="1"/>
  <c r="I222" i="1" a="1"/>
  <c r="I222" i="1" s="1"/>
  <c r="H222" i="1" a="1"/>
  <c r="H222" i="1"/>
  <c r="G222" i="1" a="1"/>
  <c r="G222" i="1" s="1"/>
  <c r="D222" i="1" s="1"/>
  <c r="I221" i="1" a="1"/>
  <c r="I221" i="1" s="1"/>
  <c r="H221" i="1" a="1"/>
  <c r="H221" i="1"/>
  <c r="G221" i="1" a="1"/>
  <c r="G221" i="1"/>
  <c r="D221" i="1" s="1"/>
  <c r="I220" i="1" a="1"/>
  <c r="I220" i="1"/>
  <c r="H220" i="1" a="1"/>
  <c r="H220" i="1" s="1"/>
  <c r="G220" i="1" a="1"/>
  <c r="G220" i="1"/>
  <c r="D220" i="1"/>
  <c r="I219" i="1" a="1"/>
  <c r="I219" i="1" s="1"/>
  <c r="H219" i="1" a="1"/>
  <c r="H219" i="1" s="1"/>
  <c r="G219" i="1" a="1"/>
  <c r="G219" i="1"/>
  <c r="I218" i="1" a="1"/>
  <c r="I218" i="1"/>
  <c r="H218" i="1" a="1"/>
  <c r="H218" i="1" s="1"/>
  <c r="G218" i="1" a="1"/>
  <c r="G218" i="1" s="1"/>
  <c r="I217" i="1" a="1"/>
  <c r="I217" i="1"/>
  <c r="H217" i="1" a="1"/>
  <c r="H217" i="1"/>
  <c r="G217" i="1" a="1"/>
  <c r="G217" i="1" s="1"/>
  <c r="D217" i="1" s="1"/>
  <c r="I216" i="1" a="1"/>
  <c r="I216" i="1"/>
  <c r="H216" i="1" a="1"/>
  <c r="H216" i="1" s="1"/>
  <c r="G216" i="1" a="1"/>
  <c r="G216" i="1"/>
  <c r="I215" i="1" a="1"/>
  <c r="I215" i="1"/>
  <c r="H215" i="1" a="1"/>
  <c r="H215" i="1"/>
  <c r="G215" i="1" a="1"/>
  <c r="G215" i="1" s="1"/>
  <c r="D215" i="1" s="1"/>
  <c r="I214" i="1" a="1"/>
  <c r="I214" i="1" s="1"/>
  <c r="H214" i="1" a="1"/>
  <c r="H214" i="1"/>
  <c r="G214" i="1" a="1"/>
  <c r="G214" i="1" s="1"/>
  <c r="D214" i="1" s="1"/>
  <c r="I213" i="1" a="1"/>
  <c r="I213" i="1" s="1"/>
  <c r="H213" i="1" a="1"/>
  <c r="H213" i="1"/>
  <c r="G213" i="1" a="1"/>
  <c r="G213" i="1"/>
  <c r="D213" i="1"/>
  <c r="I212" i="1" a="1"/>
  <c r="I212" i="1" s="1"/>
  <c r="D212" i="1" s="1"/>
  <c r="H212" i="1" a="1"/>
  <c r="H212" i="1" s="1"/>
  <c r="G212" i="1" a="1"/>
  <c r="G212" i="1"/>
  <c r="I211" i="1" a="1"/>
  <c r="I211" i="1"/>
  <c r="H211" i="1" a="1"/>
  <c r="H211" i="1" s="1"/>
  <c r="G211" i="1" a="1"/>
  <c r="G211" i="1"/>
  <c r="I210" i="1" a="1"/>
  <c r="I210" i="1"/>
  <c r="H210" i="1" a="1"/>
  <c r="H210" i="1"/>
  <c r="G210" i="1" a="1"/>
  <c r="G210" i="1" s="1"/>
  <c r="D210" i="1" s="1"/>
  <c r="I209" i="1" a="1"/>
  <c r="I209" i="1"/>
  <c r="H209" i="1" a="1"/>
  <c r="H209" i="1"/>
  <c r="G209" i="1" a="1"/>
  <c r="G209" i="1" s="1"/>
  <c r="D209" i="1" s="1"/>
  <c r="I208" i="1" a="1"/>
  <c r="I208" i="1"/>
  <c r="H208" i="1" a="1"/>
  <c r="H208" i="1" s="1"/>
  <c r="G208" i="1" a="1"/>
  <c r="G208" i="1" s="1"/>
  <c r="I207" i="1" a="1"/>
  <c r="I207" i="1"/>
  <c r="H207" i="1" a="1"/>
  <c r="H207" i="1"/>
  <c r="G207" i="1" a="1"/>
  <c r="G207" i="1" s="1"/>
  <c r="D207" i="1" s="1"/>
  <c r="I206" i="1" a="1"/>
  <c r="I206" i="1" s="1"/>
  <c r="H206" i="1" a="1"/>
  <c r="H206" i="1"/>
  <c r="G206" i="1" a="1"/>
  <c r="G206" i="1"/>
  <c r="D206" i="1"/>
  <c r="I205" i="1" a="1"/>
  <c r="I205" i="1" s="1"/>
  <c r="H205" i="1" a="1"/>
  <c r="H205" i="1"/>
  <c r="G205" i="1" a="1"/>
  <c r="G205" i="1"/>
  <c r="D205" i="1"/>
  <c r="I204" i="1" a="1"/>
  <c r="I204" i="1"/>
  <c r="D204" i="1" s="1"/>
  <c r="H204" i="1" a="1"/>
  <c r="H204" i="1" s="1"/>
  <c r="G204" i="1" a="1"/>
  <c r="G204" i="1"/>
  <c r="I203" i="1" a="1"/>
  <c r="I203" i="1"/>
  <c r="H203" i="1" a="1"/>
  <c r="H203" i="1" s="1"/>
  <c r="D203" i="1" s="1"/>
  <c r="G203" i="1" a="1"/>
  <c r="G203" i="1"/>
  <c r="I202" i="1" a="1"/>
  <c r="I202" i="1" s="1"/>
  <c r="H202" i="1" a="1"/>
  <c r="H202" i="1"/>
  <c r="G202" i="1" a="1"/>
  <c r="G202" i="1" s="1"/>
  <c r="I201" i="1" a="1"/>
  <c r="I201" i="1"/>
  <c r="H201" i="1" a="1"/>
  <c r="H201" i="1" s="1"/>
  <c r="G201" i="1" a="1"/>
  <c r="G201" i="1" s="1"/>
  <c r="I200" i="1" a="1"/>
  <c r="I200" i="1"/>
  <c r="H200" i="1" a="1"/>
  <c r="H200" i="1"/>
  <c r="G200" i="1" a="1"/>
  <c r="G200" i="1" s="1"/>
  <c r="D200" i="1" s="1"/>
  <c r="I199" i="1" a="1"/>
  <c r="I199" i="1"/>
  <c r="H199" i="1" a="1"/>
  <c r="H199" i="1"/>
  <c r="G199" i="1" a="1"/>
  <c r="G199" i="1"/>
  <c r="D199" i="1"/>
  <c r="I198" i="1" a="1"/>
  <c r="I198" i="1" s="1"/>
  <c r="H198" i="1" a="1"/>
  <c r="H198" i="1"/>
  <c r="G198" i="1" a="1"/>
  <c r="G198" i="1"/>
  <c r="D198" i="1"/>
  <c r="I197" i="1" a="1"/>
  <c r="I197" i="1" s="1"/>
  <c r="D197" i="1" s="1"/>
  <c r="H197" i="1" a="1"/>
  <c r="H197" i="1"/>
  <c r="G197" i="1" a="1"/>
  <c r="G197" i="1"/>
  <c r="I196" i="1" a="1"/>
  <c r="I196" i="1"/>
  <c r="H196" i="1" a="1"/>
  <c r="H196" i="1" s="1"/>
  <c r="D196" i="1" s="1"/>
  <c r="G196" i="1" a="1"/>
  <c r="G196" i="1"/>
  <c r="I195" i="1" a="1"/>
  <c r="I195" i="1"/>
  <c r="H195" i="1" a="1"/>
  <c r="H195" i="1" s="1"/>
  <c r="D195" i="1" s="1"/>
  <c r="G195" i="1" a="1"/>
  <c r="G195" i="1"/>
  <c r="I194" i="1" a="1"/>
  <c r="I194" i="1" s="1"/>
  <c r="H194" i="1" a="1"/>
  <c r="H194" i="1" s="1"/>
  <c r="G194" i="1" a="1"/>
  <c r="G194" i="1" s="1"/>
  <c r="I193" i="1" a="1"/>
  <c r="I193" i="1"/>
  <c r="H193" i="1" a="1"/>
  <c r="H193" i="1"/>
  <c r="G193" i="1" a="1"/>
  <c r="G193" i="1" s="1"/>
  <c r="I192" i="1" a="1"/>
  <c r="I192" i="1"/>
  <c r="H192" i="1" a="1"/>
  <c r="H192" i="1"/>
  <c r="G192" i="1" a="1"/>
  <c r="G192" i="1"/>
  <c r="D192" i="1" s="1"/>
  <c r="I191" i="1" a="1"/>
  <c r="I191" i="1"/>
  <c r="H191" i="1" a="1"/>
  <c r="H191" i="1"/>
  <c r="G191" i="1" a="1"/>
  <c r="G191" i="1"/>
  <c r="D191" i="1"/>
  <c r="I190" i="1" a="1"/>
  <c r="I190" i="1" s="1"/>
  <c r="H190" i="1" a="1"/>
  <c r="H190" i="1"/>
  <c r="G190" i="1" a="1"/>
  <c r="G190" i="1" s="1"/>
  <c r="D190" i="1" s="1"/>
  <c r="I189" i="1" a="1"/>
  <c r="I189" i="1" s="1"/>
  <c r="H189" i="1" a="1"/>
  <c r="H189" i="1"/>
  <c r="G189" i="1" a="1"/>
  <c r="G189" i="1"/>
  <c r="D189" i="1" s="1"/>
  <c r="I188" i="1" a="1"/>
  <c r="I188" i="1"/>
  <c r="H188" i="1" a="1"/>
  <c r="H188" i="1" s="1"/>
  <c r="G188" i="1" a="1"/>
  <c r="G188" i="1"/>
  <c r="D188" i="1"/>
  <c r="I187" i="1" a="1"/>
  <c r="I187" i="1" s="1"/>
  <c r="H187" i="1" a="1"/>
  <c r="H187" i="1" s="1"/>
  <c r="G187" i="1" a="1"/>
  <c r="G187" i="1"/>
  <c r="I186" i="1" a="1"/>
  <c r="I186" i="1"/>
  <c r="H186" i="1" a="1"/>
  <c r="H186" i="1" s="1"/>
  <c r="G186" i="1" a="1"/>
  <c r="G186" i="1" s="1"/>
  <c r="I185" i="1" a="1"/>
  <c r="I185" i="1"/>
  <c r="H185" i="1" a="1"/>
  <c r="H185" i="1"/>
  <c r="G185" i="1" a="1"/>
  <c r="G185" i="1" s="1"/>
  <c r="D185" i="1" s="1"/>
  <c r="I184" i="1" a="1"/>
  <c r="I184" i="1"/>
  <c r="H184" i="1" a="1"/>
  <c r="H184" i="1" s="1"/>
  <c r="G184" i="1" a="1"/>
  <c r="G184" i="1"/>
  <c r="I183" i="1" a="1"/>
  <c r="I183" i="1"/>
  <c r="H183" i="1" a="1"/>
  <c r="H183" i="1"/>
  <c r="G183" i="1" a="1"/>
  <c r="G183" i="1" s="1"/>
  <c r="D183" i="1" s="1"/>
  <c r="I182" i="1" a="1"/>
  <c r="I182" i="1" s="1"/>
  <c r="H182" i="1" a="1"/>
  <c r="H182" i="1"/>
  <c r="G182" i="1" a="1"/>
  <c r="G182" i="1" s="1"/>
  <c r="D182" i="1" s="1"/>
  <c r="I181" i="1" a="1"/>
  <c r="I181" i="1" s="1"/>
  <c r="H181" i="1" a="1"/>
  <c r="H181" i="1"/>
  <c r="G181" i="1" a="1"/>
  <c r="G181" i="1"/>
  <c r="D181" i="1"/>
  <c r="I180" i="1" a="1"/>
  <c r="I180" i="1" s="1"/>
  <c r="D180" i="1" s="1"/>
  <c r="H180" i="1" a="1"/>
  <c r="H180" i="1" s="1"/>
  <c r="G180" i="1" a="1"/>
  <c r="G180" i="1"/>
  <c r="I179" i="1" a="1"/>
  <c r="I179" i="1"/>
  <c r="H179" i="1" a="1"/>
  <c r="H179" i="1" s="1"/>
  <c r="G179" i="1" a="1"/>
  <c r="G179" i="1"/>
  <c r="I178" i="1" a="1"/>
  <c r="I178" i="1"/>
  <c r="H178" i="1" a="1"/>
  <c r="H178" i="1"/>
  <c r="G178" i="1" a="1"/>
  <c r="G178" i="1" s="1"/>
  <c r="D178" i="1" s="1"/>
  <c r="I177" i="1" a="1"/>
  <c r="I177" i="1"/>
  <c r="H177" i="1" a="1"/>
  <c r="H177" i="1"/>
  <c r="G177" i="1" a="1"/>
  <c r="G177" i="1" s="1"/>
  <c r="D177" i="1" s="1"/>
  <c r="I176" i="1" a="1"/>
  <c r="I176" i="1"/>
  <c r="H176" i="1" a="1"/>
  <c r="H176" i="1" s="1"/>
  <c r="G176" i="1" a="1"/>
  <c r="G176" i="1" s="1"/>
  <c r="I175" i="1" a="1"/>
  <c r="I175" i="1"/>
  <c r="H175" i="1" a="1"/>
  <c r="H175" i="1"/>
  <c r="G175" i="1" a="1"/>
  <c r="G175" i="1" s="1"/>
  <c r="D175" i="1" s="1"/>
  <c r="I174" i="1" a="1"/>
  <c r="I174" i="1" s="1"/>
  <c r="H174" i="1" a="1"/>
  <c r="H174" i="1"/>
  <c r="G174" i="1" a="1"/>
  <c r="G174" i="1"/>
  <c r="D174" i="1"/>
  <c r="I173" i="1" a="1"/>
  <c r="I173" i="1" s="1"/>
  <c r="H173" i="1" a="1"/>
  <c r="H173" i="1"/>
  <c r="G173" i="1" a="1"/>
  <c r="G173" i="1"/>
  <c r="D173" i="1"/>
  <c r="I172" i="1" a="1"/>
  <c r="I172" i="1"/>
  <c r="D172" i="1" s="1"/>
  <c r="H172" i="1" a="1"/>
  <c r="H172" i="1" s="1"/>
  <c r="G172" i="1" a="1"/>
  <c r="G172" i="1"/>
  <c r="I171" i="1" a="1"/>
  <c r="I171" i="1"/>
  <c r="H171" i="1" a="1"/>
  <c r="H171" i="1" s="1"/>
  <c r="D171" i="1" s="1"/>
  <c r="G171" i="1" a="1"/>
  <c r="G171" i="1"/>
  <c r="I170" i="1" a="1"/>
  <c r="I170" i="1" s="1"/>
  <c r="H170" i="1" a="1"/>
  <c r="H170" i="1"/>
  <c r="G170" i="1" a="1"/>
  <c r="G170" i="1" s="1"/>
  <c r="I169" i="1" a="1"/>
  <c r="I169" i="1"/>
  <c r="H169" i="1" a="1"/>
  <c r="H169" i="1"/>
  <c r="G169" i="1" a="1"/>
  <c r="G169" i="1" s="1"/>
  <c r="I168" i="1" a="1"/>
  <c r="I168" i="1"/>
  <c r="H168" i="1" a="1"/>
  <c r="H168" i="1"/>
  <c r="G168" i="1" a="1"/>
  <c r="G168" i="1" s="1"/>
  <c r="D168" i="1" s="1"/>
  <c r="I167" i="1" a="1"/>
  <c r="I167" i="1"/>
  <c r="H167" i="1" a="1"/>
  <c r="H167" i="1"/>
  <c r="G167" i="1" a="1"/>
  <c r="G167" i="1"/>
  <c r="D167" i="1"/>
  <c r="I166" i="1" a="1"/>
  <c r="I166" i="1" s="1"/>
  <c r="H166" i="1" a="1"/>
  <c r="H166" i="1"/>
  <c r="G166" i="1" a="1"/>
  <c r="G166" i="1"/>
  <c r="D166" i="1"/>
  <c r="I165" i="1" a="1"/>
  <c r="I165" i="1" s="1"/>
  <c r="D165" i="1" s="1"/>
  <c r="H165" i="1" a="1"/>
  <c r="H165" i="1"/>
  <c r="G165" i="1" a="1"/>
  <c r="G165" i="1"/>
  <c r="I164" i="1" a="1"/>
  <c r="I164" i="1"/>
  <c r="H164" i="1" a="1"/>
  <c r="H164" i="1" s="1"/>
  <c r="D164" i="1" s="1"/>
  <c r="G164" i="1" a="1"/>
  <c r="G164" i="1"/>
  <c r="I163" i="1" a="1"/>
  <c r="I163" i="1"/>
  <c r="H163" i="1" a="1"/>
  <c r="H163" i="1" s="1"/>
  <c r="D163" i="1" s="1"/>
  <c r="G163" i="1" a="1"/>
  <c r="G163" i="1"/>
  <c r="I162" i="1" a="1"/>
  <c r="I162" i="1" s="1"/>
  <c r="H162" i="1" a="1"/>
  <c r="H162" i="1" s="1"/>
  <c r="G162" i="1" a="1"/>
  <c r="G162" i="1" s="1"/>
  <c r="I161" i="1" a="1"/>
  <c r="I161" i="1"/>
  <c r="H161" i="1" a="1"/>
  <c r="H161" i="1"/>
  <c r="G161" i="1" a="1"/>
  <c r="G161" i="1" s="1"/>
  <c r="I160" i="1" a="1"/>
  <c r="I160" i="1"/>
  <c r="H160" i="1" a="1"/>
  <c r="H160" i="1"/>
  <c r="G160" i="1" a="1"/>
  <c r="G160" i="1"/>
  <c r="D160" i="1" s="1"/>
  <c r="I159" i="1" a="1"/>
  <c r="I159" i="1"/>
  <c r="H159" i="1" a="1"/>
  <c r="H159" i="1"/>
  <c r="G159" i="1" a="1"/>
  <c r="G159" i="1"/>
  <c r="D159" i="1"/>
  <c r="I158" i="1" a="1"/>
  <c r="I158" i="1" s="1"/>
  <c r="H158" i="1" a="1"/>
  <c r="H158" i="1"/>
  <c r="G158" i="1" a="1"/>
  <c r="G158" i="1" s="1"/>
  <c r="D158" i="1" s="1"/>
  <c r="I157" i="1" a="1"/>
  <c r="I157" i="1" s="1"/>
  <c r="D157" i="1" s="1"/>
  <c r="H157" i="1" a="1"/>
  <c r="H157" i="1"/>
  <c r="G157" i="1" a="1"/>
  <c r="G157" i="1"/>
  <c r="I156" i="1" a="1"/>
  <c r="I156" i="1"/>
  <c r="H156" i="1" a="1"/>
  <c r="H156" i="1" s="1"/>
  <c r="G156" i="1" a="1"/>
  <c r="G156" i="1"/>
  <c r="D156" i="1"/>
  <c r="I155" i="1" a="1"/>
  <c r="I155" i="1"/>
  <c r="H155" i="1" a="1"/>
  <c r="H155" i="1" s="1"/>
  <c r="G155" i="1" a="1"/>
  <c r="G155" i="1"/>
  <c r="I154" i="1" a="1"/>
  <c r="I154" i="1"/>
  <c r="H154" i="1" a="1"/>
  <c r="H154" i="1" s="1"/>
  <c r="G154" i="1" a="1"/>
  <c r="G154" i="1" s="1"/>
  <c r="I153" i="1" a="1"/>
  <c r="I153" i="1"/>
  <c r="H153" i="1" a="1"/>
  <c r="H153" i="1"/>
  <c r="G153" i="1" a="1"/>
  <c r="G153" i="1" s="1"/>
  <c r="D153" i="1" s="1"/>
  <c r="I152" i="1" a="1"/>
  <c r="I152" i="1"/>
  <c r="H152" i="1" a="1"/>
  <c r="H152" i="1" s="1"/>
  <c r="G152" i="1" a="1"/>
  <c r="G152" i="1"/>
  <c r="I151" i="1" a="1"/>
  <c r="I151" i="1"/>
  <c r="H151" i="1" a="1"/>
  <c r="H151" i="1"/>
  <c r="G151" i="1" a="1"/>
  <c r="G151" i="1" s="1"/>
  <c r="D151" i="1" s="1"/>
  <c r="I150" i="1" a="1"/>
  <c r="I150" i="1" s="1"/>
  <c r="H150" i="1" a="1"/>
  <c r="H150" i="1"/>
  <c r="G150" i="1" a="1"/>
  <c r="G150" i="1" s="1"/>
  <c r="D150" i="1" s="1"/>
  <c r="I149" i="1" a="1"/>
  <c r="I149" i="1" s="1"/>
  <c r="H149" i="1" a="1"/>
  <c r="H149" i="1"/>
  <c r="G149" i="1" a="1"/>
  <c r="G149" i="1"/>
  <c r="D149" i="1"/>
  <c r="I148" i="1" a="1"/>
  <c r="I148" i="1"/>
  <c r="H148" i="1" a="1"/>
  <c r="H148" i="1" s="1"/>
  <c r="G148" i="1" a="1"/>
  <c r="G148" i="1"/>
  <c r="D148" i="1"/>
  <c r="I147" i="1" a="1"/>
  <c r="I147" i="1"/>
  <c r="H147" i="1" a="1"/>
  <c r="H147" i="1" s="1"/>
  <c r="G147" i="1" a="1"/>
  <c r="G147" i="1"/>
  <c r="I146" i="1" a="1"/>
  <c r="I146" i="1"/>
  <c r="H146" i="1" a="1"/>
  <c r="H146" i="1"/>
  <c r="G146" i="1" a="1"/>
  <c r="G146" i="1" s="1"/>
  <c r="D146" i="1" s="1"/>
  <c r="I145" i="1" a="1"/>
  <c r="I145" i="1"/>
  <c r="H145" i="1" a="1"/>
  <c r="H145" i="1"/>
  <c r="G145" i="1" a="1"/>
  <c r="G145" i="1" s="1"/>
  <c r="D145" i="1" s="1"/>
  <c r="I144" i="1" a="1"/>
  <c r="I144" i="1"/>
  <c r="H144" i="1" a="1"/>
  <c r="H144" i="1" s="1"/>
  <c r="G144" i="1" a="1"/>
  <c r="G144" i="1" s="1"/>
  <c r="D144" i="1" s="1"/>
  <c r="I143" i="1" a="1"/>
  <c r="I143" i="1"/>
  <c r="H143" i="1" a="1"/>
  <c r="H143" i="1"/>
  <c r="G143" i="1" a="1"/>
  <c r="G143" i="1" s="1"/>
  <c r="D143" i="1" s="1"/>
  <c r="I142" i="1" a="1"/>
  <c r="I142" i="1" s="1"/>
  <c r="H142" i="1" a="1"/>
  <c r="H142" i="1"/>
  <c r="G142" i="1" a="1"/>
  <c r="G142" i="1"/>
  <c r="D142" i="1"/>
  <c r="I141" i="1" a="1"/>
  <c r="I141" i="1" s="1"/>
  <c r="H141" i="1" a="1"/>
  <c r="H141" i="1"/>
  <c r="G141" i="1" a="1"/>
  <c r="G141" i="1"/>
  <c r="D141" i="1"/>
  <c r="I140" i="1" a="1"/>
  <c r="I140" i="1"/>
  <c r="D140" i="1" s="1"/>
  <c r="H140" i="1" a="1"/>
  <c r="H140" i="1" s="1"/>
  <c r="G140" i="1" a="1"/>
  <c r="G140" i="1"/>
  <c r="I139" i="1" a="1"/>
  <c r="I139" i="1"/>
  <c r="H139" i="1" a="1"/>
  <c r="H139" i="1" s="1"/>
  <c r="D139" i="1" s="1"/>
  <c r="G139" i="1" a="1"/>
  <c r="G139" i="1"/>
  <c r="I138" i="1" a="1"/>
  <c r="I138" i="1" s="1"/>
  <c r="H138" i="1" a="1"/>
  <c r="H138" i="1"/>
  <c r="G138" i="1" a="1"/>
  <c r="G138" i="1" s="1"/>
  <c r="I137" i="1" a="1"/>
  <c r="I137" i="1"/>
  <c r="H137" i="1" a="1"/>
  <c r="H137" i="1"/>
  <c r="G137" i="1" a="1"/>
  <c r="G137" i="1" s="1"/>
  <c r="I136" i="1" a="1"/>
  <c r="I136" i="1"/>
  <c r="H136" i="1" a="1"/>
  <c r="H136" i="1"/>
  <c r="G136" i="1" a="1"/>
  <c r="G136" i="1" s="1"/>
  <c r="D136" i="1" s="1"/>
  <c r="I135" i="1" a="1"/>
  <c r="I135" i="1"/>
  <c r="H135" i="1" a="1"/>
  <c r="H135" i="1"/>
  <c r="G135" i="1" a="1"/>
  <c r="G135" i="1"/>
  <c r="D135" i="1"/>
  <c r="I134" i="1" a="1"/>
  <c r="I134" i="1" s="1"/>
  <c r="H134" i="1" a="1"/>
  <c r="H134" i="1"/>
  <c r="G134" i="1" a="1"/>
  <c r="G134" i="1"/>
  <c r="D134" i="1"/>
  <c r="I133" i="1" a="1"/>
  <c r="I133" i="1" s="1"/>
  <c r="D133" i="1" s="1"/>
  <c r="H133" i="1" a="1"/>
  <c r="H133" i="1"/>
  <c r="G133" i="1" a="1"/>
  <c r="G133" i="1"/>
  <c r="I132" i="1" a="1"/>
  <c r="I132" i="1"/>
  <c r="H132" i="1" a="1"/>
  <c r="H132" i="1" s="1"/>
  <c r="D132" i="1" s="1"/>
  <c r="G132" i="1" a="1"/>
  <c r="G132" i="1"/>
  <c r="I131" i="1" a="1"/>
  <c r="I131" i="1"/>
  <c r="H131" i="1" a="1"/>
  <c r="H131" i="1" s="1"/>
  <c r="D131" i="1" s="1"/>
  <c r="G131" i="1" a="1"/>
  <c r="G131" i="1"/>
  <c r="I130" i="1" a="1"/>
  <c r="I130" i="1" s="1"/>
  <c r="H130" i="1" a="1"/>
  <c r="H130" i="1" s="1"/>
  <c r="G130" i="1" a="1"/>
  <c r="G130" i="1" s="1"/>
  <c r="I129" i="1" a="1"/>
  <c r="I129" i="1"/>
  <c r="H129" i="1" a="1"/>
  <c r="H129" i="1"/>
  <c r="G129" i="1" a="1"/>
  <c r="G129" i="1" s="1"/>
  <c r="I128" i="1" a="1"/>
  <c r="I128" i="1"/>
  <c r="H128" i="1" a="1"/>
  <c r="H128" i="1"/>
  <c r="G128" i="1" a="1"/>
  <c r="G128" i="1"/>
  <c r="D128" i="1" s="1"/>
  <c r="I127" i="1" a="1"/>
  <c r="I127" i="1"/>
  <c r="H127" i="1" a="1"/>
  <c r="H127" i="1"/>
  <c r="G127" i="1" a="1"/>
  <c r="G127" i="1"/>
  <c r="D127" i="1"/>
  <c r="I126" i="1" a="1"/>
  <c r="I126" i="1" s="1"/>
  <c r="H126" i="1" a="1"/>
  <c r="H126" i="1"/>
  <c r="G126" i="1" a="1"/>
  <c r="G126" i="1" s="1"/>
  <c r="D126" i="1" s="1"/>
  <c r="I125" i="1" a="1"/>
  <c r="I125" i="1" s="1"/>
  <c r="D125" i="1" s="1"/>
  <c r="H125" i="1" a="1"/>
  <c r="H125" i="1"/>
  <c r="G125" i="1" a="1"/>
  <c r="G125" i="1"/>
  <c r="I124" i="1" a="1"/>
  <c r="I124" i="1"/>
  <c r="H124" i="1" a="1"/>
  <c r="H124" i="1" s="1"/>
  <c r="G124" i="1" a="1"/>
  <c r="G124" i="1"/>
  <c r="D124" i="1"/>
  <c r="I123" i="1" a="1"/>
  <c r="I123" i="1"/>
  <c r="H123" i="1" a="1"/>
  <c r="H123" i="1" s="1"/>
  <c r="G123" i="1" a="1"/>
  <c r="G123" i="1"/>
  <c r="I122" i="1" a="1"/>
  <c r="I122" i="1"/>
  <c r="H122" i="1" a="1"/>
  <c r="H122" i="1" s="1"/>
  <c r="G122" i="1" a="1"/>
  <c r="G122" i="1" s="1"/>
  <c r="I121" i="1" a="1"/>
  <c r="I121" i="1"/>
  <c r="H121" i="1" a="1"/>
  <c r="H121" i="1"/>
  <c r="G121" i="1" a="1"/>
  <c r="G121" i="1" s="1"/>
  <c r="D121" i="1" s="1"/>
  <c r="I120" i="1" a="1"/>
  <c r="I120" i="1"/>
  <c r="H120" i="1" a="1"/>
  <c r="H120" i="1" s="1"/>
  <c r="G120" i="1" a="1"/>
  <c r="G120" i="1"/>
  <c r="I119" i="1" a="1"/>
  <c r="I119" i="1"/>
  <c r="H119" i="1" a="1"/>
  <c r="H119" i="1"/>
  <c r="G119" i="1" a="1"/>
  <c r="G119" i="1" s="1"/>
  <c r="D119" i="1" s="1"/>
  <c r="I118" i="1" a="1"/>
  <c r="I118" i="1" s="1"/>
  <c r="H118" i="1" a="1"/>
  <c r="H118" i="1"/>
  <c r="G118" i="1" a="1"/>
  <c r="G118" i="1" s="1"/>
  <c r="D118" i="1" s="1"/>
  <c r="I117" i="1" a="1"/>
  <c r="I117" i="1" s="1"/>
  <c r="H117" i="1" a="1"/>
  <c r="H117" i="1"/>
  <c r="G117" i="1" a="1"/>
  <c r="G117" i="1"/>
  <c r="D117" i="1"/>
  <c r="I116" i="1" a="1"/>
  <c r="I116" i="1"/>
  <c r="H116" i="1" a="1"/>
  <c r="H116" i="1" s="1"/>
  <c r="G116" i="1" a="1"/>
  <c r="G116" i="1"/>
  <c r="D116" i="1"/>
  <c r="I115" i="1" a="1"/>
  <c r="I115" i="1"/>
  <c r="H115" i="1" a="1"/>
  <c r="H115" i="1" s="1"/>
  <c r="G115" i="1" a="1"/>
  <c r="G115" i="1"/>
  <c r="I114" i="1" a="1"/>
  <c r="I114" i="1"/>
  <c r="H114" i="1" a="1"/>
  <c r="H114" i="1"/>
  <c r="G114" i="1" a="1"/>
  <c r="G114" i="1" s="1"/>
  <c r="D114" i="1" s="1"/>
  <c r="I113" i="1" a="1"/>
  <c r="I113" i="1"/>
  <c r="H113" i="1" a="1"/>
  <c r="H113" i="1"/>
  <c r="G113" i="1" a="1"/>
  <c r="G113" i="1"/>
  <c r="D113" i="1" s="1"/>
  <c r="I112" i="1" a="1"/>
  <c r="I112" i="1"/>
  <c r="H112" i="1" a="1"/>
  <c r="H112" i="1"/>
  <c r="G112" i="1" a="1"/>
  <c r="G112" i="1"/>
  <c r="D112" i="1"/>
  <c r="I111" i="1" a="1"/>
  <c r="I111" i="1"/>
  <c r="H111" i="1" a="1"/>
  <c r="H111" i="1"/>
  <c r="G111" i="1" a="1"/>
  <c r="G111" i="1" s="1"/>
  <c r="D111" i="1" s="1"/>
  <c r="I110" i="1" a="1"/>
  <c r="I110" i="1" s="1"/>
  <c r="H110" i="1" a="1"/>
  <c r="H110" i="1"/>
  <c r="G110" i="1" a="1"/>
  <c r="G110" i="1" s="1"/>
  <c r="D110" i="1" s="1"/>
  <c r="I109" i="1" a="1"/>
  <c r="I109" i="1"/>
  <c r="H109" i="1" a="1"/>
  <c r="H109" i="1"/>
  <c r="G109" i="1" a="1"/>
  <c r="G109" i="1"/>
  <c r="D109" i="1" s="1"/>
  <c r="I108" i="1" a="1"/>
  <c r="I108" i="1" s="1"/>
  <c r="D108" i="1" s="1"/>
  <c r="H108" i="1" a="1"/>
  <c r="H108" i="1" s="1"/>
  <c r="G108" i="1" a="1"/>
  <c r="G108" i="1"/>
  <c r="I107" i="1" a="1"/>
  <c r="I107" i="1" s="1"/>
  <c r="H107" i="1" a="1"/>
  <c r="H107" i="1" s="1"/>
  <c r="D107" i="1" s="1"/>
  <c r="G107" i="1" a="1"/>
  <c r="G107" i="1"/>
  <c r="I106" i="1" a="1"/>
  <c r="I106" i="1"/>
  <c r="H106" i="1" a="1"/>
  <c r="H106" i="1" s="1"/>
  <c r="G106" i="1" a="1"/>
  <c r="G106" i="1" s="1"/>
  <c r="I105" i="1" a="1"/>
  <c r="I105" i="1"/>
  <c r="H105" i="1" a="1"/>
  <c r="H105" i="1"/>
  <c r="G105" i="1" a="1"/>
  <c r="G105" i="1"/>
  <c r="D105" i="1" s="1"/>
  <c r="I104" i="1" a="1"/>
  <c r="I104" i="1"/>
  <c r="H104" i="1" a="1"/>
  <c r="H104" i="1"/>
  <c r="G104" i="1" a="1"/>
  <c r="G104" i="1"/>
  <c r="D104" i="1"/>
  <c r="I103" i="1" a="1"/>
  <c r="I103" i="1"/>
  <c r="H103" i="1" a="1"/>
  <c r="H103" i="1"/>
  <c r="G103" i="1" a="1"/>
  <c r="G103" i="1"/>
  <c r="D103" i="1"/>
  <c r="I102" i="1" a="1"/>
  <c r="I102" i="1" s="1"/>
  <c r="H102" i="1" a="1"/>
  <c r="H102" i="1"/>
  <c r="G102" i="1" a="1"/>
  <c r="G102" i="1" s="1"/>
  <c r="D102" i="1" s="1"/>
  <c r="I101" i="1" a="1"/>
  <c r="I101" i="1"/>
  <c r="H101" i="1" a="1"/>
  <c r="H101" i="1"/>
  <c r="G101" i="1" a="1"/>
  <c r="G101" i="1"/>
  <c r="D101" i="1" s="1"/>
  <c r="I100" i="1" a="1"/>
  <c r="I100" i="1"/>
  <c r="H100" i="1" a="1"/>
  <c r="H100" i="1" s="1"/>
  <c r="D100" i="1" s="1"/>
  <c r="G100" i="1" a="1"/>
  <c r="G100" i="1"/>
  <c r="I99" i="1" a="1"/>
  <c r="I99" i="1" s="1"/>
  <c r="H99" i="1" a="1"/>
  <c r="H99" i="1"/>
  <c r="G99" i="1" a="1"/>
  <c r="G99" i="1"/>
  <c r="I98" i="1" a="1"/>
  <c r="I98" i="1" s="1"/>
  <c r="H98" i="1" a="1"/>
  <c r="H98" i="1" s="1"/>
  <c r="G98" i="1" a="1"/>
  <c r="G98" i="1" s="1"/>
  <c r="I97" i="1" a="1"/>
  <c r="I97" i="1"/>
  <c r="H97" i="1" a="1"/>
  <c r="H97" i="1"/>
  <c r="G97" i="1" a="1"/>
  <c r="G97" i="1"/>
  <c r="I96" i="1" a="1"/>
  <c r="I96" i="1"/>
  <c r="H96" i="1" a="1"/>
  <c r="H96" i="1"/>
  <c r="G96" i="1" a="1"/>
  <c r="G96" i="1"/>
  <c r="D96" i="1" s="1"/>
  <c r="I95" i="1" a="1"/>
  <c r="I95" i="1"/>
  <c r="H95" i="1" a="1"/>
  <c r="H95" i="1"/>
  <c r="G95" i="1" a="1"/>
  <c r="G95" i="1"/>
  <c r="D95" i="1"/>
  <c r="I94" i="1" a="1"/>
  <c r="I94" i="1" s="1"/>
  <c r="H94" i="1" a="1"/>
  <c r="H94" i="1"/>
  <c r="G94" i="1" a="1"/>
  <c r="G94" i="1"/>
  <c r="D94" i="1"/>
  <c r="I93" i="1" a="1"/>
  <c r="I93" i="1"/>
  <c r="D93" i="1" s="1"/>
  <c r="H93" i="1" a="1"/>
  <c r="H93" i="1"/>
  <c r="G93" i="1" a="1"/>
  <c r="G93" i="1"/>
  <c r="I92" i="1" a="1"/>
  <c r="I92" i="1"/>
  <c r="H92" i="1" a="1"/>
  <c r="H92" i="1" s="1"/>
  <c r="G92" i="1" a="1"/>
  <c r="G92" i="1"/>
  <c r="D92" i="1" s="1"/>
  <c r="I91" i="1" a="1"/>
  <c r="I91" i="1"/>
  <c r="H91" i="1" a="1"/>
  <c r="H91" i="1"/>
  <c r="D91" i="1" s="1"/>
  <c r="G91" i="1" a="1"/>
  <c r="G91" i="1"/>
  <c r="I90" i="1" a="1"/>
  <c r="I90" i="1"/>
  <c r="H90" i="1" a="1"/>
  <c r="H90" i="1"/>
  <c r="G90" i="1" a="1"/>
  <c r="G90" i="1" s="1"/>
  <c r="D90" i="1" s="1"/>
  <c r="I89" i="1" a="1"/>
  <c r="I89" i="1" s="1"/>
  <c r="H89" i="1" a="1"/>
  <c r="H89" i="1" s="1"/>
  <c r="G89" i="1" a="1"/>
  <c r="G89" i="1"/>
  <c r="I88" i="1" a="1"/>
  <c r="I88" i="1"/>
  <c r="H88" i="1" a="1"/>
  <c r="H88" i="1" s="1"/>
  <c r="G88" i="1" a="1"/>
  <c r="G88" i="1" s="1"/>
  <c r="D88" i="1" s="1"/>
  <c r="I87" i="1" a="1"/>
  <c r="I87" i="1"/>
  <c r="H87" i="1" a="1"/>
  <c r="H87" i="1"/>
  <c r="G87" i="1" a="1"/>
  <c r="G87" i="1"/>
  <c r="D87" i="1" s="1"/>
  <c r="I86" i="1" a="1"/>
  <c r="I86" i="1" s="1"/>
  <c r="H86" i="1" a="1"/>
  <c r="H86" i="1"/>
  <c r="G86" i="1" a="1"/>
  <c r="G86" i="1"/>
  <c r="D86" i="1" s="1"/>
  <c r="I85" i="1" a="1"/>
  <c r="I85" i="1" s="1"/>
  <c r="D85" i="1" s="1"/>
  <c r="H85" i="1" a="1"/>
  <c r="H85" i="1"/>
  <c r="G85" i="1" a="1"/>
  <c r="G85" i="1"/>
  <c r="I84" i="1" a="1"/>
  <c r="I84" i="1"/>
  <c r="H84" i="1" a="1"/>
  <c r="H84" i="1" s="1"/>
  <c r="G84" i="1" a="1"/>
  <c r="G84" i="1"/>
  <c r="D84" i="1"/>
  <c r="I83" i="1" a="1"/>
  <c r="I83" i="1"/>
  <c r="D83" i="1" s="1"/>
  <c r="H83" i="1" a="1"/>
  <c r="H83" i="1"/>
  <c r="G83" i="1" a="1"/>
  <c r="G83" i="1"/>
  <c r="I82" i="1" a="1"/>
  <c r="I82" i="1"/>
  <c r="H82" i="1" a="1"/>
  <c r="H82" i="1" s="1"/>
  <c r="G82" i="1" a="1"/>
  <c r="G82" i="1" s="1"/>
  <c r="I81" i="1" a="1"/>
  <c r="I81" i="1"/>
  <c r="H81" i="1" a="1"/>
  <c r="H81" i="1"/>
  <c r="G81" i="1" a="1"/>
  <c r="G81" i="1"/>
  <c r="D81" i="1" s="1"/>
  <c r="I80" i="1" a="1"/>
  <c r="I80" i="1"/>
  <c r="H80" i="1" a="1"/>
  <c r="H80" i="1"/>
  <c r="G80" i="1" a="1"/>
  <c r="G80" i="1"/>
  <c r="D80" i="1"/>
  <c r="I79" i="1" a="1"/>
  <c r="I79" i="1"/>
  <c r="H79" i="1" a="1"/>
  <c r="H79" i="1" s="1"/>
  <c r="D79" i="1" s="1"/>
  <c r="G79" i="1" a="1"/>
  <c r="G79" i="1"/>
  <c r="I78" i="1" a="1"/>
  <c r="I78" i="1" s="1"/>
  <c r="H78" i="1" a="1"/>
  <c r="H78" i="1"/>
  <c r="G78" i="1" a="1"/>
  <c r="G78" i="1" s="1"/>
  <c r="D78" i="1" s="1"/>
  <c r="I77" i="1" a="1"/>
  <c r="I77" i="1"/>
  <c r="H77" i="1" a="1"/>
  <c r="H77" i="1"/>
  <c r="G77" i="1" a="1"/>
  <c r="G77" i="1"/>
  <c r="D77" i="1" s="1"/>
  <c r="I76" i="1" a="1"/>
  <c r="I76" i="1"/>
  <c r="H76" i="1" a="1"/>
  <c r="H76" i="1" s="1"/>
  <c r="G76" i="1" a="1"/>
  <c r="G76" i="1"/>
  <c r="D76" i="1" s="1"/>
  <c r="I75" i="1" a="1"/>
  <c r="I75" i="1" s="1"/>
  <c r="D75" i="1" s="1"/>
  <c r="H75" i="1" a="1"/>
  <c r="H75" i="1"/>
  <c r="G75" i="1" a="1"/>
  <c r="G75" i="1"/>
  <c r="I74" i="1" a="1"/>
  <c r="I74" i="1"/>
  <c r="H74" i="1" a="1"/>
  <c r="H74" i="1"/>
  <c r="G74" i="1" a="1"/>
  <c r="G74" i="1" s="1"/>
  <c r="D74" i="1" s="1"/>
  <c r="I73" i="1" a="1"/>
  <c r="I73" i="1"/>
  <c r="H73" i="1" a="1"/>
  <c r="H73" i="1" s="1"/>
  <c r="G73" i="1" a="1"/>
  <c r="G73" i="1" s="1"/>
  <c r="I72" i="1" a="1"/>
  <c r="I72" i="1"/>
  <c r="H72" i="1" a="1"/>
  <c r="H72" i="1"/>
  <c r="G72" i="1" a="1"/>
  <c r="G72" i="1" s="1"/>
  <c r="D72" i="1" s="1"/>
  <c r="I71" i="1" a="1"/>
  <c r="I71" i="1"/>
  <c r="H71" i="1" a="1"/>
  <c r="H71" i="1"/>
  <c r="G71" i="1" a="1"/>
  <c r="G71" i="1"/>
  <c r="D71" i="1" s="1"/>
  <c r="I70" i="1" a="1"/>
  <c r="I70" i="1" s="1"/>
  <c r="H70" i="1" a="1"/>
  <c r="H70" i="1"/>
  <c r="G70" i="1" a="1"/>
  <c r="G70" i="1"/>
  <c r="D70" i="1"/>
  <c r="I69" i="1" a="1"/>
  <c r="I69" i="1" s="1"/>
  <c r="D69" i="1" s="1"/>
  <c r="H69" i="1" a="1"/>
  <c r="H69" i="1"/>
  <c r="G69" i="1" a="1"/>
  <c r="G69" i="1"/>
  <c r="I68" i="1" a="1"/>
  <c r="I68" i="1"/>
  <c r="H68" i="1" a="1"/>
  <c r="H68" i="1" s="1"/>
  <c r="G68" i="1" a="1"/>
  <c r="G68" i="1" s="1"/>
  <c r="D68" i="1" s="1"/>
  <c r="I67" i="1" a="1"/>
  <c r="I67" i="1"/>
  <c r="H67" i="1" a="1"/>
  <c r="H67" i="1"/>
  <c r="G67" i="1" a="1"/>
  <c r="G67" i="1"/>
  <c r="D67" i="1" s="1"/>
  <c r="I66" i="1" a="1"/>
  <c r="I66" i="1"/>
  <c r="H66" i="1" a="1"/>
  <c r="H66" i="1"/>
  <c r="G66" i="1" a="1"/>
  <c r="G66" i="1" s="1"/>
  <c r="D66" i="1" s="1"/>
  <c r="I65" i="1" a="1"/>
  <c r="I65" i="1" s="1"/>
  <c r="H65" i="1" a="1"/>
  <c r="H65" i="1"/>
  <c r="G65" i="1" a="1"/>
  <c r="G65" i="1"/>
  <c r="I64" i="1" a="1"/>
  <c r="I64" i="1" s="1"/>
  <c r="H64" i="1" a="1"/>
  <c r="H64" i="1" s="1"/>
  <c r="D64" i="1" s="1"/>
  <c r="G64" i="1" a="1"/>
  <c r="G64" i="1"/>
  <c r="I63" i="1" a="1"/>
  <c r="I63" i="1"/>
  <c r="D63" i="1" s="1"/>
  <c r="H63" i="1" a="1"/>
  <c r="H63" i="1"/>
  <c r="G63" i="1" a="1"/>
  <c r="G63" i="1"/>
  <c r="I62" i="1" a="1"/>
  <c r="I62" i="1" s="1"/>
  <c r="H62" i="1" a="1"/>
  <c r="H62" i="1"/>
  <c r="G62" i="1" a="1"/>
  <c r="G62" i="1"/>
  <c r="D62" i="1" s="1"/>
  <c r="I61" i="1" a="1"/>
  <c r="I61" i="1"/>
  <c r="H61" i="1" a="1"/>
  <c r="H61" i="1"/>
  <c r="G61" i="1" a="1"/>
  <c r="G61" i="1" s="1"/>
  <c r="D61" i="1" s="1"/>
  <c r="I60" i="1" a="1"/>
  <c r="I60" i="1"/>
  <c r="H60" i="1" a="1"/>
  <c r="H60" i="1" s="1"/>
  <c r="G60" i="1" a="1"/>
  <c r="G60" i="1"/>
  <c r="D60" i="1"/>
  <c r="I59" i="1" a="1"/>
  <c r="I59" i="1"/>
  <c r="H59" i="1" a="1"/>
  <c r="H59" i="1"/>
  <c r="G59" i="1" a="1"/>
  <c r="G59" i="1"/>
  <c r="D59" i="1"/>
  <c r="I58" i="1" a="1"/>
  <c r="I58" i="1" s="1"/>
  <c r="H58" i="1" a="1"/>
  <c r="H58" i="1" s="1"/>
  <c r="D58" i="1" s="1"/>
  <c r="G58" i="1" a="1"/>
  <c r="G58" i="1" s="1"/>
  <c r="I57" i="1" a="1"/>
  <c r="I57" i="1"/>
  <c r="H57" i="1" a="1"/>
  <c r="H57" i="1" s="1"/>
  <c r="G57" i="1" a="1"/>
  <c r="G57" i="1" s="1"/>
  <c r="D57" i="1" s="1"/>
  <c r="I56" i="1" a="1"/>
  <c r="I56" i="1"/>
  <c r="H56" i="1" a="1"/>
  <c r="H56" i="1"/>
  <c r="G56" i="1" a="1"/>
  <c r="G56" i="1" s="1"/>
  <c r="D56" i="1" s="1"/>
  <c r="I55" i="1" a="1"/>
  <c r="I55" i="1"/>
  <c r="H55" i="1" a="1"/>
  <c r="H55" i="1"/>
  <c r="G55" i="1" a="1"/>
  <c r="G55" i="1"/>
  <c r="D55" i="1" s="1"/>
  <c r="I54" i="1" a="1"/>
  <c r="I54" i="1" s="1"/>
  <c r="H54" i="1" a="1"/>
  <c r="H54" i="1"/>
  <c r="G54" i="1" a="1"/>
  <c r="G54" i="1"/>
  <c r="D54" i="1"/>
  <c r="I53" i="1" a="1"/>
  <c r="I53" i="1" s="1"/>
  <c r="H53" i="1" a="1"/>
  <c r="H53" i="1" s="1"/>
  <c r="D53" i="1" s="1"/>
  <c r="G53" i="1" a="1"/>
  <c r="G53" i="1"/>
  <c r="I52" i="1" a="1"/>
  <c r="I52" i="1"/>
  <c r="D52" i="1" s="1"/>
  <c r="H52" i="1" a="1"/>
  <c r="H52" i="1"/>
  <c r="G52" i="1" a="1"/>
  <c r="G52" i="1"/>
  <c r="I51" i="1" a="1"/>
  <c r="I51" i="1"/>
  <c r="H51" i="1" a="1"/>
  <c r="H51" i="1" s="1"/>
  <c r="G51" i="1" a="1"/>
  <c r="G51" i="1" s="1"/>
  <c r="D51" i="1" s="1"/>
  <c r="I50" i="1" a="1"/>
  <c r="I50" i="1"/>
  <c r="H50" i="1" a="1"/>
  <c r="H50" i="1"/>
  <c r="G50" i="1" a="1"/>
  <c r="G50" i="1"/>
  <c r="D50" i="1" s="1"/>
  <c r="I49" i="1" a="1"/>
  <c r="I49" i="1"/>
  <c r="H49" i="1" a="1"/>
  <c r="H49" i="1"/>
  <c r="G49" i="1" a="1"/>
  <c r="G49" i="1" s="1"/>
  <c r="D49" i="1" s="1"/>
  <c r="I48" i="1" a="1"/>
  <c r="I48" i="1"/>
  <c r="H48" i="1" a="1"/>
  <c r="H48" i="1"/>
  <c r="G48" i="1" a="1"/>
  <c r="G48" i="1"/>
  <c r="D48" i="1" s="1"/>
  <c r="I47" i="1" a="1"/>
  <c r="I47" i="1" s="1"/>
  <c r="D47" i="1" s="1"/>
  <c r="H47" i="1" a="1"/>
  <c r="H47" i="1"/>
  <c r="G47" i="1" a="1"/>
  <c r="G47" i="1"/>
  <c r="I46" i="1" a="1"/>
  <c r="I46" i="1"/>
  <c r="H46" i="1" a="1"/>
  <c r="H46" i="1"/>
  <c r="G46" i="1" a="1"/>
  <c r="G46" i="1"/>
  <c r="D46" i="1"/>
  <c r="I45" i="1" a="1"/>
  <c r="I45" i="1" s="1"/>
  <c r="H45" i="1" a="1"/>
  <c r="H45" i="1" s="1"/>
  <c r="G45" i="1" a="1"/>
  <c r="G45" i="1"/>
  <c r="I44" i="1" a="1"/>
  <c r="I44" i="1"/>
  <c r="D44" i="1" s="1"/>
  <c r="H44" i="1" a="1"/>
  <c r="H44" i="1"/>
  <c r="G44" i="1" a="1"/>
  <c r="G44" i="1"/>
  <c r="I43" i="1" a="1"/>
  <c r="I43" i="1"/>
  <c r="H43" i="1" a="1"/>
  <c r="H43" i="1" s="1"/>
  <c r="G43" i="1" a="1"/>
  <c r="G43" i="1" s="1"/>
  <c r="D43" i="1" s="1"/>
  <c r="I42" i="1" a="1"/>
  <c r="I42" i="1"/>
  <c r="H42" i="1" a="1"/>
  <c r="H42" i="1"/>
  <c r="G42" i="1" a="1"/>
  <c r="G42" i="1"/>
  <c r="D42" i="1" s="1"/>
  <c r="I41" i="1" a="1"/>
  <c r="I41" i="1"/>
  <c r="H41" i="1" a="1"/>
  <c r="H41" i="1"/>
  <c r="G41" i="1" a="1"/>
  <c r="G41" i="1" s="1"/>
  <c r="D41" i="1" s="1"/>
  <c r="I40" i="1" a="1"/>
  <c r="I40" i="1"/>
  <c r="H40" i="1" a="1"/>
  <c r="H40" i="1"/>
  <c r="G40" i="1" a="1"/>
  <c r="G40" i="1"/>
  <c r="D40" i="1" s="1"/>
  <c r="I39" i="1" a="1"/>
  <c r="I39" i="1" s="1"/>
  <c r="D39" i="1" s="1"/>
  <c r="H39" i="1" a="1"/>
  <c r="H39" i="1"/>
  <c r="G39" i="1" a="1"/>
  <c r="G39" i="1"/>
  <c r="I38" i="1" a="1"/>
  <c r="I38" i="1"/>
  <c r="H38" i="1" a="1"/>
  <c r="H38" i="1"/>
  <c r="G38" i="1" a="1"/>
  <c r="G38" i="1"/>
  <c r="D38" i="1"/>
  <c r="I37" i="1" a="1"/>
  <c r="I37" i="1" s="1"/>
  <c r="H37" i="1" a="1"/>
  <c r="H37" i="1" s="1"/>
  <c r="D37" i="1" s="1"/>
  <c r="G37" i="1" a="1"/>
  <c r="G37" i="1"/>
  <c r="I36" i="1" a="1"/>
  <c r="I36" i="1"/>
  <c r="D36" i="1" s="1"/>
  <c r="H36" i="1" a="1"/>
  <c r="H36" i="1"/>
  <c r="G36" i="1" a="1"/>
  <c r="G36" i="1"/>
  <c r="I35" i="1" a="1"/>
  <c r="I35" i="1"/>
  <c r="H35" i="1" a="1"/>
  <c r="H35" i="1" s="1"/>
  <c r="G35" i="1" a="1"/>
  <c r="G35" i="1" s="1"/>
  <c r="D35" i="1" s="1"/>
  <c r="I34" i="1" a="1"/>
  <c r="I34" i="1"/>
  <c r="H34" i="1" a="1"/>
  <c r="H34" i="1"/>
  <c r="G34" i="1" a="1"/>
  <c r="G34" i="1"/>
  <c r="D34" i="1" s="1"/>
  <c r="I33" i="1" a="1"/>
  <c r="I33" i="1"/>
  <c r="H33" i="1" a="1"/>
  <c r="H33" i="1"/>
  <c r="G33" i="1" a="1"/>
  <c r="G33" i="1" s="1"/>
  <c r="D33" i="1" s="1"/>
  <c r="I32" i="1" a="1"/>
  <c r="I32" i="1"/>
  <c r="H32" i="1" a="1"/>
  <c r="H32" i="1"/>
  <c r="G32" i="1" a="1"/>
  <c r="G32" i="1"/>
  <c r="D32" i="1" s="1"/>
  <c r="I31" i="1" a="1"/>
  <c r="I31" i="1" s="1"/>
  <c r="D31" i="1" s="1"/>
  <c r="H31" i="1" a="1"/>
  <c r="H31" i="1"/>
  <c r="G31" i="1" a="1"/>
  <c r="G31" i="1"/>
  <c r="I30" i="1" a="1"/>
  <c r="I30" i="1"/>
  <c r="H30" i="1" a="1"/>
  <c r="H30" i="1"/>
  <c r="G30" i="1" a="1"/>
  <c r="G30" i="1"/>
  <c r="D30" i="1"/>
  <c r="I29" i="1" a="1"/>
  <c r="I29" i="1" s="1"/>
  <c r="H29" i="1" a="1"/>
  <c r="H29" i="1" s="1"/>
  <c r="D29" i="1" s="1"/>
  <c r="G29" i="1" a="1"/>
  <c r="G29" i="1"/>
  <c r="I28" i="1" a="1"/>
  <c r="I28" i="1"/>
  <c r="D28" i="1" s="1"/>
  <c r="H28" i="1" a="1"/>
  <c r="H28" i="1"/>
  <c r="G28" i="1" a="1"/>
  <c r="G28" i="1"/>
  <c r="I27" i="1" a="1"/>
  <c r="I27" i="1"/>
  <c r="H27" i="1" a="1"/>
  <c r="H27" i="1" s="1"/>
  <c r="G27" i="1" a="1"/>
  <c r="G27" i="1" s="1"/>
  <c r="D27" i="1" s="1"/>
  <c r="I26" i="1" a="1"/>
  <c r="I26" i="1"/>
  <c r="H26" i="1" a="1"/>
  <c r="H26" i="1"/>
  <c r="G26" i="1" a="1"/>
  <c r="G26" i="1"/>
  <c r="D26" i="1" s="1"/>
  <c r="I25" i="1" a="1"/>
  <c r="I25" i="1"/>
  <c r="H25" i="1" a="1"/>
  <c r="H25" i="1"/>
  <c r="G25" i="1" a="1"/>
  <c r="G25" i="1" s="1"/>
  <c r="D25" i="1" s="1"/>
  <c r="I24" i="1" a="1"/>
  <c r="I24" i="1"/>
  <c r="H24" i="1" a="1"/>
  <c r="H24" i="1"/>
  <c r="G24" i="1" a="1"/>
  <c r="G24" i="1"/>
  <c r="D24" i="1" s="1"/>
  <c r="I23" i="1" a="1"/>
  <c r="I23" i="1" s="1"/>
  <c r="D23" i="1" s="1"/>
  <c r="H23" i="1" a="1"/>
  <c r="H23" i="1"/>
  <c r="G23" i="1" a="1"/>
  <c r="G23" i="1"/>
  <c r="I22" i="1" a="1"/>
  <c r="I22" i="1"/>
  <c r="H22" i="1" a="1"/>
  <c r="H22" i="1"/>
  <c r="G22" i="1" a="1"/>
  <c r="G22" i="1"/>
  <c r="D22" i="1"/>
  <c r="I21" i="1" a="1"/>
  <c r="I21" i="1" s="1"/>
  <c r="H21" i="1" a="1"/>
  <c r="H21" i="1" s="1"/>
  <c r="D21" i="1" s="1"/>
  <c r="G21" i="1" a="1"/>
  <c r="G21" i="1"/>
  <c r="I20" i="1" a="1"/>
  <c r="I20" i="1"/>
  <c r="D20" i="1" s="1"/>
  <c r="H20" i="1" a="1"/>
  <c r="H20" i="1"/>
  <c r="G20" i="1" a="1"/>
  <c r="G20" i="1"/>
  <c r="I19" i="1" a="1"/>
  <c r="I19" i="1"/>
  <c r="H19" i="1" a="1"/>
  <c r="H19" i="1" s="1"/>
  <c r="G19" i="1" a="1"/>
  <c r="G19" i="1" s="1"/>
  <c r="D19" i="1" s="1"/>
  <c r="I18" i="1" a="1"/>
  <c r="I18" i="1"/>
  <c r="H18" i="1" a="1"/>
  <c r="H18" i="1"/>
  <c r="G18" i="1" a="1"/>
  <c r="G18" i="1"/>
  <c r="D18" i="1" s="1"/>
  <c r="I17" i="1" a="1"/>
  <c r="I17" i="1"/>
  <c r="H17" i="1" a="1"/>
  <c r="H17" i="1"/>
  <c r="G17" i="1" a="1"/>
  <c r="G17" i="1" s="1"/>
  <c r="D17" i="1" s="1"/>
  <c r="I16" i="1" a="1"/>
  <c r="I16" i="1"/>
  <c r="H16" i="1" a="1"/>
  <c r="H16" i="1"/>
  <c r="G16" i="1" a="1"/>
  <c r="G16" i="1"/>
  <c r="D16" i="1" s="1"/>
  <c r="I15" i="1" a="1"/>
  <c r="I15" i="1" s="1"/>
  <c r="D15" i="1" s="1"/>
  <c r="H15" i="1" a="1"/>
  <c r="H15" i="1"/>
  <c r="G15" i="1" a="1"/>
  <c r="G15" i="1"/>
  <c r="I14" i="1" a="1"/>
  <c r="I14" i="1"/>
  <c r="H14" i="1" a="1"/>
  <c r="H14" i="1"/>
  <c r="G14" i="1" a="1"/>
  <c r="G14" i="1"/>
  <c r="D14" i="1"/>
  <c r="I13" i="1" a="1"/>
  <c r="I13" i="1" s="1"/>
  <c r="H13" i="1" a="1"/>
  <c r="H13" i="1" s="1"/>
  <c r="D13" i="1" s="1"/>
  <c r="G13" i="1" a="1"/>
  <c r="G13" i="1"/>
  <c r="I12" i="1" a="1"/>
  <c r="I12" i="1"/>
  <c r="D12" i="1" s="1"/>
  <c r="H12" i="1" a="1"/>
  <c r="H12" i="1"/>
  <c r="G12" i="1" a="1"/>
  <c r="G12" i="1"/>
  <c r="I11" i="1" a="1"/>
  <c r="I11" i="1"/>
  <c r="H11" i="1" a="1"/>
  <c r="H11" i="1" s="1"/>
  <c r="G11" i="1" a="1"/>
  <c r="G11" i="1" s="1"/>
  <c r="I10" i="1" a="1"/>
  <c r="I10" i="1"/>
  <c r="H10" i="1" a="1"/>
  <c r="H10" i="1"/>
  <c r="G10" i="1" a="1"/>
  <c r="G10" i="1"/>
  <c r="D10" i="1" s="1"/>
  <c r="I9" i="1" a="1"/>
  <c r="I9" i="1"/>
  <c r="H9" i="1" a="1"/>
  <c r="H9" i="1"/>
  <c r="G9" i="1" a="1"/>
  <c r="G9" i="1" s="1"/>
  <c r="D9" i="1" s="1"/>
  <c r="I8" i="1" a="1"/>
  <c r="I8" i="1"/>
  <c r="H8" i="1" a="1"/>
  <c r="H8" i="1"/>
  <c r="G8" i="1" a="1"/>
  <c r="G8" i="1"/>
  <c r="D8" i="1" s="1"/>
  <c r="I7" i="1" a="1"/>
  <c r="I7" i="1" s="1"/>
  <c r="D7" i="1" s="1"/>
  <c r="H7" i="1" a="1"/>
  <c r="H7" i="1"/>
  <c r="G7" i="1" a="1"/>
  <c r="G7" i="1"/>
  <c r="I6" i="1" a="1"/>
  <c r="I6" i="1"/>
  <c r="H6" i="1" a="1"/>
  <c r="H6" i="1"/>
  <c r="G6" i="1" a="1"/>
  <c r="G6" i="1"/>
  <c r="D6" i="1"/>
  <c r="I5" i="1" a="1"/>
  <c r="I5" i="1" s="1"/>
  <c r="H5" i="1" a="1"/>
  <c r="H5" i="1" s="1"/>
  <c r="D5" i="1" s="1"/>
  <c r="G5" i="1" a="1"/>
  <c r="G5" i="1"/>
  <c r="D400" i="1" l="1"/>
  <c r="D520" i="1"/>
  <c r="D488" i="1"/>
  <c r="D11" i="1"/>
  <c r="D45" i="1"/>
  <c r="D73" i="1"/>
  <c r="D176" i="1"/>
  <c r="D208" i="1"/>
  <c r="D240" i="1"/>
  <c r="D424" i="1"/>
  <c r="D274" i="1"/>
  <c r="D65" i="1"/>
  <c r="D234" i="1"/>
  <c r="D298" i="1"/>
  <c r="D152" i="1"/>
  <c r="D115" i="1"/>
  <c r="D129" i="1"/>
  <c r="D147" i="1"/>
  <c r="D161" i="1"/>
  <c r="D179" i="1"/>
  <c r="D193" i="1"/>
  <c r="D211" i="1"/>
  <c r="D225" i="1"/>
  <c r="D243" i="1"/>
  <c r="D257" i="1"/>
  <c r="D275" i="1"/>
  <c r="D289" i="1"/>
  <c r="D307" i="1"/>
  <c r="D321" i="1"/>
  <c r="D339" i="1"/>
  <c r="D353" i="1"/>
  <c r="D371" i="1"/>
  <c r="D385" i="1"/>
  <c r="D403" i="1"/>
  <c r="D417" i="1"/>
  <c r="D435" i="1"/>
  <c r="D449" i="1"/>
  <c r="D467" i="1"/>
  <c r="D481" i="1"/>
  <c r="D499" i="1"/>
  <c r="D513" i="1"/>
  <c r="D531" i="1"/>
  <c r="D537" i="1"/>
  <c r="D542" i="1"/>
  <c r="D548" i="1"/>
  <c r="D550" i="1"/>
  <c r="D558" i="1"/>
  <c r="D561" i="1"/>
  <c r="D587" i="1"/>
  <c r="D622" i="1"/>
  <c r="D625" i="1"/>
  <c r="D651" i="1"/>
  <c r="D676" i="1"/>
  <c r="D370" i="1"/>
  <c r="D402" i="1"/>
  <c r="D434" i="1"/>
  <c r="D466" i="1"/>
  <c r="D498" i="1"/>
  <c r="D530" i="1"/>
  <c r="D267" i="1"/>
  <c r="D281" i="1"/>
  <c r="D299" i="1"/>
  <c r="D313" i="1"/>
  <c r="D331" i="1"/>
  <c r="D345" i="1"/>
  <c r="D363" i="1"/>
  <c r="D377" i="1"/>
  <c r="D395" i="1"/>
  <c r="D409" i="1"/>
  <c r="D427" i="1"/>
  <c r="D441" i="1"/>
  <c r="D459" i="1"/>
  <c r="D473" i="1"/>
  <c r="D491" i="1"/>
  <c r="D505" i="1"/>
  <c r="D523" i="1"/>
  <c r="D536" i="1"/>
  <c r="D571" i="1"/>
  <c r="D609" i="1"/>
  <c r="D635" i="1"/>
  <c r="D170" i="1"/>
  <c r="D202" i="1"/>
  <c r="D312" i="1"/>
  <c r="D138" i="1"/>
  <c r="D362" i="1"/>
  <c r="D184" i="1"/>
  <c r="D248" i="1"/>
  <c r="D376" i="1"/>
  <c r="D130" i="1"/>
  <c r="D194" i="1"/>
  <c r="D226" i="1"/>
  <c r="D258" i="1"/>
  <c r="D290" i="1"/>
  <c r="D322" i="1"/>
  <c r="D354" i="1"/>
  <c r="D386" i="1"/>
  <c r="D418" i="1"/>
  <c r="D450" i="1"/>
  <c r="D482" i="1"/>
  <c r="D514" i="1"/>
  <c r="D582" i="1"/>
  <c r="D646" i="1"/>
  <c r="D670" i="1"/>
  <c r="D338" i="1"/>
  <c r="D89" i="1"/>
  <c r="D280" i="1"/>
  <c r="D98" i="1"/>
  <c r="D162" i="1"/>
  <c r="D123" i="1"/>
  <c r="D137" i="1"/>
  <c r="D155" i="1"/>
  <c r="D169" i="1"/>
  <c r="D187" i="1"/>
  <c r="D201" i="1"/>
  <c r="D219" i="1"/>
  <c r="D233" i="1"/>
  <c r="D251" i="1"/>
  <c r="D265" i="1"/>
  <c r="D283" i="1"/>
  <c r="D297" i="1"/>
  <c r="D315" i="1"/>
  <c r="D329" i="1"/>
  <c r="D347" i="1"/>
  <c r="D361" i="1"/>
  <c r="D379" i="1"/>
  <c r="D393" i="1"/>
  <c r="D411" i="1"/>
  <c r="D425" i="1"/>
  <c r="D432" i="1"/>
  <c r="D443" i="1"/>
  <c r="D457" i="1"/>
  <c r="D464" i="1"/>
  <c r="D475" i="1"/>
  <c r="D489" i="1"/>
  <c r="D496" i="1"/>
  <c r="D507" i="1"/>
  <c r="D521" i="1"/>
  <c r="D528" i="1"/>
  <c r="D574" i="1"/>
  <c r="D638" i="1"/>
  <c r="D306" i="1"/>
  <c r="D266" i="1"/>
  <c r="D330" i="1"/>
  <c r="D394" i="1"/>
  <c r="D99" i="1"/>
  <c r="D120" i="1"/>
  <c r="D216" i="1"/>
  <c r="D344" i="1"/>
  <c r="D82" i="1"/>
  <c r="D97" i="1"/>
  <c r="D106" i="1"/>
  <c r="D122" i="1"/>
  <c r="D154" i="1"/>
  <c r="D186" i="1"/>
  <c r="D218" i="1"/>
  <c r="D250" i="1"/>
  <c r="D282" i="1"/>
  <c r="D314" i="1"/>
  <c r="D346" i="1"/>
  <c r="D378" i="1"/>
  <c r="D410" i="1"/>
  <c r="D442" i="1"/>
  <c r="D474" i="1"/>
  <c r="D506" i="1"/>
  <c r="D534" i="1"/>
  <c r="D540" i="1"/>
  <c r="D566" i="1"/>
  <c r="D569" i="1"/>
  <c r="D595" i="1"/>
  <c r="D630" i="1"/>
  <c r="D633" i="1"/>
  <c r="D692" i="1"/>
  <c r="D710" i="1"/>
  <c r="D764" i="1"/>
  <c r="D855" i="1"/>
  <c r="D901" i="1"/>
  <c r="D918" i="1"/>
  <c r="D941" i="1"/>
  <c r="D734" i="1"/>
  <c r="D767" i="1"/>
  <c r="D776" i="1"/>
  <c r="D820" i="1"/>
  <c r="D909" i="1"/>
  <c r="D927" i="1"/>
  <c r="D957" i="1"/>
  <c r="D694" i="1"/>
  <c r="D740" i="1"/>
  <c r="D791" i="1"/>
  <c r="D837" i="1"/>
  <c r="D854" i="1"/>
  <c r="D877" i="1"/>
  <c r="D895" i="1"/>
  <c r="D912" i="1"/>
  <c r="D953" i="1"/>
  <c r="D749" i="1"/>
  <c r="D766" i="1"/>
  <c r="D805" i="1"/>
  <c r="D863" i="1"/>
  <c r="D880" i="1"/>
  <c r="D926" i="1"/>
  <c r="D943" i="1"/>
  <c r="D686" i="1"/>
  <c r="D777" i="1"/>
  <c r="D693" i="1"/>
  <c r="D701" i="1"/>
  <c r="D862" i="1"/>
  <c r="D668" i="1"/>
  <c r="D677" i="1"/>
  <c r="D685" i="1"/>
  <c r="D696" i="1"/>
  <c r="D708" i="1"/>
  <c r="D721" i="1"/>
  <c r="D824" i="1"/>
  <c r="D830" i="1"/>
  <c r="D916" i="1"/>
  <c r="D744" i="1"/>
  <c r="D792" i="1"/>
  <c r="D798" i="1"/>
  <c r="D887" i="1"/>
  <c r="D933" i="1"/>
  <c r="D963" i="1"/>
  <c r="D980" i="1"/>
  <c r="D990" i="1"/>
  <c r="D1014" i="1"/>
  <c r="D1023" i="1"/>
  <c r="D1056" i="1"/>
  <c r="D1005" i="1"/>
  <c r="D1010" i="1"/>
  <c r="D979" i="1"/>
  <c r="D985" i="1"/>
  <c r="D1033" i="1"/>
  <c r="D718" i="1"/>
  <c r="D783" i="1"/>
  <c r="D797" i="1"/>
  <c r="D815" i="1"/>
  <c r="D829" i="1"/>
  <c r="D847" i="1"/>
  <c r="D861" i="1"/>
  <c r="D879" i="1"/>
  <c r="D893" i="1"/>
  <c r="D911" i="1"/>
  <c r="D925" i="1"/>
  <c r="D959" i="1"/>
  <c r="D984" i="1"/>
  <c r="D1001" i="1"/>
  <c r="D1029" i="1"/>
  <c r="D1041" i="1"/>
  <c r="D1073" i="1"/>
  <c r="D741" i="1"/>
  <c r="D750" i="1"/>
  <c r="D773" i="1"/>
  <c r="D782" i="1"/>
  <c r="D814" i="1"/>
  <c r="D846" i="1"/>
  <c r="D878" i="1"/>
  <c r="D910" i="1"/>
  <c r="D942" i="1"/>
  <c r="D1026" i="1"/>
  <c r="D1051" i="1"/>
  <c r="D1083" i="1"/>
  <c r="D1091" i="1"/>
  <c r="D1098" i="1"/>
  <c r="D1127" i="1"/>
  <c r="D702" i="1"/>
  <c r="D717" i="1"/>
  <c r="D727" i="1"/>
  <c r="D759" i="1"/>
  <c r="D789" i="1"/>
  <c r="D796" i="1"/>
  <c r="D807" i="1"/>
  <c r="D821" i="1"/>
  <c r="D828" i="1"/>
  <c r="D839" i="1"/>
  <c r="D853" i="1"/>
  <c r="D860" i="1"/>
  <c r="D871" i="1"/>
  <c r="D885" i="1"/>
  <c r="D892" i="1"/>
  <c r="D903" i="1"/>
  <c r="D917" i="1"/>
  <c r="D924" i="1"/>
  <c r="D935" i="1"/>
  <c r="D958" i="1"/>
  <c r="D991" i="1"/>
  <c r="D1000" i="1"/>
  <c r="D1037" i="1"/>
  <c r="D1069" i="1"/>
  <c r="D1121" i="1"/>
  <c r="D726" i="1"/>
  <c r="D758" i="1"/>
  <c r="D806" i="1"/>
  <c r="D838" i="1"/>
  <c r="D870" i="1"/>
  <c r="D902" i="1"/>
  <c r="D934" i="1"/>
  <c r="D964" i="1"/>
  <c r="D974" i="1"/>
  <c r="D999" i="1"/>
  <c r="D1058" i="1"/>
  <c r="D1246" i="1"/>
  <c r="D1088" i="1"/>
  <c r="D1102" i="1"/>
  <c r="D1108" i="1"/>
  <c r="D1114" i="1"/>
  <c r="D1141" i="1"/>
  <c r="D1151" i="1"/>
  <c r="D1184" i="1"/>
  <c r="D1209" i="1"/>
  <c r="D1236" i="1"/>
  <c r="D1242" i="1"/>
  <c r="D1269" i="1"/>
  <c r="D1277" i="1"/>
  <c r="D1302" i="1"/>
  <c r="D1078" i="1"/>
  <c r="D1087" i="1"/>
  <c r="D1124" i="1"/>
  <c r="D1130" i="1"/>
  <c r="D1134" i="1"/>
  <c r="D1225" i="1"/>
  <c r="D1258" i="1"/>
  <c r="D1262" i="1"/>
  <c r="D1094" i="1"/>
  <c r="D1101" i="1"/>
  <c r="D1113" i="1"/>
  <c r="D1140" i="1"/>
  <c r="D1146" i="1"/>
  <c r="D1150" i="1"/>
  <c r="D1183" i="1"/>
  <c r="D1216" i="1"/>
  <c r="D1241" i="1"/>
  <c r="D1268" i="1"/>
  <c r="D1031" i="1"/>
  <c r="D1063" i="1"/>
  <c r="D1104" i="1"/>
  <c r="D1156" i="1"/>
  <c r="D1162" i="1"/>
  <c r="D1189" i="1"/>
  <c r="D1199" i="1"/>
  <c r="D1232" i="1"/>
  <c r="D1284" i="1"/>
  <c r="D1318" i="1"/>
  <c r="D1215" i="1"/>
  <c r="D1327" i="1"/>
  <c r="D1332" i="1"/>
  <c r="D1030" i="1"/>
  <c r="D1039" i="1"/>
  <c r="D1062" i="1"/>
  <c r="D1071" i="1"/>
  <c r="D1103" i="1"/>
  <c r="D1161" i="1"/>
  <c r="D1188" i="1"/>
  <c r="D1194" i="1"/>
  <c r="D1198" i="1"/>
  <c r="D1207" i="1"/>
  <c r="D1231" i="1"/>
  <c r="D1006" i="1"/>
  <c r="D1016" i="1"/>
  <c r="D1048" i="1"/>
  <c r="D1080" i="1"/>
  <c r="D1096" i="1"/>
  <c r="D1119" i="1"/>
  <c r="D1152" i="1"/>
  <c r="D1171" i="1"/>
  <c r="D1177" i="1"/>
  <c r="D1204" i="1"/>
  <c r="D1210" i="1"/>
  <c r="D1214" i="1"/>
  <c r="D1223" i="1"/>
  <c r="D1247" i="1"/>
  <c r="D1290" i="1"/>
  <c r="D1015" i="1"/>
  <c r="D1047" i="1"/>
  <c r="D1079" i="1"/>
  <c r="D1095" i="1"/>
  <c r="D1125" i="1"/>
  <c r="D1135" i="1"/>
  <c r="D1168" i="1"/>
  <c r="D1193" i="1"/>
  <c r="D1220" i="1"/>
  <c r="D1226" i="1"/>
  <c r="D1253" i="1"/>
  <c r="D1263" i="1"/>
  <c r="D1321" i="1"/>
  <c r="D1335" i="1"/>
  <c r="D1340" i="1"/>
  <c r="D1353" i="1"/>
  <c r="D1496" i="1"/>
  <c r="D1338" i="1"/>
  <c r="D1345" i="1"/>
  <c r="D1403" i="1"/>
  <c r="D1287" i="1"/>
  <c r="D1303" i="1"/>
  <c r="D1319" i="1"/>
  <c r="D1333" i="1"/>
  <c r="D1341" i="1"/>
  <c r="D1364" i="1"/>
  <c r="D1336" i="1"/>
  <c r="D1351" i="1"/>
  <c r="D1356" i="1"/>
  <c r="D1399" i="1"/>
  <c r="D1343" i="1"/>
  <c r="D1348" i="1"/>
  <c r="D1361" i="1"/>
  <c r="D1432" i="1"/>
  <c r="D1372" i="1"/>
  <c r="D1380" i="1"/>
  <c r="D1406" i="1"/>
  <c r="D1421" i="1"/>
  <c r="D1430" i="1"/>
  <c r="D1485" i="1"/>
  <c r="D1494" i="1"/>
  <c r="D1557" i="1"/>
  <c r="D1586" i="1"/>
  <c r="D1398" i="1"/>
  <c r="D1433" i="1"/>
  <c r="D1436" i="1"/>
  <c r="D1454" i="1"/>
  <c r="D1497" i="1"/>
  <c r="D1500" i="1"/>
  <c r="D1515" i="1"/>
  <c r="D1569" i="1"/>
  <c r="D1390" i="1"/>
  <c r="D1413" i="1"/>
  <c r="D1469" i="1"/>
  <c r="D1478" i="1"/>
  <c r="D1382" i="1"/>
  <c r="D1405" i="1"/>
  <c r="D1429" i="1"/>
  <c r="D1493" i="1"/>
  <c r="D1523" i="1"/>
  <c r="D1561" i="1"/>
  <c r="D1374" i="1"/>
  <c r="D1397" i="1"/>
  <c r="D1412" i="1"/>
  <c r="D1453" i="1"/>
  <c r="D1462" i="1"/>
  <c r="D1526" i="1"/>
  <c r="D1540" i="1"/>
  <c r="D1389" i="1"/>
  <c r="D1404" i="1"/>
  <c r="D1422" i="1"/>
  <c r="D1465" i="1"/>
  <c r="D1468" i="1"/>
  <c r="D1477" i="1"/>
  <c r="D1486" i="1"/>
  <c r="D1546" i="1"/>
  <c r="D1381" i="1"/>
  <c r="D1437" i="1"/>
  <c r="D1446" i="1"/>
  <c r="D1501" i="1"/>
  <c r="D1510" i="1"/>
  <c r="D1522" i="1"/>
  <c r="D1536" i="1"/>
  <c r="D1558" i="1"/>
  <c r="D1414" i="1"/>
  <c r="D1461" i="1"/>
  <c r="D1470" i="1"/>
  <c r="D1539" i="1"/>
  <c r="D1549" i="1"/>
  <c r="D1620" i="1"/>
  <c r="D1630" i="1"/>
  <c r="D1678" i="1"/>
  <c r="D1707" i="1"/>
  <c r="D1589" i="1"/>
  <c r="D1606" i="1"/>
  <c r="D1612" i="1"/>
  <c r="D1622" i="1"/>
  <c r="D1635" i="1"/>
  <c r="D1548" i="1"/>
  <c r="D1563" i="1"/>
  <c r="D1568" i="1"/>
  <c r="D1595" i="1"/>
  <c r="D1614" i="1"/>
  <c r="D1627" i="1"/>
  <c r="D1637" i="1"/>
  <c r="D1642" i="1"/>
  <c r="D1644" i="1"/>
  <c r="D1661" i="1"/>
  <c r="D1673" i="1"/>
  <c r="D1691" i="1"/>
  <c r="D1711" i="1"/>
  <c r="D1585" i="1"/>
  <c r="D1605" i="1"/>
  <c r="D1619" i="1"/>
  <c r="D1629" i="1"/>
  <c r="D1649" i="1"/>
  <c r="D1686" i="1"/>
  <c r="D1611" i="1"/>
  <c r="D1626" i="1"/>
  <c r="D1690" i="1"/>
  <c r="D1555" i="1"/>
  <c r="D1613" i="1"/>
  <c r="D1618" i="1"/>
  <c r="D1660" i="1"/>
  <c r="D1670" i="1"/>
  <c r="D1681" i="1"/>
  <c r="D1532" i="1"/>
  <c r="D1573" i="1"/>
  <c r="D1584" i="1"/>
  <c r="D1601" i="1"/>
  <c r="D1604" i="1"/>
  <c r="D1610" i="1"/>
  <c r="D1623" i="1"/>
  <c r="D1636" i="1"/>
  <c r="D1648" i="1"/>
  <c r="D1665" i="1"/>
  <c r="D1674" i="1"/>
  <c r="D1694" i="1"/>
  <c r="D1696" i="1"/>
  <c r="D1705" i="1"/>
  <c r="D1566" i="1"/>
  <c r="D1579" i="1"/>
  <c r="D1590" i="1"/>
  <c r="D1598" i="1"/>
  <c r="D1615" i="1"/>
  <c r="D1628" i="1"/>
  <c r="D1638" i="1"/>
  <c r="D1645" i="1"/>
  <c r="D1655" i="1"/>
  <c r="D1683" i="1"/>
  <c r="D1698" i="1"/>
  <c r="D1703" i="1"/>
  <c r="D1718" i="1"/>
  <c r="D1729" i="1"/>
  <c r="D1760" i="1"/>
  <c r="D1651" i="1"/>
  <c r="D1667" i="1"/>
  <c r="D1736" i="1"/>
  <c r="D1743" i="1"/>
  <c r="D1776" i="1"/>
  <c r="D1792" i="1"/>
  <c r="D1808" i="1"/>
  <c r="D1824" i="1"/>
  <c r="D1715" i="1"/>
  <c r="D1723" i="1"/>
  <c r="D1752" i="1"/>
  <c r="D1714" i="1"/>
  <c r="D1722" i="1"/>
  <c r="D1728" i="1"/>
  <c r="D1564" i="1"/>
  <c r="D1580" i="1"/>
  <c r="D1596" i="1"/>
  <c r="D1643" i="1"/>
  <c r="D1659" i="1"/>
  <c r="D1768" i="1"/>
  <c r="D1784" i="1"/>
  <c r="D1798" i="1"/>
  <c r="D1652" i="1"/>
  <c r="D1668" i="1"/>
  <c r="D1676" i="1"/>
  <c r="D1684" i="1"/>
  <c r="D1692" i="1"/>
  <c r="D1700" i="1"/>
  <c r="D1708" i="1"/>
  <c r="D1716" i="1"/>
  <c r="D1724" i="1"/>
  <c r="D1744" i="1"/>
  <c r="D1751" i="1"/>
  <c r="D1767" i="1"/>
  <c r="D1775" i="1"/>
  <c r="D1783" i="1"/>
  <c r="D1791" i="1"/>
  <c r="D1799" i="1"/>
  <c r="D1807" i="1"/>
  <c r="D1815" i="1"/>
  <c r="D1823" i="1"/>
  <c r="D1831" i="1"/>
  <c r="D1871" i="1"/>
  <c r="D1874" i="1"/>
  <c r="D1864" i="1"/>
  <c r="D1840" i="1"/>
  <c r="D1847" i="1"/>
  <c r="D1863" i="1"/>
  <c r="D1872" i="1"/>
  <c r="D1880" i="1"/>
  <c r="D1727" i="1"/>
  <c r="D1733" i="1"/>
  <c r="D1741" i="1"/>
  <c r="D1749" i="1"/>
  <c r="D1757" i="1"/>
  <c r="D1765" i="1"/>
  <c r="D1773" i="1"/>
  <c r="D1781" i="1"/>
  <c r="D1789" i="1"/>
  <c r="D1797" i="1"/>
  <c r="D1805" i="1"/>
  <c r="D1813" i="1"/>
  <c r="D1821" i="1"/>
  <c r="D1829" i="1"/>
  <c r="D1837" i="1"/>
  <c r="D1851" i="1"/>
  <c r="D1842" i="1"/>
  <c r="D1850" i="1"/>
  <c r="D1858" i="1"/>
  <c r="D1866" i="1"/>
  <c r="D1887" i="1"/>
  <c r="D1891" i="1"/>
  <c r="D1903" i="1"/>
  <c r="D1907" i="1"/>
  <c r="D1919" i="1"/>
  <c r="D1923" i="1"/>
  <c r="D1935" i="1"/>
  <c r="D1939" i="1"/>
  <c r="D1951" i="1"/>
  <c r="D1955" i="1"/>
  <c r="D1967" i="1"/>
  <c r="D1971" i="1"/>
  <c r="D1987" i="1"/>
  <c r="D1994" i="1"/>
  <c r="D2001" i="1"/>
  <c r="D1984" i="1"/>
  <c r="D1890" i="1"/>
  <c r="D1906" i="1"/>
  <c r="D1922" i="1"/>
  <c r="D1938" i="1"/>
  <c r="D1954" i="1"/>
  <c r="D1970" i="1"/>
  <c r="D1986" i="1"/>
  <c r="D2000" i="1"/>
  <c r="D1883" i="1"/>
  <c r="D1895" i="1"/>
  <c r="D1899" i="1"/>
  <c r="D1911" i="1"/>
  <c r="D1915" i="1"/>
  <c r="D1927" i="1"/>
  <c r="D1931" i="1"/>
  <c r="D1943" i="1"/>
  <c r="D1947" i="1"/>
  <c r="D1959" i="1"/>
  <c r="D1963" i="1"/>
  <c r="D2002" i="1"/>
  <c r="D1976" i="1"/>
  <c r="D1978" i="1"/>
  <c r="D1995" i="1"/>
  <c r="D1885" i="1"/>
  <c r="D1901" i="1"/>
  <c r="D1917" i="1"/>
  <c r="D1933" i="1"/>
  <c r="D1949" i="1"/>
  <c r="D1965" i="1"/>
  <c r="D1997" i="1"/>
</calcChain>
</file>

<file path=xl/sharedStrings.xml><?xml version="1.0" encoding="utf-8"?>
<sst xmlns="http://schemas.openxmlformats.org/spreadsheetml/2006/main" count="12029" uniqueCount="4550">
  <si>
    <t>Dataset name: dataset_conflicts_1-1_wildcard_preds_subsample-2000</t>
  </si>
  <si>
    <t>Annotation labels: {'no annotation': 0, 'conflict': 1, 'no conflict': 2, 'disagree': 3}</t>
  </si>
  <si>
    <t>Index</t>
  </si>
  <si>
    <t>Lemma</t>
  </si>
  <si>
    <t>Edge Text</t>
  </si>
  <si>
    <t>Is Conflict?</t>
  </si>
  <si>
    <t>Edge</t>
  </si>
  <si>
    <t>Bad Parse?</t>
  </si>
  <si>
    <t>Camille</t>
  </si>
  <si>
    <t>Telmo</t>
  </si>
  <si>
    <t>Max</t>
  </si>
  <si>
    <t>say</t>
  </si>
  <si>
    <t>Iran says no snap inspections of nuclear sites</t>
  </si>
  <si>
    <t>(says/Pd.so.|f--3s-/en iran/Cp.s/en (of/Br.ma/en (no/Md/en (snap/Ma/en inspections/Cc.p/en)) (nuclear/Ma/en sites/Cc.p/en)))</t>
  </si>
  <si>
    <t>reject</t>
  </si>
  <si>
    <t>Bermuda Voters Reject Same-Sex Marriage in Non- Binding Vote</t>
  </si>
  <si>
    <t>(reject/Pd.so.|f-----/en (+/B.am/. bermuda/Cp.s/en voters/Cc.p/en) (in/Br.ma/en (+/B.am/. (same/Ma/en sex/Cc.s/en) marriage/Cc.s/en) (non/Ma/en (-/Ma/en (binding/Ma/en vote/Cc.s/en)))))</t>
  </si>
  <si>
    <t>raise</t>
  </si>
  <si>
    <t>Iceland raises volcano alert level</t>
  </si>
  <si>
    <t>(raises/Pd.so.|f--3s-/en iceland/Cp.s/en (+/B.am/. (+/B.am/. volcano/Cc.s/en alert/Cc.s/en) level/Cc.s/en))</t>
  </si>
  <si>
    <t>discover</t>
  </si>
  <si>
    <t>Cyber analysts at VirtualRoad.org discovered links to the Daily Stormer, a neo-Nazi website</t>
  </si>
  <si>
    <t>(discovered/Pd.so.&lt;f-----/en (at/Br.ma/en (+/B.am/. cyber/Cc.s/en analysts/Cc.p/en) virtualroad%2eorg/Cp.s/en) (to/Br.ma/en links/Cc.p/en (+/B.mm/. (the/Md/en (+/B.am/. daily/Cp.s/en stormer/Cp.s/en)) (a/Md/en (neo/Ma/en (-/Ma/en (nazi/Ma/en website/Cc.s/en)))))))</t>
  </si>
  <si>
    <t>give</t>
  </si>
  <si>
    <t>Hamas will never give up weapons</t>
  </si>
  <si>
    <t>((up/Ml/en (will/Mm/en (never/Mn/en give/Pd.so.-i-----/en))) hamas/Cp.s/en weapons/Cc.p/en)</t>
  </si>
  <si>
    <t>stop</t>
  </si>
  <si>
    <t>Car bomb kills 7 at Turkey-Syria border; Turkey stops Syrian horsemen</t>
  </si>
  <si>
    <t>(stops/Pd.rso.|f--3s-/en (kills/P.sox.|f--3s-/en (+/B.am/. car/Cc.s/en bomb/Cc.s/en) 7/C#/en (at/T/en (+/B.am/. (+/B.am/. turkey/Cp.s/en syria/Cp.s/en) border/Cc.s/en))) turkey/Cp.s/en (syrian/Ma/en horsemen/Cc.p/en))</t>
  </si>
  <si>
    <t>watch</t>
  </si>
  <si>
    <t>Gaza Split: Watch Palestinian spoof of viral Van Damme Volvo video</t>
  </si>
  <si>
    <t>(watch/Pd.so.-i-----/en (+/B.am/. gaza/Cp.s/en split/Cp.s/en) (of/Br.ma/en (palestinian/Ma/en spoof/Cc.s/en) (viral/Ma/en (+/B.am/. (+/B.am/. van/Cp.s/en (+/B.am/. damme/Cp.s/en volvo/Cp.s/en)) video/Cc.s/en))))</t>
  </si>
  <si>
    <t>kill</t>
  </si>
  <si>
    <t>Gitmo Is Killing Me</t>
  </si>
  <si>
    <t>((is/Mv.|f--3s-/en killing/Pd.so.|pg----/en) gitmo/Cp.s/en me/Ci/en)</t>
  </si>
  <si>
    <t>sign</t>
  </si>
  <si>
    <t>Israel, India to sign weapons deal</t>
  </si>
  <si>
    <t>((to/Mi/en sign/Pd.so.-i-----/en) (+/B.mm/. israel/Cp.s/en india/Cp.s/en) (+/B.am/. weapons/Cc.p/en deal/Cc.s/en))</t>
  </si>
  <si>
    <t>announce</t>
  </si>
  <si>
    <t>Greek Finance Minister announces shock resignation</t>
  </si>
  <si>
    <t>(announces/Pd.so.|f--3s-/en (+/B.am/. greek/Cp.s/en (+/B.am/. finance/Cp.s/en minister/Cp.s/en)) (+/B.am/. shock/Cc.s/en resignation/Cc.s/en))</t>
  </si>
  <si>
    <t>investigate</t>
  </si>
  <si>
    <t>Italian police investigate murder of US woman</t>
  </si>
  <si>
    <t>(investigate/Pd.so.|f-----/en (italian/Ma/en police/Cc.p/en) (of/Br.ma/en murder/Cc.s/en (+/B.am/. us/Cp.s/en woman/Cc.s/en)))</t>
  </si>
  <si>
    <t>open</t>
  </si>
  <si>
    <t>North Korea will open embassy in Venezuela</t>
  </si>
  <si>
    <t>((will/Mm/en open/Pd.so.-i-----/en) (+/B.am/. north/Cp.s/en korea/Cp.s/en) (in/Br.ma/en embassy/Cc.s/en venezuela/Cp.s/en))</t>
  </si>
  <si>
    <t>last</t>
  </si>
  <si>
    <t>Cyprus capital controls 'may last a month</t>
  </si>
  <si>
    <t>((may/Mm/en last/Pd.so.-i-----/en) (+/B.am/. cyprus/Cp.s/en (+/B.am/. capital/Cc.s/en controls/Cc.p/en)) (a/Md/en month/Cc.s/en))</t>
  </si>
  <si>
    <t>mock</t>
  </si>
  <si>
    <t>Rouhani in Paris mocks Europe’s reaction to migrants</t>
  </si>
  <si>
    <t>(mocks/Pd.so.|f--3s-/en (in/Br.ma/en rouhani/Cp.s/en paris/Cp.s/en) (to/Br.ma/en (’s/Bp.am/en europe/Cp.s/en reaction/Cc.s/en) migrants/Cc.p/en))</t>
  </si>
  <si>
    <t>carries</t>
  </si>
  <si>
    <t>Saudi Arabia carries out 76th execution of the year</t>
  </si>
  <si>
    <t>((out/Ml/en carries/Pd.so.|f--3s-/en) (+/B.am/. saudi/Cp.s/en arabia/Cp.s/en) (of/Br.ma/en (76th/Ma/en execution/Cc.s/en) (the/Md/en year/Cc.s/en)))</t>
  </si>
  <si>
    <t>shake</t>
  </si>
  <si>
    <t>Petrobras scandal shakes up Brazil presidential race</t>
  </si>
  <si>
    <t>((up/Ml/en shakes/Pd.so.|f--3s-/en) (+/B.am/. petrobras/Cp.s/en scandal/Cc.s/en) (+/B.am/. brazil/Cm/en (presidential/Ma/en race/Cc.s/en)))</t>
  </si>
  <si>
    <t>Kuwait Elections Won't Stop Drift</t>
  </si>
  <si>
    <t>((wo/Mm/en (n't/Mn/en stop/Pd.so.-i-----/en)) (+/B.am/. kuwait/Cp.s/en elections/Cc.p/en) drift/Cc.s/en)</t>
  </si>
  <si>
    <t>kidnap</t>
  </si>
  <si>
    <t>Boko Haram kidnaps at least 97, kills 28</t>
  </si>
  <si>
    <t>(kidnaps/Pd.so?.|f--3s-/en (+/B.am/. boko/Cp.s/en haram/Cp.s/en) ((at/M/en least/M^/en) 97/C#/en) (kills/Pd.o.|f--3s-/en 28/C#/en))</t>
  </si>
  <si>
    <t>detain</t>
  </si>
  <si>
    <t>Syrian rebels detain U.N. peacekeepers</t>
  </si>
  <si>
    <t>(detain/Pd.so.|f-----/en (syrian/Ma/en rebels/Cc.p/en) (+/B.am/. u%2en%2e/Cp.s/en peacekeepers/Cc.p/en))</t>
  </si>
  <si>
    <t>alter</t>
  </si>
  <si>
    <t>Brexit may alter Norway’s relationship with the EU</t>
  </si>
  <si>
    <t>((may/Mm/en alter/Pd.so.-i-----/en) brexit/Cp.s/en (with/Br.ma/en (’s/Bp.am/en norway/Cp.s/en relationship/Cc.s/en) (the/Md/en eu/Cp.s/en)))</t>
  </si>
  <si>
    <t>flag</t>
  </si>
  <si>
    <t>Czech president flags nation’s return to EU mainstream</t>
  </si>
  <si>
    <t>(flags/Pd.so.|f--3s-/en (czech/Ma/en president/Cc.s/en) (to/Br.ma/en (’s/Bp.am/en nation/Cc.s/en return/Cc.s/en) (+/B.am/. eu/Cp.s/en mainstream/Cc.s/en)))</t>
  </si>
  <si>
    <t>Dubai announces plans for world's first 3D printed office building</t>
  </si>
  <si>
    <t>(announces/Pd.so.|f--3s-/en dubai/Cp.s/en (for/Br.ma/en plans/Cc.p/en ('s/Bp.am/en world/Cc.s/en (first/Ma/en (3d/M/en (printed/Mv.&lt;pf----/en (+/B.am/. office/Cc.s/en building/Cc.s/en)))))))</t>
  </si>
  <si>
    <t>see</t>
  </si>
  <si>
    <t>Demand has seen a surge in Chinese markets for its medical benefits</t>
  </si>
  <si>
    <t>((has/Mv.|f--3s-/en seen/Pd.so.&lt;pf----/en) demand/Cc.s/en (for/Br.ma/en (in/Br.ma/en (a/Md/en surge/Cc.s/en) (chinese/Ma/en markets/Cc.p/en)) (its/Mp/en (medical/Ma/en benefits/Cc.p/en))))</t>
  </si>
  <si>
    <t>seek</t>
  </si>
  <si>
    <t>South Sudan opposition leader Machar seeks safety in neighbouring DRC</t>
  </si>
  <si>
    <t>(seeks/Pd.so.|f--3s-/en (+/B.am/. (+/B.am/. (+/B.am/. south/Cp.s/en sudan/Cp.s/en) (+/B.am/. opposition/Cc.s/en leader/Cc.s/en)) machar/Cp.s/en) (in/Br.ma/en safety/Cc.s/en (neighbouring/Mv.|pg----/en drc/Cp.s/en)))</t>
  </si>
  <si>
    <t>ponder</t>
  </si>
  <si>
    <t>Russian MoD pondering re-launch of military bases in Cuba and Vietnam</t>
  </si>
  <si>
    <t>(pondering/Pd.sooo.|pg----/en (russian/Ma/en mod/Cc.p/en) re/Cc.s/en -/Cc.s/en (of/Br.ma/en launch/Cc.s/en (in/Br.ma/en (military/Ma/en bases/Cc.p/en) (and/J/en cuba/Cp.s/en vietnam/Cp.s/en))))</t>
  </si>
  <si>
    <t>issue</t>
  </si>
  <si>
    <t>Turkey court orders arrest of Israel top brass over Gaza ship raid — Interpol issued international arrest warrants</t>
  </si>
  <si>
    <t>(issued/Pd.?so.&lt;f-----/en (+/B.mm/. (of/Br.ma/en (+/B.am/. (+/B.am/. (+/B.am/. turkey/Cp.s/en court/Cc.s/en) orders/Cc.p/en) arrest/Cc.s/en) israel/Cp.s/en) (over/Br.ma/en (top/Ma/en brass/Cc.s/en) (+/B.am/. gaza/Cp.s/en (+/B.am/. ship/Cc.s/en raid/Cc.s/en)))) interpol/Cp.s/en (international/Ma/en (+/B.am/. arrest/Cc.s/en warrants/Cc.p/en)))</t>
  </si>
  <si>
    <t>lose</t>
  </si>
  <si>
    <t>One armed irish pilot loses control of plane</t>
  </si>
  <si>
    <t>(loses/Pd.so.|f--3s-/en (one/M#/en (armed/Ma/en (irish/Ma/en pilot/Cc.s/en))) (of/Br.ma/en control/Cc.s/en plane/Cc.s/en))</t>
  </si>
  <si>
    <t>make</t>
  </si>
  <si>
    <t>More Arrests: Greece Makes Progress on Arms Deal Corruption</t>
  </si>
  <si>
    <t>(makes/Pd.?so.|f--3s-/en (more/Mc/en arrests/Cc.p/en) greece/Cp.s/en (on/Br.ma/en progress/Cp.s/en (+/B.am/. (+/B.am/. arms/Cp.s/en deal/Cp.s/en) corruption/Cc.s/en)))</t>
  </si>
  <si>
    <t>ICC will not investigate Israel's 2010 Turkish flotilla raid: document</t>
  </si>
  <si>
    <t>((will/Mm/en (not/Mn/en investigate/Pd.so.-i-----/en)) icc/Cp.s/en (+/B.mm/. ('s/Bp.am/en israel/Cp.s/en (2010/M#/en (+/B.am/. (turkish/Ma/en flotilla/Cc.s/en) raid/Cc.s/en))) document/Cc.s/en))</t>
  </si>
  <si>
    <t>release</t>
  </si>
  <si>
    <t>Saudi Arabia Releases 40 Houthi Hostages</t>
  </si>
  <si>
    <t>(releases/Pd.so.|f--3s-/en (+/B.am/. saudi/Cp.s/en arabia/Cp.s/en) (40/M#/en (+/B.am/. houthi/Cp.s/en hostages/Cp.p/en)))</t>
  </si>
  <si>
    <t>Lightning Strike Kills More Than 300 Wild Reindeer In Norway</t>
  </si>
  <si>
    <t>(kills/Pd.so.|f--3s-/en (+/B.am/. lightning/Cc.s/en strike/Cc.s/en) (in/Br.ma/en ((more/Mc/en (than/M/en 300/M#/en)) (+/B.am/. wild/Cp.s/en reindeer/Cp.s/en)) norway/Cp.s/en))</t>
  </si>
  <si>
    <t>save</t>
  </si>
  <si>
    <t>Only an End to Global Warming Can Save the Great Barrier Reef</t>
  </si>
  <si>
    <t>((can/Mm/en save/Pd.so.-i-----/en) (to/Br.ma/en (only/M/en (an/Md/en end/Cc.s/en)) (+/B.am/. global/Cp.s/en warming/Cp.s/en)) (the/Md/en (+/B.am/. great/Cp.s/en (+/B.am/. barrier/Cp.s/en reef/Cp.s/en))))</t>
  </si>
  <si>
    <t>reveal</t>
  </si>
  <si>
    <t>Uzbekistan's Lola Karimova-Tillyaeva reveals rift in first family</t>
  </si>
  <si>
    <t>(reveals/Pd.so.|f--3s-/en ('s/Bp.am/en uzbekistan/Cp.s/en (+/B.am/. lola/Cp.s/en (+/B.am/. karimova/Cp.s/en tillyaeva/Cp.s/en))) (in/Br.ma/en rift/Cc.s/en (first/Ma/en family/Cc.s/en)))</t>
  </si>
  <si>
    <t>deny</t>
  </si>
  <si>
    <t>Syrian officials deny chemical weapon use</t>
  </si>
  <si>
    <t>(deny/Pd.so.|f-----/en (syrian/Ma/en officials/Cc.p/en) (+/B.am/. (+/B.am/. chemical/Cc.s/en weapon/Cc.s/en) use/Cc.s/en))</t>
  </si>
  <si>
    <t>demand</t>
  </si>
  <si>
    <t>Russia demands access to Russian drug smuggler in U.S. jail</t>
  </si>
  <si>
    <t>(demands/Pd.so.|f--3s-/en russia/Cp.s/en (to/Br.ma/en access/Cc.s/en (in/Br.ma/en (russian/Ma/en (+/B.am/. drug/Cc.s/en smuggler/Cc.s/en)) (+/B.am/. u%2es%2e/Cp.s/en jail/Cc.s/en))))</t>
  </si>
  <si>
    <t>Iraq demands 'complete withdrawal' of Turkish forces</t>
  </si>
  <si>
    <t>(demands/Pd.so.|f--3s-/en iraq/Cp.s/en (of/Br.ma/en (complete/Ma/en withdrawal/Cc.s/en) (turkish/Ma/en forces/Cc.p/en)))</t>
  </si>
  <si>
    <t>Air Force: Student killed commander at Lackland AFB</t>
  </si>
  <si>
    <t>(killed/Pd.sso.&lt;f-----/en (+/B.am/. air/Cp.s/en force/Cp.s/en) student/Cc.s/en (at/Br.ma/en commander/Cc.s/en (+/B.am/. lackland/Cp.s/en afb/Cp.s/en)))</t>
  </si>
  <si>
    <t>Islamists kill 17 in market attack</t>
  </si>
  <si>
    <t>(kill/Pd.so.|f-----/en islamists/Cc.p/en (in/Br.ma/en 17/C#/en (+/B.am/. market/Cc.s/en attack/Cc.s/en)))</t>
  </si>
  <si>
    <t>Netanyahu sees economic boost from Israel-Turkey deal</t>
  </si>
  <si>
    <t>(sees/Pd.so.|f--3s-/en netanyahu/Cp.s/en (from/Br.ma/en (economic/Ma/en boost/Cc.s/en) (+/B.am/. (+/B.am/. israel/Cp.s/en turkey/Cp.s/en) deal/Cc.s/en)))</t>
  </si>
  <si>
    <t>beat</t>
  </si>
  <si>
    <t>Bajrang Dal protests against Valentine's Day, beats up couple</t>
  </si>
  <si>
    <t>((up/Ml/en beats/Pd.so.|f--3s-/en) (against/Br.ma/en (+/B.am/. (+/B.am/. bajrang/Cp.s/en dal/Cp.s/en) protests/Cc.p/en) ('s/Bp.am/en valentine/Cp.s/en day/Cc.s/en)) couple/Cc.s/en)</t>
  </si>
  <si>
    <t>foil</t>
  </si>
  <si>
    <t>Iraqi forces foil ISIL attack on checkpoint in northern Babil</t>
  </si>
  <si>
    <t>(foil/Pd.so.|f-----/en (iraqi/Ma/en forces/Cc.p/en) (on/Br.ma/en (+/B.am/. isil/Cp.s/en attack/Cc.s/en) (in/Br.ma/en checkpoint/Cc.s/en (northern/Ma/en babil/Cp.s/en))))</t>
  </si>
  <si>
    <t>propose</t>
  </si>
  <si>
    <t>President Enrique Peña Nieto proposes legalisation of same-sex marriage in Mexico</t>
  </si>
  <si>
    <t>(proposes/Pd.so.|f--3s-/en (+/B.am/. president/Cp.s/en (+/B.am/. enrique/Cp.s/en (+/B.am/. peña/Cp.s/en nieto/Cp.s/en))) (of/Br.ma/en legalisation/Cc.s/en (in/Br.ma/en (+/B.am/. (same/Ma/en sex/Cc.s/en) marriage/Cc.s/en) mexico/Cp.s/en)))</t>
  </si>
  <si>
    <t>use</t>
  </si>
  <si>
    <t>One in five Australian households now use solar</t>
  </si>
  <si>
    <t>((now/M/en use/Pd.so.|f-----/en) (in/Br.ma/en one/C#/en (five/M#/en (australian/Ma/en households/Cc.p/en))) solar/Ca/en)</t>
  </si>
  <si>
    <t>sue</t>
  </si>
  <si>
    <t>Muslim groups sue Myanmar president for Rohingya 'genocide</t>
  </si>
  <si>
    <t>(sue/Pd.so.|f-----/en (muslim/Ma/en groups/Cc.p/en) (for/Br.ma/en (+/B.am/. myanmar/Cp.s/en president/Cc.s/en) ('/Bp.am/en rohingya/Cp.s/en genocide/Cc.s/en)))</t>
  </si>
  <si>
    <t>suspend</t>
  </si>
  <si>
    <t>USCIS Will Temporarily Suspend Premium Processing for All H-1B Petitions</t>
  </si>
  <si>
    <t>((will/Mm/en (temporarily/M/en suspend/Pd.so.-i-----/en)) uscis/Cp.s/en (for/Br.ma/en (+/B.am/. premium/Cp.s/en processing/Cp.s/en) (all/Md/en (+/B.am/. h-1b/Cp.s/en petitions/Cp.p/en))))</t>
  </si>
  <si>
    <t>back</t>
  </si>
  <si>
    <t>The American Academy of Pediatrics backs gay marriage</t>
  </si>
  <si>
    <t>(backs/Pd.so.|f--3s-/en (of/Br.ma/en (the/Md/en (+/B.am/. american/Cp.s/en academy/Cp.s/en)) pediatrics/Cp.s/en) (gay/Ma/en marriage/Cc.s/en))</t>
  </si>
  <si>
    <t>draw</t>
  </si>
  <si>
    <t>Sy Hersh blast at White House account of bin Laden raid still draws fire</t>
  </si>
  <si>
    <t>((still/M/en draws/Pd.so.|f--3s-/en) (at/Br.ma/en (+/B.am/. (+/B.am/. sy/Cp.s/en hersh/Cp.s/en) blast/Cc.s/en) (of/Br.ma/en (+/B.am/. (+/B.am/. white/Cp.s/en house/Cp.s/en) account/Cc.s/en) (+/B.am/. (+/B.am/. bin/Cp.s/en laden/Cp.s/en) raid/Cc.s/en))) fire/Cc.s/en)</t>
  </si>
  <si>
    <t>face</t>
  </si>
  <si>
    <t>First major voting in India as anti-graft party faces test</t>
  </si>
  <si>
    <t>(faces/Pd.so.|f--3s-/en (as/Br.ma/en (in/Br.ma/en (first/Ma/en (major/Ma/en voting/Cc.s/en)) india/Cp.s/en) (anti/Ma/en (-/Ma/en (graft/Ma/en party/Cc.s/en)))) test/Cc.s/en)</t>
  </si>
  <si>
    <t>upset</t>
  </si>
  <si>
    <t>Foreign minister Sebastian Kurz once again upsets Erdogan's regime</t>
  </si>
  <si>
    <t>(((once/M/en again/M/en) upsets/Pd.so.|f--3s-/en) (+/B.am/. (foreign/Ma/en minister/Cc.s/en) (+/B.am/. sebastian/Cp.s/en kurz/Cp.s/en)) ('s/Bp.am/en erdogan/Cp.s/en regime/Cc.s/en))</t>
  </si>
  <si>
    <t>expect</t>
  </si>
  <si>
    <t>Fed"s Yellen expects no new financial crisis in our lifetimes</t>
  </si>
  <si>
    <t>(expects/Pd.so.|f--3s-/en (+/B.am/. fed"s/Cp.s/en yellen/Cp.s/en) (in/Br.ma/en (no/Md/en (new/Ma/en (financial/Ma/en crisis/Cc.s/en))) (our/Mp/en lifetimes/Cc.p/en)))</t>
  </si>
  <si>
    <t>find</t>
  </si>
  <si>
    <t>Probe of spy agency found ‘serious breaches’ of ethics code</t>
  </si>
  <si>
    <t>(found/Pd.so.&lt;f-----/en (of/Br.ma/en probe/Cc.s/en (+/B.am/. spy/Cc.s/en agency/Cc.s/en)) (of/Br.ma/en (serious/Ma/en breaches/Cc.p/en) (+/B.am/. ethics/Cc.p/en code/Cc.s/en)))</t>
  </si>
  <si>
    <t>rest</t>
  </si>
  <si>
    <t>Kim Jong Un Gives Field Guidance to Yonphung Scientists Rest Home</t>
  </si>
  <si>
    <t>(rest/Pd.so.|f-----/en (to/Br.ma/en (+/B.am/. (+/B.am/. kim/Cp.s/en (+/B.am/. jong/Cp.s/en un/Cp.s/en)) (+/B.am/. gives/Cp.s/en (+/B.am/. field/Cp.s/en guidance/Cp.s/en))) (+/B.am/. yonphung/Cp.s/en scientists/Cp.p/en)) home/Cc.s/en)</t>
  </si>
  <si>
    <t>hold</t>
  </si>
  <si>
    <t>Obama to hold talks with Ukraine's Poroshenko in Warsaw</t>
  </si>
  <si>
    <t>((to/Mi/en hold/Pd.so.-i-----/en) obama/Cp.s/en (with/Br.ma/en talks/Cc.p/en (in/Br.ma/en ('s/Bp.am/en ukraine/Cp.s/en poroshenko/Cp.s/en) warsaw/Cp.s/en)))</t>
  </si>
  <si>
    <t>retrieve</t>
  </si>
  <si>
    <t>Bangladesh retrieves a fifth of $81 million stolen in cyber heist</t>
  </si>
  <si>
    <t>(retrieves/Pd.so.|f--3s-/en bangladesh/Cp.s/en (a/Md/en (+/B.mm/. fifth/Cc.s/en (of/Jr.ma/en ($/M/en (81/M#/en million/C#/en)) (stolen/P.x.&lt;pf----/en (in/T/en (cyber/Ma/en heist/Cc.s/en)))))))</t>
  </si>
  <si>
    <t>Studies find 'super bacteria' in Rio's Olympic venues, top beaches</t>
  </si>
  <si>
    <t>(find/Pd.soo.|f-----/en studies/Cc.p/en (in/Br.ma/en (super/Ma/en bacteria/Cc.p/en) ('s/Bp.am/en rio/Cp.s/en (olympic/Ma/en venues/Cc.p/en))) (top/Ma/en beaches/Cc.p/en))</t>
  </si>
  <si>
    <t>condemn</t>
  </si>
  <si>
    <t>Obama Condemns Jerusalem Attack</t>
  </si>
  <si>
    <t>(condemns/Pd.so.|f--3s-/en obama/Cp.s/en (+/B.am/. jerusalem/Cp.s/en attack/Cc.s/en))</t>
  </si>
  <si>
    <t>Young Iranian girl gives passionate defence of why she shouldn't have to wear a hijab</t>
  </si>
  <si>
    <t>(gives/Pd.so.|f--3s-/en (young/Ma/en (iranian/Ma/en girl/Cc.s/en)) (of/Jr.ma/en (passionate/Ma/en defence/Cc.s/en) ((why/M/en (should/Mm/en (n't/Mn/en have/P.sr.-i-----/en))) she/Ci/en ((to/Mi/en wear/P.o.-i-----/en) (a/Md/en hijab/Cc.s/en)))))</t>
  </si>
  <si>
    <t>have</t>
  </si>
  <si>
    <t>More Africans have access to power</t>
  </si>
  <si>
    <t>(have/Pd.so.|f-----/en (more/Mc/en africans/Cp.p/en) (to/Br.ma/en access/Cc.s/en power/Cc.s/en))</t>
  </si>
  <si>
    <t>top</t>
  </si>
  <si>
    <t>Britain tops world 'Quality of Death' index</t>
  </si>
  <si>
    <t>(tops/Pd.so.|f--3s-/en britain/Cp.s/en (+/B.mm/. (of/Br.ma/en (+/B.mm/. world/Cc.s/en quality/Cp.s/en) death/Cp.s/en) index/Cc.s/en))</t>
  </si>
  <si>
    <t>ECB faces crucial test of 'whatever it takes</t>
  </si>
  <si>
    <t>(faces/Pd.so.|f--3s-/en ecb/Cp.s/en (of/Jr.ma/en (crucial/Ma/en test/Cc.s/en) (takes/P.os.|f--3s-/en whatever/C/en it/Ci/en)))</t>
  </si>
  <si>
    <t>win</t>
  </si>
  <si>
    <t>South Korea wins weightlifting gold, hears national anthem in North Korea</t>
  </si>
  <si>
    <t>(wins/Pd.so?.|f--3s-/en (+/B.am/. south/Cp.s/en korea/Cp.s/en) (+/B.am/. weightlifting/C/en gold/Cc.s/en) (hears/Pd.ox.|f--3s-/en (national/Ma/en anthem/Cc.s/en) (in/T/en (+/B.am/. north/Cp.s/en korea/Cp.s/en))))</t>
  </si>
  <si>
    <t>Indonesian court rejects last-ditch appeal by Australian death-row convicts</t>
  </si>
  <si>
    <t>(rejects/Pd.so.|f--3s-/en (indonesian/Ma/en court/Cc.s/en) (by/Br.ma/en (+/B.am/. (last/Ma/en ditch/Cc.s/en) appeal/Cc.s/en) (australian/Ma/en (+/B.am/. (+/B.am/. death/Cc.s/en row/Cc.s/en) convicts/Cc.p/en))))</t>
  </si>
  <si>
    <t>plan</t>
  </si>
  <si>
    <t>Israel planning fresh settlements in W. Bank's E1</t>
  </si>
  <si>
    <t>(planning/Pd.so.|pg----/en israel/Cp.s/en (in/Br.ma/en (fresh/Ma/en settlements/Cc.p/en) ('s/Bp.am/en (+/B.am/. w%2e/Cp.s/en bank/Cp.s/en) e1/Cc.s/en)))</t>
  </si>
  <si>
    <t>block</t>
  </si>
  <si>
    <t>Western UNSC members block Russia’s draft resolution on Kiev embassy attack</t>
  </si>
  <si>
    <t>(block/Pd.so.|f-----/en (+/B.am/. (+/B.am/. western/Cp.s/en unsc/Cp.s/en) members/Cc.p/en) (on/Br.ma/en (’s/Bp.am/en russia/Cp.s/en (+/B.am/. draft/Cc.s/en resolution/Cc.s/en)) (+/B.am/. (+/B.am/. kiev/Cp.s/en embassy/Cc.s/en) attack/Cc.s/en)))</t>
  </si>
  <si>
    <t>take</t>
  </si>
  <si>
    <t>Newly discovered dwarf planet takes 700 years to orbit the sun</t>
  </si>
  <si>
    <t>(takes/Pd.sor.|f--3s-/en ((newly/M/en discovered/Mv.&lt;pf----/en) (+/B.am/. dwarf/Cc.s/en planet/Cc.s/en)) (700/M#/en years/Cc.p/en) ((to/Mi/en orbit/P.o.-i-----/en) (the/Md/en sun/Cc.s/en)))</t>
  </si>
  <si>
    <t>pass</t>
  </si>
  <si>
    <t>Delhi Assembly passes resolution for use of paper ballots</t>
  </si>
  <si>
    <t>(passes/Pd.so.|f--3s-/en (+/B.am/. delhi/Cp.s/en assembly/Cp.s/en) (for/Br.ma/en resolution/Cc.s/en (of/Br.ma/en use/Cc.s/en (+/B.am/. paper/Cc.s/en ballots/Cc.p/en))))</t>
  </si>
  <si>
    <t>register</t>
  </si>
  <si>
    <t>Britain registers EU membership deal at United Nations</t>
  </si>
  <si>
    <t>(registers/Pd.so.|f--3s-/en britain/Cp.s/en (at/Br.ma/en (+/B.am/. (+/B.am/. eu/Cp.s/en membership/Cc.s/en) deal/Cc.s/en) (+/B.am/. united/Cp.s/en nations/Cp.s/en)))</t>
  </si>
  <si>
    <t>Thousands of Jordanians demand revenge for pilot's death</t>
  </si>
  <si>
    <t>(demand/Pd.so.|f-----/en (of/Br.ma/en thousands/Cc.p/en jordanians/Cp.p/en) (for/Br.ma/en revenge/Cc.s/en ('s/Bp.am/en pilot/Cc.s/en death/Cc.s/en)))</t>
  </si>
  <si>
    <t>play</t>
  </si>
  <si>
    <t>Archeologists Play Key Role Supporting Climate Shock</t>
  </si>
  <si>
    <t>(play/Pd.so.|f-----/en archeologists/Cc.p/en (+/B.am/. (supporting/Mv.|pg----/en (role/M/en key/Cp.s/en)) (+/B.am/. climate/Cc.s/en shock/Cc.s/en)))</t>
  </si>
  <si>
    <t>suffer</t>
  </si>
  <si>
    <t>Saudi Arabia Has Just Suffered a Series of Major Cyber Hack Attacks</t>
  </si>
  <si>
    <t>((has/Mv.|f--3s-/en (just/M/en suffered/Pd.so.&lt;pf----/en)) (+/B.am/. saudi/Cp.s/en arabia/Cp.s/en) (of/Br.ma/en (a/Md/en series/Cp.s/en) (+/B.am/. major/Cp.s/en (+/B.am/. cyber/Cp.s/en (+/B.am/. hack/Cp.s/en attacks/Cc.p/en)))))</t>
  </si>
  <si>
    <t>Jared Kushner had undisclosed meeting with Sergey Gorkov, the head of of Russia’s state-owned Vnesheconombank, which has been under sanctions since the annexation Crimea in 2014</t>
  </si>
  <si>
    <t>(had/Pd.so.&lt;f-----/en (+/B.am/. jared/Cp.s/en kushner/Cp.s/en) (with/Br.ma/en (undisclosed/Ma/en meeting/Cc.s/en) (+/B.mm/. (+/B.am/. sergey/Cp.s/en gorkov/Cp.s/en) (the/Md/en (+/B.mm/. head/Cc.s/en (of/Jr.ma/en (’s/Bp.am/en russia/Cp.s/en ((state/M/en owned/Mv.&lt;pf----/en) vnesheconombank/Cp.s/en)) ((has/Mv.|f--3s-/en been/P.sxx.&lt;pf----/en) which/C/en (under/T/en sanctions/Cc.p/en) (since/Tt/en (in/Br.ma/en (of/Br.ma/en (the/Md/en annexation/Cc.s/en) crimea/Cp.s/en) 2014/C#/en)))))))))</t>
  </si>
  <si>
    <t>force</t>
  </si>
  <si>
    <t>Continuing violence in Israel forces Netanyahu to cancel German trip</t>
  </si>
  <si>
    <t>(forces/Pd.sor.|f--3s-/en (in/Br.ma/en (continuing/Mv.|pg----/en violence/Cc.s/en) israel/Cp.s/en) netanyahu/Cp.s/en ((to/Mi/en cancel/P.o.-i-----/en) (german/Ma/en trip/Cc.s/en)))</t>
  </si>
  <si>
    <t>Croatian government rejects no-confidence vote against deputy PM</t>
  </si>
  <si>
    <t>(rejects/Pd.so.|f--3s-/en (croatian/Ma/en government/Cc.s/en) (against/Br.ma/en (+/B.am/. (no/Md/en confidence/Cc.s/en) vote/Cc.s/en) (+/B.am/. deputy/Cc.s/en pm/Cc.s/en)))</t>
  </si>
  <si>
    <t>accept</t>
  </si>
  <si>
    <t>Saudi blogger Badawi's wife accepts Sakharov Prize</t>
  </si>
  <si>
    <t>(accepts/Pd.so.|f--3s-/en ('s/Bp.am/en (saudi/Ma/en (+/B.am/. blogger/Cc.s/en badawi/Cp.s/en)) wife/Cc.s/en) (+/B.am/. sakharov/Cp.s/en prize/Cp.s/en))</t>
  </si>
  <si>
    <t>lead</t>
  </si>
  <si>
    <t>Dalai Lama to lead US Senate prayers</t>
  </si>
  <si>
    <t>((to/Mi/en lead/Pd.so.-i-----/en) (+/B.am/. dalai/Cp.s/en lama/Cp.s/en) (+/B.am/. (+/B.am/. us/Cp.s/en senate/Cp.s/en) prayers/Cc.p/en))</t>
  </si>
  <si>
    <t>Germany To Give €1 Billion Electric Car Subsidy</t>
  </si>
  <si>
    <t>((to/Mi/en give/Pd.so.-i-----/en) germany/Cp.s/en ((€/M/en (1/M#/en billion/M#/en)) (+/B.am/. (+/B.am/. electric/Cp.s/en car/Cp.s/en) subsidy/Cc.s/en)))</t>
  </si>
  <si>
    <t>NASA Telescopes Find Clear Skies and Water Vapor on Exoplanet</t>
  </si>
  <si>
    <t>(find/Pd.so.|f-----/en (+/B.am/. nasa/Cp.s/en telescopes/Cp.s/en) (on/Br.ma/en (and/J/en (+/B.am/. clear/Cp.s/en skies/Cp.p/en) (+/B.am/. water/Cp.s/en vapor/Cp.s/en)) exoplanet/Cp.s/en))</t>
  </si>
  <si>
    <t>produce</t>
  </si>
  <si>
    <t>China’s wind farms can now produce more energy than all of America’s nuclear plants</t>
  </si>
  <si>
    <t>((can/Mm/en (now/M/en produce/Pd.so.-i-----/en)) (’s/Bp.am/en china/Cp.s/en (+/B.am/. wind/Cc.s/en farms/Cc.p/en)) (than/Br.ma/en (more/Mc/en energy/Cc.s/en) (of/Br.ma/en all/Cd/en (’s/Bp.am/en america/Cp.s/en (nuclear/Ma/en plants/Cc.p/en)))))</t>
  </si>
  <si>
    <t>Anti-Female Genital Mutilation Campaigners Make Progress in Egypt</t>
  </si>
  <si>
    <t>(make/Pd.so.|f-----/en (+/B.am/. (anti/Ma/en (-/Ma/en (female/Ma/en (+/B.am/. genital/Cp.s/en mutilation/Cc.s/en)))) campaigners/Cc.p/en) (in/Br.ma/en progress/Cp.s/en egypt/Cp.s/en))</t>
  </si>
  <si>
    <t>snarl</t>
  </si>
  <si>
    <t>Taxi protests snarl traffic in Europe's major cities over car-service app</t>
  </si>
  <si>
    <t>(snarl/Pd.so.|f-----/en (+/B.am/. taxi/Cc.s/en protests/Cc.p/en) (in/Br.ma/en traffic/Cc.s/en (over/Br.ma/en ('s/Bp.am/en europe/Cp.s/en (major/Ma/en cities/Cc.p/en)) (+/B.am/. (+/B.am/. car/Cc.s/en service/Cc.s/en) app/Cc.s/en))))</t>
  </si>
  <si>
    <t>lift</t>
  </si>
  <si>
    <t>Mars methane mission lifts off</t>
  </si>
  <si>
    <t>(lifts/Pd.so.|f--3s-/en (+/B.am/. mars/Cp.s/en (+/B.am/. methane/Cc.s/en mission/Cc.s/en)) off/C/en)</t>
  </si>
  <si>
    <t>and their initiative has big implications for Europe</t>
  </si>
  <si>
    <t>((and/Mj/en has/Pd.so.|f--3s-/en) (their/Mp/en initiative/Cc.s/en) (for/Br.ma/en (big/Ma/en implications/Cc.p/en) europe/Cp.s/en))</t>
  </si>
  <si>
    <t>expand</t>
  </si>
  <si>
    <t>Islamic State linked group expands foothold in southern Syria near Israel</t>
  </si>
  <si>
    <t>(expands/Pd.so.|f--3s-/en (+/B.am/. (linked/Mv.&lt;pf----/en (state/Ma/en islamic/Cp.s/en)) group/Cc.s/en) (near/Br.ma/en (in/Br.ma/en foothold/Cc.s/en (southern/Ma/en syria/Cp.s/en)) israel/Cp.s/en))</t>
  </si>
  <si>
    <t>berate</t>
  </si>
  <si>
    <t>Karl Stefanovic berates Daily Mail for running 'cheap, lazy, sexist' stories</t>
  </si>
  <si>
    <t>(berates/Pd.sox.|f--3s-/en (+/B.am/. karl/Cp.s/en stefanovic/Cp.s/en) (+/B.am/. daily/Cp.s/en mail/Cp.s/en) (for/T/en (running/P.o.|pg----/en (cheap/Ma/en (lazy/Ma/en (sexist/Ma/en stories/Cc.p/en))))))</t>
  </si>
  <si>
    <t>urge</t>
  </si>
  <si>
    <t>IMF Chief Urges All Lenders to Join Ukraine Debt Deal</t>
  </si>
  <si>
    <t>(urges/Pd.sor.|f--3s-/en (+/B.am/. imf/Cp.s/en chief/Cp.s/en) (all/Md/en lenders/Cc.p/en) ((to/Mi/en join/P.o.-i-----/en) (+/B.am/. ukraine/Cp.s/en (+/B.am/. debt/Cp.s/en deal/Cp.s/en))))</t>
  </si>
  <si>
    <t>Taliban Announce Spring Offensive in Afghanistan</t>
  </si>
  <si>
    <t>(announce/Pd.so.-i-----/en taliban/Cp.s/en (in/Br.ma/en (+/B.am/. spring/Cp.s/en offensive/Cp.s/en) afghanistan/Cp.s/en))</t>
  </si>
  <si>
    <t>touch</t>
  </si>
  <si>
    <t>Oil may touch US$ 16/brl</t>
  </si>
  <si>
    <t>((may/Mm/en touch/Pd.so.-i-----/en) oil/Cc.s/en (+/B.am/. us$/Cm/en (+/B.am/. 16/Cm/en brl/Cp.s/en)))</t>
  </si>
  <si>
    <t>Fukushima tsunami threat lifted after 7.3-magnitude quake: Japan's Meteorological Agency lifts tsunami advisory for the region, including site of nuclear plant</t>
  </si>
  <si>
    <t>(lifts/Pd.rso.|f--3s-/en (lifted/P.sx.&lt;f-----/en (+/B.am/. fukushima/Cp.s/en (+/B.am/. tsunami/Cc.s/en threat/Cc.s/en)) (after/T/en (+/B.am/. (7%2e3/M#/en magnitude/Cc.s/en) quake/Cc.s/en))) ('s/Bp.am/en japan/Cp.s/en (+/B.am/. meteorological/Cp.s/en agency/Cp.s/en)) (for/Br.ma/en (+/B.am/. tsunami/Cc.s/en advisory/Cc.s/en) (,/J/en (the/Md/en region/Cc.s/en) (+/B.mm/. including/C/en (of/Br.ma/en site/Cc.s/en (nuclear/Ma/en plant/Cc.s/en))))))</t>
  </si>
  <si>
    <t>ask</t>
  </si>
  <si>
    <t>Pakistan asks US to support its NSG bid</t>
  </si>
  <si>
    <t>(asks/Pd.sor?.|f--3s-/en pakistan/Cp.s/en us/Cp.s/en ((to/Mi/en support/P.o.-i-----/en) (its/Mp/en nsg/Cp.s/en)) bid/Cc.s/en)</t>
  </si>
  <si>
    <t>Top US, Russian diplomats seek thaw in tensions</t>
  </si>
  <si>
    <t>(seek/Pd.sso.|f-----/en (top/Ma/en us/Cp.s/en) (russian/Ma/en diplomats/Cc.p/en) (in/Br.ma/en thaw/Cc.s/en tensions/Cc.p/en))</t>
  </si>
  <si>
    <t>join</t>
  </si>
  <si>
    <t>Reuters) – Between 3,300 and 11,000 fighters from more than 70 nations, including a rising number Western Europe, have joined the struggle in Syria against President Bashar al-Assad</t>
  </si>
  <si>
    <t>((have/Mv.|f-----/en joined/Pd.so.&lt;pf----/en) (between/Br.ma/en reuters/Cp.s/en (from/Br.ma/en (+/B.am/. ((3,300/M#/en and/Mj/en) 11,000/C#/en) fighters/Cc.p/en) (,/J/en ((more/Mc/en (than/M/en 70/M#/en)) nations/Cc.p/en) (including/Pd.x.|pg----/en (from/Br.ma/en (a/Md/en (rising/Mv.|pg----/en number/Cc.s/en)) (+/B.am/. western/Cp.s/en europe/Cp.s/en)))))) (against/Br.ma/en (in/Br.ma/en (the/Md/en struggle/Cc.s/en) syria/Cp.s/en) (+/B.am/. president/Cp.s/en (+/B.am/. bashar/Cp.s/en (+/B.am/. al/Cp.s/en assad/Cp.s/en)))))</t>
  </si>
  <si>
    <t>dictate</t>
  </si>
  <si>
    <t>Former paid agent of Swedish Security Police dictated Amnesty Sweden’s stance against Assange</t>
  </si>
  <si>
    <t>(dictated/Pd.so.&lt;f-----/en (of/Br.ma/en (former/Ma/en (paid/Mv.&lt;pf----/en agent/Cc.s/en)) (+/B.am/. swedish/Cp.s/en (+/B.am/. security/Cp.s/en police/Cp.s/en))) (against/Br.ma/en (’s/Bp.am/en (+/B.am/. amnesty/Cp.s/en sweden/Cp.s/en) stance/Cc.s/en) assange/Cp.s/en))</t>
  </si>
  <si>
    <t>pay</t>
  </si>
  <si>
    <t>Britain’s BBC pays top male star five times more than top woman</t>
  </si>
  <si>
    <t>(pays/Pd.soo.|f--3s-/en (’s/Bp.am/en britain/Cp.s/en bbc/Cp.s/en) (top/Ma/en (male/Ma/en star/Cc.s/en)) (than/Br.ma/en (+/B.am/. (five/M#/en times/Cc.p/en) more/Ca/en) (top/Ma/en woman/Cc.s/en)))</t>
  </si>
  <si>
    <t>tell</t>
  </si>
  <si>
    <t>Hamas tells Gazans to ignore IDF’s call to leave border area</t>
  </si>
  <si>
    <t>(tells/Pd.sor.|f--3s-/en hamas/Cp.s/en gazans/Cp.p/en ((to/Mi/en ignore/P.o?.-i-----/en) (’s/Bp.am/en idf/Cp.s/en call/Cc.s/en) ((to/Mi/en leave/P.o.-i-----/en) (+/B.am/. border/Cc.s/en area/Cc.s/en))))</t>
  </si>
  <si>
    <t>North Korea directive reveals apparent ban on sharing Kim Jong-un’s name</t>
  </si>
  <si>
    <t>(reveals/Pd.so.|f--3s-/en (+/B.am/. (+/B.am/. north/Cp.s/en korea/Cp.s/en) directive/Cc.s/en) (on/Jr.ma/en (apparent/Ma/en ban/Cc.s/en) (sharing/P.o.|pg----/en (’s/Bp.am/en (+/B.am/. kim/Cp.s/en (+/B.am/. jong/Cp.s/en un/Cp.s/en)) name/Cc.s/en))))</t>
  </si>
  <si>
    <t>celebrate</t>
  </si>
  <si>
    <t>China celebrates Asian Infrastructure Investment Bank charter signing with U.S. allies</t>
  </si>
  <si>
    <t>(celebrates/Pd.so.|f--3s-/en china/Cp.s/en (with/Br.ma/en (+/B.am/. (+/B.am/. (+/B.am/. asian/Cp.s/en (+/B.am/. infrastructure/Cp.s/en (+/B.am/. investment/Cp.s/en bank/Cp.s/en))) charter/Cc.s/en) signing/Cc.s/en) (+/B.am/. u%2es%2e/Cp.s/en allies/Cc.p/en)))</t>
  </si>
  <si>
    <t>accuse</t>
  </si>
  <si>
    <t>Ukraine’s Opposition Accuses Government of Provoking Violence</t>
  </si>
  <si>
    <t>(accuses/Pd.so.|f--3s-/en (’s/Bp.am/en ukraine/Cp.s/en opposition/Cp.s/en) (of/Br.ma/en government/Cp.s/en (+/B.am/. provoking/Cp.s/en violence/Cp.s/en)))</t>
  </si>
  <si>
    <t>standardize</t>
  </si>
  <si>
    <t>China to standardize use of English on public signs</t>
  </si>
  <si>
    <t>((to/Mi/en standardize/Pd.so.-i-----/en) china/Cp.s/en (on/Br.ma/en (of/Br.ma/en use/Cc.s/en english/Cp.s/en) (public/Ma/en signs/Cc.p/en)))</t>
  </si>
  <si>
    <t>welcome</t>
  </si>
  <si>
    <t>U.S. Kurdish allies welcome Russian airstrikes in Syria</t>
  </si>
  <si>
    <t>(welcome/Pd.so.|f-----/en (+/B.am/. u%2es%2e/Cm/en (kurdish/Ma/en allies/Cc.p/en)) (in/Br.ma/en (russian/Ma/en airstrikes/Cc.p/en) syria/Cp.s/en))</t>
  </si>
  <si>
    <t>Japan issues advice on on how to survive a nuclear attack as Russia deploys missile systems islands claimed by Tokyo</t>
  </si>
  <si>
    <t>(issues/Pd.so.|f--3s-/en japan/Cp.s/en (on/Jr.ma/en advice/Cc.s/en ((how/M/en (to/Mi/en survive/P.ox.-i-----/en)) (a/Md/en (nuclear/Ma/en attack/Cc.s/en)) (as/T/en (deploys/Pd.sx.|f--3s-/en russia/Cp.s/en (+/B.mm/. (+/B.am/. missile/Cc.s/en systems/Cc.p/en) (on/Jr.ma/en islands/Cc.p/en (claimed/P.a.&lt;pf----/en (by/T/en tokyo/Cp.s/en)))))))))</t>
  </si>
  <si>
    <t>bre</t>
  </si>
  <si>
    <t>Chinese Hackers Bring Down Microsoft Outlook</t>
  </si>
  <si>
    <t>((down/Ml/en bring/Pd.so.|f-----/en) (chinese/Ma/en hackers/Cc.p/en) (+/B.am/. microsoft/Cp.s/en outlook/Cp.s/en))</t>
  </si>
  <si>
    <t>strip</t>
  </si>
  <si>
    <t>Thai crown prince strips wife's kin of royal name</t>
  </si>
  <si>
    <t>(strips/Pd.so.|f--3s-/en (thai/Ma/en (+/B.am/. crown/Cp.s/en prince/Cp.s/en)) (of/Br.ma/en ('s/Bp.am/en wife/Cc.s/en kin/Cc.s/en) (royal/Ma/en name/Cc.s/en)))</t>
  </si>
  <si>
    <t>Bosnian Serb president rejects urgent border deal with Croatia</t>
  </si>
  <si>
    <t>(rejects/Pd.so.|f--3s-/en (bosnian/Ma/en (serb/Ma/en president/Cc.s/en)) (with/Br.ma/en (urgent/Ma/en (+/B.am/. border/Cc.s/en deal/Cc.s/en)) croatia/Cp.s/en))</t>
  </si>
  <si>
    <t>die</t>
  </si>
  <si>
    <t>Aldi supermarket chain co-founder Karl Albrecht dies aged 94</t>
  </si>
  <si>
    <t>(dies/Pd.so.|f--3s-/en (+/B.am/. (+/B.am/. (+/B.am/. aldi/Cp.s/en (+/B.am/. supermarket/Cc.s/en chain/Cc.s/en)) co/Cc.s/en) (+/B.am/. -/Cc.s/en (+/B.am/. founder/Cc.s/en (+/B.am/. karl/Cp.s/en albrecht/Cp.s/en)))) (aged/Ma/en 94/C#/en))</t>
  </si>
  <si>
    <t>seize</t>
  </si>
  <si>
    <t>Afghan troops seize parts of Kunduz from Taliban</t>
  </si>
  <si>
    <t>(seize/Pd.so.|f-----/en (afghan/Ma/en troops/Cc.p/en) (from/Br.ma/en (of/Br.ma/en parts/Cc.p/en kunduz/Cp.s/en) taliban/Cp.s/en))</t>
  </si>
  <si>
    <t>call</t>
  </si>
  <si>
    <t>UN calls force-feeding at Guantanamo 'torture</t>
  </si>
  <si>
    <t>(calls/Pd.so.|f--3s-/en un/Cp.s/en (at/Br.ma/en (+/B.am/. force/Cc.s/en feeding/Cc.s/en) (+/B.mm/. guantanamo/Cp.s/en torture/Cc.s/en)))</t>
  </si>
  <si>
    <t>raze</t>
  </si>
  <si>
    <t>Egyptian bombardment razes 30 houses on Gaza-Sinai border</t>
  </si>
  <si>
    <t>(razes/Pd.so.|f--3s-/en (egyptian/Ma/en bombardment/Cc.s/en) (on/Br.ma/en (30/M#/en houses/Cc.p/en) (+/B.am/. (+/B.am/. gaza/Cp.s/en sinai/Cp.s/en) border/Cc.s/en)))</t>
  </si>
  <si>
    <t>unveil</t>
  </si>
  <si>
    <t>Italy unveils treasure 'worth more than British crown jewels</t>
  </si>
  <si>
    <t>(unveils/Pd.so.|f--3s-/en italy/Cp.s/en ((more/Mc/en than/Br.ma/en) (worth/Ma/en treasure/Cc.s/en) (british/Ma/en (+/B.am/. crown/Cc.s/en jewels/Cc.p/en))))</t>
  </si>
  <si>
    <t>Food riots kill one more in Venezuela</t>
  </si>
  <si>
    <t>(kill/Pd.so.|f-----/en (+/B.am/. food/Cc.s/en riots/Cc.p/en) (in/Br.ma/en (more/Mc/en one/C#/en) venezuela/Cp.s/en))</t>
  </si>
  <si>
    <t>drive</t>
  </si>
  <si>
    <t>Anti-Semitic attacks drive record levels of French aliyah (immigration to Israel</t>
  </si>
  <si>
    <t>(drive/Pd.so.|f-----/en (anti/Ma/en (-/Ma/en (semitic/Ma/en attacks/Cc.p/en))) (of/Br.ma/en (+/B.am/. record/Cc.s/en levels/Cc.p/en) (+/B.mm/. (+/B.am/. french/Cp.s/en aliyah/Cc.s/en) (to/Br.ma/en immigration/Cc.s/en israel/Cp.s/en))))</t>
  </si>
  <si>
    <t>want</t>
  </si>
  <si>
    <t>NKorea's Kim Wants Better Living Standards</t>
  </si>
  <si>
    <t>(wants/Pd.so.|f--3s-/en ('s/Bp.am/en nkorea/Cp.s/en kim/Cp.s/en) (+/B.am/. better/Cp.s/en (+/B.am/. living/Cp.s/en standards/Cp.p/en)))</t>
  </si>
  <si>
    <t>dismantle</t>
  </si>
  <si>
    <t>Brazilian authorities dismantle the country’s largest illegal logging syndicate, responsible for over US$94 million worth of environmental damages</t>
  </si>
  <si>
    <t>(dismantle/Pd.so.|f-----/en (brazilian/Ma/en authorities/Cc.p/en) ((responsible/Ma/en for/Br.ma/en) (’s/Bp.am/en (the/Md/en country/Cc.s/en) (largest/Ms/en (illegal/Ma/en (+/B.am/. logging/Cc.s/en syndicate/Cc.s/en)))) (of/Br.ma/en ((over/M/en (us$/M/en (94/M#/en million/M#/en))) worth/Cc.s/en) (environmental/Ma/en damages/Cc.p/en))))</t>
  </si>
  <si>
    <t>flies</t>
  </si>
  <si>
    <t>Islamic State flies flag on eastern side of Kobane</t>
  </si>
  <si>
    <t>(flies/Pd.so.|f--3s-/en (+/B.am/. islamic/Cp.s/en state/Cp.s/en) (on/Br.ma/en flag/Cc.s/en (of/Br.ma/en (eastern/Ma/en side/Cc.s/en) kobane/Cp.s/en)))</t>
  </si>
  <si>
    <t>Tory MPs Urge David Cameron To Make Minimum Wage A Living Wage</t>
  </si>
  <si>
    <t>((to/Mi/en make/Pd.so.-i-----/en) (+/B.mm/. (tory/Ma/en mps/Cc.p/en) (+/B.am/. urge/Cp.s/en (+/B.am/. david/Cp.s/en cameron/Cp.s/en))) (+/B.am/. (+/B.am/. (+/B.am/. minimum/Cp.s/en wage/Cc.s/en) a/Cd/en) (+/B.am/. living/Cc.s/en wage/Cc.s/en)))</t>
  </si>
  <si>
    <t>order</t>
  </si>
  <si>
    <t>Philippines President Duterte orders army to destroy Islamic militants or risk ISIS disease</t>
  </si>
  <si>
    <t>(orders/Pd.sor.|f--3s-/en (+/B.am/. (+/B.am/. philippines/Cp.s/en president/Cp.s/en) duterte/Cp.s/en) army/Cc.s/en (or/J/en ((to/Mi/en destroy/P.o.-i-----/en) (islamic/Ma/en militants/Cc.p/en)) (risk/P!.o.-i-----/en (+/B.am/. isis/Cp.s/en disease/Cc.s/en))))</t>
  </si>
  <si>
    <t>Sunday morning bomb at Christian church in Pakistan kills at least 75</t>
  </si>
  <si>
    <t>(kills/Pd.so.|f--3s-/en (at/Br.ma/en (+/B.am/. (+/B.am/. sunday/Cp.s/en morning/Cc.s/en) bomb/Cc.s/en) (in/Br.ma/en (christian/Ma/en church/Cc.s/en) pakistan/Cp.s/en)) ((at/M/en least/M^/en) 75/C#/en))</t>
  </si>
  <si>
    <t>South Korean prosecutors seek arrest of ex-President Park in corruption probe</t>
  </si>
  <si>
    <t>(seek/Pd.so.|f-----/en ((south/Ma/en korean/Ma/en) prosecutors/Cc.p/en) (in/Br.ma/en (of/Br.ma/en arrest/Cc.s/en (+/B.am/. ex/Cc.s/en (+/B.am/. -/Cp.s/en (+/B.am/. president/Cp.s/en park/Cp.s/en)))) (+/B.am/. corruption/Cc.s/en probe/Cc.s/en)))</t>
  </si>
  <si>
    <t>defend</t>
  </si>
  <si>
    <t>Thailand defends rights restrictions at U.N. review</t>
  </si>
  <si>
    <t>(defends/Pd.so.|f--3s-/en thailand/Cp.s/en (at/Br.ma/en (+/B.am/. rights/Cc.p/en restrictions/Cc.p/en) (+/B.am/. u%2en%2e/Cp.s/en review/Cc.s/en)))</t>
  </si>
  <si>
    <t>threaten</t>
  </si>
  <si>
    <t>North Korea Threatens To "Invade USA," Use Weapons "Unknown To The World</t>
  </si>
  <si>
    <t>(threatens/Pd.sor.|f--3s-/en (+/B.am/. north/Cp.s/en korea/Cp.s/en) (to/Mi/en (+/B.am/. invade/Cp.s/en usa/Cp.s/en)) (+/B.mm/. use/Cp.s/en ((unknown/Ma/en to/Br.ma/en) weapons/Cc.p/en (the/Md/en world/Cc.s/en))))</t>
  </si>
  <si>
    <t>commit</t>
  </si>
  <si>
    <t>China commits $45.6 billion for economic corridor</t>
  </si>
  <si>
    <t>(commits/Pd.so.|f--3s-/en china/Cp.s/en (for/Br.ma/en ($/M/en (45%2e6/M#/en billion/C#/en)) (economic/Ma/en corridor/Cc.s/en)))</t>
  </si>
  <si>
    <t>boost</t>
  </si>
  <si>
    <t>Climate Change Will Boost Arctic Mosquito Population</t>
  </si>
  <si>
    <t>((will/Mm/en boost/Pd.so.-i-----/en) (+/B.am/. climate/Cc.s/en change/Cp.s/en) (+/B.am/. (+/B.am/. arctic/Cp.s/en mosquito/Cp.s/en) population/Cp.s/en))</t>
  </si>
  <si>
    <t>target</t>
  </si>
  <si>
    <t>Romanian protests target government over corruption drive</t>
  </si>
  <si>
    <t>(target/Pd.so.|f-----/en (romanian/Ma/en protests/Cc.p/en) (over/Br.ma/en government/Cc.s/en (+/B.am/. corruption/Cc.s/en drive/Cc.s/en)))</t>
  </si>
  <si>
    <t>expel</t>
  </si>
  <si>
    <t>ANC expels 'poo war' ringleader</t>
  </si>
  <si>
    <t>(expels/Pd.soo.|f--3s-/en anc/Cp.s/en '/C/en (+/B.mm/. (+/B.am/. poo/Cc.s/en war/Cc.s/en) ringleader/Cc.s/en))</t>
  </si>
  <si>
    <t>sack</t>
  </si>
  <si>
    <t>Maulana Fazlullah sacks Taliban commander</t>
  </si>
  <si>
    <t>(sacks/Pd.so.|f--3s-/en (+/B.am/. maulana/Cp.s/en fazlullah/Cp.s/en) (+/B.am/. taliban/Cp.s/en commander/Cc.s/en))</t>
  </si>
  <si>
    <t>set</t>
  </si>
  <si>
    <t>Hyperloop just set up branch in Slovakia</t>
  </si>
  <si>
    <t>((up/Ml/en (just/M/en set/Pd.so.&lt;f-----/en)) hyperloop/Cc.s/en (in/Br.ma/en branch/Cc.s/en slovakia/Cp.s/en))</t>
  </si>
  <si>
    <t>cut</t>
  </si>
  <si>
    <t>Egypt cuts relations with Syria, shuts embassy</t>
  </si>
  <si>
    <t>(cuts/Pd.so?.|f--3s-/en egypt/Cp.s/en (with/Br.ma/en relations/Cc.p/en syria/Cp.s/en) (shuts/Pd.o.|f--3s-/en embassy/Cc.s/en))</t>
  </si>
  <si>
    <t>AirAsia sea search finds more bodies</t>
  </si>
  <si>
    <t>(finds/Pd.so.|f--3s-/en (+/B.am/. airasia/Cp.s/en (+/B.am/. sea/Cc.s/en search/Cc.s/en)) (more/Mc/en bodies/Cc.p/en))</t>
  </si>
  <si>
    <t>provoke</t>
  </si>
  <si>
    <t>Minister's Temple Mount visits provoke Palestinians</t>
  </si>
  <si>
    <t>(provoke/Pd.so.|f-----/en ('s/Bp.am/en minister/Cp.s/en (+/B.am/. (+/B.am/. temple/Cp.s/en mount/Cp.s/en) visits/Cc.p/en)) palestinians/Cp.p/en)</t>
  </si>
  <si>
    <t>Iran's Bushehr nuclear plant had generator problem: envoy</t>
  </si>
  <si>
    <t>(had/Pd.so?.&lt;f-----/en ('s/Bp.am/en iran/Cp.s/en (+/B.am/. bushehr/Cm/en (nuclear/Ma/en plant/Cc.s/en))) (+/B.am/. generator/Cc.s/en problem/Cc.s/en) envoy/Cc.s/en)</t>
  </si>
  <si>
    <t>Jamaica's Opposition Spokesman on Industry, Commerce and Energy, Gregory Mair, is urging the government to activate the Customs Duties (Dumping and Subsidies) Act in an effort to address trade imbalances with Trinidad and Tobago</t>
  </si>
  <si>
    <t>((is/Mv.|f--3s-/en urging/Pd.sor.|pg----/en) (+/B.mm/. (on/Br.ma/en ('s/Bp.am/en jamaica/Cp.s/en (+/B.am/. opposition/Cp.s/en spokesman/Cp.s/en)) (,/J/en industry/Cp.s/en (and/J/en commerce/Cp.s/en energy/Cp.s/en))) (+/B.am/. gregory/Cp.s/en mair/Cp.s/en)) (the/Md/en government/Cc.s/en) ((to/Mi/en activate/P.oo.-i-----/en) (the/Md/en (+/B.mm/. (+/B.am/. customs/Cp.s/en duties/Cc.p/en) (and/J/en dumping/Cc.s/en subsidies/Cp.p/en))) (+/B.mm/. act/Cc.s/en (in/Jr.ma/en (an/Md/en effort/Cc.s/en) ((to/Mi/en address/P.o.-i-----/en) (with/Br.ma/en (+/B.am/. trade/Cc.s/en imbalances/Cc.p/en) (and/J/en trinidad/Cp.s/en tobago/Cp.s/en)))))))</t>
  </si>
  <si>
    <t>dispute</t>
  </si>
  <si>
    <t>Russia, China nix U.S. human rights claims: Russia and China disputed U.S. Ambassador Nikki Haley's contention that human rights violations are a main driver of conflicts</t>
  </si>
  <si>
    <t>(disputed/Pd.rso.&lt;f-----/en (+/B.mm/. russia/Cp.s/en (+/B.am/. china/Cp.s/en (+/B.am/. nix/Cm/en (+/B.am/. u%2es%2e/Cm/en (+/B.am/. (human/Ma/en rights/Cc.p/en) claims/Cc.p/en))))) (and/J/en russia/Cp.s/en china/Cp.s/en) (that/Jr.ma/en ('s/Bp.am/en (+/B.am/. (+/B.am/. u%2es%2e/Cp.s/en ambassador/Cp.s/en) (+/B.am/. nikki/Cp.s/en haley/Cp.s/en)) contention/Cc.s/en) (are/P.sc.|f-----/en (+/B.am/. (human/Ma/en rights/Cc.p/en) violations/Cc.p/en) (of/Br.ma/en (a/Md/en (main/Ma/en driver/Cc.s/en)) conflicts/Cc.p/en))))</t>
  </si>
  <si>
    <t>He will condemn corporations which, he will argue, appear not to care if their business activities result in forest destruction</t>
  </si>
  <si>
    <t>((will/Mm/en condemn/Pd.so?.-i-----/en) he/Ci/en corporations/Cc.p/en ((not/Mn/en (to/Mi/en care/P.?x.-i-----/en)) (appear/P!.t.|f-----/en ((will/Mm/en argue/Pd.os.-i-----/en) which/C/en he/Ci/en)) (if/T/en (result/Pd.sx.|f-----/en (their/Mp/en (+/B.am/. business/Cc.s/en activities/Cc.p/en)) (in/T/en (+/B.am/. forest/Cc.s/en destruction/Cc.s/en))))))</t>
  </si>
  <si>
    <t>mind</t>
  </si>
  <si>
    <t>North Korea To UN On Human Rights: 'Mind Your Own Business</t>
  </si>
  <si>
    <t>(mind/Pd.so.-i-----/en (on/Br.ma/en (to/Br.ma/en (+/B.am/. north/Cp.s/en korea/Cp.s/en) un/Cp.s/en) (+/B.am/. human/Cp.s/en rights/Cp.p/en)) (your/Mp/en (+/B.am/. own/Cp.s/en business/Cc.s/en)))</t>
  </si>
  <si>
    <t>prepare</t>
  </si>
  <si>
    <t>US prepares tough response for Russia over Ukraine</t>
  </si>
  <si>
    <t>(prepares/Pd.so.|f--3s-/en us/Cp.s/en (for/Br.ma/en (tough/Ma/en response/Cc.s/en) (over/Br.ma/en russia/Cp.s/en ukraine/Cp.s/en)))</t>
  </si>
  <si>
    <t>Former Turkish minister calls attendees of a 15 year old kid's funeral necrophiliacs (the kid was fatally wounded by the police during Gezi protests this summer</t>
  </si>
  <si>
    <t>(calls/Pd.sot.|f--3s-/en (former/Ma/en (turkish/Ma/en minister/Cc.s/en)) (of/Br.ma/en attendees/Cc.p/en ('s/Bp.am/en (a/Md/en (((15/M#/en year/M/en) old/Ma/en) kid/Cc.s/en)) (+/B.am/. funeral/Ca/en necrophiliacs/Cc.p/en))) ((was/Mv.&lt;f-----/en (fatally/M/en wounded/Pd.pax.&lt;pf----/en)) (the/Md/en kid/Cc.s/en) (by/T/en (the/Md/en police/Cc.p/en)) (during/Tt/en (gezi/Ma/en (+/B.ma/. protests/Cc.p/en (this/Md/en summer/Cc.s/en))))))</t>
  </si>
  <si>
    <t>impose</t>
  </si>
  <si>
    <t>Iran imposes sanctions on 15 US firms</t>
  </si>
  <si>
    <t>(imposes/Pd.so.|f--3s-/en iran/Cp.s/en (on/Br.ma/en sanctions/Cc.p/en (+/B.am/. 15/C#/en (+/B.am/. us/Cp.s/en firms/Cc.p/en))))</t>
  </si>
  <si>
    <t>show</t>
  </si>
  <si>
    <t>Security video shows methodical gunman in Resorts World Manila casino attack</t>
  </si>
  <si>
    <t>(shows/Pd.so.|f--3s-/en (+/B.am/. security/Cc.s/en video/Cc.s/en) (in/Br.ma/en (methodical/Ma/en gunman/Cc.s/en) (+/B.am/. (+/B.am/. (+/B.am/. resorts/Cp.s/en world/Cp.s/en) manila/Cp.s/en) (+/B.am/. casino/Cc.s/en attack/Cc.s/en))))</t>
  </si>
  <si>
    <t>Child abuse image investigation leads to 660 arrests: UK National Crime Agency said the 660 arrested included doctors, teachers, scout leaders, care workers and former police officers</t>
  </si>
  <si>
    <t>(said/Pd.rso.&lt;f-----/en (leads/P.sx.|f--3s-/en (+/B.am/. (+/B.am/. (+/B.am/. child/Cc.s/en abuse/Cc.s/en) image/Cc.s/en) investigation/Cc.s/en) (to/T/en (660/M#/en arrests/Cc.p/en))) (+/B.am/. uk/Cp.s/en (+/B.am/. national/Cp.s/en (+/B.am/. crime/Cp.s/en agency/Cp.s/en))) (the/Md/en (+/B.mm/. 660/C#/en (+/B.mm/. arrested/C/en (included/Mv.&lt;pf----/en (+/B.mm/. doctors/Cc.p/en (,/J/en teachers/Cc.p/en (,/J/en (+/B.am/. scout/Cc.s/en leaders/Cc.p/en) (and/J/en (+/B.am/. care/Cc.s/en workers/Cc.p/en) (former/Ma/en (+/B.am/. police/Cc.s/en officers/Cc.p/en)))))))))))</t>
  </si>
  <si>
    <t>Czech economy shows biggest GDP growth in Europe</t>
  </si>
  <si>
    <t>(shows/Pd.so.|f--3s-/en (czech/Ma/en economy/Cc.s/en) (in/Br.ma/en (biggest/Ms/en (+/B.am/. gdp/Cp.s/en growth/Cc.s/en)) europe/Cp.s/en))</t>
  </si>
  <si>
    <t>Islamic Extremists Kill at Least 15 Tuaregs in Mali's North</t>
  </si>
  <si>
    <t>(kill/Pd.so.|f-----/en (islamic/Ma/en extremists/Cc.p/en) (in/Br.ma/en (+/B.am/. (15/M#/en (at/M/en least/C/en)) tuaregs/Cp.p/en) ('s/Bp.am/en mali/Cp.s/en north/Cc.s/en)))</t>
  </si>
  <si>
    <t>capture</t>
  </si>
  <si>
    <t>Video captures horror of Istanbul airport attack</t>
  </si>
  <si>
    <t>(captures/Pd.so.|f--3s-/en video/Cc.s/en (of/Br.ma/en horror/Cc.s/en (+/B.am/. istanbul/Cp.s/en (+/B.am/. airport/Cc.s/en attack/Cc.s/en))))</t>
  </si>
  <si>
    <t>Germany, EU deny report on European solidarity tax</t>
  </si>
  <si>
    <t>(deny/Pd.sso.|f-----/en germany/Cp.s/en eu/Cp.s/en (on/Br.ma/en report/Cc.s/en (european/Ma/en (+/B.am/. solidarity/Cc.s/en tax/Cc.s/en))))</t>
  </si>
  <si>
    <t>uphold</t>
  </si>
  <si>
    <t>CAS upholds blanket ban on Russian Paralympic team imposed by IPC</t>
  </si>
  <si>
    <t>(upholds/Pd.so.|f--3s-/en cas/Cp.s/en (+/B.mm/. (+/B.am/. blanket/Cc.s/en ban/Cc.s/en) (on/Jr.ma/en (+/B.am/. (+/B.am/. russian/Cp.s/en paralympic/Cp.s/en) team/Cc.s/en) (imposed/P.a.&lt;pf----/en (by/T/en ipc/Cp.s/en)))))</t>
  </si>
  <si>
    <t>behead</t>
  </si>
  <si>
    <t>Saudi beheads murderer, 5th execution under new king</t>
  </si>
  <si>
    <t>(beheads/Pd.so.|f--3s-/en saudi/Ca/en (+/B.mm/. murderer/Cc.s/en (under/Br.ma/en (5th/Ma/en execution/Cc.s/en) (new/Ma/en king/Cc.s/en))))</t>
  </si>
  <si>
    <t>claim</t>
  </si>
  <si>
    <t>Chevron claims new proof of fraud in Ecuador pollution ruling</t>
  </si>
  <si>
    <t>(claims/Pd.so.|f--3s-/en chevron/Cp.s/en (of/Br.ma/en (new/Ma/en proof/Cc.s/en) (in/Br.ma/en fraud/Cc.s/en (+/B.am/. ecuador/Cp.s/en (+/B.am/. pollution/Cc.s/en ruling/Cc.s/en)))))</t>
  </si>
  <si>
    <t>get</t>
  </si>
  <si>
    <t>Saudi Arabia Can't Get Its Story Straight on the MSF Hospital Destroyed in Yemen</t>
  </si>
  <si>
    <t>((ca/Mm/en (n't/Mn/en get/Pd.sor.-i-----/en)) (+/B.am/. saudi/Cp.s/en arabia/Cp.s/en) (its/Mp/en story/Cc.s/en) (destroyed/P.sx.&lt;pf----/en (on/Br.ma/en straight/Cp.s/en (the/Md/en (+/B.am/. msf/Cp.s/en hospital/Cp.s/en))) (in/T/en yemen/Cp.s/en)))</t>
  </si>
  <si>
    <t>Torrential rains, floods in Argentina kill 41</t>
  </si>
  <si>
    <t>(kill/Pd.sso.|f-----/en (torrential/Ma/en rains/Cc.p/en) (in/Br.ma/en floods/Cc.p/en argentina/Cp.s/en) 41/C#/en)</t>
  </si>
  <si>
    <t>swap</t>
  </si>
  <si>
    <t>Biggest telescope may swap continents</t>
  </si>
  <si>
    <t>((may/Mm/en swap/Pd.so.-i-----/en) (biggest/Ms/en telescope/Cc.s/en) continents/Cc.p/en)</t>
  </si>
  <si>
    <t>disclose</t>
  </si>
  <si>
    <t>Canadian government orders scientist not to disclose extent of polar melting</t>
  </si>
  <si>
    <t>((not/Mn/en (to/Mi/en disclose/Pd.so.-i-----/en)) (+/B.am/. (canadian/Ma/en (+/B.am/. government/Cc.s/en orders/Cc.p/en)) scientist/Cc.s/en) (of/Br.ma/en extent/Cc.s/en (polar/Ma/en melting/Cc.s/en)))</t>
  </si>
  <si>
    <t>establish</t>
  </si>
  <si>
    <t>Egyptian opposition establishes 'Revolutionary Council' in Istanbul</t>
  </si>
  <si>
    <t>(establishes/Pd.so.|f--3s-/en (egyptian/Ma/en opposition/Cc.s/en) (in/Br.ma/en (+/B.am/. revolutionary/Cp.s/en council/Cp.s/en) istanbul/Cp.s/en))</t>
  </si>
  <si>
    <t>slam</t>
  </si>
  <si>
    <t>The Peruvian government slammed the United Nations Food and Agriculture Organization on Wednesday for hiring former first lady Nadine Heredia as a Geneva-based director while she is a suspect in a money laundering inquiry</t>
  </si>
  <si>
    <t>(slammed/Pd.soxx.&lt;f-----/en (the/Md/en (peruvian/Ma/en government/Cc.s/en)) (the/Md/en (+/B.am/. (+/B.aa/. united/Cp.s/en nations/Cm/en) (+/B.am/. (and/J/en food/Cm/en agriculture/Cp.s/en) organization/Cp.s/en))) (on/Tt/en wednesday/Cp.s/en) (for/T/en (hiring/P.oxx.|pg----/en (+/B.am/. (former/Ma/en (first/Ma/en lady/Cc.s/en)) (+/B.am/. nadine/Cp.s/en heredia/Cp.s/en)) (as/T/en (a/Md/en ((geneva/Ma/en based/Mv.&lt;pf----/en) director/Cc.s/en))) ((while/M/en is/Pd.sc.|f--3s-/en) she/Ci/en (in/Br.ma/en (a/Md/en suspect/Cc.s/en) (a/Md/en (+/B.am/. (+/B.am/. money/Cc.s/en laundering/Cc.s/en) inquiry/Cc.s/en)))))))</t>
  </si>
  <si>
    <t>describe</t>
  </si>
  <si>
    <t>Merkel's Party No Longer Describing U.S.</t>
  </si>
  <si>
    <t>(((no/Mn/en longer/M=/en) describing/Pd.so.|pg----/en) ('s/Bp.am/en merkel/Cp.s/en party/Cp.s/en) u%2es%2e/Cp.s/en)</t>
  </si>
  <si>
    <t>Massive International Project Raises Questions about the Validity of Psychology Research</t>
  </si>
  <si>
    <t>(raises/Pd.so.|f--3s-/en (+/B.am/. massive/Cp.s/en (+/B.am/. international/Cp.s/en project/Cp.s/en)) (about/Br.ma/en questions/Cc.p/en (of/Br.ma/en (the/Md/en validity/Cp.s/en) (+/B.am/. psychology/Cp.s/en research/Cp.s/en))))</t>
  </si>
  <si>
    <t>approve</t>
  </si>
  <si>
    <t>IMF approves $17bn Ukraine bailout</t>
  </si>
  <si>
    <t>(approves/Pd.so.|f--3s-/en imf/Cp.s/en ($/M/en (+/B.am/. (17bn/Ma/en ukraine/Cp.s/en) bailout/Cc.s/en)))</t>
  </si>
  <si>
    <t>flew</t>
  </si>
  <si>
    <t>Decorated former U.S. Air Force pilot Skip Holm flew the aircraft</t>
  </si>
  <si>
    <t>(flew/Pd.so.&lt;f-----/en (decorated/Mv.&lt;pf----/en (+/B.am/. (former/Ma/en (+/B.am/. (+/B.am/. u%2es%2e/Cp.s/en (+/B.am/. air/Cp.s/en force/Cp.s/en)) pilot/Cc.s/en)) (+/B.am/. skip/Cp.s/en holm/Cp.s/en))) (the/Md/en aircraft/Cc.s/en))</t>
  </si>
  <si>
    <t>Pakistan Asks Bangladesh to Withdraw Senior Diplomat</t>
  </si>
  <si>
    <t>(asks/Pd.sor.|f--3s-/en pakistan/Cp.s/en bangladesh/Cp.s/en ((to/Mi/en withdraw/P.o.-i-----/en) (senior/Ma/en diplomat/Cp.s/en)))</t>
  </si>
  <si>
    <t>Russia Shows Off Military Might In Syria</t>
  </si>
  <si>
    <t>(shows/Pd.so.|f--3s-/en russia/Cp.s/en (in/Br.ma/en (off/M/en (military/Ma/en might/Cp.s/en)) syria/Cp.s/en))</t>
  </si>
  <si>
    <t>Carbon Bubble Makes Australia's Coal Industry Ripe "for Financial Implosion</t>
  </si>
  <si>
    <t>(makes/Pd.so.|f--3s-/en (+/B.am/. carbon/Cc.s/en bubble/Cc.s/en) (for/Br.ma/en ('s/Bp.am/en australia/Cp.s/en (+/B.am/. (+/B.am/. coal/Cp.s/en industry/Cp.s/en) ripe/Cp.s/en)) (+/B.am/. financial/Cp.s/en implosion/Cp.s/en)))</t>
  </si>
  <si>
    <t>expose</t>
  </si>
  <si>
    <t>India's Bollywood Superstars Shahrukh Khan exposes Indian secularism</t>
  </si>
  <si>
    <t>(exposes/Pd.so.|f--3s-/en (+/B.am/. (+/B.mm/. ('s/Bp.am/en india/Cp.s/en bollywood/Cc.s/en) superstars/Cp.s/en) (+/B.am/. shahrukh/Cp.s/en khan/Cp.s/en)) (indian/Ma/en secularism/Cc.s/en))</t>
  </si>
  <si>
    <t>Derailed Quebec train had insufficient brake force</t>
  </si>
  <si>
    <t>(had/Pd.so.&lt;f-----/en (+/B.am/. (+/B.am/. derailed/Cp.s/en quebec/Cp.s/en) train/Cc.s/en) (insufficient/Ma/en (+/B.am/. brake/Cc.s/en force/Cc.s/en)))</t>
  </si>
  <si>
    <t>invade</t>
  </si>
  <si>
    <t>China invades another PH territory, Jackson Atoll near east of Palawan Island</t>
  </si>
  <si>
    <t>(invades/Pd.so.|f--3s-/en china/Cp.s/en (+/B.mm/. (another/Md/en (+/B.am/. ph/Cp.s/en territory/Cc.s/en)) (near/Br.ma/en (+/B.am/. jackson/Cp.s/en atoll/Cp.s/en) (of/Br.ma/en east/Cp.s/en (+/B.am/. palawan/Cp.s/en island/Cp.s/en)))))</t>
  </si>
  <si>
    <t>bar</t>
  </si>
  <si>
    <t>Zimbabwe to bar Western election observers: paper</t>
  </si>
  <si>
    <t>((to/Mi/en bar/Pd.so.-i-----/en) zimbabwe/Cp.s/en (+/B.mm/. (western/Ma/en (+/B.am/. election/Cc.s/en observers/Cc.p/en)) paper/Cc.s/en))</t>
  </si>
  <si>
    <t>India rejects U.S. role in mending ties with Pakistan</t>
  </si>
  <si>
    <t>(rejects/Pd.so.|f--3s-/en india/Cp.s/en (in/Jr.ma/en (+/B.am/. u%2es%2e/Cp.s/en role/Cc.s/en) (mending/P.o.|pg----/en (with/Br.ma/en ties/Cc.p/en pakistan/Cp.s/en))))</t>
  </si>
  <si>
    <t>John McCain and Lindsey Graham urge Washington to send weapons to Ukraine</t>
  </si>
  <si>
    <t>(urge/Pd.sor.|f-----/en (and/J/en (+/B.am/. john/Cp.s/en mccain/Cp.s/en) (+/B.am/. lindsey/Cp.s/en graham/Cp.s/en)) washington/Cp.s/en ((to/Mi/en send/P.oi.-i-----/en) weapons/Cc.p/en (to/T/en ukraine/Cp.s/en)))</t>
  </si>
  <si>
    <t>send</t>
  </si>
  <si>
    <t>UN sends out distress signal warning that nearly half Syria's population needs urgent humanitarian assistance</t>
  </si>
  <si>
    <t>((out/Ml/en sends/Pd.so.|f--3s-/en) un/Cp.s/en (that/Jr.ma/en (+/B.am/. (+/B.am/. distress/Cc.s/en signal/Cc.s/en) warning/C/en) (needs/P.so.|f--3s-/en ((nearly/M/en half/M/en) ('s/Bp.am/en syria/Cp.s/en population/Cc.s/en)) (urgent/Ma/en (humanitarian/Ma/en assistance/Cc.s/en)))))</t>
  </si>
  <si>
    <t>continue</t>
  </si>
  <si>
    <t>El Salvador continues crackdown on pedophile priests</t>
  </si>
  <si>
    <t>(continues/Pd.so.|f--3s-/en (+/B.am/. el/Cp.s/en salvador/Cp.s/en) (on/Br.ma/en crackdown/Cc.s/en (+/B.am/. pedophile/Cc.s/en priests/Cc.p/en)))</t>
  </si>
  <si>
    <t>acquire</t>
  </si>
  <si>
    <t>Millions at risk as deadly fungal infections acquire drug resistance</t>
  </si>
  <si>
    <t>(acquire/Pd.so.|f-----/en (as/Br.ma/en (at/Br.ma/en millions/Cc.p/en risk/Cc.s/en) (deadly/Ma/en (fungal/Ma/en infections/Cc.p/en))) (+/B.am/. drug/Cc.s/en resistance/Cc.s/en))</t>
  </si>
  <si>
    <t>ban</t>
  </si>
  <si>
    <t>Beijing bans Halloween costumes on metro</t>
  </si>
  <si>
    <t>(bans/Pd.so.|f--3s-/en beijing/Cp.s/en (on/Br.ma/en (+/B.am/. halloween/Cp.s/en costumes/Cc.p/en) metro/Cp.s/en))</t>
  </si>
  <si>
    <t>FATCA threatens Russia’s financial system – official</t>
  </si>
  <si>
    <t>(threatens/Pd.so.|f--3s-/en fatca/Cp.s/en (+/B.mm/. (’s/Bp.am/en russia/Cp.s/en (financial/Ma/en system/Cc.s/en)) official/Cc.s/en))</t>
  </si>
  <si>
    <t>Russia's Putin tells army to shape up for foreign threat</t>
  </si>
  <si>
    <t>(tells/Pd.sor.|f--3s-/en ('s/Bp.am/en russia/Cp.s/en putin/Cp.s/en) army/Cc.s/en ((up/Ml/en (to/Mi/en shape/P.x.-i-----/en)) (for/T/en (foreign/Ma/en threat/Cc.s/en))))</t>
  </si>
  <si>
    <t>snub</t>
  </si>
  <si>
    <t>Croatia Jews snub official Holocaust event over neo-Nazi sentiment</t>
  </si>
  <si>
    <t>(snub/Pd.so.|f-----/en (+/B.am/. croatia/Cp.s/en jews/Cp.p/en) (over/Br.ma/en (official/Ma/en (+/B.am/. holocaust/Cp.s/en event/Cc.s/en)) (neo/Ma/en (-/Ma/en (nazi/Ma/en sentiment/Cc.s/en)))))</t>
  </si>
  <si>
    <t>India's $16 bln wage bonanza may force Jaitley to cut capex</t>
  </si>
  <si>
    <t>((may/Mm/en force/Pd.sor.-i-----/en) ('s/Bp.am/en india/Cp.s/en (($/M/en 16/M#/en) (+/B.am/. bln/Cp.s/en (+/B.am/. wage/Cc.s/en bonanza/Cc.s/en)))) jaitley/Cp.s/en ((to/Mi/en cut/P.o.-i-----/en) capex/Ca/en))</t>
  </si>
  <si>
    <t>Syria propose airline allotment agreement with North Korea</t>
  </si>
  <si>
    <t>(propose/Pd.so.|f-----/en syria/Cp.s/en (with/Br.ma/en (+/B.am/. (+/B.am/. airline/Cc.s/en allotment/Cc.s/en) agreement/Cc.s/en) (+/B.am/. north/Cp.s/en korea/Cp.s/en)))</t>
  </si>
  <si>
    <t>West is just double talk, I want more ties with Russia &amp; China</t>
  </si>
  <si>
    <t>(want/Pd.rso.|f-----/en (is/P.sc.|f--3s-/en west/Cp.s/en ((just/M/en double/Ma/en) talk/Cc.s/en)) i/Ci/en (with/Br.ma/en (more/Mc/en ties/Cc.p/en) (%26/J/en russia/Cp.s/en china/Cp.s/en)))</t>
  </si>
  <si>
    <t>complete</t>
  </si>
  <si>
    <t>Israel completes 10km stretch of West Bank security barrier near Hebron</t>
  </si>
  <si>
    <t>(completes/Pd.so.|f--3s-/en israel/Cp.s/en (of/Br.ma/en (+/B.am/. (10/M#/en km/Cc.s/en) stretch/Cc.s/en) (near/Br.ma/en (+/B.am/. (+/B.am/. west/Cp.s/en bank/Cp.s/en) (+/B.am/. security/Cc.s/en barrier/Cc.s/en)) hebron/Cp.s/en)))</t>
  </si>
  <si>
    <t>arrest</t>
  </si>
  <si>
    <t>Pakistan arrests several suspects over Peshawar school massacre</t>
  </si>
  <si>
    <t>(arrests/Pd.so.|f--3s-/en pakistan/Cp.s/en (over/Br.ma/en (several/Ma/en suspects/Cc.p/en) (+/B.am/. (+/B.am/. peshawar/Cp.s/en school/Cc.s/en) massacre/Cc.s/en)))</t>
  </si>
  <si>
    <t>Ukraine accuses Russia of shooting down one of its military aircraft over Ukrainian territory</t>
  </si>
  <si>
    <t>(accuses/Pd.sox.|f--3s-/en ukraine/Cp.s/en russia/Cp.s/en (of/T/en ((down/Ml/en shooting/P.o.|pg----/en) (of/Br.ma/en one/C#/en (over/Br.ma/en (its/Mp/en (military/Ma/en aircraft/Cc.s/en)) (ukrainian/Ma/en territory/Cc.s/en))))))</t>
  </si>
  <si>
    <t>launch</t>
  </si>
  <si>
    <t>Swiss prosecutors launch money-laundering probe against fugitive Ukrainian President Yanukovych, and son</t>
  </si>
  <si>
    <t>(launch/Pd.so.|f-----/en (swiss/Ma/en prosecutors/Cc.p/en) (against/Br.ma/en ((money/M/en laundering/Mv.|pg----/en) probe/Cc.s/en) (and/J/en (+/B.am/. (fugitive/Ma/en (ukrainian/Ma/en president/Cp.s/en)) yanukovych/Cp.s/en) son/Cc.s/en)))</t>
  </si>
  <si>
    <t>dismiss</t>
  </si>
  <si>
    <t>China dismisses India’s apprehensions on Silk Road projects</t>
  </si>
  <si>
    <t>(dismisses/Pd.so.|f--3s-/en china/Cp.s/en (on/Br.ma/en (’s/Bp.am/en india/Cp.s/en apprehensions/Cc.p/en) (+/B.am/. (+/B.am/. silk/Cp.s/en road/Cp.s/en) projects/Cc.p/en)))</t>
  </si>
  <si>
    <t>catch</t>
  </si>
  <si>
    <t>Fishermen Catching Huge Numbers of Live Venomous Sea Snakes</t>
  </si>
  <si>
    <t>(catching/Pd.so.|pg----/en fishermen/Cc.p/en (of/Br.ma/en (+/B.am/. huge/Ca/en numbers/Cc.p/en) (live/Ma/en (+/B.am/. (+/B.am/. venomous/Cp.s/en sea/Cp.s/en) snakes/Cc.p/en))))</t>
  </si>
  <si>
    <t>Turkish court gives green light to destruction of Gezi Park</t>
  </si>
  <si>
    <t>(gives/Pd.soi.|f--3s-/en (turkish/Ma/en court/Cc.s/en) (green/Ma/en light/Cc.s/en) (to/T/en (of/Br.ma/en destruction/Cc.s/en (+/B.am/. gezi/Cp.s/en park/Cp.s/en))))</t>
  </si>
  <si>
    <t>drown</t>
  </si>
  <si>
    <t>Libya finds bodies of 43 people, thought to be asylum seekers, on beach; three drown off Greece</t>
  </si>
  <si>
    <t>((off/Ml/en drown/Pd.rso.-i-----/en) (finds/P.so?.|f--3s-/en libya/Cp.s/en (of/Br.ma/en bodies/Cc.p/en (43/M#/en people/Cc.p/en)) (thought/Pd.r.&lt;f-----/en ((to/Mi/en be/P.cx.-i-----/en) (+/B.am/. asylum/Cc.s/en seekers/Cc.p/en) (on/T/en beach/Cc.s/en)))) three/C#/en greece/Cp.s/en)</t>
  </si>
  <si>
    <t>Ugandan court to release smuggled ivory: On the eve World Wildlife Day, court orders release of of 2.9 tonnes ivory destined for sale in China and the UAE</t>
  </si>
  <si>
    <t>((to/Mi/en release/Pd.soo.-i-----/en) (+/B.am/. ugandan/Cp.s/en court/Cc.s/en) (smuggled/Mv.&lt;pf----/en ivory/Cc.s/en) (of/Br.ma/en (on/Br.ma/en (of/Br.ma/en (the/Md/en eve/Cc.s/en) (+/B.am/. world/Cp.s/en (+/B.am/. wildlife/Cp.s/en day/Cp.s/en))) (+/B.am/. (+/B.am/. court/Cc.s/en orders/Cc.p/en) release/Cc.s/en)) (2%2e9/M#/en (+/B.mm/. tonnes/Cc.p/en (of/Jr.ma/en ivory/Cc.s/en (destined/P.x.&lt;pf----/en (for/T/en (in/Br.ma/en sale/Cc.s/en (and/J/en china/Cp.s/en (the/Md/en uae/Cp.s/en))))))))))</t>
  </si>
  <si>
    <t>exacerbate</t>
  </si>
  <si>
    <t>Climate change trifecta exacerbates urban, coastal flooding</t>
  </si>
  <si>
    <t>(exacerbates/Pd.so.|f--3s-/en (+/B.am/. climate/Cc.s/en (+/B.am/. change/Cc.s/en trifecta/Cc.s/en)) (urban/Ma/en (coastal/Ma/en flooding/Cc.s/en)))</t>
  </si>
  <si>
    <t>trigger</t>
  </si>
  <si>
    <t>The discovery of the lifelike explosive device triggered a mass evacuation and the cancellation of a key soccer game</t>
  </si>
  <si>
    <t>(triggered/Pd.so.&lt;f-----/en (of/Br.ma/en (the/Md/en discovery/Cc.s/en) (the/Md/en (lifelike/Ma/en (explosive/Ma/en device/Cc.s/en)))) (and/J/en (a/Md/en (mass/Ma/en evacuation/Cc.s/en)) (of/Br.ma/en (the/Md/en cancellation/Cc.s/en) (a/Md/en (key/Ma/en (+/B.am/. soccer/Cc.s/en game/Cc.s/en))))))</t>
  </si>
  <si>
    <t>Morocco rejects African Union’s new special envoy for Western Sahara</t>
  </si>
  <si>
    <t>(rejects/Pd.so.|f--3s-/en morocco/Cp.s/en (for/Br.ma/en (’s/Bp.am/en (+/B.am/. african/Cp.s/en union/Cp.s/en) (new/Ma/en (special/Ma/en envoy/Cc.s/en))) (+/B.am/. western/Cp.s/en sahara/Cp.s/en)))</t>
  </si>
  <si>
    <t>Tebus deny rumours about handing over the last base</t>
  </si>
  <si>
    <t>(deny/Pd.so.|f-----/en tebus/Cp.s/en (about/Jr.ma/en rumours/Cc.p/en ((over/Ml/en handing/P.o.|pg----/en) (the/Md/en (last/Ma/en base/Cc.s/en)))))</t>
  </si>
  <si>
    <t>Impossible" Electric Airplane Takes Flight</t>
  </si>
  <si>
    <t>(takes/Pd.?so.|f--3s-/en impossible/Ca/en (+/B.am/. electric/Cp.s/en airplane/Cp.s/en) flight/Cc.s/en)</t>
  </si>
  <si>
    <t>French Parliament Bans Cultivation of GMO Maize</t>
  </si>
  <si>
    <t>(bans/Pd.so.|f--3s-/en (+/B.am/. french/Ca/en parliament/Cp.s/en) (of/Br.ma/en cultivation/Cp.s/en (+/B.am/. gmo/Cp.s/en maize/Cp.s/en)))</t>
  </si>
  <si>
    <t>It passed 154 to 3</t>
  </si>
  <si>
    <t>(passed/Pd.so.&lt;f-----/en it/Ci/en (+/B.am/. 154/C#/en (to/M/en 3/C#/en)))</t>
  </si>
  <si>
    <t>Deutsche Bank trader loses $34m bonuses over Libor scandal</t>
  </si>
  <si>
    <t>(loses/Pd.so.|f--3s-/en (+/B.am/. (+/B.am/. deutsche/Cp.s/en bank/Cp.s/en) trader/Cc.s/en) (over/Br.ma/en (+/B.am/. (($/M/en 34/M#/en) m/C#/en) bonuses/Cc.p/en) (+/B.am/. libor/Cp.s/en scandal/Cc.s/en)))</t>
  </si>
  <si>
    <t>hit</t>
  </si>
  <si>
    <t>Trade deficit hits record ¥11.47 tril</t>
  </si>
  <si>
    <t>(hits/Pd.sro.|f--3s-/en (+/B.am/. trade/Cc.s/en deficit/Cc.s/en) record/Ca/en (+/B.am/. ¥/Cm/en (+/B.am/. 11%2e47/C#/en tril/Cc.s/en)))</t>
  </si>
  <si>
    <t>file</t>
  </si>
  <si>
    <t>Israeli group files war crimes suits against Palestinian leaders</t>
  </si>
  <si>
    <t>(files/Pd.so.|f--3s-/en (israeli/Ma/en group/Cc.s/en) (against/Br.ma/en (+/B.am/. (+/B.am/. war/Cc.s/en crimes/Cc.p/en) suits/Cc.p/en) (palestinian/Ma/en leaders/Cc.p/en)))</t>
  </si>
  <si>
    <t>handle</t>
  </si>
  <si>
    <t>South Yorkshire Police handling 183 child sex abuse cases</t>
  </si>
  <si>
    <t>(handling/Pd.so.|pg----/en (+/B.am/. (+/B.am/. south/Cp.s/en yorkshire/Cp.s/en) police/Cp.s/en) (183/M#/en (+/B.am/. (+/B.am/. child/Cc.s/en (+/B.am/. sex/Cc.s/en abuse/Cc.s/en)) cases/Cc.p/en)))</t>
  </si>
  <si>
    <t>train</t>
  </si>
  <si>
    <t>Israeli Mossad spy agency trained young Mandela</t>
  </si>
  <si>
    <t>(trained/Pd.so.&lt;f-----/en (israeli/Ma/en (+/B.am/. mossad/Cp.s/en (+/B.am/. spy/Cc.s/en agency/Cc.s/en))) (young/Ma/en mandela/Cp.s/en))</t>
  </si>
  <si>
    <t>ISIS launches assault on pro-Assad forces in western Syria</t>
  </si>
  <si>
    <t>(launches/Pd.so.|f--3s-/en isis/Cp.s/en (on/Br.ma/en assault/Cc.s/en (in/Br.ma/en (pro/Ma/en (-/Ma/en (assad/Ma/en forces/Cc.p/en))) (western/Ma/en syria/Cp.s/en))))</t>
  </si>
  <si>
    <t>A Nepalese World Cup Worker Dies Every Other Day in Qatar</t>
  </si>
  <si>
    <t>(dies/Pd.so.|f--3s-/en (a/Md/en (+/B.am/. nepalese/Cp.s/en (+/B.am/. (+/B.am/. world/Cp.s/en cup/Cp.s/en) worker/Cp.s/en))) (in/Br.ma/en (every/Md/en (other/Ma/en day/Cp.s/en)) qatar/Cp.s/en))</t>
  </si>
  <si>
    <t>Sayyed Hassan Nasrallah: Syria's election exposed Western hypocrisy</t>
  </si>
  <si>
    <t>(exposed/Pd.sso.&lt;f-----/en (+/B.am/. sayyed/Cp.s/en (+/B.am/. hassan/Cp.s/en nasrallah/Cp.s/en)) ('s/Bp.am/en syria/Cp.s/en election/Cc.s/en) (western/Ma/en hypocrisy/Cc.s/en))</t>
  </si>
  <si>
    <t>Rebels to give MH17 black boxes to aviation group</t>
  </si>
  <si>
    <t>((to/Mi/en give/Pd.soi.-i-----/en) rebels/Cc.p/en (+/B.am/. mh17/Cm/en (black/Ma/en boxes/Cc.p/en)) (to/T/en (+/B.am/. aviation/Cc.s/en group/Cc.s/en)))</t>
  </si>
  <si>
    <t>risk</t>
  </si>
  <si>
    <t>Google risks ire on jogging memories meant to be forgotten</t>
  </si>
  <si>
    <t>(risks/Pd.so.|f--3s-/en google/Cp.s/en (on/Jr.ma/en ire/Cc.s/en ((to/Mi/en (be/Mv.-i-----/en forgotten/P.o.&lt;pf----/en)) (meant/P.o.&lt;pf----/en (+/B.am/. jogging/C/en memories/Cc.p/en)))))</t>
  </si>
  <si>
    <t>UAE condemns new Iran provocation in occupied Islands</t>
  </si>
  <si>
    <t>(condemns/Pd.so.|f--3s-/en uae/Cp.s/en (in/Br.ma/en (new/Ma/en (+/B.am/. iran/Cp.s/en provocation/Cc.s/en)) (occupied/Mv.&lt;pf----/en islands/Cp.p/en)))</t>
  </si>
  <si>
    <t>develop</t>
  </si>
  <si>
    <t>Russia Develops High-Tech 'Beast From Beneath' Submarine</t>
  </si>
  <si>
    <t>(develops/Pd.so.|f--3s-/en russia/Cp.s/en (from/Br.ma/en (+/B.am/. (-/B/en high/Cp.s/en tech/Cm/en) beast/Cc.s/en) ('/Bp.am/en beneath/Cp.s/en submarine/Cc.s/en)))</t>
  </si>
  <si>
    <t>warn</t>
  </si>
  <si>
    <t>US lawmakers warn Abbas: Curb incitement or risk American aid to PA</t>
  </si>
  <si>
    <t>(warn/Pd.soo.|f-----/en (+/B.am/. us/Cp.s/en lawmakers/Cc.p/en) abbas/Cp.s/en (or/J/en (+/B.am/. curb/Cc.s/en incitement/Cc.s/en) (risk/P!.ox.-i-----/en (american/Ma/en aid/Cc.s/en) (to/T/en pa/Cp.s/en))))</t>
  </si>
  <si>
    <t>Advocate Fadzayi Mahere to lead team of lawyers suing local banks</t>
  </si>
  <si>
    <t>((to/Mi/en lead/Pd.so.-i-----/en) (+/B.am/. advocate/Cc.s/en (+/B.am/. fadzayi/Cp.s/en mahere/Cp.s/en)) (+/B.mm/. team/Cc.s/en (of/Jr.ma/en lawyers/Cc.p/en (suing/P.o.|pg----/en (local/Ma/en banks/Cc.p/en)))))</t>
  </si>
  <si>
    <t>Self-ruling region in Syria issues women's rights decree</t>
  </si>
  <si>
    <t>(issues/Pd.so.|f--3s-/en (in/Br.ma/en ((self/M/en ruling/Mv.|pg----/en) region/Cc.s/en) syria/Cp.s/en) ('s/Bp.am/en women/Cc.p/en (+/B.am/. rights/Cc.p/en decree/Cc.s/en)))</t>
  </si>
  <si>
    <t>strengthen</t>
  </si>
  <si>
    <t>UN Security Council Authorizes Strengthened Syria Aid</t>
  </si>
  <si>
    <t>(strengthened/Pd.so.&lt;f-----/en (+/B.am/. (+/B.am/. un/Cp.s/en (+/B.am/. security/Cp.s/en council/Cp.s/en)) authorizes/Cp.p/en) (+/B.am/. syria/Cp.s/en aid/Cp.s/en))</t>
  </si>
  <si>
    <t>name</t>
  </si>
  <si>
    <t>Palestinian family names their child ‘Knife of Jerusalem</t>
  </si>
  <si>
    <t>(names/Pd.so.|f--3s-/en (palestinian/Ma/en family/Cc.s/en) (+/B.mm/. (their/Mp/en child/Cc.s/en) (of/Br.ma/en knife/Cp.s/en jerusalem/Cp.s/en)))</t>
  </si>
  <si>
    <t>Kenya parliament holds emergency debate on ICC pull-out</t>
  </si>
  <si>
    <t>(holds/Pd.so?.|f--3s-/en (+/B.am/. kenya/Cp.s/en parliament/Cc.s/en) (on/Br.ma/en (+/B.am/. emergency/Cc.s/en debate/Cc.s/en) icc/Cp.s/en) (pull/P!.o.-i-----/en out/Cc.s/en))</t>
  </si>
  <si>
    <t>Former Cuba Leader Fidel Castro Says 'Israel and US Fathered Isis</t>
  </si>
  <si>
    <t>(says/Pd.so.|f--3s-/en (+/B.am/. (former/Ma/en (+/B.am/. cuba/Cp.s/en leader/Cp.s/en)) (+/B.am/. fidel/Cp.s/en castro/Cp.s/en)) (and/J/en israel/Cp.s/en (+/B.am/. us/Cp.s/en (+/B.am/. fathered/Cp.s/en isis/Cp.s/en))))</t>
  </si>
  <si>
    <t>Ex Royal Marine with Handgun Saves 100 Survivors in Kenyan Mall Attack</t>
  </si>
  <si>
    <t>(saves/Pd.so.|f--3s-/en (with/Br.ma/en (+/B.am/. ex/Cp.s/en (+/B.am/. royal/Cp.s/en marine/Cp.s/en)) handgun/Cp.s/en) (in/Br.ma/en (100/M#/en survivors/Cc.p/en) (+/B.am/. kenyan/Cp.s/en (+/B.am/. mall/Cp.s/en attack/Cp.s/en))))</t>
  </si>
  <si>
    <t>fight</t>
  </si>
  <si>
    <t>Palestinians Fight Unlawful Deportation by Jillian Kestler-D'Amours</t>
  </si>
  <si>
    <t>(fight/Pd.so.|f-----/en palestinians/Cp.p/en (by/Br.ma/en (unlawful/Ma/en deportation/Cc.s/en) (+/B.am/. jillian/Cp.s/en (+/B.am/. kestler/Cp.s/en d'amours/Cp.s/en))))</t>
  </si>
  <si>
    <t>Indonesian president urges Myanmar to address Muslim violence</t>
  </si>
  <si>
    <t>(urges/Pd.sor.|f--3s-/en (indonesian/Ma/en president/Cc.s/en) myanmar/Cp.s/en ((to/Mi/en address/P.o.-i-----/en) (muslim/Ma/en violence/Cc.s/en)))</t>
  </si>
  <si>
    <t>inspire</t>
  </si>
  <si>
    <t>Sony breach may have inspired Russian election hacking</t>
  </si>
  <si>
    <t>((may/Mm/en (have/Mv.-i-----/en inspired/Pd.so.&lt;pf----/en)) (+/B.am/. sony/Cp.s/en breach/Cc.s/en) (+/B.am/. (russian/Ma/en election/Cc.s/en) hacking/Cc.s/en))</t>
  </si>
  <si>
    <t>The rebels demand the release of opposition supporters</t>
  </si>
  <si>
    <t>(demand/Pd.so.|f-----/en (the/Md/en rebels/Cc.p/en) (of/Br.ma/en (the/Md/en release/Cc.s/en) (+/B.am/. opposition/Cc.s/en supporters/Cc.p/en)))</t>
  </si>
  <si>
    <t>combine</t>
  </si>
  <si>
    <t>Organ research scientists combine human stem cells and pig DN</t>
  </si>
  <si>
    <t>(combine/Pd.so.|f-----/en (+/B.am/. organ/Cc.s/en (+/B.am/. research/Cc.s/en scientists/Cc.p/en)) (and/J/en (human/Ma/en (+/B.am/. stem/Cc.s/en cells/Cc.p/en)) (+/B.am/. pig/Cc.s/en dn/Cp.s/en)))</t>
  </si>
  <si>
    <t>know</t>
  </si>
  <si>
    <t>GlaxoSmithKline CEO: London HQ knew nothing of China scandal</t>
  </si>
  <si>
    <t>(knew/Pd.sso.&lt;f-----/en (+/B.am/. glaxosmithkline/Cp.s/en ceo/Cp.s/en) (+/B.am/. london/Cp.s/en hq/Cp.s/en) (of/Br.ma/en nothing/Cc.s/en (+/B.am/. china/Cp.s/en scandal/Cc.s/en)))</t>
  </si>
  <si>
    <t>N Korea urges UN to probe US anthrax shipment</t>
  </si>
  <si>
    <t>(urges/Pd.sor.|f--3s-/en (+/B.am/. n/Cp.s/en korea/Cp.s/en) un/Cp.s/en ((to/Mi/en probe/P.o.-i-----/en) (+/B.am/. us/Cp.s/en (+/B.am/. anthrax/Cc.s/en shipment/Cc.s/en))))</t>
  </si>
  <si>
    <t>probe</t>
  </si>
  <si>
    <t>U.N. probes allegations of rebel atrocities in Syria</t>
  </si>
  <si>
    <t>(probes/Pd.so.|f--3s-/en u%2en%2e/Cp.s/en (of/Br.ma/en allegations/Cc.p/en (in/Br.ma/en (rebel/Ma/en atrocities/Cc.p/en) syria/Cp.s/en)))</t>
  </si>
  <si>
    <t>ISIS Militants Killed Up To 770 Captured Iraqi Soldiers: Human Rights Watch</t>
  </si>
  <si>
    <t>((up/Ml/en killed/Pd.so.&lt;f-----/en) (+/B.am/. isis/Cp.s/en militants/Cc.p/en) (+/B.mm/. ((to/Mi/en 770/M#/en) (captured/Mv.&lt;pf----/en (iraqi/Ma/en soldiers/Cc.p/en))) (+/B.am/. (+/B.am/. human/Cp.s/en rights/Cp.p/en) watch/Cp.s/en)))</t>
  </si>
  <si>
    <t>wound</t>
  </si>
  <si>
    <t>Macedonia: Explosion in city of Tetovo wounds 5 Roma children</t>
  </si>
  <si>
    <t>(wounds/Pd.?so.|f--3s-/en macedonia/Cp.s/en (in/Br.ma/en explosion/Cc.s/en (of/Br.ma/en city/Cc.s/en tetovo/Cp.s/en)) (5/M#/en (+/B.am/. roma/Cp.s/en children/Cc.p/en)))</t>
  </si>
  <si>
    <t>attack</t>
  </si>
  <si>
    <t>Pussy Riot members attack bandmates for appearing at Amnesty concert</t>
  </si>
  <si>
    <t>(attack/Pd.sox.|f-----/en (pussy/Ma/en (+/B.am/. riot/Cc.s/en members/Cc.p/en)) bandmates/Cc.p/en (for/T/en (appearing/P.x.|pg----/en (at/T/en (+/B.am/. amnesty/Cp.s/en concert/Cc.s/en)))))</t>
  </si>
  <si>
    <t>cheer</t>
  </si>
  <si>
    <t>Athens cheers German president’s stance on WWII reparations to Greece</t>
  </si>
  <si>
    <t>(cheers/Pd.so.|f--3s-/en athens/Cp.s/en (on/Br.ma/en (’s/Bp.am/en (german/Ma/en president/Cc.s/en) stance/Cc.s/en) (to/Br.ma/en (+/B.am/. wwii/Cp.s/en reparations/Cc.p/en) greece/Cp.s/en)))</t>
  </si>
  <si>
    <t>World Wide Web inventor slams Internet fast lanes: ‘It’s bribery</t>
  </si>
  <si>
    <t>(slams/Pd.sor.|f--3s-/en (+/B.am/. world/Cp.s/en (+/B.am/. wide/Cp.s/en (+/B.am/. web/Cc.s/en inventor/Cc.s/en))) (+/B.am/. internet/Cm/en (fast/Ma/en lanes/Cc.p/en)) (’s/P.sc.|f--3s-/en it/Ci/en bribery/Cc.s/en))</t>
  </si>
  <si>
    <t>An independent investigation found a deliberate massacre</t>
  </si>
  <si>
    <t>(found/Pd.so.&lt;f-----/en (an/Md/en (independent/Ma/en investigation/Cc.s/en)) (a/Md/en (deliberate/Ma/en massacre/Cc.s/en)))</t>
  </si>
  <si>
    <t>Ex-Guantanamo Detainee 'Had Role' in Benghazi Attack</t>
  </si>
  <si>
    <t>(had/Pd.so.&lt;f-----/en (+/B.am/. ex/Cc.p/en (-/Ma/en (guantanamo/Ma/en detainee/Cc.s/en))) (in/Br.ma/en role/Cc.s/en (+/B.am/. benghazi/Cp.s/en attack/Cp.s/en)))</t>
  </si>
  <si>
    <t>endanger</t>
  </si>
  <si>
    <t>Nuclear deal with Iran ‘endangers the world</t>
  </si>
  <si>
    <t>(endangers/Pd.so.|f--3s-/en (with/Br.ma/en (nuclear/Ma/en deal/Cc.s/en) iran/Cp.s/en) (the/Md/en world/Cc.s/en))</t>
  </si>
  <si>
    <t>Iran claims new generation of 15-times-faster centrifuges</t>
  </si>
  <si>
    <t>(claims/Pd.so.|f--3s-/en iran/Cp.s/en (of/Br.ma/en (new/Ma/en generation/Cc.s/en) (((15/M#/en times/M/en) faster/Mc/en) centrifuges/Cc.p/en)))</t>
  </si>
  <si>
    <t>Prostitutes join battle for women's rights in Tunisia</t>
  </si>
  <si>
    <t>(join/Pd.so.|f-----/en prostitutes/Cc.p/en (for/Br.ma/en battle/Cc.s/en (in/Br.ma/en ('s/Bp.am/en women/Cc.p/en rights/Cc.p/en) tunisia/Cp.s/en)))</t>
  </si>
  <si>
    <t>I.M.F. Makes China’s Renminbi One of World’s Select Currencies</t>
  </si>
  <si>
    <t>(makes/Pd.so.|f--3s-/en i%2em%2ef%2e/Cp.s/en (of/Br.ma/en (’s/Bp.am/en china/Cp.s/en (+/B.am/. renminbi/Cp.s/en one/Cp.s/en)) (’s/Bp.am/en world/Cp.s/en (+/B.am/. select/Cp.s/en currencies/Cc.p/en))))</t>
  </si>
  <si>
    <t>ring</t>
  </si>
  <si>
    <t>Gains by the Shi'ite Houthi rebel movement in Yemen are ringing alarm bells in Saudi Arabia, concerned for what it means for its vulnerable southern border, already the conduit for a constant flow of illicit activity</t>
  </si>
  <si>
    <t>((are/Mv.|f-----/en ringing/Pd.so.|pg----/en) (by/Br.ma/en gains/Cc.p/en (in/Br.ma/en (the/Md/en (+/B.am/. (+/B.am/. shi'ite/Cp.s/en houthi/Cp.s/en) (+/B.am/. rebel/Cc.s/en movement/Cc.s/en))) yemen/Cp.s/en)) (+/B.mm/. (,/J/en (in/Br.ma/en (+/B.am/. alarm/Cc.s/en bells/Cc.p/en) (+/B.am/. saudi/Cp.s/en arabia/Cp.s/en)) (concerned/P.x.&lt;pf----/en (for/T/en (means/P.osx.|f--3s-/en what/Cw/en it/Ci/en (for/T/en (its/Mp/en (vulnerable/Ma/en (southern/Ma/en border/Cc.s/en)))))))) (for/Br.ma/en (already/M/en (the/Md/en conduit/Cc.s/en)) (of/Br.ma/en (a/Md/en (constant/Ma/en flow/Cc.s/en)) (illicit/Ma/en activity/Cc.s/en)))))</t>
  </si>
  <si>
    <t>Afghanistan: Taliban attack on district headquarter in southern Uruzgan province kills 7</t>
  </si>
  <si>
    <t>(kills/Pd.sso.|f--3s-/en afghanistan/Cp.s/en (in/Br.ma/en (on/Br.ma/en (+/B.am/. taliban/Cp.s/en attack/Cc.s/en) (+/B.am/. district/Cc.s/en headquarter/Cc.s/en)) (southern/Ma/en (+/B.am/. uruzgan/Cp.s/en province/Cc.s/en))) 7/C#/en)</t>
  </si>
  <si>
    <t>Satellite Images Reveal N Korea Could Launch Nuclear Test in Weeks</t>
  </si>
  <si>
    <t>(reveal/Pd.sor.-i-----/en (+/B.am/. satellite/Cp.s/en images/Cp.p/en) (+/B.am/. n/Cp.s/en korea/Cp.s/en) ((could/Mm/en launch/P.ox.-i-----/en) (+/B.am/. nuclear/Ca/en test/Cp.s/en) (in/Tt/en weeks/Cp.p/en)))</t>
  </si>
  <si>
    <t>smash</t>
  </si>
  <si>
    <t>Malaria smashes a record of 82,702 events in Venezuela: A 55% hike over the same term last year</t>
  </si>
  <si>
    <t>(smashes/Pd.so.|f--3s-/en malaria/Cp.s/en (+/B.mm/. (of/Br.ma/en (a/Md/en record/Cc.s/en) (in/Br.ma/en (82,702/M#/en events/Cc.p/en) venezuela/Cp.s/en)) (+/B.ma/. (over/Br.ma/en (a/Md/en (+/B.am/. (55/M#/en %25/Cc.s/en) hike/Cc.s/en)) (the/Md/en (same/Ma/en term/Cc.s/en))) (last/Ma/en year/Cc.s/en))))</t>
  </si>
  <si>
    <t>An enormous leak of financial records shows thousands of holders immense secret wealth who have stashed it in offshore tax havens</t>
  </si>
  <si>
    <t>(shows/Pd.so.|f--3s-/en (of/Br.ma/en (an/Md/en (enormous/Ma/en leak/Cc.s/en)) (financial/Ma/en records/Cc.p/en)) (of/Br.ma/en thousands/Cc.p/en (+/B.mm/. holders/Cc.p/en (of/Jr.ma/en (immense/Ma/en (secret/Ma/en wealth/Cc.s/en)) ((have/Mv.|f-----/en stashed/P.sox.&lt;pf----/en) who/Cw/en it/Ci/en (in/T/en (offshore/Ma/en (+/B.am/. tax/Cc.s/en havens/Cc.p/en))))))))</t>
  </si>
  <si>
    <t>Pro-Russian rebel leader in east Ukraine unveils plan for new state</t>
  </si>
  <si>
    <t>(unveils/Pd.so.|f--3s-/en (in/Br.ma/en (pro/Ma/en (-/Ma/en (russian/Ma/en (rebel/Ma/en leader/Cc.s/en)))) (+/B.am/. east/Cp.s/en ukraine/Cp.s/en)) (for/Br.ma/en plan/Cc.s/en (new/Ma/en state/Cc.s/en)))</t>
  </si>
  <si>
    <t>Sale of rare Stradivari viola could set world auction record</t>
  </si>
  <si>
    <t>((could/Mm/en set/Pd.so.-i-----/en) (of/Br.ma/en sale/Cc.s/en (rare/Ma/en (+/B.am/. stradivari/Cp.s/en viola/Cc.s/en))) (+/B.am/. world/Cc.s/en (+/B.am/. auction/Cc.s/en record/Cc.s/en)))</t>
  </si>
  <si>
    <t>Morocco suspends Libya flights, closes airspace to Libyan planes</t>
  </si>
  <si>
    <t>(suspends/Pd.so?.|f--3s-/en morocco/Cp.s/en (+/B.am/. libya/Cp.s/en flights/Cc.p/en) (closes/Pd.o.|f--3s-/en (to/Br.ma/en airspace/Cc.s/en (libyan/Ma/en planes/Cc.p/en))))</t>
  </si>
  <si>
    <t>step</t>
  </si>
  <si>
    <t>Mexico's Zapatista rebel leader Subcomandante Marcos steps down</t>
  </si>
  <si>
    <t>(steps/Pd.so.|f--3s-/en (+/B.am/. ('s/Bp.am/en mexico/Cp.s/en (zapatista/Ma/en (+/B.am/. rebel/Cc.s/en leader/Cc.s/en))) (+/B.am/. subcomandante/Cp.s/en marcos/Cp.s/en)) down/C/en)</t>
  </si>
  <si>
    <t>mark</t>
  </si>
  <si>
    <t>Today marks the 70th anniversary of Hiroshima atomic bombing</t>
  </si>
  <si>
    <t>(marks/Pd.so.|f--3s-/en today/Cc.s/en (of/Br.ma/en (the/Md/en (70th/Ma/en anniversary/Cc.s/en)) (+/B.am/. hiroshima/Cm/en (atomic/Ma/en bombing/Cc.s/en))))</t>
  </si>
  <si>
    <t>retake</t>
  </si>
  <si>
    <t>Iraqi army retakes Anbar University in ISIL-occupied Ramadi</t>
  </si>
  <si>
    <t>(retakes/Pd.so.|f--3s-/en (iraqi/Ma/en army/Cc.s/en) (in/Br.ma/en (+/B.am/. anbar/Cp.s/en university/Cp.s/en) ((isil/Ma/en occupied/Mv.&lt;pf----/en) ramadi/Cp.s/en)))</t>
  </si>
  <si>
    <t>Mainstream parties have so far rejected any cooperation with the SD, a party that has historic roots that go back to Sweden's neo-Nazi movement</t>
  </si>
  <si>
    <t>((have/Mv.|f-----/en ((so/M/en far/M/en) rejected/Pd.so.&lt;pf----/en)) (+/B.am/. mainstream/Cc.s/en parties/Cc.p/en) (any/Md/en (+/B.mm/. cooperation/Cc.s/en (with/Jr.ma/en (+/B.mm/. (the/Md/en sd/Cp.s/en) (a/Md/en party/Cc.s/en)) (has/P.so.|f--3s-/en that/C/en ((historic/Ma/en +/J.mm/.) roots/Cc.p/en ((back/M/en to/Jr.ma/en) (go/P.s.|f-----/en that/C/en) ('s/Bp.am/en sweden/Cp.s/en (neo/Ma/en (-/Ma/en (nazi/Ma/en movement/Cc.s/en)))))))))))</t>
  </si>
  <si>
    <t>China to hold digital war games</t>
  </si>
  <si>
    <t>((to/Mi/en hold/Pd.so.-i-----/en) china/Cp.s/en (digital/Ma/en (+/B.am/. war/Cc.s/en games/Cc.p/en)))</t>
  </si>
  <si>
    <t>attract</t>
  </si>
  <si>
    <t>Enduring Taliban Rockets Attract SpiceJet</t>
  </si>
  <si>
    <t>(attract/Pd.so.|f-----/en (enduring/Mv.|pg----/en (+/B.am/. taliban/Cp.s/en rockets/Cc.p/en)) spicejet/Cp.s/en)</t>
  </si>
  <si>
    <t>Pakistan will win this war, Nawaz tells Obama</t>
  </si>
  <si>
    <t>(tells/Pd.rso.|f--3s-/en ((will/Mm/en win/P.so.-i-----/en) pakistan/Cp.s/en (this/Md/en war/Cc.s/en)) nawaz/Cp.s/en obama/Cp.s/en)</t>
  </si>
  <si>
    <t>Saudi warns citizens against sharing 'faked' documents after Wikileaks release</t>
  </si>
  <si>
    <t>(warns/Pd.soxx.|f--3s-/en saudi/Cp.s/en citizens/Cc.p/en (against/T/en (sharing/P.o.|pg----/en (faked/Mv.&lt;pf----/en documents/Cc.p/en))) (after/T/en (release/Pd.s.|f-----/en wikileaks/Cp.s/en)))</t>
  </si>
  <si>
    <t>offer</t>
  </si>
  <si>
    <t>Audi offers diesel emissions upgrade for 850,000 cars</t>
  </si>
  <si>
    <t>(offers/Pd.so.|f--3s-/en audi/Cc.s/en (for/Br.ma/en (+/B.mm/. (+/B.am/. diesel/Cc.s/en emissions/Cc.p/en) upgrade/C/en) (850,000/M#/en cars/Cc.p/en)))</t>
  </si>
  <si>
    <t>mull</t>
  </si>
  <si>
    <t>Germany mulls tighter child marriage laws</t>
  </si>
  <si>
    <t>(mulls/Pd.so.|f--3s-/en germany/Cp.s/en (tighter/Mc/en (+/B.am/. (+/B.am/. child/Cc.s/en marriage/Cc.s/en) laws/Cc.p/en)))</t>
  </si>
  <si>
    <t>China opens panda-shaped solar power plant</t>
  </si>
  <si>
    <t>(opens/Pd.so.|f--3s-/en china/Cp.s/en ((panda/M/en shaped/Mv.&lt;pf----/en) (+/B.am/. (solar/Ma/en power/Cc.s/en) plant/Cc.s/en)))</t>
  </si>
  <si>
    <t>Columbian army kills 18 Farc rebels</t>
  </si>
  <si>
    <t>(kills/Pd.so.|f--3s-/en (columbian/Ma/en army/Cc.s/en) (18/M#/en (+/B.am/. farc/Cp.s/en rebels/Cc.p/en)))</t>
  </si>
  <si>
    <t>put</t>
  </si>
  <si>
    <t>Russia puts Ukraine's interior minister, Dnepropetrovsk governor on international wanted list</t>
  </si>
  <si>
    <t>(puts/Pd.so.|f--3s-/en russia/Cp.s/en (+/B.mm/. ('s/Bp.am/en ukraine/Cp.s/en (interior/Ma/en minister/Cc.s/en)) (on/Br.ma/en (+/B.am/. dnepropetrovsk/Cp.s/en governor/Cc.s/en) (international/Ma/en (wanted/Ma/en list/Cc.s/en)))))</t>
  </si>
  <si>
    <t>Sun sets over epic Solar Impulse journey</t>
  </si>
  <si>
    <t>((over/Ml/en sets/Pd.so.|f--3s-/en) sun/Cp.s/en (epic/Ma/en (+/B.am/. (+/B.am/. solar/Cp.s/en impulse/Cp.s/en) journey/Cc.s/en)))</t>
  </si>
  <si>
    <t>tout</t>
  </si>
  <si>
    <t>Government touts backroom deals to block extremist websites</t>
  </si>
  <si>
    <t>(touts/Pd.sor.|f--3s-/en government/Cc.s/en (+/B.am/. backroom/Cc.s/en deals/Cc.p/en) ((to/Mi/en block/P.o.-i-----/en) (extremist/Ma/en websites/Cc.p/en)))</t>
  </si>
  <si>
    <t>A prolonged drought in Brazil has already claimed about half of Jose Francisco Pereira’s coffee crop</t>
  </si>
  <si>
    <t>((has/Mv.|f--3s-/en (already/M/en claimed/Pd.so.&lt;pf----/en)) (in/Br.ma/en (a/Md/en (prolonged/Ma/en drought/Cc.s/en)) brazil/Cp.s/en) (of/Br.ma/en (about/M/en half/Cc.s/en) (’s/Bp.am/en (+/B.am/. jose/Cp.s/en (+/B.am/. francisco/Cp.s/en pereira/Cp.s/en)) (+/B.am/. coffee/Cc.s/en crop/Cc.s/en))))</t>
  </si>
  <si>
    <t>Russia offers India crude oil supplies, stakes in blocks the Barents Sea (Arctic Ocean</t>
  </si>
  <si>
    <t>(offers/Pd.sio.|f--3s-/en russia/Cp.s/en india/Cp.s/en (+/B.mm/. (+/B.am/. (crude/Ma/en oil/Cc.s/en) supplies/Cc.p/en) (in/Br.ma/en stakes/Cc.p/en (in/Br.ma/en blocks/Cc.p/en (+/B.mm/. (the/Md/en (+/B.am/. barents/Cp.s/en sea/Cp.s/en)) (+/B.am/. arctic/Cp.s/en ocean/Cp.s/en))))))</t>
  </si>
  <si>
    <t>massacre</t>
  </si>
  <si>
    <t>ISIS has massacred 175 of the 300 cement workers in Syria</t>
  </si>
  <si>
    <t>((has/Mv.|f--3s-/en massacred/Pd.so.&lt;pf----/en) isis/Cp.s/en (of/Br.ma/en 175/C#/en (in/Br.ma/en (the/Md/en (300/M#/en (+/B.am/. cement/Cc.s/en workers/Cc.p/en))) syria/Cp.s/en)))</t>
  </si>
  <si>
    <t>​North Korea offers US joint investigation of Sony cyberattack</t>
  </si>
  <si>
    <t>(offers/Pd.?so.|f--3s-/en ​north/Cp.s/en korea/Cp.s/en (of/Br.ma/en (+/B.am/. us/Cm/en (joint/Ma/en investigation/Cc.s/en)) (+/B.am/. sony/Cp.s/en cyberattack/Cc.s/en)))</t>
  </si>
  <si>
    <t>Speed limit rise for motorways hits the brakes</t>
  </si>
  <si>
    <t>(hits/Pd.so.|f--3s-/en (for/Br.ma/en (+/B.am/. (+/B.am/. speed/Cc.s/en limit/Cc.s/en) rise/Cc.s/en) motorways/Cc.p/en) (the/Md/en brakes/Cc.p/en))</t>
  </si>
  <si>
    <t>Obama: "US has a deep interest" in making sure the UK remains a strong, robust, UNITED and effective partner</t>
  </si>
  <si>
    <t>(has/Pd.?so.|f--3s-/en obama/Cp.s/en us/Cp.s/en (in/Jr.ma/en (a/Md/en (deep/Ma/en interest/Cc.s/en)) (making/P.rr.|pg----/en sure/Ca/en (remains/P.sc.|f--3s-/en (the/Md/en uk/Cp.s/en) (a/Md/en (strong/Ma/en (+/B.am/. ((robust/Ma/en and/J/en) united/Cp.s/en effective/Ca/en) partner/Cc.s/en)))))))</t>
  </si>
  <si>
    <t>defy</t>
  </si>
  <si>
    <t>Egyptian protesters defy curfew, attack police stations</t>
  </si>
  <si>
    <t>(defy/Pd.soo.|f-----/en (egyptian/Ma/en protesters/Cc.p/en) curfew/Cc.s/en (+/B.am/. attack/Cc.s/en (+/B.am/. police/Cc.s/en stations/Cc.p/en)))</t>
  </si>
  <si>
    <t>Senior Kosovo figures face prosecution for crimes against humanity: "Leading political figures in Kosovo face indictment by a special EU court for crimes against humanity , including killings, abductions, sexual violence and other abuses of Serb and Roma minorities</t>
  </si>
  <si>
    <t>(face/Pd.soo.|f-----/en (senior/Ma/en (+/B.am/. kosovo/Cp.s/en figures/Cc.p/en)) (for/Br.ma/en prosecution/Cc.s/en (against/Br.ma/en crimes/Cc.p/en humanity/Cc.s/en)) (by/Br.ma/en (+/B.am/. (+/B.mm/. (in/Br.ma/en (leading/Mv.|pg----/en (political/Ma/en figures/Cc.p/en)) kosovo/Cp.s/en) face/C/en) indictment/Cc.s/en) (for/Br.ma/en (a/Md/en (special/Ma/en (+/B.am/. eu/Cp.s/en court/Cc.s/en))) (,/J/en (against/Br.ma/en crimes/Cc.p/en humanity/Cc.s/en) (+/B.mm/. including/C/en (,/J/en killings/Cc.p/en (,/J/en abductions/Cc.p/en (and/J/en (sexual/Ma/en violence/Cc.s/en) (of/Br.ma/en (other/Ma/en abuses/Cc.p/en) (+/B.am/. ((serb/Ma/en and/Mj/en) roma/Cp.s/en) minorities/Cc.p/en))))))))))</t>
  </si>
  <si>
    <t>Kim Jong-un Wants Better Relations With South Korea</t>
  </si>
  <si>
    <t>(wants/Pd.so.|f--3s-/en (+/B.am/. kim/Cp.s/en (+/B.am/. jong/Cp.s/en un/Cp.s/en)) (with/Br.ma/en (+/B.am/. better/Cp.s/en relations/Cp.p/en) (+/B.am/. south/Cp.s/en korea/Cp.s/en)))</t>
  </si>
  <si>
    <t>Queen backs human rights in Commonwealth Day message</t>
  </si>
  <si>
    <t>(backs/Pd.so.|f--3s-/en queen/Cc.s/en (in/Br.ma/en (human/Ma/en rights/Cc.p/en) (+/B.am/. (+/B.am/. commonwealth/Cp.s/en day/Cp.s/en) message/Cc.s/en)))</t>
  </si>
  <si>
    <t>resolve</t>
  </si>
  <si>
    <t>EU, China resolve solar dispute</t>
  </si>
  <si>
    <t>(resolve/Pd.?so.|f-----/en eu/Cp.s/en china/Cp.s/en (solar/Ma/en dispute/Cc.s/en))</t>
  </si>
  <si>
    <t>The government has ordered a taskforce to take over parts of Kensington and Chelsea Council in the aftermath of the Grenfell Tower fire</t>
  </si>
  <si>
    <t>((has/Mv.|f--3s-/en ordered/Pd.sor.&lt;pf----/en) (the/Md/en government/Cc.s/en) (a/Md/en taskforce/Cc.s/en) ((over/Ml/en (to/Mi/en take/P.ox.-i-----/en)) (of/Br.ma/en parts/Cc.p/en (and/J/en kensington/Cp.s/en (+/B.am/. chelsea/Cp.s/en council/Cp.s/en))) (in/T/en (of/Br.ma/en (the/Md/en aftermath/Cc.s/en) (the/Md/en (+/B.am/. (+/B.am/. grenfell/Cp.s/en tower/Cp.s/en) fire/Cc.s/en))))))</t>
  </si>
  <si>
    <t>cost</t>
  </si>
  <si>
    <t>Iran's Nuclear Program May Have Cost the Country $500 Billion or More</t>
  </si>
  <si>
    <t>((may/Mm/en (have/Mv.-i-----/en cost/Pd.sio.-i-----/en)) ('s/Bp.am/en iran/Cp.s/en (+/B.am/. nuclear/Cp.s/en program/Cp.s/en)) (the/Md/en country/Cp.s/en) (or/J/en ($/M/en (500/M#/en billion/C#/en)) more/Ca/en))</t>
  </si>
  <si>
    <t>ISIS backers claim responsibility for Paris-style terror attack in Jakarta</t>
  </si>
  <si>
    <t>(claim/Pd.so.|f-----/en (+/B.am/. isis/Cp.s/en backers/Cc.p/en) (for/Br.ma/en responsibility/Cc.s/en (in/Br.ma/en (+/B.am/. (+/B.am/. paris/Cp.s/en style/Cc.s/en) (+/B.am/. terror/Cc.s/en attack/Cc.s/en)) jakarta/Cp.s/en)))</t>
  </si>
  <si>
    <t>examine</t>
  </si>
  <si>
    <t>Giovanni di Lorenzo, Editor Chief of the german newspaper "Die Zeit" votes multiple times in MEP Elections 2014: Federal Returning Officer to examine "Dual Citizenship &lt;-&gt; Dual Vote"-Case</t>
  </si>
  <si>
    <t>((to/Mi/en examine/Pd.so.-i-----/en) (+/B.mm/. (+/B.mm/. (in/Br.ma/en (+/B.mm/. (+/B.am/. giovanni/Cp.s/en (+/B.am/. di/Cp.s/en lorenzo/Cp.s/en)) (in/Br.ma/en editor/Cp.s/en (of/Br.ma/en chief/Cp.s/en (+/B.am/. (the/Md/en (german/Ma/en newspaper/Cm/en)) (+/B.am/. (+/B.aa/. die/C/en zeit/Cm/en) votes/Cc.p/en))))) (multiple/Ma/en times/Cc.p/en)) (2014/M#/en (+/B.am/. mep/Cp.s/en elections/Cp.s/en))) (+/B.am/. federal/Cp.s/en (+/B.am/. returning/Cp.s/en officer/Cp.s/en))) (+/B.am/. dual/Cp.s/en (+/B.am/. citizenship/Cc.s/en (+/B.am/. &lt;/Cm/en (+/B.am/. &gt;/C/en (+/B.am/. dual/Cp.s/en vote"-case/Cp.s/en))))))</t>
  </si>
  <si>
    <t>Ukraine Summit Produces Draft Peace Agreement</t>
  </si>
  <si>
    <t>(produces/Pd.so.|f--3s-/en (+/B.am/. ukraine/Cp.s/en summit/Cp.s/en) (+/B.am/. draft/Cp.s/en (+/B.am/. peace/Cp.s/en agreement/Cp.s/en)))</t>
  </si>
  <si>
    <t>Amazon warriors fight off loggers</t>
  </si>
  <si>
    <t>((off/Ml/en fight/Pd.so.|f-----/en) (+/B.am/. amazon/Cp.s/en warriors/Cc.p/en) loggers/Cc.p/en)</t>
  </si>
  <si>
    <t>pledge</t>
  </si>
  <si>
    <t>Trump administration pledges 'great strictness' on Iran nuclear deal</t>
  </si>
  <si>
    <t>(pledges/Pd.sio.|f--3s-/en (+/B.am/. trump/Cp.s/en administration/Cc.s/en) '/C/en (on/Br.ma/en (great/Ma/en strictness/Cc.s/en) (+/B.am/. iran/Cm/en (nuclear/Ma/en deal/Cc.s/en))))</t>
  </si>
  <si>
    <t>Nigerian militants 'seize police academy</t>
  </si>
  <si>
    <t>(seize/Pd.so.|f-----/en (nigerian/Ma/en militants/Cc.p/en) (+/B.am/. police/Cp.s/en academy/Cc.s/en))</t>
  </si>
  <si>
    <t>IAEA signs cooperation deal with Tehran</t>
  </si>
  <si>
    <t>(signs/Pd.so.|f--3s-/en iaea/Cp.s/en (with/Br.ma/en (+/B.am/. cooperation/Cc.s/en deal/Cc.s/en) tehran/Cp.s/en))</t>
  </si>
  <si>
    <t>rack</t>
  </si>
  <si>
    <t>Japan racks up record deficit; lowers growth estimate</t>
  </si>
  <si>
    <t>((up/Ml/en racks/Pd.so?.|f--3s-/en) japan/Cp.s/en (+/B.am/. record/Cc.s/en deficit/Cc.s/en) (lowers/Pd.o.|f--3s-/en (+/B.am/. growth/Cc.s/en estimate/Cc.s/en)))</t>
  </si>
  <si>
    <t>cause</t>
  </si>
  <si>
    <t>Hack causes 'damage' at steel works</t>
  </si>
  <si>
    <t>(causes/Pd.so.|f--3s-/en hack/Cc.s/en (at/Br.ma/en damage/Cc.s/en (+/B.am/. steel/Cc.s/en works/Cc.p/en)))</t>
  </si>
  <si>
    <t>Teen, mother lose challenge against UK abortion ruling</t>
  </si>
  <si>
    <t>(lose/Pd.sso.|f-----/en teen/Cc.s/en mother/Cc.s/en (against/Br.ma/en challenge/Cc.s/en (+/B.am/. uk/Cp.s/en (+/B.am/. abortion/Cc.s/en ruling/Cc.s/en))))</t>
  </si>
  <si>
    <t>create</t>
  </si>
  <si>
    <t>Flushed chemicals create transgenic fish</t>
  </si>
  <si>
    <t>(create/Pd.so.|f-----/en (flushed/Ma/en chemicals/Cc.p/en) (transgenic/Ma/en fish/Cc.s/en))</t>
  </si>
  <si>
    <t>keep</t>
  </si>
  <si>
    <t>Japan Keeps Killing Whales, Too</t>
  </si>
  <si>
    <t>((too/M/en keeps/Pd.so.|f--3s-/en) japan/Cp.s/en (+/B.am/. killing/Cp.s/en whales/Cp.p/en))</t>
  </si>
  <si>
    <t>I did not kidnap my daughter</t>
  </si>
  <si>
    <t>((did/Mv.&lt;f-----/en (not/Mn/en kidnap/Pd.so.-i-----/en)) i/Ci/en (my/Mp/en daughter/Cc.s/en))</t>
  </si>
  <si>
    <t>retain</t>
  </si>
  <si>
    <t>Defected Syrian general: Assad retains hundreds of tons chemical weapons</t>
  </si>
  <si>
    <t>(retains/Pd.rso.|f--3s-/en (defected/Ma/en (syrian/Ma/en general/Cc.s/en)) assad/Cp.s/en (of/Br.ma/en hundreds/Cc.p/en (of/Br.ma/en tons/Cc.p/en (chemical/Ma/en weapons/Cc.p/en))))</t>
  </si>
  <si>
    <t>Zhou Yongkang, Former Security Chief in China, Gets Life Sentence for Corruption</t>
  </si>
  <si>
    <t>(gets/Pd.so.|f--3s-/en (+/B.mm/. (+/B.am/. zhou/Cp.s/en yongkang/Cp.s/en) (in/Br.ma/en (former/Ma/en (+/B.am/. security/Cp.s/en chief/Cp.s/en)) china/Cp.s/en)) (for/Br.ma/en (+/B.am/. life/Cp.s/en sentence/Cp.s/en) corruption/Cc.s/en))</t>
  </si>
  <si>
    <t>Wartime economic crisis threatens education of millions Yemeni children</t>
  </si>
  <si>
    <t>(threatens/Pd.so.|f--3s-/en (wartime/Ma/en (economic/Ma/en crisis/Cc.s/en)) (of/Br.ma/en education/Cc.s/en (of/Br.ma/en millions/Cc.p/en (yemeni/Ma/en children/Cc.p/en))))</t>
  </si>
  <si>
    <t>Founder of Microsoft and the Gates foundation also accuses environmentalists of of making misleading claims about the comparative price solar</t>
  </si>
  <si>
    <t>((also/M/en accuses/Pd.so.|f--3s-/en) (and/J/en (of/Br.ma/en founder/Cc.s/en microsoft/Cp.s/en) (the/Md/en (+/B.am/. gates/Cp.s/en foundation/Cc.s/en))) (of/Jr.ma/en environmentalists/Cc.p/en (making/P.x.|pg----/en (about/Br.ma/en (misleading/Ma/en claims/Cc.p/en) (of/Br.ma/en (the/Md/en (comparative/Ma/en price/Cc.s/en)) solar/Cc.s/en)))))</t>
  </si>
  <si>
    <t>monitor</t>
  </si>
  <si>
    <t>GCHQ monitored own staff excessively</t>
  </si>
  <si>
    <t>((excessively/M/en monitored/Pd.so.&lt;f-----/en) gchq/Cp.s/en (own/Ma/en staff/Cc.s/en))</t>
  </si>
  <si>
    <t>request</t>
  </si>
  <si>
    <t>Putin requests Federation Council to authorize sending Russian troops abroad</t>
  </si>
  <si>
    <t>(requests/Pd.sor.|f--3s-/en putin/Cp.s/en (+/B.am/. federation/Cp.s/en council/Cp.s/en) ((to/Mi/en authorize/P.r.-i-----/en) ((abroad/M/en sending/P.o.|pg----/en) (russian/Ma/en troops/Cc.p/en))))</t>
  </si>
  <si>
    <t>declare</t>
  </si>
  <si>
    <t>Church of England Declares War on Loan Sharks</t>
  </si>
  <si>
    <t>(declares/Pd.so.|f--3s-/en (of/Br.ma/en church/Cp.s/en england/Cp.s/en) (on/Br.ma/en war/Cp.s/en (+/B.am/. loan/Cp.s/en sharks/Cp.p/en)))</t>
  </si>
  <si>
    <t>Palestinians Cheer Death of Sharon, a Bitter Foe</t>
  </si>
  <si>
    <t>(cheer/Pd.so.|f-----/en palestinians/Cp.p/en (of/Br.ma/en death/Cc.s/en (+/B.mm/. sharon/Cp.s/en (a/Md/en (+/B.am/. bitter/Cp.s/en foe/Cp.s/en)))))</t>
  </si>
  <si>
    <t>Climate scientists are urging Australian authorities</t>
  </si>
  <si>
    <t>((are/Mv.|f-----/en urging/Pd.so.|pg----/en) (+/B.am/. climate/Cc.s/en scientists/Cc.p/en) (australian/Ma/en authorities/Cc.p/en))</t>
  </si>
  <si>
    <t>Malaysia releases new satellite data, Malaysia 's civil aviation authority raw satellite logs to public following calls from relatives of those on board</t>
  </si>
  <si>
    <t>(releases/Pd.so?.|f--3s-/en malaysia/Cp.s/en (new/Ma/en (+/B.am/. satellite/Cc.s/en data/Cc.p/en)) (releases/Pd.soxo.|f--3s-/en ('s/Bp.am/en malaysia/Cp.s/en (+/B.am/. (civil/Ma/en aviation/Cc.s/en) authority/Cc.s/en)) (raw/Ma/en (+/B.am/. satellite/Cc.s/en logs/Cc.p/en)) (to/T/en public/Ca/en) (from/Br.ma/en (following/Mv.|pg----/en calls/Cc.p/en) (of/Br.ma/en relatives/Cc.p/en (on/Br.ma/en those/Cd/en board/Cc.s/en)))))</t>
  </si>
  <si>
    <t>Syria opposition threatens withdrawal from Geneva talks</t>
  </si>
  <si>
    <t>(threatens/Pd.soo.|f--3s-/en (+/B.am/. syria/Cp.s/en opposition/Cc.s/en) (from/Br.ma/en withdrawal/Cc.s/en geneva/Cp.s/en) talks/C/en)</t>
  </si>
  <si>
    <t>US files charges against Russian programmer suspected of cyber attacks during elections</t>
  </si>
  <si>
    <t>(files/Pd.so.|f--3s-/en us/Cp.s/en (+/B.mm/. charges/Cc.p/en (against/Jr.ma/en (russian/Ma/en programmer/Cc.s/en) (suspected/P.xx.&lt;pf----/en (of/T/en (cyber/Ma/en attacks/Cc.p/en)) (during/T/en elections/Cc.p/en)))))</t>
  </si>
  <si>
    <t>Hard Brexit' could cost 66 billion pounds a year</t>
  </si>
  <si>
    <t>((could/Mm/en cost/Pd.so.-i-----/en) (+/B.am/. hard/Ca/en brexit/Cc.s/en) ((66/M#/en billion/M#/en) (+/B.ma/. pounds/Cc.p/en (a/Md/en year/Cc.s/en))))</t>
  </si>
  <si>
    <t>Iran unveils latest home-made drone, Ababil 3</t>
  </si>
  <si>
    <t>(unveils/Pd.so.|f--3s-/en iran/Cp.s/en (+/B.mm/. (latest/Ms/en ((home/M/en made/Mv.&lt;pf----/en) drone/Cc.s/en)) (+/B.ma/. ababil/Cp.s/en 3/C#/en)))</t>
  </si>
  <si>
    <t>instruct</t>
  </si>
  <si>
    <t>Zurich communal authorities have instructed city police to stop releasing the nationality of criminals to the media to avoid stigmatization</t>
  </si>
  <si>
    <t>((have/Mv.|f-----/en instructed/Pd.sor.&lt;pf----/en) (+/B.am/. zurich/Cm/en (communal/Ma/en authorities/Cc.p/en)) (+/B.am/. city/Cc.s/en police/Cc.p/en) ((to/Mi/en stop/P.r.-i-----/en) (releasing/P.ox.|pg----/en (of/Br.ma/en (the/Md/en nationality/Cc.s/en) (to/Br.ma/en criminals/Cc.p/en (the/Md/en media/Cc.p/en))) ((to/Mi/en avoid/Pd.o.-i-----/en) stigmatization/Cc.s/en))))</t>
  </si>
  <si>
    <t>Nigeria suicide bombers kill 15 in failed oil facility attack: army</t>
  </si>
  <si>
    <t>(kill/Pd.soo.|f-----/en (+/B.am/. nigeria/Cp.s/en (+/B.am/. suicide/Cc.s/en bombers/Cc.p/en)) (in/Br.ma/en 15/C#/en (failed/Mv.&lt;pf----/en (+/B.am/. (+/B.am/. oil/Cc.s/en facility/Cc.s/en) attack/Cc.s/en))) army/Cc.s/en)</t>
  </si>
  <si>
    <t>Canada’s Controversial Grizzly Bear Hunting Season Has Just Begun</t>
  </si>
  <si>
    <t>(has/Pd.so.|f--3s-/en (’s/Bp.am/en canada/Cp.s/en (+/B.am/. (+/B.am/. (+/B.am/. controversial/Cp.s/en (+/B.am/. grizzly/Cp.s/en bear/Cp.s/en)) hunting/Cp.s/en) season/Cc.s/en)) (just/M/en begun/Cp.s/en))</t>
  </si>
  <si>
    <t>Baltic states urge strong U.S. defense commitment to region</t>
  </si>
  <si>
    <t>(urge/Pd.so.|f-----/en (baltic/Ma/en states/Cc.p/en) (to/Br.ma/en (strong/Ma/en (+/B.am/. u%2es%2e/Cp.s/en (+/B.am/. defense/Cc.s/en commitment/Cc.s/en))) region/Cc.s/en))</t>
  </si>
  <si>
    <t>Russia: Opposition Activist Faces More Legal Trouble</t>
  </si>
  <si>
    <t>(faces/Pd.?so.|f--3s-/en russia/Cp.s/en (+/B.am/. opposition/Cc.s/en activist/Cc.s/en) (more/Mc/en (legal/Ma/en trouble/Cc.s/en)))</t>
  </si>
  <si>
    <t>Israeli gunfire wounds Gaza fisherman: ministry</t>
  </si>
  <si>
    <t>(wounds/Pd.so.|f--3s-/en (israeli/Ma/en gunfire/Cc.s/en) (+/B.mm/. (+/B.am/. gaza/Cp.s/en fisherman/Cc.s/en) ministry/Cc.s/en))</t>
  </si>
  <si>
    <t>sever</t>
  </si>
  <si>
    <t>Islamic Jihad severes contacts with Hamas</t>
  </si>
  <si>
    <t>(severes/Pd.so.|f--3s-/en (+/B.am/. islamic/Cp.s/en jihad/Cp.s/en) (with/Br.ma/en contacts/Cc.p/en hamas/Cp.s/en))</t>
  </si>
  <si>
    <t>Pakistan condemns attack on Indian police station</t>
  </si>
  <si>
    <t>(condemns/Pd.so.|f--3s-/en pakistan/Cp.s/en (on/Br.ma/en attack/Cc.s/en (indian/Ma/en (+/B.am/. police/Cc.s/en station/Cc.s/en))))</t>
  </si>
  <si>
    <t>underestimate</t>
  </si>
  <si>
    <t>Venezuela likely underestimating Zika cases</t>
  </si>
  <si>
    <t>((likely/M/en underestimating/Pd.so.|pg----/en) venezuela/Cp.s/en (+/B.am/. zika/Cp.s/en cases/Cc.p/en))</t>
  </si>
  <si>
    <t>Syria's Assad makes rare public visit for May Day</t>
  </si>
  <si>
    <t>(makes/Pd.so.|f--3s-/en ('s/Bp.am/en syria/Cp.s/en assad/Cp.s/en) (for/Br.ma/en (rare/Ma/en (public/Ma/en visit/Cc.s/en)) (+/B.am/. may/Cp.s/en day/Cp.s/en)))</t>
  </si>
  <si>
    <t>prompt</t>
  </si>
  <si>
    <t>They may prompt a fix for a security flaw in the domain name system</t>
  </si>
  <si>
    <t>((may/Mm/en prompt/Pd.so.-i-----/en) they/Ci/en (for/Br.ma/en (a/Md/en fix/Cc.s/en) (in/Br.ma/en (a/Md/en (+/B.am/. security/Cc.s/en flaw/Cc.s/en)) (the/Md/en (+/B.am/. (+/B.am/. domain/Cc.s/en name/Cc.s/en) system/Cc.s/en)))))</t>
  </si>
  <si>
    <t>report</t>
  </si>
  <si>
    <t>Syria rebels, government report poison gas attack</t>
  </si>
  <si>
    <t>(report/Pd.?so.|f-----/en (+/B.am/. syria/Cp.s/en rebels/Cc.p/en) government/Cc.s/en (+/B.am/. poison/Cc.s/en (+/B.am/. gas/Cc.s/en attack/Cc.s/en)))</t>
  </si>
  <si>
    <t>reach</t>
  </si>
  <si>
    <t>Death toll in Czech high speed train crash reaches 3</t>
  </si>
  <si>
    <t>(reaches/Pd.so.|f--3s-/en (in/Br.ma/en (+/B.am/. death/Cc.s/en toll/Cc.s/en) (czech/Ma/en (+/B.am/. (high/Ma/en speed/Cc.s/en) (+/B.am/. train/Cc.s/en crash/Cc.s/en)))) 3/C#/en)</t>
  </si>
  <si>
    <t>legalize</t>
  </si>
  <si>
    <t>Costa Rica accidentally legalizes gay marriage</t>
  </si>
  <si>
    <t>((accidentally/M/en legalizes/Pd.so.|f--3s-/en) (+/B.am/. costa/Cp.s/en rica/Cp.s/en) (gay/Ma/en marriage/Cc.s/en))</t>
  </si>
  <si>
    <t>India wins U.S. support for food scheme, ends WTO blockade</t>
  </si>
  <si>
    <t>(wins/Pd.so?.|f--3s-/en india/Cp.s/en (for/Br.ma/en (+/B.am/. u%2es%2e/Cp.s/en support/Cc.s/en) (+/B.am/. food/Cc.s/en scheme/Cc.s/en)) (ends/Pd.o.|f--3s-/en (+/B.am/. wto/Cp.s/en blockade/Cc.s/en)))</t>
  </si>
  <si>
    <t>raid</t>
  </si>
  <si>
    <t>Police raid Madrid office of China's biggest bank in money laundering investigation</t>
  </si>
  <si>
    <t>(raid/Pd.so.|f-----/en police/Cc.p/en (of/Br.ma/en (+/B.am/. madrid/Cp.s/en office/Cc.s/en) (in/Br.ma/en ('s/Bp.am/en china/Cp.s/en (biggest/Ms/en bank/Cc.s/en)) (+/B.am/. (+/B.am/. money/Cc.s/en laundering/Cc.s/en) investigation/Cc.s/en))))</t>
  </si>
  <si>
    <t>visit</t>
  </si>
  <si>
    <t>Largest US Business Delegation Ever Visits Egypt</t>
  </si>
  <si>
    <t>((ever/M/en visits/Pd.so.|f--3s-/en) (largest/Ms/en (+/B.am/. us/Cp.s/en (+/B.am/. business/Cp.s/en delegation/Cp.s/en))) egypt/Cp.s/en)</t>
  </si>
  <si>
    <t>Army chief welcomes Afghan proposal of mutual coordination against terror</t>
  </si>
  <si>
    <t>(welcomes/Pd.so.|f--3s-/en (+/B.am/. army/Cp.s/en chief/Cc.s/en) (of/Br.ma/en (afghan/Ma/en proposal/Cc.s/en) (against/Br.ma/en (mutual/Ma/en coordination/Cc.s/en) terror/Cc.s/en)))</t>
  </si>
  <si>
    <t>A Chinese city is asking smartphone users to walk in their own sidewalk lane</t>
  </si>
  <si>
    <t>((is/Mv.|f--3s-/en asking/Pd.sor.|pg----/en) (a/Md/en (chinese/Ma/en city/Cc.s/en)) (+/B.am/. smartphone/Cc.s/en users/Cc.p/en) ((to/Mi/en walk/P.x.-i-----/en) (in/T/en (their/Mp/en (own/Ma/en (+/B.am/. sidewalk/Cc.s/en lane/Cc.s/en))))))</t>
  </si>
  <si>
    <t>Al-Qaeda affiliates are threatening West Africa’s most peaceful cities</t>
  </si>
  <si>
    <t>((are/Mv.|f-----/en threatening/Pd.so.|pg----/en) (+/B.am/. (+/B.am/. al/Cp.s/en qaeda/Cp.s/en) affiliates/Cc.p/en) (’s/Bp.am/en (+/B.am/. west/Cp.s/en africa/Cp.s/en) ((most/Ms/en peaceful/Ma/en) cities/Cc.p/en)))</t>
  </si>
  <si>
    <t>North Korea now blocking Facebook, Twitter, other websites</t>
  </si>
  <si>
    <t>((now/M/en blocking/Pd.soo.|pg----/en) (+/B.am/. north/Cp.s/en korea/Cp.s/en) (,/J/en facebook/Cm/en twitter/Cp.s/en) (other/Ma/en websites/Cc.p/en))</t>
  </si>
  <si>
    <t>destroy</t>
  </si>
  <si>
    <t>US customs officials destroy flute virtuoso’s instruments</t>
  </si>
  <si>
    <t>(destroy/Pd.so.|f-----/en (+/B.am/. us/Cp.s/en (+/B.am/. customs/Cc.p/en officials/Cc.p/en)) (’s/Bp.am/en (+/B.am/. flute/Cc.s/en virtuoso/Cc.s/en) instruments/Cc.p/en))</t>
  </si>
  <si>
    <t>Saudi Air raid kills eight women, child at Yemen funeral</t>
  </si>
  <si>
    <t>(kills/Pd.so.|f--3s-/en (+/B.am/. saudi/Cp.s/en (+/B.am/. air/Cp.s/en raid/Cc.s/en)) (+/B.mm/. (eight/M#/en women/Cc.p/en) (at/Br.ma/en child/Cc.s/en (+/B.am/. yemen/Cp.s/en funeral/Cc.s/en))))</t>
  </si>
  <si>
    <t>Zimbabwe plans to build a Disneyland in Africa" at the world famous Victoria Falls to boost tourism, a government minister has told the BBC</t>
  </si>
  <si>
    <t>((has/Mv.|f--3s-/en told/Pd.rso.&lt;pf----/en) (plans/P.sr.|f--3s-/en zimbabwe/Ca/en ((to/Mi/en build/P.oxx.-i-----/en) (in/Br.ma/en (a/Md/en disneyland/Cp.s/en) africa/Cp.s/en) (at/T/en (the/Md/en ((world/M/en famous/Ma/en) (+/B.am/. victoria/Cp.s/en falls/Cp.s/en)))) ((to/Mi/en boost/Pd.o.-i-----/en) tourism/Cc.s/en))) (a/Md/en (+/B.am/. government/Cc.s/en minister/Cc.s/en)) (the/Md/en bbc/Cp.s/en))</t>
  </si>
  <si>
    <t>Israeli Airstrikes in the Gaza Strip Kill Pregnant Woman and Her Toddler</t>
  </si>
  <si>
    <t>(kill/Pd.so.-i-----/en (in/Br.ma/en (israeli/Ma/en airstrikes/Cp.p/en) (the/Md/en (+/B.am/. gaza/Cp.s/en strip/Cp.s/en))) (and/J/en (pregnant/Ma/en woman/Cc.s/en) (her/Mp/en toddler/Cc.s/en)))</t>
  </si>
  <si>
    <t>Court in Bahrain gives 28 people, among them a photojournalist, prison sentences of up to 10 years on charges of attacking a police station and vandalism during protests</t>
  </si>
  <si>
    <t>(gives/Pd.so.|f--3s-/en (in/Br.ma/en court/Cc.s/en bahrain/Cp.s/en) (+/B.mm/. (28/M#/en people/Cc.p/en) (among/Br.ma/en them/Ci/en (a/Md/en (+/B.mm/. photojournalist/Cc.s/en (on/Br.ma/en (of/Br.ma/en (+/B.am/. prison/Cc.s/en sentences/Cc.p/en) ((up/M/en (to/Mi/en 10/M#/en)) years/Cc.p/en)) (of/Jr.ma/en charges/Cc.p/en (attacking/P.ox.|pg----/en (and/J/en (a/Md/en (+/B.am/. police/Cc.s/en station/Cc.s/en)) vandalism/Cc.s/en) (during/T/en protests/Cc.p/en)))))))))</t>
  </si>
  <si>
    <t>Boko Haram to announce list of key militants it wants freed</t>
  </si>
  <si>
    <t>((to/Mi/en announce/Pd.sor.-i-----/en) (+/B.am/. boko/Cp.s/en haram/Cp.s/en) (of/Br.ma/en list/Cc.s/en (key/Ma/en militants/Cc.p/en)) (freed/P.?.&lt;pf----/en (wants/Mv.|f--3s-/en it/Ci/en)))</t>
  </si>
  <si>
    <t>M 5.2 Earthquake hits Anza in Southern California</t>
  </si>
  <si>
    <t>(hits/Pd.so.|f--3s-/en (+/B.am/. (5%2e2/M#/en m/Cp.s/en) earthquake/Cp.s/en) (in/Br.ma/en anza/Cp.s/en (+/B.am/. southern/Cp.s/en california/Cp.s/en)))</t>
  </si>
  <si>
    <t>Chinese paper calls Trump ‘as ignorant as a child</t>
  </si>
  <si>
    <t>(calls/Pd.soo.|f--3s-/en (chinese/Ma/en paper/Cc.s/en) trump/Cp.s/en (as/Br.ma/en (as/M/en ignorant/Ca/en) (a/Md/en child/Cc.s/en)))</t>
  </si>
  <si>
    <t>US To Impose Sanction Against More Russian Individuals, Companies Over Ukraine Ceasefire</t>
  </si>
  <si>
    <t>((to/Mi/en impose/Pd.soo.-i-----/en) us/Cp.s/en (against/Br.ma/en sanction/Cc.s/en (,/Mj/en (more/Mc/en (russian/Ma/en individuals/Cp.p/en)))) (over/Br.ma/en companies/Cp.p/en (+/B.am/. ukraine/Cp.s/en ceasefire/Cp.s/en)))</t>
  </si>
  <si>
    <t>express</t>
  </si>
  <si>
    <t>China expresses understanding of Russia’s analysis on causes crisis in Ukraine</t>
  </si>
  <si>
    <t>(expresses/Pd.so.|f--3s-/en china/Cp.s/en (of/Br.ma/en understanding/Cc.s/en (on/Br.ma/en (’s/Bp.am/en russia/Cp.s/en analysis/Cc.s/en) (in/Br.ma/en (of/Br.ma/en causes/Cc.p/en crisis/Cc.s/en) ukraine/Cp.s/en))))</t>
  </si>
  <si>
    <t>clip</t>
  </si>
  <si>
    <t>Greece Just Clipped Varoufakis’s Wings</t>
  </si>
  <si>
    <t>((just/M/en clipped/Pd.so.&lt;f-----/en) greece/Cp.s/en (’s/Bp.am/en varoufakis/Cp.s/en wings/Cc.p/en))</t>
  </si>
  <si>
    <t>Taliban demands prisoner release to rejoin Afghan peace talks</t>
  </si>
  <si>
    <t>(demands/Pd.sor.|f--3s-/en taliban/Cp.s/en (+/B.am/. prisoner/Cc.s/en release/Cc.s/en) ((to/Mi/en rejoin/P.o.-i-----/en) (afghan/Ma/en (+/B.am/. peace/Cc.s/en talks/Cc.p/en))))</t>
  </si>
  <si>
    <t>Salafist group claims responsibility for bombing French center in Gaza</t>
  </si>
  <si>
    <t>(claims/Pd.so.|f--3s-/en (salafist/Ma/en group/Cc.s/en) (for/Jr.ma/en responsibility/Cc.s/en (bombing/P.ox.|pg----/en (french/Ma/en center/Cc.s/en) (in/T/en gaza/Cp.s/en))))</t>
  </si>
  <si>
    <t>shut</t>
  </si>
  <si>
    <t>Islamist TV channel in Egypt shut down</t>
  </si>
  <si>
    <t>(shut/Pd.so.&lt;f-----/en (in/Br.ma/en (islamist/Ma/en (+/B.am/. tv/Cc.s/en channel/Cc.s/en)) egypt/Cp.s/en) down/C/en)</t>
  </si>
  <si>
    <t>U.S. preparing new sanctions against Chinese entities over financial support to North Korea</t>
  </si>
  <si>
    <t>(preparing/Pd.so.|pg----/en u%2es%2e/Cp.s/en (over/Br.ma/en (against/Br.ma/en (new/Ma/en sanctions/Cc.p/en) (chinese/Ma/en entities/Cc.p/en)) (to/Br.ma/en (financial/Ma/en support/Cc.s/en) (+/B.am/. north/Cp.s/en korea/Cp.s/en))))</t>
  </si>
  <si>
    <t>China calls KFC, Apple protests 'irrational</t>
  </si>
  <si>
    <t>(calls/Pd.so.|f--3s-/en china/Cp.s/en (,/J/en kfc/Cp.s/en (irrational/Ma/en (+/B.am/. apple/Cp.s/en protests/Cc.p/en))))</t>
  </si>
  <si>
    <t>authorize</t>
  </si>
  <si>
    <t>UN authorizes Congo intervention force</t>
  </si>
  <si>
    <t>(authorizes/Pd.sio.|f--3s-/en un/Cp.s/en congo/Cp.s/en (+/B.am/. intervention/Cc.s/en force/Cc.s/en))</t>
  </si>
  <si>
    <t>Syria declares new chemical weapons facilities</t>
  </si>
  <si>
    <t>(declares/Pd.so.|f--3s-/en syria/Cp.s/en (new/Ma/en (+/B.am/. (+/B.am/. chemical/Ca/en weapons/Cc.p/en) facilities/Cc.p/en)))</t>
  </si>
  <si>
    <t>do</t>
  </si>
  <si>
    <t>Venezuela may do what OPEC can't</t>
  </si>
  <si>
    <t>((may/Mm/en do/Pd.so.-i-----/en) venezuela/Cp.s/en (+/B.mm/. what/Cw/en (n't/Mn/en (ca/Mm/en opec/Cp.s/en))))</t>
  </si>
  <si>
    <t>allege</t>
  </si>
  <si>
    <t>US woman alleges gang-rape in Indian capital</t>
  </si>
  <si>
    <t>(alleges/Pd.so.|f--3s-/en (+/B.am/. us/Cp.s/en woman/Cc.s/en) (in/Br.ma/en (+/B.am/. gang/Cc.s/en rape/Cc.s/en) (indian/Ma/en capital/Cc.s/en)))</t>
  </si>
  <si>
    <t>provide</t>
  </si>
  <si>
    <t>Secret documents provide new information about how Crimea's newly installed prime minister amassed his assets</t>
  </si>
  <si>
    <t>(provide/Pd.so.|f-----/en (secret/Ma/en documents/Cc.p/en) (about/Jr.ma/en (new/Ma/en information/Cc.s/en) ((how/M/en amassed/P.so.&lt;f-----/en) ('s/Bp.am/en crimea/Cp.s/en ((newly/M/en installed/Mv.&lt;pf----/en) (+/B.am/. prime/Ca/en minister/Cc.s/en))) (his/Mp/en assets/Cc.p/en))))</t>
  </si>
  <si>
    <t>EU warn refugees, don't come to Europe</t>
  </si>
  <si>
    <t>(warn/Pd.so?.|f-----/en eu/Cp.s/en refugees/Cc.p/en ((do/Mv.-i-----/en (n't/Mn/en come/P!.x.-i-----/en)) (to/T/en europe/Cp.s/en)))</t>
  </si>
  <si>
    <t>Images show rapid Chinese progress on new South China Sea airstrip</t>
  </si>
  <si>
    <t>(show/Pd.so.|f-----/en images/Cc.p/en (on/Br.ma/en (rapid/Ma/en (chinese/Ma/en progress/Cc.s/en)) (new/Ma/en (+/B.am/. (+/B.am/. (+/B.am/. south/Cp.s/en china/Cp.s/en) sea/Cp.s/en) airstrip/Cc.s/en))))</t>
  </si>
  <si>
    <t>revise</t>
  </si>
  <si>
    <t>Russia revises navy doctrine over NATO's 'inadmissible' expansion</t>
  </si>
  <si>
    <t>(revises/Pd.so.|f--3s-/en russia/Cp.s/en (over/Br.ma/en (+/B.am/. navy/Cp.s/en doctrine/Cc.s/en) ('s/Bp.am/en nato/Cp.s/en (inadmissible/Ma/en expansion/Cc.s/en))))</t>
  </si>
  <si>
    <t>Iran carries out 'successful' satellite launch</t>
  </si>
  <si>
    <t>((out/Ml/en carries/Pd.so.|f--3s-/en) iran/Cp.s/en (successful/Ma/en (+/B.am/. satellite/Cc.s/en launch/Cc.s/en)))</t>
  </si>
  <si>
    <t>Boko Haram militants raid Nigerian village, Hack 10 to death</t>
  </si>
  <si>
    <t>(raid/Pd.so?.|f-----/en (+/B.am/. (+/B.am/. boko/Cp.s/en haram/Cp.s/en) militants/Cc.p/en) (nigerian/Ma/en village/Cc.s/en) (to/Br.ma/en (+/B.mm/. hack/Cp.s/en 10/C#/en) death/Cc.s/en))</t>
  </si>
  <si>
    <t>China warns the Philippines of a possible counterstrike in the South China Sea</t>
  </si>
  <si>
    <t>(warns/Pd.so.|f--3s-/en china/Cp.s/en (of/Br.ma/en (the/Md/en philippines/Cp.s/en) (in/Br.ma/en (a/Md/en (possible/Ma/en counterstrike/Cc.s/en)) (the/Md/en (+/B.am/. (+/B.am/. south/Cp.s/en china/Cp.s/en) sea/Cp.s/en)))))</t>
  </si>
  <si>
    <t>pose</t>
  </si>
  <si>
    <t>Ebola outbreak no longer poses global health risk</t>
  </si>
  <si>
    <t>(((no/Mn/en longer/M/en) poses/Pd.so.|f--3s-/en) (+/B.am/. ebola/Cp.s/en outbreak/Cc.s/en) (global/Ma/en (+/B.am/. health/Cc.s/en risk/Cc.s/en)))</t>
  </si>
  <si>
    <t>Putin asks UK to help analyse black box</t>
  </si>
  <si>
    <t>(asks/Pd.sor.|f--3s-/en putin/Cp.s/en uk/Cp.s/en ((to/Mi/en help/P.r.-i-----/en) (analyse/P.o.-i-----/en (black/Ma/en box/Cp.s/en))))</t>
  </si>
  <si>
    <t>Egypt court rejects Muslim Brotherhood ban appeal</t>
  </si>
  <si>
    <t>(rejects/Pd.so.|f--3s-/en (+/B.am/. egypt/Cp.s/en court/Cc.s/en) (+/B.am/. (+/B.am/. (+/B.am/. muslim/Cp.s/en brotherhood/Cp.s/en) ban/Cc.s/en) appeal/Cc.s/en))</t>
  </si>
  <si>
    <t>Secretary of State John Kerry warns Russia to stop bombing of Aleppo</t>
  </si>
  <si>
    <t>(warns/Pd.sor.|f--3s-/en (+/B.am/. (of/Br.ma/en secretary/Cm/en state/Cp.s/en) (+/B.am/. john/Cp.s/en kerry/Cp.s/en)) russia/Cp.s/en ((to/Mi/en stop/P.o.-i-----/en) (of/Br.ma/en bombing/Cc.s/en aleppo/Cp.s/en)))</t>
  </si>
  <si>
    <t>Netanyahu urges Jews to move to Israel after Copenhagen attacks</t>
  </si>
  <si>
    <t>(urges/Pd.sor.|f--3s-/en netanyahu/Cp.s/en jews/Cp.p/en ((to/Mi/en move/P.xx.-i-----/en) (to/T/en israel/Cp.s/en) (after/T/en (+/B.mm/. copenhagen/Cp.s/en attacks/Cc.p/en))))</t>
  </si>
  <si>
    <t>dash</t>
  </si>
  <si>
    <t>Trump refugee order dashes hopes of Iraqis who helped the U.S.</t>
  </si>
  <si>
    <t>(dashes/Pd.so.|f--3s-/en (+/B.am/. trump/Cp.s/en (+/B.am/. refugee/Cc.s/en order/Cc.s/en)) (+/B.mm/. hopes/Cc.p/en (of/Jr.ma/en iraqis/Cp.p/en (helped/P.so.&lt;f-----/en who/Cw/en (the/Md/en u%2es%2e/Cp.s/en)))))</t>
  </si>
  <si>
    <t>Food sanctions hit Russian shoppers' pockets</t>
  </si>
  <si>
    <t>(hit/Pd.so.&lt;f-----/en (+/B.am/. food/Cc.s/en sanctions/Cc.p/en) ('/Bp.am/en (russian/Ma/en shoppers/Cc.p/en) pockets/Cc.p/en))</t>
  </si>
  <si>
    <t>Russian police detain several gay activists</t>
  </si>
  <si>
    <t>(detain/Pd.so.|f-----/en (russian/Ma/en police/Cc.p/en) (several/Ma/en (gay/Ma/en activists/Cc.p/en)))</t>
  </si>
  <si>
    <t>We're not interested in a fair fight’ – US army commander urges NATO to confront Russia</t>
  </si>
  <si>
    <t>(urges/Pd.rsor.|f--3s-/en ((not/Mn/en 're/P.sc.|f-----/en) we/Ci/en (in/Br.ma/en interested/Ca/en (a/Md/en (fair/Ma/en fight/Cc.s/en)))) (+/B.am/. us/Cp.s/en (+/B.am/. army/Cc.s/en commander/Cc.s/en)) nato/Cp.s/en ((to/Mi/en confront/P.o.-i-----/en) russia/Cp.s/en))</t>
  </si>
  <si>
    <t>Canadian Prime Minister Justin Trudeau announces new transgender rights bill</t>
  </si>
  <si>
    <t>(announces/Pd.so.|f--3s-/en (+/B.am/. (canadian/Ma/en (+/B.am/. prime/Cp.s/en minister/Cp.s/en)) (+/B.am/. justin/Cp.s/en trudeau/Cp.s/en)) (new/Ma/en (+/B.am/. (+/B.am/. transgender/Cc.s/en rights/Cc.p/en) bill/Cc.s/en)))</t>
  </si>
  <si>
    <t>Attack on Egyptian military checkpoint kills dozens</t>
  </si>
  <si>
    <t>(kills/Pd.so.|f--3s-/en (on/Br.ma/en attack/Cc.s/en (egyptian/Ma/en (military/Ma/en checkpoint/Cc.s/en))) dozens/Cc.p/en)</t>
  </si>
  <si>
    <t>denies</t>
  </si>
  <si>
    <t>Indian government denies renewal of passport opposition lawyer over minor traffic rule violation</t>
  </si>
  <si>
    <t>(denies/Pd.so.|f--3s-/en (indian/Ma/en government/Cc.s/en) (over/Br.ma/en (of/Br.ma/en renewal/Cc.s/en (of/Br.ma/en passport/Cc.s/en (+/B.am/. opposition/Cc.s/en lawyer/Cc.s/en))) (minor/Ma/en (+/B.am/. (+/B.am/. traffic/Cc.s/en rule/Cc.s/en) violation/Cc.s/en))))</t>
  </si>
  <si>
    <t>Ikea puts a stop to hide-and-seek games in Netherlands stores More than 32,000 had signed up for the games at the Amsterdam and Utrecht branches</t>
  </si>
  <si>
    <t>(puts/Pd.soo?.|f--3s-/en ikea/Cp.s/en (a/Md/en stop/Cc.s/en) ((and/J/en (to/Mi/en hide/Pd.o.-i-----/en) seek/Pd..-i-----/en) (in/Br.ma/en games/Cc.p/en (+/B.am/. netherlands/Cp.s/en stores/Cc.p/en))) ((up/Ml/en (had/Mv.&lt;f-----/en signed/Pd.sx.&lt;pf----/en)) (more/Mc/en (than/M/en 32,000/C#/en)) (for/T/en (at/Br.ma/en (the/Md/en games/Cc.p/en) (the/Md/en (+/B.am/. (and/J/en amsterdam/Cm/en utrecht/Cp.s/en) branches/Cc.p/en))))))</t>
  </si>
  <si>
    <t>Israelis Attack Palestinian Farmers near Hebron</t>
  </si>
  <si>
    <t>(attack/Pd.so.|f-----/en israelis/Cp.p/en (near/Br.ma/en (palestinian/Ma/en farmers/Cp.s/en) hebron/Cp.s/en))</t>
  </si>
  <si>
    <t>Yemeni forces attack sixth Saudi warship</t>
  </si>
  <si>
    <t>(attack/Pd.so.|f-----/en (yemeni/Ma/en forces/Cc.p/en) (sixth/Ma/en (saudi/Ma/en warship/Cc.s/en)))</t>
  </si>
  <si>
    <t>Malaysian authorities ban an Ultraman book over religious concerns</t>
  </si>
  <si>
    <t>(ban/Pd.so.|f-----/en (malaysian/Ma/en authorities/Cc.p/en) (over/Br.ma/en (an/Md/en (+/B.am/. ultraman/Cp.s/en book/Cc.s/en)) (religious/Ma/en concerns/Cc.p/en)))</t>
  </si>
  <si>
    <t>murder</t>
  </si>
  <si>
    <t>China ‘murdering Falun Gong members for organ harvesting</t>
  </si>
  <si>
    <t>(murdering/Pd.so.|pg----/en china/Cp.s/en (for/Br.ma/en (+/B.am/. falun/Cp.s/en (+/B.am/. gong/Cp.s/en members/Cc.p/en)) (+/B.am/. organ/Cc.s/en harvesting/Cc.s/en)))</t>
  </si>
  <si>
    <t>break</t>
  </si>
  <si>
    <t>Turkish police fire water cannon to break up protest</t>
  </si>
  <si>
    <t>((up/Ml/en (to/Mi/en break/Pd.so.-i-----/en)) (turkish/Ma/en (+/B.am/. police/Cc.s/en (+/B.am/. fire/Cc.s/en (+/B.am/. water/Cc.s/en cannon/Cc.s/en)))) protest/Cc.s/en)</t>
  </si>
  <si>
    <t>Rockets fired on southern Israel from Sinai, ISIS claims responsibility</t>
  </si>
  <si>
    <t>(claims/Pd.rso.|f--3s-/en (fired/P.sxx.&lt;f-----/en rockets/Cc.p/en (on/T/en (southern/Ma/en israel/Cp.s/en)) (from/T/en sinai/Cp.s/en)) isis/Cp.s/en responsibility/Cc.s/en)</t>
  </si>
  <si>
    <t>ISIS claim responsibility for Paris terror attacks in online statement</t>
  </si>
  <si>
    <t>(claim/Pd.so.|f-----/en isis/Cp.s/en (for/Br.ma/en responsibility/Cc.s/en (in/Br.ma/en (+/B.am/. paris/Cp.s/en (+/B.am/. terror/Cc.s/en attacks/Cc.p/en)) (online/Ma/en statement/Cc.s/en))))</t>
  </si>
  <si>
    <t>Moscow celebrates May Day Parade</t>
  </si>
  <si>
    <t>(celebrates/Pd.so.|f--3s-/en moscow/Cp.s/en (+/B.am/. (+/B.am/. may/Cp.s/en day/Cp.s/en) parade/Cp.s/en))</t>
  </si>
  <si>
    <t>Mexican judge denies El Chapo's appeals against extradition</t>
  </si>
  <si>
    <t>(denies/Pd.so.|f--3s-/en (mexican/Ma/en judge/Cc.s/en) (against/Br.ma/en ('s/Bp.am/en (+/B.am/. el/Cp.s/en chapo/Cp.s/en) appeals/Cc.p/en) extradition/Cc.s/en))</t>
  </si>
  <si>
    <t>criticize</t>
  </si>
  <si>
    <t>Environmentalists and common citizens have criticized Dhaka's response to the oil spill in the country's largest mangrove forest, which is threatening aquatic life in the UNESCO World heritage site</t>
  </si>
  <si>
    <t>((have/Mv.|f-----/en criticized/Pd.so.&lt;pf----/en) (and/J/en environmentalists/Cc.p/en (common/Ma/en citizens/Cc.p/en)) (to/Br.ma/en ('s/Bp.am/en dhaka/Cp.s/en response/Cc.s/en) (the/Md/en (+/B.mm/. (+/B.am/. oil/Cc.s/en spill/Cc.s/en) (in/Jr.ma/en ('s/Bp.am/en (the/Md/en country/Cc.s/en) (largest/Ms/en (+/B.am/. mangrove/Cc.s/en forest/Cc.s/en))) ((is/Mv.|f--3s-/en threatening/P.sox.|pg----/en) which/C/en (aquatic/Ma/en life/Cc.s/en) (in/T/en (the/Md/en (+/B.am/. unesco/Cp.s/en (+/B.am/. (+/B.am/. world/Cp.s/en heritage/Cc.s/en) site/Cc.s/en))))))))))</t>
  </si>
  <si>
    <t>Turkish jets kill 18 Daesh terrorists in northern Syria</t>
  </si>
  <si>
    <t>(kill/Pd.so.|f-----/en (turkish/Ma/en jets/Cc.p/en) (in/Br.ma/en (18/M#/en (+/B.am/. daesh/Cp.s/en terrorists/Cc.p/en)) (northern/Ma/en syria/Cp.s/en)))</t>
  </si>
  <si>
    <t>halt</t>
  </si>
  <si>
    <t>The United States will halt the planned sale of precision-guided weapons to Saudi Arabia, a U.S. official said, in response to concerns over Saudi military practices in the Yemeni civil war, which has claimed the lives of thousands civilians</t>
  </si>
  <si>
    <t>((will/Mm/en halt/Pd.sot.-i-----/en) (the/Md/en (+/B.am/. united/Cp.s/en states/Cp.s/en)) (to/Br.ma/en (of/Br.ma/en (the/Md/en (planned/Mv.&lt;pf----/en sale/Cc.s/en)) ((precision/M/en guided/Mv.&lt;pf----/en) weapons/Cc.p/en)) (+/B.am/. saudi/Cp.s/en arabia/Cp.s/en)) (said/Pd.sx.&lt;f-----/en (a/Md/en (+/B.am/. u%2es%2e/Cp.s/en official/Cc.s/en)) (in/T/en (to/Br.ma/en response/Cc.s/en (over/Br.ma/en concerns/Cc.p/en (saudi/Ma/en (military/Ma/en (+/B.mm/. practices/Cc.p/en (in/Jr.ma/en (the/Md/en (yemeni/Ma/en (civil/Ma/en war/Cc.s/en))) ((has/Mv.|f--3s-/en claimed/P.so.&lt;pf----/en) which/C/en (of/Br.ma/en (the/Md/en lives/Cc.p/en) (of/Br.ma/en thousands/Cc.p/en civilians/Cc.p/en))))))))))))</t>
  </si>
  <si>
    <t>made</t>
  </si>
  <si>
    <t>Rolls-Royce 'made secret payments</t>
  </si>
  <si>
    <t>(made/Pd.so.&lt;pf----/en (+/B.am/. rolls/Cp.s/en royce/Cp.s/en) (secret/Ma/en payments/Cc.p/en))</t>
  </si>
  <si>
    <t>South Sudan vaccination error kills 15 children</t>
  </si>
  <si>
    <t>(kills/Pd.so.|f--3s-/en (+/B.am/. (+/B.am/. south/Cp.s/en sudan/Cp.s/en) (+/B.am/. vaccination/Cc.s/en error/Cc.s/en)) (15/M#/en children/Cc.p/en))</t>
  </si>
  <si>
    <t>Taiwan's ruling party urges China to respect Hong Kong's democratic aspirations</t>
  </si>
  <si>
    <t>(urges/Pd.sor.|f--3s-/en ('s/Bp.am/en taiwan/Cp.s/en (ruling/Mv.|pg----/en party/Cc.s/en)) china/Cp.s/en ((to/Mi/en respect/P.o.-i-----/en) ('s/Bp.am/en (+/B.am/. hong/Cp.s/en kong/Cp.s/en) (democratic/Ma/en aspirations/Cc.p/en))))</t>
  </si>
  <si>
    <t>Turkey urges US to back al-Bab operation</t>
  </si>
  <si>
    <t>(urges/Pd.sor.|f--3s-/en turkey/Cp.s/en us/Cp.s/en ((to/Mi/en back/P.o.-i-----/en) (+/B.am/. (+/B.am/. al/Cp.s/en bab/Cp.s/en) operation/Cc.s/en)))</t>
  </si>
  <si>
    <t>A recent study found unexpectedly high levels of persistent organic pollutants (POPs) inside creatures living at the bottom of the Kermadec and Mariana trenches in the Pacific Ocean, two the deepest places on Earth</t>
  </si>
  <si>
    <t>(found/Pd.so.&lt;f-----/en (a/Md/en (recent/Ma/en study/Cc.s/en)) (+/B.mm/. (of/Br.ma/en ((unexpectedly/M/en high/Ma/en) levels/Cc.p/en) (+/B.mm/. (persistent/Ma/en (organic/Ma/en pollutants/Cc.p/en)) pops/Cc.p/en)) (inside/Jr.ma/en creatures/Cc.p/en (living/P.x.|pg----/en (at/T/en (of/Br.ma/en (the/Md/en bottom/Cc.s/en) (in/Br.ma/en (+/B.am/. (and/J/en (the/Md/en kermadec/Cm/en) mariana/Cp.s/en) trenches/Cc.p/en) (+/B.mm/. (the/Md/en (+/B.am/. pacific/Cp.s/en ocean/Cp.s/en)) (of/Br.ma/en two/C#/en (on/Br.ma/en (the/Md/en (deepest/Ms/en places/Cc.p/en)) earth/Cp.s/en))))))))))</t>
  </si>
  <si>
    <t>Bangladesh war crimes tribunal on the dock: Apparent forced disappearance of a key defence witness for Jemaat-e - Islami puts trials' integrity in the spotlight</t>
  </si>
  <si>
    <t>((apparent/M/en forced/Pd.so?.&lt;f-----/en) (on/Br.ma/en (+/B.am/. bangladesh/Cp.s/en (+/B.am/. (+/B.am/. war/Cc.s/en crimes/Cc.p/en) tribunal/Cc.s/en)) (the/Md/en dock/Cc.s/en)) (of/Br.ma/en disappearance/Cc.s/en (for/Br.ma/en (a/Md/en (key/Ma/en (+/B.am/. defence/Cc.s/en witness/Cc.s/en))) (+/B.am/. jemaat/Cp.s/en e/Cc.s/en))) (puts/Pd.ssox.|f--3s-/en -/Cc.s/en islami/Cp.s/en ('/Bp.am/en trials/Cc.p/en integrity/Cc.s/en) (in/T/en (the/Md/en spotlight/Cc.s/en))))</t>
  </si>
  <si>
    <t>burn</t>
  </si>
  <si>
    <t>ISIS burns hundreds of crates US-produced Halal chicken in Syria</t>
  </si>
  <si>
    <t>(burns/Pd.so.|f--3s-/en isis/Cp.s/en (of/Br.ma/en hundreds/Cc.p/en (in/Br.ma/en (of/Br.ma/en crates/Cc.p/en ((us/Ma/en produced/Mv.&lt;pf----/en) (+/B.am/. halal/Cp.s/en chicken/Cc.s/en))) syria/Cp.s/en)))</t>
  </si>
  <si>
    <t>Taiwan rejects South China Sea arbitration ruling</t>
  </si>
  <si>
    <t>(rejects/Pd.so.|f--3s-/en taiwan/Cp.s/en (+/B.am/. (+/B.am/. (+/B.am/. (+/B.am/. south/Cp.s/en china/Cp.s/en) sea/Cp.s/en) arbitration/Cc.s/en) ruling/Cc.s/en))</t>
  </si>
  <si>
    <t>Lufthansa bosses visit Germanwings crash site</t>
  </si>
  <si>
    <t>(visit/Pd.so.|f-----/en (+/B.am/. lufthansa/Cp.s/en bosses/Cc.p/en) (+/B.am/. germanwings/Cc.p/en (+/B.am/. crash/Cc.s/en site/Cc.s/en)))</t>
  </si>
  <si>
    <t>serve</t>
  </si>
  <si>
    <t>Leading candidate for French president Macron against unilateral recognition of Palestine: 'Wouldn't serve anyone</t>
  </si>
  <si>
    <t>((would/Mm/en (n't/Mn/en serve/Pd.so.-i-----/en)) (against/Br.ma/en (for/Br.ma/en (leading/Mv.|pg----/en candidate/Cc.s/en) (+/B.am/. (french/Ma/en president/Cc.s/en) macron/Cp.s/en)) (of/Br.ma/en (unilateral/Ma/en recognition/Cc.s/en) palestine/Cp.s/en)) anyone/Cc.s/en)</t>
  </si>
  <si>
    <t>We are seeking bigger role for Russia than Americans'</t>
  </si>
  <si>
    <t>((are/Mv.|f-----/en seeking/Pd.so.|pg----/en) we/Ci/en (than/Br.ma/en (for/Br.ma/en (bigger/Mc/en role/Cc.s/en) russia/Cp.s/en) (+/B.mm/. americans/Cp.p/en '/C/en)))</t>
  </si>
  <si>
    <t>elect</t>
  </si>
  <si>
    <t>Mexico’s militia moms fight crime and the law: Vigilantes elected US citizen Nestora Salgado their commander</t>
  </si>
  <si>
    <t>(elected/Pd.rso.&lt;f-----/en (fight/P.so.|f-----/en (’s/Bp.am/en mexico/Cp.s/en (+/B.am/. militia/Cc.s/en moms/Cc.p/en)) (and/J/en crime/Cc.s/en (the/Md/en law/Cc.s/en))) vigilantes/Cc.p/en (+/B.mm/. (+/B.am/. (+/B.am/. us/Cp.s/en citizen/Cc.s/en) (+/B.am/. nestora/Cp.s/en salgado/Cp.s/en)) (their/Mp/en commander/Cc.s/en)))</t>
  </si>
  <si>
    <t>Human rights groups fear impact of draft Egypt law restricting their work: Legislation could force international NGOs to seek permission from new committee for almost every aspect of every project</t>
  </si>
  <si>
    <t>((could/Mm/en force/Pd.rsor.-i-----/en) (fear/P.so.|f-----/en (+/B.am/. (human/Ma/en rights/Cc.p/en) groups/Cc.p/en) (+/B.mm/. impact/Cc.s/en (of/Jr.ma/en (+/B.am/. draft/Cc.s/en (+/B.am/. egypt/Cp.s/en law/Cc.s/en)) (restricting/P.o.|pg----/en (their/Mp/en work/Cc.s/en))))) legislation/Cc.s/en (international/Ma/en ngos/Cp.p/en) ((to/Mi/en seek/P.o.-i-----/en) (for/Br.ma/en (from/Br.ma/en permission/Cc.s/en (new/Ma/en committee/Cc.s/en)) (of/Br.ma/en ((almost/M/en every/Md/en) aspect/Cc.s/en) (every/Md/en project/Cc.s/en)))))</t>
  </si>
  <si>
    <t>build</t>
  </si>
  <si>
    <t>Microsoft built an autonomous robot security guard</t>
  </si>
  <si>
    <t>(built/Pd.so.&lt;f-----/en microsoft/Cp.s/en (an/Md/en (autonomous/Ma/en (+/B.am/. (+/B.am/. robot/Cc.s/en security/Cc.s/en) guard/Cc.s/en))))</t>
  </si>
  <si>
    <t>Portugal forest fires kill 58 near Coimbra</t>
  </si>
  <si>
    <t>(kill/Pd.so.|f-----/en (+/B.am/. portugal/Cp.s/en (+/B.am/. forest/Cc.s/en fires/Cc.p/en)) (near/Br.ma/en 58/C#/en coimbra/Cp.s/en))</t>
  </si>
  <si>
    <t>Turkish President condemns US commandos photographed sporting Kurdish militia insignia</t>
  </si>
  <si>
    <t>(condemns/Pd.sor.|f--3s-/en (turkish/Ma/en president/Cp.s/en) (+/B.am/. us/Cp.s/en commandos/Cc.p/en) (photographed/P.o.&lt;f-----/en (sporting/Mv.|pg----/en (+/B.am/. (kurdish/Ma/en militia/Cc.s/en) insignia/Cc.s/en))))</t>
  </si>
  <si>
    <t>Malaysian court to Christians: You can't say 'Allah</t>
  </si>
  <si>
    <t>((ca/Mm/en (n't/Mn/en say/Pd.?so.-i-----/en)) (to/Br.ma/en (malaysian/Ma/en court/Cc.s/en) christians/Cp.p/en) you/Ci/en allah/Cp.s/en)</t>
  </si>
  <si>
    <t>Syria denies use of any chemical weapons</t>
  </si>
  <si>
    <t>(denies/Pd.so.|f--3s-/en syria/Cp.s/en (of/Br.ma/en use/Cc.s/en (any/Md/en (chemical/Ma/en weapons/Cc.p/en))))</t>
  </si>
  <si>
    <t>FOIA documents reveal hot spots, fish kills and toxic dumps on US military base in Okinawa,</t>
  </si>
  <si>
    <t>(reveal/Pd.so.|f-----/en (+/B.am/. foia/Cp.s/en documents/Cc.p/en) (hot/Ma/en (+/B.mm/. spots/Cc.p/en (on/Br.ma/en (and/J/en (+/B.am/. fish/Cc.s/en kills/Cc.p/en) (toxic/Ma/en dumps/Cc.p/en)) (in/Br.ma/en (+/B.am/. us/Cm/en (military/Ma/en base/Cc.s/en)) (,/Mj/en okinawa/Cp.s/en))))))</t>
  </si>
  <si>
    <t>Suicide bombings hit Lebanon village near Syria</t>
  </si>
  <si>
    <t>(hit/Pd.so.&lt;f-----/en (+/B.am/. suicide/Cc.s/en bombings/Cc.p/en) (near/Br.ma/en (+/B.am/. lebanon/Cp.s/en village/Cc.s/en) syria/Cp.s/en))</t>
  </si>
  <si>
    <t>UK accepts 1,500 asylum seekers from Syria</t>
  </si>
  <si>
    <t>(accepts/Pd.so.|f--3s-/en uk/Cp.s/en (from/Br.ma/en (1,500/M#/en (+/B.am/. asylum/Cc.s/en seekers/Cc.p/en)) syria/Cp.s/en))</t>
  </si>
  <si>
    <t>spark</t>
  </si>
  <si>
    <t>North Korea nuclear test could spark 'sacred' Mount Paektu eruption</t>
  </si>
  <si>
    <t>((could/Mm/en spark/Pd.so.-i-----/en) (+/B.am/. (+/B.aa/. north/Cm/en korea/Cm/en) (nuclear/Ma/en test/Cc.s/en)) (sacred/Ma/en (+/B.am/. (+/B.am/. mount/Cp.s/en paektu/Cp.s/en) eruption/Cc.s/en)))</t>
  </si>
  <si>
    <t>Russia's Orthodox Church Will Henceforth Celebrate St. Patrick's Day</t>
  </si>
  <si>
    <t>((will/Mm/en (henceforth/M/en celebrate/Pd.so.-i-----/en)) ('s/Bp.am/en russia/Cp.s/en (+/B.am/. orthodox/Cp.s/en church/Cp.s/en)) ('s/Bp.am/en (+/B.am/. st%2e/Cp.s/en patrick/Cp.s/en) day/Cc.s/en))</t>
  </si>
  <si>
    <t>consider</t>
  </si>
  <si>
    <t>Peru to consider marijuana legalization</t>
  </si>
  <si>
    <t>((to/Mi/en consider/Pd.so.-i-----/en) peru/Cp.s/en (+/B.am/. marijuana/Cc.s/en legalization/Cc.s/en))</t>
  </si>
  <si>
    <t>Kuwait Rejects Saudi Request for War Subvention</t>
  </si>
  <si>
    <t>(rejects/Pd.so.|f--3s-/en kuwait/Cp.s/en (for/Br.ma/en (saudi/Ma/en request/Cc.s/en) (+/B.am/. war/Cp.s/en subvention/Cp.s/en)))</t>
  </si>
  <si>
    <t>publish</t>
  </si>
  <si>
    <t>Russia publishes list of banned EU and US foods in sanctions response</t>
  </si>
  <si>
    <t>(publishes/Pd.so.|f--3s-/en russia/Cp.s/en (of/Br.ma/en list/Cc.s/en (in/Br.ma/en (banned/Mv.&lt;pf----/en (+/B.am/. (and/J/en eu/Cm/en us/Cp.s/en) foods/Cc.p/en)) (+/B.am/. sanctions/Cc.p/en response/Cc.s/en))))</t>
  </si>
  <si>
    <t>Russian warplanes in Syria destroy U.S.-trained rebels' weapons depots</t>
  </si>
  <si>
    <t>(destroy/Pd.so.|f-----/en (in/Br.ma/en (russian/Ma/en warplanes/Cc.p/en) syria/Cp.s/en) ('/Bp.am/en (u%2es%2e-trained/Mv.&lt;pf----/en rebels/Cc.p/en) (+/B.am/. weapons/Cc.p/en depots/Cc.p/en)))</t>
  </si>
  <si>
    <t>criticise</t>
  </si>
  <si>
    <t>German Foreign Minister Frank-Walter Steinmeier has criticised NATO for having a bellicose policy towards Russia, describing it as warmongering</t>
  </si>
  <si>
    <t>((has/Mv.|f--3s-/en criticised/Pd.soxx.&lt;pf----/en) (+/B.am/. (german/Ma/en (+/B.am/. foreign/Cp.s/en minister/Cp.s/en)) (+/B.am/. (+/B.am/. frank/Cp.s/en walter/Cp.s/en) steinmeier/Cp.s/en)) nato/Cp.s/en (for/T/en (having/P.o.|pg----/en (towards/Br.ma/en (a/Md/en (bellicose/Ma/en policy/Cc.s/en)) russia/Cp.s/en))) (warmongering/P.x.|pg----/en (as/T/en (describing/Pd.o.|pg----/en it/Ci/en))))</t>
  </si>
  <si>
    <t>buy</t>
  </si>
  <si>
    <t>India to buy 5 Russian S-400 air defense missile systems</t>
  </si>
  <si>
    <t>((to/Mi/en buy/Pd.so.-i-----/en) india/Cp.s/en (5/M#/en (russian/Ma/en (+/B.am/. (+/B.am/. s-400/Cp.s/en (+/B.am/. (+/B.am/. air/Cc.s/en defense/Cc.s/en) missile/Cc.s/en)) systems/Cc.p/en))))</t>
  </si>
  <si>
    <t>Huge fire hits largest mosque in Britain</t>
  </si>
  <si>
    <t>(hits/Pd.so.|f--3s-/en (huge/Ma/en fire/Cc.s/en) (in/Br.ma/en (largest/Ms/en mosque/Cc.s/en) britain/Cp.s/en))</t>
  </si>
  <si>
    <t>Dutch police find cannabis hot-house in WWII bunker</t>
  </si>
  <si>
    <t>(find/Pd.so.|f-----/en (dutch/Ma/en police/Cc.p/en) (in/Br.ma/en (+/B.am/. cannabis/Cm/en (hot/Ma/en house/Cc.s/en)) (+/B.am/. wwii/Cp.s/en bunker/Cc.s/en)))</t>
  </si>
  <si>
    <t>assure</t>
  </si>
  <si>
    <t>Russia assures US it won't invade Ukraine</t>
  </si>
  <si>
    <t>(assures/Pd.sor.|f--3s-/en russia/Cp.s/en us/Cp.s/en ((wo/Mm/en (n't/Mn/en invade/P.so.-i-----/en)) it/Ci/en ukraine/Cp.s/en))</t>
  </si>
  <si>
    <t>India's top court dismisses drug patent case: Landmark judgement against Swiss drug maker Novartis AG could change direction of country's pharmaceutical business</t>
  </si>
  <si>
    <t>(dismisses/Pd.sor.|f--3s-/en ('s/Bp.am/en india/Cp.s/en (top/Ma/en court/Cc.s/en)) (+/B.am/. (+/B.am/. drug/Cc.s/en patent/Cc.s/en) case/Cc.s/en) ((could/Mm/en change/P.so.-i-----/en) (against/Br.ma/en (+/B.am/. landmark/Ca/en judgement/Cc.s/en) (+/B.am/. (swiss/Ma/en (+/B.am/. drug/Cc.s/en maker/Cc.s/en)) (+/B.am/. novartis/Cp.s/en ag/Cp.s/en))) (of/Br.ma/en direction/Cc.s/en ('s/Bp.am/en country/Cc.s/en (+/B.am/. pharmaceutical/Cc.s/en business/Cc.s/en)))))</t>
  </si>
  <si>
    <t>Mother of Russian pilot Konstantin Yaroshenko asks Russian Foreign Ministry to swap him Edward Snowden</t>
  </si>
  <si>
    <t>(asks/Pd.sor.|f--3s-/en (of/Br.ma/en mother/Cp.s/en (+/B.am/. (russian/Ma/en pilot/Cc.s/en) (+/B.am/. konstantin/Cp.s/en yaroshenko/Cp.s/en))) (russian/Ma/en (+/B.am/. foreign/Cp.s/en ministry/Cp.s/en)) ((to/Mi/en swap/P.oo.-i-----/en) him/Ci/en (+/B.am/. edward/Cp.s/en snowden/Cp.s/en)))</t>
  </si>
  <si>
    <t>evict</t>
  </si>
  <si>
    <t>Authorities have evicted hundreds of Shanghai</t>
  </si>
  <si>
    <t>((have/Mv.|f-----/en evicted/Pd.so.&lt;pf----/en) authorities/Cc.p/en (of/Br.ma/en hundreds/Cc.p/en shanghai/Cp.s/en))</t>
  </si>
  <si>
    <t>discus</t>
  </si>
  <si>
    <t>North Korea to discuss nuclear talks in Moscow</t>
  </si>
  <si>
    <t>((to/Mi/en discuss/Pd.so.-i-----/en) (+/B.am/. north/Cp.s/en korea/Cp.s/en) (in/Br.ma/en (nuclear/Ma/en talks/Cc.p/en) moscow/Cp.s/en))</t>
  </si>
  <si>
    <t>He had 72 cases, including 31 allegations of murder in Pakistan</t>
  </si>
  <si>
    <t>(had/Pd.so.&lt;f-----/en he/Ci/en (,/J/en (72/M#/en cases/Cc.p/en) (+/B.mm/. including/C/en (of/Br.ma/en (31/M#/en allegations/Cc.p/en) (in/Br.ma/en murder/Cc.s/en pakistan/Cp.s/en)))))</t>
  </si>
  <si>
    <t>U.S. State Dept. says "confident" Russian gov</t>
  </si>
  <si>
    <t>(says/Pd.sso.|f--3s-/en (+/B.am/. u%2es%2e/Cp.s/en (+/B.am/. state/Cp.s/en dept/Cp.s/en)) %2e/Cp.s/en (confident/Ma/en (russian/Ma/en gov/Cp.s/en)))</t>
  </si>
  <si>
    <t>believe</t>
  </si>
  <si>
    <t>49 believed dead in plane crash Laos</t>
  </si>
  <si>
    <t>(believed/Pd.so.&lt;f-----/en 49/C#/en (in/Br.ma/en dead/Ca/en (in/Br.ma/en (+/B.am/. plane/Cc.s/en crash/Cc.s/en) laos/Cp.s/en)))</t>
  </si>
  <si>
    <t>ground</t>
  </si>
  <si>
    <t>Air India grounds pilots over fight in cockpit</t>
  </si>
  <si>
    <t>(grounds/Pd.so.|f--3s-/en (+/B.am/. air/Cp.s/en india/Cp.s/en) (over/Br.ma/en pilots/Cc.p/en (in/Br.ma/en fight/Cc.s/en cockpit/Cc.s/en)))</t>
  </si>
  <si>
    <t>resume</t>
  </si>
  <si>
    <t>Brazil's Superior Electoral Court has resumed its deliberations on a case which could topple the country's President, Michel Temer</t>
  </si>
  <si>
    <t>((has/Mv.|f--3s-/en resumed/Pd.so.&lt;pf----/en) ('s/Bp.am/en brazil/Cp.s/en (+/B.am/. superior/Cp.s/en (+/B.am/. electoral/Cp.s/en court/Cp.s/en))) (its/Mp/en (+/B.mm/. deliberations/Cc.p/en (on/Jr.ma/en (a/Md/en case/Cc.s/en) ((could/Mm/en topple/P.so.-i-----/en) which/C/en (,/J/en ('s/Bp.am/en (the/Md/en country/Cc.s/en) president/Cp.s/en) (+/B.am/. michel/Cp.s/en temer/Cp.s/en)))))))</t>
  </si>
  <si>
    <t>remove</t>
  </si>
  <si>
    <t>Google to remove "revenge porn" links at victims' request</t>
  </si>
  <si>
    <t>((to/Mi/en remove/Pd.so.-i-----/en) google/Cp.s/en (at/Br.ma/en (+/B.am/. (+/B.aa/. revenge/Cc.s/en porn/Cm/en) links/Cc.p/en) ('/Bp.am/en victims/Cc.p/en request/Cc.s/en)))</t>
  </si>
  <si>
    <t>advise</t>
  </si>
  <si>
    <t>Chinese Embassy in North Korea advises Chinese residents to leave North Korea</t>
  </si>
  <si>
    <t>(advises/Pd.sor.|f--3s-/en (in/Br.ma/en (+/B.am/. chinese/Cp.s/en embassy/Cp.s/en) (+/B.am/. north/Cp.s/en korea/Cp.s/en)) (chinese/Ma/en residents/Cc.p/en) ((to/Mi/en leave/P.o.-i-----/en) (+/B.am/. north/Cp.s/en korea/Cp.s/en)))</t>
  </si>
  <si>
    <t>Islamic State militants 'destroy Palmyra statues'</t>
  </si>
  <si>
    <t>(destroy/Pd.so.|f-----/en (+/B.am/. (+/B.am/. islamic/Ca/en state/Cp.s/en) militants/Cc.p/en) (+/B.mm/. (+/B.am/. palmyra/Cp.s/en statues/Cc.p/en) '/C/en))</t>
  </si>
  <si>
    <t>U.N.-African Union mission in Darfur:Sudan has asked it to close its human rights office in Khartoum, as tensions rise over investigations into an alleged mass rape</t>
  </si>
  <si>
    <t>((has/Mv.|f--3s-/en asked/Pd.ssor.&lt;pf----/en) (in/Br.ma/en (+/B.am/. (+/B.am/. u%2en%2e-african/Cp.s/en union/Cp.s/en) mission/Cc.s/en) darfur/Cp.s/en) sudan/Cp.s/en it/Ci/en ((to/Mi/en close/P.oxx.-i-----/en) (its/Mp/en (+/B.am/. (human/Ma/en rights/Cc.p/en) office/Cc.s/en)) (in/T/en khartoum/Cp.s/en) (as/T/en (rise/Pd.sxx.|f-----/en tensions/Cc.p/en (over/T/en investigations/Cc.p/en) (into/T/en (an/Md/en (alleged/Mv.&lt;pf----/en (mass/M/en rape/Cc.s/en))))))))</t>
  </si>
  <si>
    <t>avert</t>
  </si>
  <si>
    <t>Greece eyes last central bank funds to avert IMF default</t>
  </si>
  <si>
    <t>((to/Mi/en avert/Pd.so.-i-----/en) (+/B.mm/. (+/B.am/. greece/Cp.s/en eyes/Cc.p/en) (last/Mv.|f-----/en (+/B.am/. (central/Ma/en bank/Cc.s/en) funds/Cc.p/en))) (+/B.am/. imf/Cp.s/en default/Cc.s/en))</t>
  </si>
  <si>
    <t>European Parliament Condemns Attack by Rebels on the Armenian Town of Kessab</t>
  </si>
  <si>
    <t>(condemns/Pd.so.|f--3s-/en (+/B.am/. european/Cp.s/en parliament/Cp.s/en) (by/Br.ma/en attack/Cp.s/en (on/Br.ma/en rebels/Cp.p/en (of/Br.ma/en (the/Md/en (+/B.am/. armenian/Cp.s/en town/Cp.s/en)) kessab/Cp.s/en))))</t>
  </si>
  <si>
    <t>appoint</t>
  </si>
  <si>
    <t>British PM appoints ex-judge for tower blaze inquiry</t>
  </si>
  <si>
    <t>(appoints/Pd.sooo.|f--3s-/en (british/Ma/en pm/Cp.s/en) ex/Cc.s/en -/Cc.s/en (for/Br.ma/en judge/Cc.s/en (+/B.am/. (+/B.am/. tower/Cc.s/en blaze/Cc.s/en) inquiry/Cc.s/en)))</t>
  </si>
  <si>
    <t>Nairobi airport crash halts flights</t>
  </si>
  <si>
    <t>(halts/Pd.so.|f--3s-/en (+/B.am/. nairobi/Cp.s/en (+/B.am/. airport/Cc.s/en crash/Cc.s/en)) flights/Cc.p/en)</t>
  </si>
  <si>
    <t>Van Gogh Museum discovers new painting by Vincent van Gogh Sunset at Montmajour</t>
  </si>
  <si>
    <t>(discovers/Pd.so.|f--3s-/en (+/B.am/. van/Cp.s/en (+/B.am/. gogh/Cp.s/en museum/Cp.s/en)) (+/B.mm/. (by/Br.ma/en (new/Ma/en painting/Cc.s/en) (+/B.am/. vincent/Cp.s/en (+/B.am/. van/Cp.s/en gogh/Cp.s/en))) (at/Br.ma/en sunset/Cp.s/en montmajour/Cp.s/en)))</t>
  </si>
  <si>
    <t>orchestrate</t>
  </si>
  <si>
    <t>Report: Kerry and Erekat orchestrated UN anti-settlement resolution</t>
  </si>
  <si>
    <t>(orchestrated/Pd.rso.&lt;f-----/en report/Cc.s/en (and/J/en kerry/Cp.s/en erekat/Cp.s/en) (+/B.am/. un/Cm/en (anti/Ma/en (-/Ma/en (settlement/Ma/en resolution/Cc.s/en)))))</t>
  </si>
  <si>
    <t>Murdoch's UK unit could face corporate hacking charges</t>
  </si>
  <si>
    <t>((could/Mm/en face/Pd.so.-i-----/en) ('s/Bp.am/en murdoch/Cp.s/en (+/B.am/. uk/Cp.s/en unit/Cc.s/en)) (corporate/Ma/en (+/B.am/. hacking/Cc.s/en charges/Cc.p/en)))</t>
  </si>
  <si>
    <t>Syria rebel chief rejects US-Russia chemical arms deal — “We cannot accept any part of this initiative</t>
  </si>
  <si>
    <t>((can/Mm/en (not/Mn/en accept/Pd.rso.-i-----/en)) (rejects/P.so.|f--3s-/en (+/B.am/. syria/Cp.s/en (+/B.am/. rebel/Ca/en chief/Cc.s/en)) (+/B.am/. (+/B.am/. us/Cp.s/en russia/Cp.s/en) (+/B.am/. (+/B.am/. chemical/Cc.s/en arms/Cc.p/en) deal/Cc.s/en))) we/Ci/en (of/Br.ma/en (any/Md/en part/Cc.s/en) (this/Md/en initiative/Cc.s/en)))</t>
  </si>
  <si>
    <t>French Arms Company Dismisses Director Responsible for Delay of Mistral Delivery to Russia</t>
  </si>
  <si>
    <t>(dismisses/Pd.so.|f--3s-/en (+/B.am/. french/Cp.s/en (+/B.am/. arms/Cp.s/en company/Cp.s/en)) (to/Br.ma/en ((responsible/Ma/en for/Br.ma/en) director/Cc.s/en (of/Br.ma/en delay/Cp.s/en (+/B.am/. mistral/Cp.s/en delivery/Cp.s/en))) russia/Cp.s/en))</t>
  </si>
  <si>
    <t>State Border Service says Russian troops still near Ukraine's border</t>
  </si>
  <si>
    <t>(says/Pd.so.|f--3s-/en (+/B.am/. state/Cp.s/en (+/B.am/. border/Cp.s/en service/Cp.s/en)) ((still/M/en near/Br.ma/en) (russian/Ma/en troops/Cc.p/en) ('s/Bp.am/en ukraine/Cp.s/en border/Cc.s/en)))</t>
  </si>
  <si>
    <t>ship</t>
  </si>
  <si>
    <t>After raising record $3.4M on Kickstarter, UK drone startup collapses: Torquing Group only shipped 600 of the more than 15,000 Zano drones ordered</t>
  </si>
  <si>
    <t>((only/M/en shipped/Pd.rso.&lt;f-----/en) (collapses/P.xs.|f--3s-/en (after/T/en (raising/P.?o.|pg----/en record/Cc.s/en (on/Br.ma/en (($/M/en 3%2e4/M#/en) m/Cp.s/en) kickstarter/Cp.s/en))) (+/B.am/. uk/Cp.s/en (+/B.am/. drone/Cc.s/en startup/Cc.s/en))) (+/B.am/. torquing/Cp.s/en group/Cp.s/en) (of/Jr.ma/en 600/C#/en (ordered/P.o.&lt;f-----/en (the/Md/en (+/B.am/. (more/Mc/en (than/M/en 15,000/C#/en)) (+/B.am/. zano/Cp.s/en drones/Cc.p/en))))))</t>
  </si>
  <si>
    <t>Gunmen kill 10 Iraq security forces members</t>
  </si>
  <si>
    <t>(kill/Pd.so.|f-----/en gunmen/Cc.p/en (10/M#/en (+/B.am/. (+/B.am/. iraq/Cp.s/en (+/B.am/. security/Cc.s/en forces/Cc.p/en)) members/Cc.p/en)))</t>
  </si>
  <si>
    <t>push</t>
  </si>
  <si>
    <t>Spain's government pushes unpopular abortion ban</t>
  </si>
  <si>
    <t>(pushes/Pd.so.|f--3s-/en ('s/Bp.am/en spain/Cp.s/en government/Cc.s/en) (unpopular/Ma/en (+/B.am/. abortion/Cc.s/en ban/Cc.s/en)))</t>
  </si>
  <si>
    <t>An Islamic court in northern Nigeria ordered four men to be flogged with horsewhips after being found guilty of homosexuality</t>
  </si>
  <si>
    <t>(ordered/Pd.sor.&lt;f-----/en (in/Br.ma/en (an/Md/en (islamic/Ma/en court/Cc.s/en)) (northern/Ma/en nigeria/Cp.s/en)) (four/M#/en men/Cc.p/en) ((to/Mi/en (be/Mv.-i-----/en flogged/P.xx.&lt;pf----/en)) (with/T/en horsewhips/Cc.p/en) (after/T/en ((being/Mv.|pg----/en found/P.o.&lt;pf----/en) (of/Br.ma/en guilty/Ca/en homosexuality/Cc.s/en)))))</t>
  </si>
  <si>
    <t>Afghanistan President Ashraf Ghani slams Pakistan for harbouring terrorists, praises India</t>
  </si>
  <si>
    <t>(slams/Pd.sox?.|f--3s-/en (+/B.am/. (+/B.am/. afghanistan/Cp.s/en president/Cp.s/en) (+/B.am/. ashraf/Cp.s/en ghani/Cp.s/en)) pakistan/Cp.s/en (for/T/en (harbouring/P.o.|pg----/en terrorists/Cc.p/en)) (praises/Pd.o.|f--3s-/en india/Cp.s/en))</t>
  </si>
  <si>
    <t>North Korea to Publish Human Rights Report</t>
  </si>
  <si>
    <t>((to/Mi/en publish/Pd.so.-i-----/en) (+/B.am/. north/Cp.s/en korea/Cp.s/en) (+/B.am/. (+/B.am/. human/Cp.s/en rights/Cp.p/en) report/Cp.s/en))</t>
  </si>
  <si>
    <t>Chinese premier warns Australia 'taking sides' could lead to new cold war</t>
  </si>
  <si>
    <t>(warns/Pd.sor.|f--3s-/en (chinese/Ma/en premier/Cc.s/en) australia/Cp.s/en ((could/Mm/en lead/P.?x.-i-----/en) (taking/Pd.o.|pg----/en sides/Cc.p/en) (to/T/en (new/Ma/en (cold/Ma/en war/Cc.s/en)))))</t>
  </si>
  <si>
    <t>France military says Mali town Konna 'not recaptured' from Islamists denying an earlier claim by the Malian army</t>
  </si>
  <si>
    <t>(says/Pd.sor.|f--3s-/en (+/B.am/. france/Cp.s/en military/Cc.s/en) (+/B.mm/. (+/B.am/. mali/Cp.s/en town/Cc.s/en) konna/Cp.s/en) ((not/Mn/en recaptured/P.x.&lt;pf----/en) (from/T/en (denying/P.so.|pg----/en islamists/Cp.p/en (by/Br.ma/en (an/Md/en (earlier/Mc/en claim/Cc.s/en)) (the/Md/en (malian/Ma/en army/Cc.s/en)))))))</t>
  </si>
  <si>
    <t>Alberta NDP gov't will make discrimination against transgender people illegal</t>
  </si>
  <si>
    <t>((will/Mm/en make/Pd.sor.-i-----/en) (+/B.am/. alberta/Cp.s/en (+/B.am/. ndp/Cp.s/en gov't/Cp.s/en)) (against/Br.ma/en discrimination/Cc.s/en (+/B.am/. transgender/Cc.s/en people/Cc.p/en)) illegal/Ca/en)</t>
  </si>
  <si>
    <t>help</t>
  </si>
  <si>
    <t>Lasers help faster detection of bacterial growth in packaged food</t>
  </si>
  <si>
    <t>(help/Pd.so.|f-----/en lasers/Cc.p/en (of/Br.ma/en (faster/Mc/en detection/Cc.s/en) (in/Br.ma/en (bacterial/Ma/en growth/Cc.s/en) (packaged/Mv.&lt;pf----/en food/Cc.s/en))))</t>
  </si>
  <si>
    <t>privatize</t>
  </si>
  <si>
    <t>Cuba to privatize 9,000 restaurants</t>
  </si>
  <si>
    <t>((to/Mi/en privatize/Pd.so.-i-----/en) cuba/Cp.s/en (9,000/M#/en restaurants/Cc.p/en))</t>
  </si>
  <si>
    <t>Britain urges direct talks between Israel,</t>
  </si>
  <si>
    <t>(urges/Pd.so.|f--3s-/en britain/Cp.s/en (between/Br.ma/en (direct/Ma/en talks/Cc.p/en) (,/Mj/en israel/Cp.s/en)))</t>
  </si>
  <si>
    <t>Pakistan aid workers pay the ultimate price for the killing of Osama bin Laden</t>
  </si>
  <si>
    <t>(pay/Pd.so.|f-----/en (+/B.am/. pakistan/Cp.s/en (+/B.am/. aid/Cc.s/en workers/Cc.p/en)) (for/Br.ma/en (the/Md/en (ultimate/Ma/en price/Cc.s/en)) (of/Br.ma/en (the/Md/en killing/Cc.s/en) (+/B.am/. osama/Cp.s/en (+/B.am/. bin/Cp.s/en laden/Cp.s/en)))))</t>
  </si>
  <si>
    <t>independence movement should be addressed, UN chief tells Security Council</t>
  </si>
  <si>
    <t>(tells/Pd.rso.|f--3s-/en ((should/Mm/en (be/Mv.-i-----/en addressed/P.p.&lt;pf----/en)) (+/B.am/. independence/Cc.s/en movement/Cc.s/en)) (+/B.am/. un/Cp.s/en chief/Cc.s/en) (+/B.am/. security/Cp.s/en council/Cp.s/en))</t>
  </si>
  <si>
    <t>suggest</t>
  </si>
  <si>
    <t>Turkish state news agency suggests link between Boko Haram and Western interests in Nigerian oil</t>
  </si>
  <si>
    <t>(suggests/Pd.so.|f--3s-/en (turkish/Ma/en (+/B.am/. state/Cc.s/en (+/B.am/. news/Cc.s/en agency/Cc.s/en))) (between/Br.ma/en link/Cc.s/en (in/Br.ma/en (and/J/en (+/B.am/. boko/Cp.s/en haram/Cp.s/en) (western/Ma/en interests/Cc.p/en)) (nigerian/Ma/en oil/Cc.s/en))))</t>
  </si>
  <si>
    <t>Former UK PM Gordon Brown has described the forced migration of 130,000 British children as a bigger sex abuse scandal than that perpetrated by Jimmy Savile</t>
  </si>
  <si>
    <t>((has/Mv.|f--3s-/en described/Pd.so.&lt;pf----/en) (+/B.am/. (+/B.am/. (former/Ma/en uk/Cp.s/en) pm/Cp.s/en) (+/B.am/. gordon/Cp.s/en brown/Cp.s/en)) (as/Br.ma/en (of/Br.ma/en (the/Md/en (forced/Mv.&lt;pf----/en migration/Cc.s/en)) (130,000/M#/en (british/Ma/en children/Cc.p/en))) (a/Md/en (bigger/Mc/en (+/B.mm/. (+/B.am/. (+/B.am/. sex/Cc.s/en abuse/Cc.s/en) scandal/Cc.s/en) (than/Jr.ma/en that/Cd/en (perpetrated/P.a.&lt;pf----/en (by/T/en (+/B.am/. jimmy/Cp.s/en savile/Cp.s/en)))))))))</t>
  </si>
  <si>
    <t>Bahrain protest attracts tens of thousands, no clashes</t>
  </si>
  <si>
    <t>(attracts/Pd.so.|f--3s-/en (+/B.am/. bahrain/Cp.s/en protest/Cc.s/en) (+/B.mm/. (+/B.am/. tens/Cc.p/en (of/M/en thousands/Cc.p/en)) (no/Md/en clashes/Cc.p/en)))</t>
  </si>
  <si>
    <t>reinstate</t>
  </si>
  <si>
    <t>Kim Jong-un reinstates 'pleasure troupe' harem of young women</t>
  </si>
  <si>
    <t>(reinstates/Pd.so.|f--3s-/en (+/B.am/. kim/Cp.s/en (+/B.am/. jong/Cp.s/en un/Cp.s/en)) (of/Br.ma/en ('/Bp.am/en (+/B.am/. pleasure/Cc.s/en troupe/Cc.s/en) harem/Cp.s/en) (young/Ma/en women/Cc.p/en)))</t>
  </si>
  <si>
    <t>improve</t>
  </si>
  <si>
    <t>Fossil Fuels Improve the Planet</t>
  </si>
  <si>
    <t>(improve/Pd.so.|f-----/en (+/B.am/. fossil/Cp.s/en fuels/Cp.p/en) (the/Md/en planet/Cp.s/en))</t>
  </si>
  <si>
    <t>US Drone Strike Kills Two in Southeast Yemen</t>
  </si>
  <si>
    <t>(kills/Pd.so.|f--3s-/en (+/B.am/. (+/B.am/. us/Cp.s/en drone/Cp.s/en) strike/Cc.s/en) (in/Br.ma/en two/C#/en (+/B.am/. southeast/Cp.s/en yemen/Cp.s/en)))</t>
  </si>
  <si>
    <t>China will launch a two-man space mission, Shenzhou 11, on Monday, officials with the space program said, taking the country closer to its ambition of setting up a permanent manned space station by 2022</t>
  </si>
  <si>
    <t>((will/Mm/en launch/Pd.sot.-i-----/en) china/Cp.s/en (+/B.mm/. (a/Md/en (+/B.am/. (two/M#/en man/Cc.s/en) (+/B.am/. space/Cc.s/en mission/Cc.s/en))) (11/M#/en shenzhou/Cp.s/en)) (said/Pd.xsx.&lt;f-----/en (on/Tt/en monday/Cp.s/en) (with/Br.ma/en officials/Cc.p/en (the/Md/en (+/B.am/. space/Cc.s/en program/Cc.s/en))) (taking/Pd.o?.|pg----/en (the/Md/en country/Cc.s/en) (to/Br.ma/en closer/C/en (of/Jr.ma/en (its/Mp/en ambition/Cc.s/en) ((up/Ml/en setting/P.ox.|pg----/en) (a/Md/en (permanent/Ma/en (manned/Mv.&lt;pf----/en (+/B.am/. space/Cc.s/en station/Cc.s/en)))) (by/Tt/en 2022/C#/en)))))))</t>
  </si>
  <si>
    <t>Venezuela wins long coveted – and long denied – UN Security Council seat</t>
  </si>
  <si>
    <t>(wins/Pd.soo.|f--3s-/en venezuela/Cp.s/en (and/J/en (long/M/en coveted/Ca/en) (long/M/en denied/Pd..&lt;pf----/en)) (+/B.am/. (+/B.am/. un/Cp.s/en (+/B.am/. security/Cp.s/en council/Cp.s/en)) seat/Cc.s/en))</t>
  </si>
  <si>
    <t>Egypt opens first solar-powered gas station</t>
  </si>
  <si>
    <t>(opens/Pd.so.|f--3s-/en egypt/Cp.s/en (first/Ma/en ((solar/M/en powered/Mv.&lt;pf----/en) (+/B.am/. gas/Cc.s/en station/Cc.s/en))))</t>
  </si>
  <si>
    <t>enter</t>
  </si>
  <si>
    <t>Obama: Terror threat against US has entered 'new phase</t>
  </si>
  <si>
    <t>((has/Mv.|f--3s-/en entered/Pd.sso.&lt;pf----/en) obama/Cp.s/en (against/Br.ma/en (+/B.am/. terror/Cc.s/en threat/Cc.s/en) us/Cp.s/en) (new/Ma/en phase/Cc.s/en))</t>
  </si>
  <si>
    <t>Israel orders more demolitions of Palestinian flats in Jerusalem</t>
  </si>
  <si>
    <t>(orders/Pd.so.|f--3s-/en israel/Cp.s/en (in/Br.ma/en (of/Br.ma/en (more/Mc/en demolitions/Cc.p/en) (palestinian/Ma/en flats/Cc.p/en)) jerusalem/Cp.s/en))</t>
  </si>
  <si>
    <t>New, more ambitious goals from dozens of major cities boosts earlier historic deal between the world’s two biggest carbon polluting countries</t>
  </si>
  <si>
    <t>(boosts/Pd.so.|f--3s-/en (from/Br.ma/en (new/Ma/en ((more/M=/en ambitious/Ma/en) goals/Cc.p/en)) (of/Br.ma/en dozens/Cc.p/en (major/Ma/en cities/Cc.p/en))) (between/Br.ma/en (earlier/Mc/en (historic/Ma/en deal/Cc.s/en)) (’s/Bp.am/en (the/Md/en world/Cc.s/en) (two/M#/en (biggest/Ms/en ((carbon/M/en polluting/Mv.|pg----/en) countries/Cc.p/en))))))</t>
  </si>
  <si>
    <t>Activist can sue Trump golf resort for breach of privacy, court rules</t>
  </si>
  <si>
    <t>((can/Mm/en sue/Pd.so?.-i-----/en) activist/Cp.s/en (for/Br.ma/en (trump/Md/en (+/B.am/. golf/Cc.s/en resort/Cc.s/en)) (of/Br.ma/en breach/Cc.s/en privacy/Cc.s/en)) (+/B.am/. court/Cc.s/en rules/Cc.p/en))</t>
  </si>
  <si>
    <t>Shetland ‘Vikings’ seek autonomy from Scotland</t>
  </si>
  <si>
    <t>(seek/Pd.so.|f-----/en (+/B.mm/. shetland/Cc.s/en vikings/Cc.p/en) (from/Br.ma/en autonomy/Cc.s/en scotland/Cp.s/en))</t>
  </si>
  <si>
    <t>Putin sends in his most ruthless special forces killers</t>
  </si>
  <si>
    <t>((in/Ml/en sends/Pd.soo.|f--3s-/en) putin/Cp.s/en (his/Mp/en ((most/M^/en ruthless/Ma/en) (special/Ma/en forces/Cc.p/en))) killers/Cc.p/en)</t>
  </si>
  <si>
    <t>Nepal leader assures China of implementing key bilateral deals</t>
  </si>
  <si>
    <t>(assures/Pd.sox.|f--3s-/en (+/B.am/. nepal/Cp.s/en leader/Cc.s/en) china/Cp.s/en (of/T/en (implementing/P.o.|pg----/en (key/Ma/en (bilateral/Ma/en deals/Cc.p/en)))))</t>
  </si>
  <si>
    <t>Israeli strike on Syrian town kills 5 pro-regime forces</t>
  </si>
  <si>
    <t>(kills/Pd.so.|f--3s-/en (on/Br.ma/en (israeli/Ma/en strike/Cc.s/en) (syrian/Ma/en town/Cc.s/en)) (5/M#/en (pro/Ma/en (-/Ma/en (regime/Ma/en forces/Cc.p/en)))))</t>
  </si>
  <si>
    <t>Irish Council Approves Drunk</t>
  </si>
  <si>
    <t>(approves/Pd.so.|f--3s-/en (+/B.am/. irish/Cp.s/en council/Cp.s/en) drunk/Cp.s/en)</t>
  </si>
  <si>
    <t>U.N. Security Council Approves Resolution on Syria Talks</t>
  </si>
  <si>
    <t>(approves/Pd.so.|f--3s-/en (+/B.am/. u%2en%2e/Cp.s/en (+/B.am/. security/Cp.s/en council/Cp.s/en)) (on/Br.ma/en resolution/Cp.s/en (+/B.am/. syria/Cp.s/en talks/Cp.p/en)))</t>
  </si>
  <si>
    <t>slash</t>
  </si>
  <si>
    <t>Thailand government to slash rice crop, sell stockpiles to cut glut</t>
  </si>
  <si>
    <t>((to/Mi/en slash/Pd.so?.-i-----/en) (+/B.am/. thailand/Cp.s/en government/Cc.s/en) (+/B.am/. rice/Cc.s/en crop/Cc.s/en) (sell/P!.ox.|f-----/en stockpiles/Cc.p/en ((to/Mi/en cut/Pd.o.-i-----/en) glut/Cc.s/en)))</t>
  </si>
  <si>
    <t>Syrian Troops Capture Village Near Northern City of Aleppo</t>
  </si>
  <si>
    <t>(capture/Pd.so.|f-----/en (syrian/Ma/en troops/Cc.p/en) (+/B.mm/. village/Cp.s/en (of/Br.ma/en (+/B.am/. near/Cp.s/en (+/B.am/. northern/Cp.s/en city/Cp.s/en)) aleppo/Cp.s/en)))</t>
  </si>
  <si>
    <t>damage</t>
  </si>
  <si>
    <t>Low social status 'can damage immune system</t>
  </si>
  <si>
    <t>((can/Mm/en damage/Pd.so.-i-----/en) (low/Ma/en (social/Ma/en status/Cc.s/en)) (immune/Ma/en system/Cc.s/en))</t>
  </si>
  <si>
    <t>Thai PM says occupation of state buildings threat to stability</t>
  </si>
  <si>
    <t>(says/Pd.so.|f--3s-/en (thai/Ma/en pm/Cp.s/en) (of/Br.ma/en occupation/Cc.s/en (to/Br.ma/en (+/B.am/. (+/B.am/. state/Cc.s/en buildings/Cc.p/en) threat/C/en) stability/Cc.s/en)))</t>
  </si>
  <si>
    <t>Moldova Asks Russia To Withdraw Troops</t>
  </si>
  <si>
    <t>(asks/Pd.sor.|f--3s-/en moldova/Cp.s/en russia/Cp.s/en ((to/Mi/en withdraw/P.o.-i-----/en) troops/Cc.p/en))</t>
  </si>
  <si>
    <t>roll</t>
  </si>
  <si>
    <t>Taipei rolls out same-sex partnership certificates</t>
  </si>
  <si>
    <t>((out/Ml/en rolls/Pd.so.|f--3s-/en) taipei/Cp.s/en (+/B.am/. (+/B.am/. (same/Ma/en sex/Cc.s/en) partnership/Cc.s/en) certificates/Cc.p/en))</t>
  </si>
  <si>
    <t>Abortion poll finds two-thirds favour decriminalisation</t>
  </si>
  <si>
    <t>(finds/Pd.so.|f--3s-/en (+/B.am/. abortion/Cc.s/en poll/Cc.s/en) (+/B.am/. (two/M#/en thirds/Cc.p/en) (+/B.am/. favour/Cc.s/en decriminalisation/Cc.s/en)))</t>
  </si>
  <si>
    <t>European Airlines Air France, Lufthansa Suspend All Flights to Tel Aviv</t>
  </si>
  <si>
    <t>(suspend/Pd.?so.|f-----/en (+/B.am/. (+/B.am/. european/Cp.s/en airlines/Cp.p/en) (+/B.am/. air/Cp.s/en france/Cp.s/en)) lufthansa/Cp.s/en (to/Br.ma/en (all/Md/en flights/Cp.p/en) (+/B.am/. tel/Cp.s/en aviv/Cp.s/en)))</t>
  </si>
  <si>
    <t>Tokyo wants hotline with Pyongyang</t>
  </si>
  <si>
    <t>(wants/Pd.so.|f--3s-/en tokyo/Cp.s/en (with/Br.ma/en hotline/Cc.s/en pyongyang/Cp.s/en))</t>
  </si>
  <si>
    <t>Police seize 31 modified 'drift cars' in Oman</t>
  </si>
  <si>
    <t>(seize/Pd.so.|f-----/en police/Cc.p/en (in/Br.ma/en (31/M#/en (modified/Mv.&lt;pf----/en (+/B.am/. drift/Cc.s/en cars/Cc.p/en))) oman/Cp.s/en))</t>
  </si>
  <si>
    <t>cancel</t>
  </si>
  <si>
    <t>Air Canada cancels flights to Israel</t>
  </si>
  <si>
    <t>(cancels/Pd.so.|f--3s-/en (+/B.am/. air/Cp.s/en canada/Cp.s/en) (to/Br.ma/en flights/Cc.p/en israel/Cp.s/en))</t>
  </si>
  <si>
    <t>Iraqi Militants Attack Anbar University, Take Students Hostage</t>
  </si>
  <si>
    <t>(take/Pd.sio.-i-----/en (+/B.am/. (+/B.mm/. (iraqi/Ma/en militants/Cp.p/en) attack/Cp.s/en) (+/B.am/. anbar/Cp.s/en university/Cp.s/en)) students/Cc.p/en hostage/Cc.s/en)</t>
  </si>
  <si>
    <t>donate</t>
  </si>
  <si>
    <t>Phil Collins Donates Priceless Alamo Artifacts</t>
  </si>
  <si>
    <t>(donates/Pd.so.|f--3s-/en (+/B.am/. phil/Cp.s/en collins/Cp.s/en) (+/B.am/. (+/B.am/. priceless/Cp.s/en alamo/Cp.s/en) artifacts/Cc.p/en))</t>
  </si>
  <si>
    <t>stir</t>
  </si>
  <si>
    <t>Harlem Shake Dance Stirs The Middle East</t>
  </si>
  <si>
    <t>(stirs/Pd.so.|f--3s-/en (+/B.am/. harlem/Cp.s/en (+/B.am/. shake/Cp.s/en dance/Cc.s/en)) (the/Md/en (+/B.am/. middle/Cp.s/en east/Cp.s/en)))</t>
  </si>
  <si>
    <t>Hong Kong maids lose residency fight (AlJazeera</t>
  </si>
  <si>
    <t>(lose/Pd.so.|f-----/en (+/B.am/. (+/B.am/. hong/Cp.s/en kong/Cp.s/en) maids/Cc.p/en) (+/B.mm/. (+/B.am/. residency/Cc.s/en fight/Cc.s/en) aljazeera/Cp.s/en))</t>
  </si>
  <si>
    <t>hint</t>
  </si>
  <si>
    <t>France hints euro zone should ease stance for Greek deal</t>
  </si>
  <si>
    <t>(hints/Pd.sor.|f--3s-/en france/Cp.s/en (+/B.am/. euro/Cp.s/en zone/Cp.s/en) ((should/Mm/en ease/P.o.-i-----/en) (for/Br.ma/en stance/Cc.s/en (greek/Ma/en deal/Cc.s/en))))</t>
  </si>
  <si>
    <t>The UN is launching an inquiry into the impact on civilians of drone strikes and other targeted killings</t>
  </si>
  <si>
    <t>((is/Mv.|f--3s-/en launching/Pd.so.|pg----/en) (the/Md/en un/Cp.s/en) (into/Br.ma/en (an/Md/en inquiry/Cc.s/en) (on/Br.ma/en (the/Md/en impact/Cc.s/en) (of/Br.ma/en civilians/Cc.p/en (and/J/en (+/B.am/. drone/Cc.s/en strikes/Cc.p/en) (other/Ma/en (targeted/Mv.&lt;pf----/en killings/Cc.p/en)))))))</t>
  </si>
  <si>
    <t>Israel rejects appeal against force-feeding prisoners</t>
  </si>
  <si>
    <t>(rejects/Pd.so.|f--3s-/en israel/Cp.s/en (against/Br.ma/en appeal/Cc.s/en ((force/M/en feeding/Mv.|pg----/en) prisoners/Cc.p/en)))</t>
  </si>
  <si>
    <t>Christian militant outfit kills 14 in Assam, India</t>
  </si>
  <si>
    <t>(kills/Pd.so.|f--3s-/en (christian/Ma/en (militant/Ma/en outfit/Cc.s/en)) (in/Br.ma/en 14/C#/en (,/J/en assam/Cp.s/en india/Cp.s/en)))</t>
  </si>
  <si>
    <t>include</t>
  </si>
  <si>
    <t>UK Government Twitter gaffe includes Isle of Man in UK map during independance debates</t>
  </si>
  <si>
    <t>(includes/Pd.so.|f--3s-/en (+/B.am/. (+/B.am/. uk/Cp.s/en government/Cp.s/en) (+/B.am/. twitter/Cp.s/en gaffe/Cc.s/en)) (during/Br.ma/en (+/B.am/. (in/Br.ma/en (of/Br.ma/en isle/Cm/en man/Cp.s/en) uk/Cp.s/en) map/Cc.s/en) (+/B.am/. independance/Cc.s/en debates/Cc.p/en)))</t>
  </si>
  <si>
    <t>US stirring up ‘Iranophobia’ to boost arms sales to Arab nations – Tehran</t>
  </si>
  <si>
    <t>((up/Ml/en stirring/Pd.sor.|pg----/en) us/Cp.s/en iranophobia/Cp.s/en ((to/Mi/en boost/P.ox.-i-----/en) (+/B.am/. arms/Cc.p/en sales/Cc.p/en) (to/T/en (+/B.mm/. (arab/Ma/en nations/Cc.p/en) tehran/Cp.s/en))))</t>
  </si>
  <si>
    <t>A Glut of Coal-Fired Plants Raises Doubts About China’s Energy Priorities</t>
  </si>
  <si>
    <t>(raises/Pd.so.|f--3s-/en (of/Br.ma/en (a/Md/en glut/Cp.s/en) (+/B.am/. (+/B.am/. coal/Cc.s/en fired/Cp.s/en) plants/Cp.p/en)) (about/Br.ma/en doubts/Cp.s/en (’s/Bp.am/en china/Cp.s/en (+/B.am/. energy/Cp.s/en priorities/Cp.p/en))))</t>
  </si>
  <si>
    <t>battle</t>
  </si>
  <si>
    <t>Libyan forces battle Islamic State snipers for streets of Sirte</t>
  </si>
  <si>
    <t>(battle/Pd.so.|f-----/en (libyan/Ma/en forces/Cc.p/en) (for/Br.ma/en (+/B.am/. (+/B.am/. islamic/Cp.s/en state/Cp.s/en) snipers/Cc.p/en) (of/Br.ma/en streets/Cc.p/en sirte/Cp.s/en)))</t>
  </si>
  <si>
    <t>Drunk' squirrel causes hundreds of pounds damage</t>
  </si>
  <si>
    <t>(causes/Pd.so.|f--3s-/en (+/B.am/. drunk/Cm/en squirrel/Cc.s/en) (of/Br.ma/en hundreds/Cc.p/en (of/Br.ma/en pounds/Cc.p/en damage/Cc.s/en)))</t>
  </si>
  <si>
    <t>denounce</t>
  </si>
  <si>
    <t>China denounces US cyber-theft charges</t>
  </si>
  <si>
    <t>(denounces/Pd.so.|f--3s-/en china/Cp.s/en (+/B.am/. us/Cp.s/en (+/B.am/. (+/B.am/. cyber/Cc.s/en theft/Cc.s/en) charges/Cc.p/en)))</t>
  </si>
  <si>
    <t>Austrian election could produce first EU far-right head of state</t>
  </si>
  <si>
    <t>((could/Mm/en produce/Pd.so.-i-----/en) (austrian/Ma/en election/Cc.s/en) (of/Br.ma/en (+/B.am/. (first/Ma/en eu/Cm/en) ((far/M/en right/Ma/en) head/Cc.s/en)) state/Cc.s/en))</t>
  </si>
  <si>
    <t>#48KMarch to Jerusalem triggers deadly clashes</t>
  </si>
  <si>
    <t>(triggers/Pd.so.|f--3s-/en (to/Br.ma/en (#/M/en 48kmarch/C#/en) jerusalem/Cp.s/en) (deadly/Ma/en clashes/Cc.p/en))</t>
  </si>
  <si>
    <t>sentence</t>
  </si>
  <si>
    <t>UAE sentences Emirati woman to death for killing U.S. teacher</t>
  </si>
  <si>
    <t>(sentences/Pd.soxx.|f--3s-/en uae/Cp.s/en (+/B.am/. emirati/Cp.s/en woman/Cc.s/en) (to/T/en death/Cc.s/en) (for/T/en (killing/P.o.|pg----/en (+/B.am/. u%2es%2e/Cp.s/en teacher/Cc.s/en))))</t>
  </si>
  <si>
    <t>leak</t>
  </si>
  <si>
    <t>Wikileaks leaks alleged emails between American officials and intelligence contractors</t>
  </si>
  <si>
    <t>(leaks/Pd.so.|f--3s-/en wikileaks/Cc.p/en (between/Br.ma/en (alleged/Mv.&lt;pf----/en emails/Cc.p/en) (and/J/en (american/Ma/en officials/Cc.p/en) (+/B.am/. intelligence/Cc.s/en contractors/Cc.p/en))))</t>
  </si>
  <si>
    <t>Chinese island-building in the South China Sea is causing "irreversible and widespread damage to biodiversity and ecological balance," according to the Philippines; Manila accused China of disregarding the people who rely on the sea by destroying coral reefs to create new islands</t>
  </si>
  <si>
    <t>(accused/Pd.rsox.&lt;f-----/en ((is/Mv.|f--3s-/en causing/P.sox.|pg----/en) (in/Br.ma/en (chinese/Ma/en (+/B.am/. island/Cc.s/en building/Cc.s/en)) (the/Md/en (+/B.am/. (+/B.am/. south/Cp.s/en china/Cp.s/en) sea/Cp.s/en))) (to/Br.ma/en (+/B.am/. ((irreversible/Ma/en and/Mj/en) widespread/Ca/en) damage/Cc.s/en) (+/B.am/. (and/J/en biodiversity/Cm/en ecological/Ca/en) balance/Cc.s/en)) (according/Tv.|pg----/en (to/Mt/en (the/Md/en philippines/Cp.p/en)))) manila/Cp.s/en china/Cp.s/en (of/T/en (disregarding/P.o?.|pg----/en (the/Md/en people/Cc.p/en) (rely/P.sxx.|f-----/en who/Cw/en (on/T/en (the/Md/en sea/Cc.s/en)) (by/T/en (destroying/P.ox.|pg----/en (coral/Ma/en reefs/Cc.p/en) ((to/Mi/en create/Pd.o.-i-----/en) (new/Ma/en islands/Cc.p/en))))))))</t>
  </si>
  <si>
    <t>US troops have immunity in Iraq</t>
  </si>
  <si>
    <t>(have/Pd.so.|f-----/en (+/B.am/. us/Cp.s/en troops/Cc.p/en) (in/Br.ma/en immunity/Cc.s/en iraq/Cp.s/en))</t>
  </si>
  <si>
    <t>summon</t>
  </si>
  <si>
    <t>Malaysian govt summons Australian and U.S. over spying network in Asia</t>
  </si>
  <si>
    <t>(summons/Pd.sox.|f--3s-/en (malaysian/Ma/en govt/Cc.s/en) (and/J/en australian/Cp.s/en u%2es%2e/Cp.s/en) (over/T/en (spying/P.o.|pg----/en (in/Br.ma/en network/Cc.s/en asia/Cp.s/en))))</t>
  </si>
  <si>
    <t>Polish government wins standoff over Gdansk war museum</t>
  </si>
  <si>
    <t>(wins/Pd.so.|f--3s-/en (polish/Ma/en government/Cc.s/en) (over/Br.ma/en standoff/Cc.s/en (+/B.am/. gdansk/Cp.s/en (+/B.am/. war/Cc.s/en museum/Cc.s/en))))</t>
  </si>
  <si>
    <t>Dutch reject 'imbecilic' song for new king</t>
  </si>
  <si>
    <t>(reject/Pd.so.|f-----/en dutch/Ca/en (for/Br.ma/en (imbecilic/Ma/en song/Cc.s/en) (new/Ma/en king/Cc.s/en)))</t>
  </si>
  <si>
    <t>fire</t>
  </si>
  <si>
    <t>Very high' chance North Korea will fire missile, U.S. and South Korea say</t>
  </si>
  <si>
    <t>((will/Mm/en fire/Pd.?so?.-i-----/en) ((very/M/en high/Ma/en) chance/Cc.s/en) (+/B.am/. north/Cp.s/en korea/Cp.s/en) (+/B.mm/. missile/Cc.s/en (and/J/en u%2es%2e/Cp.s/en (+/B.am/. south/Cp.s/en korea/Cp.s/en))) say/C/en)</t>
  </si>
  <si>
    <t>Hong Kong police arrest 19 in night of clashes with 'criminal gangs</t>
  </si>
  <si>
    <t>(arrest/Pd.so.|f-----/en (+/B.am/. (+/B.am/. hong/Cp.s/en kong/Cp.s/en) police/Cc.p/en) (in/Br.ma/en 19/C#/en (of/Br.ma/en night/Cc.s/en (with/Br.ma/en clashes/Cc.p/en (criminal/Ma/en gangs/Cc.p/en)))))</t>
  </si>
  <si>
    <t>Philippine Caregiver Wins Israel's X-Factor</t>
  </si>
  <si>
    <t>(wins/Pd.sooo.|f--3s-/en (+/B.am/. philippine/Cp.s/en caregiver/Cp.s/en) ('s/Bp.am/en israel/Cp.s/en x/Cc.s/en) -/Cc.s/en factor/Cc.s/en)</t>
  </si>
  <si>
    <t>Ji Yingnan and other jilted mistresses expose Chinese officials’ corruption</t>
  </si>
  <si>
    <t>(expose/Pd.so.|f-----/en (and/J/en (+/B.am/. ji/Cp.s/en yingnan/Cp.s/en) (other/Ma/en (jilted/Ma/en mistresses/Cc.p/en))) (’/Bp.am/en (chinese/Ma/en officials/Cc.p/en) corruption/Cc.s/en))</t>
  </si>
  <si>
    <t>Air Asia flight from Indonesia to Singapore loses contact with air traffic control</t>
  </si>
  <si>
    <t>(loses/Pd.so.|f--3s-/en (+/B.mm/. (+/B.am/. (+/B.am/. air/Cp.s/en asia/Cp.s/en) flight/Cc.s/en) (from/Br.ma/en indonesia/Cp.s/en (+/B.mm/. to/C/en singapore/Cp.s/en))) (with/Br.ma/en contact/Cc.s/en (+/B.am/. (+/B.am/. air/Cc.s/en traffic/Cc.s/en) control/Cc.s/en)))</t>
  </si>
  <si>
    <t>Wikileaks just released three "insurance" torrents via their Facebook page, one includes a whopping 349 gigabytes of data</t>
  </si>
  <si>
    <t>(includes/Pd.rso.|f--3s-/en ((just/M/en released/P.sox.&lt;f-----/en) wikileaks/Cc.p/en (three/M#/en (+/B.am/. insurance/Cm/en torrents/Cc.p/en)) (via/T/en (their/Mp/en (+/B.am/. facebook/Cp.s/en page/Cc.s/en)))) one/Ci/en (of/Br.ma/en (a/Md/en (whopping/Ma/en (349/M#/en gigabytes/Cc.p/en))) data/Cc.p/en))</t>
  </si>
  <si>
    <t>Driver 'told pack of lies</t>
  </si>
  <si>
    <t>(told/Pd.so.&lt;f-----/en driver/Cp.s/en (of/Br.ma/en pack/Cc.s/en lies/Cc.p/en))</t>
  </si>
  <si>
    <t>Mexican drug lord 'El Chapo' gets April 2018 U.S. trial date</t>
  </si>
  <si>
    <t>(gets/Pd.so.|f--3s-/en (+/B.am/. (mexican/Ma/en drug/Cc.s/en) (+/B.mm/. (+/B.mm/. lord/Cp.s/en '/Cp.s/en) (+/B.am/. el/Cp.s/en chapo/Cp.s/en))) (+/B.am/. (+/B.am/. (2018/M#/en april/Cm/en) u%2es%2e/Cp.s/en) (+/B.am/. trial/Cc.s/en date/Cc.s/en)))</t>
  </si>
  <si>
    <t>U.S. dismisses Russian concern about missile defense system in South Korea</t>
  </si>
  <si>
    <t>(dismisses/Pd.so.|f--3s-/en u%2es%2e/Cp.s/en (about/Br.ma/en (russian/Ma/en concern/Cc.s/en) (in/Br.ma/en (+/B.am/. (+/B.am/. missile/Cc.s/en defense/Cc.s/en) system/Cc.s/en) (+/B.am/. south/Cp.s/en korea/Cp.s/en))))</t>
  </si>
  <si>
    <t>Sexual slavery victim holds 'Wednesday rally' in front of Japan's Embassy Washington</t>
  </si>
  <si>
    <t>(holds/Pd.so.|f--3s-/en (+/B.am/. (sexual/Ma/en slavery/Cc.s/en) victim/Cc.s/en) (in/Br.ma/en (+/B.am/. wednesday/Cp.s/en rally/Cc.s/en) (of/Br.ma/en front/Cc.s/en (in/Br.ma/en ('s/Bp.am/en japan/Cp.s/en embassy/Cp.s/en) washington/Cp.s/en))))</t>
  </si>
  <si>
    <t>confiscate</t>
  </si>
  <si>
    <t>Ukraine’s Security Service Has Confiscated Air Traffic Control Recordings With Malaysian Jet</t>
  </si>
  <si>
    <t>((has/Mv.|f--3s-/en confiscated/Pd.so.&lt;pf----/en) (’s/Bp.am/en ukraine/Cp.s/en (+/B.am/. security/Cp.s/en service/Cp.s/en)) (with/Br.ma/en (+/B.am/. (+/B.am/. air/Cp.s/en (+/B.am/. traffic/Cp.s/en control/Cp.s/en)) recordings/Cp.p/en) (malaysian/Ma/en jet/Cc.s/en)))</t>
  </si>
  <si>
    <t>Muslim extremists kill missionary, burn churches in Cameroon</t>
  </si>
  <si>
    <t>(kill/Pd.so?.|f-----/en (muslim/Ma/en extremists/Cc.p/en) missionary/Cc.s/en (burn/P!.ox.-i-----/en churches/Cc.p/en (in/T/en cameroon/Cp.s/en)))</t>
  </si>
  <si>
    <t>eliminate</t>
  </si>
  <si>
    <t>Puerto Rico Eliminates former two time winner Japan</t>
  </si>
  <si>
    <t>(eliminates/Pd.so.|f--3s-/en (+/B.am/. puerto/Cp.s/en rico/Cp.s/en) (+/B.mm/. (former/Ma/en (+/B.am/. (two/M#/en time/Cc.s/en) winner/Cc.s/en)) japan/Cp.s/en))</t>
  </si>
  <si>
    <t>Danish police raise internal alert level</t>
  </si>
  <si>
    <t>(raise/Pd.so.|f-----/en (danish/Ma/en police/Cc.p/en) (internal/Ma/en (alert/Ma/en level/Cc.s/en)))</t>
  </si>
  <si>
    <t>skip</t>
  </si>
  <si>
    <t>Netanyahu skips Mandela memorial</t>
  </si>
  <si>
    <t>(skips/Pd.so.|f--3s-/en netanyahu/Cp.s/en (+/B.am/. mandela/Cp.s/en memorial/Cc.s/en))</t>
  </si>
  <si>
    <t>Heavy pollution shuts schools in Iran's capital</t>
  </si>
  <si>
    <t>(shuts/Pd.so.|f--3s-/en (heavy/Ma/en pollution/Cc.s/en) (in/Br.ma/en schools/Cc.p/en ('s/Bp.am/en iran/Cp.s/en capital/Cc.s/en)))</t>
  </si>
  <si>
    <t>spot</t>
  </si>
  <si>
    <t>Malaysia turns away 800 boat people; Thailand spots 3rd boat</t>
  </si>
  <si>
    <t>(spots/Pd.rso.|f--3s-/en ((away/M/en turns/P.so.|f--3s-/en) malaysia/Cp.s/en (800/M#/en (+/B.am/. boat/Cc.s/en people/Cc.p/en))) thailand/Cp.s/en (+/B.am/. 3rd/Cp.s/en boat/Cc.s/en))</t>
  </si>
  <si>
    <t>469 Gaza children killed, over 370,000 need ‘psychosocial aid</t>
  </si>
  <si>
    <t>(killed/Pd.so.&lt;pf----/en (469/M#/en (+/B.am/. gaza/Cp.s/en children/Cc.p/en)) ((over/M/en 370,000/M#/en) (+/B.am/. need/Cm/en (psychosocial/Ma/en aid/Cc.s/en))))</t>
  </si>
  <si>
    <t>Rebel Group Demands Trade for Twelve Kidnapped Syrian Nuns</t>
  </si>
  <si>
    <t>(demands/Pd.so.|f--3s-/en (+/B.am/. rebel/Cp.s/en group/Cp.s/en) (for/Br.ma/en trade/Cp.s/en (twelve/Ma/en (kidnapped/Mv.&lt;pf----/en (syrian/Ma/en nuns/Cc.p/en)))))</t>
  </si>
  <si>
    <t>German University students declare BDS anti-Semitic</t>
  </si>
  <si>
    <t>(declare/Pd.soror.|f-----/en (+/B.am/. (+/B.am/. german/Cp.s/en university/Cp.s/en) students/Cc.p/en) bds/Cp.s/en anti/Ca/en -/Ca/en semitic/Ca/en)</t>
  </si>
  <si>
    <t>Marvel, Star Wars trade Twitter barbs, fans lose their minds</t>
  </si>
  <si>
    <t>(lose/Pd.sso.|f-----/en (+/B.mm/. marvel/Cp.s/en (+/B.am/. (+/B.am/. (+/B.am/. star/Cp.s/en wars/Cp.p/en) trade/Cc.s/en) (+/B.am/. twitter/Cp.s/en barbs/Cc.p/en))) fans/Cc.p/en (their/Mp/en minds/Cc.p/en))</t>
  </si>
  <si>
    <t>Venezuelan president, Nicolas Maduro, alleges seventh coup attempt on anniversary of protests</t>
  </si>
  <si>
    <t>(alleges/Pd.so.|f--3s-/en (+/B.mm/. (venezuelan/Ma/en president/Cc.s/en) (+/B.am/. nicolas/Cp.s/en maduro/Cp.s/en)) (on/Br.ma/en (seventh/Ma/en (+/B.am/. coup/Cc.s/en attempt/Cc.s/en)) (of/Br.ma/en anniversary/Cc.s/en protests/Cc.p/en)))</t>
  </si>
  <si>
    <t>demolish</t>
  </si>
  <si>
    <t>Israeli forces demolish homes, structures east of Bethlehem</t>
  </si>
  <si>
    <t>(demolish/Pd.so.|f-----/en (israeli/Ma/en forces/Cc.p/en) (,/J/en homes/Cc.p/en ((east/M/en of/Br.ma/en) structures/C/en bethlehem/Cp.s/en)))</t>
  </si>
  <si>
    <t>scold</t>
  </si>
  <si>
    <t>President Erdogan scolds Obama's 'silence' on slain Muslims students</t>
  </si>
  <si>
    <t>(scolds/Pd.so.|f--3s-/en (+/B.am/. president/Cp.s/en erdogan/Cp.s/en) (on/Br.ma/en ('s/Bp.am/en obama/Cp.s/en silence/Cc.s/en) (+/B.am/. (slain/Mv.&lt;pf----/en muslims/Cp.p/en) students/Cc.p/en)))</t>
  </si>
  <si>
    <t>China Communist Party declares Xi 'core' leader: Xinhua</t>
  </si>
  <si>
    <t>(declares/Pd.so.|f--3s-/en (+/B.am/. china/Cp.s/en (+/B.am/. communist/Cp.s/en party/Cp.s/en)) (+/B.mm/. (+/B.mm/. xi/Cp.s/en (+/B.am/. core/Cm/en leader/Cc.s/en)) xinhua/Cp.s/en))</t>
  </si>
  <si>
    <t>RBS tells investors sell everything</t>
  </si>
  <si>
    <t>(tells/Pd.sor.|f--3s-/en rbs/Cp.s/en investors/Cc.p/en (sell/P.o.-i-----/en everything/Cc.s/en))</t>
  </si>
  <si>
    <t>Georgia parliament approves prisoner amnesty</t>
  </si>
  <si>
    <t>(approves/Pd.so.|f--3s-/en (+/B.am/. georgia/Cp.s/en parliament/Cc.s/en) (+/B.am/. prisoner/Cc.s/en amnesty/Cc.s/en))</t>
  </si>
  <si>
    <t>Thai police announce two new suspects in Bangkok bombing</t>
  </si>
  <si>
    <t>(announce/Pd.sor.|f-----/en (thai/Ma/en police/Cc.p/en) (in/Br.ma/en (two/M#/en (new/Ma/en suspects/Cc.p/en)) bangkok/Cp.s/en) bombing/Cc.s/en)</t>
  </si>
  <si>
    <t>Insult to the imperial family by South Korean media is destroying the Japan-Korea relations</t>
  </si>
  <si>
    <t>((is/Mv.|f--3s-/en destroying/Pd.so.|pg----/en) (to/Br.ma/en insult/Cc.s/en (by/Br.ma/en (the/Md/en (imperial/Ma/en family/Cc.s/en)) ((south/Ma/en korean/Ma/en) media/Cc.p/en))) (the/Md/en (+/B.am/. (+/B.am/. japan/Cp.s/en korea/Cp.s/en) relations/Cc.p/en)))</t>
  </si>
  <si>
    <t>fear</t>
  </si>
  <si>
    <t>Opponents of TPP fear ugly compromise</t>
  </si>
  <si>
    <t>(fear/Pd.so.|f-----/en (of/Br.ma/en opponents/Cc.p/en tpp/Cp.s/en) (ugly/Ma/en compromise/Cc.s/en))</t>
  </si>
  <si>
    <t>Hackers cause disruption in several European countries</t>
  </si>
  <si>
    <t>(cause/Pd.so.|f-----/en hackers/Cc.p/en (in/Br.ma/en disruption/Cc.s/en (several/Ma/en (european/Ma/en countries/Cc.p/en))))</t>
  </si>
  <si>
    <t>India orders TV stations not to give rapist a platform</t>
  </si>
  <si>
    <t>(orders/Pd.sor.|f--3s-/en india/Cp.s/en (+/B.am/. tv/Cc.s/en stations/Cc.p/en) ((not/Mn/en (to/Mi/en give/P.io.-i-----/en)) rapist/Cc.s/en (a/Md/en platform/Cc.s/en)))</t>
  </si>
  <si>
    <t>Insulza backs peace talks between the Government of Colombia and the FARC</t>
  </si>
  <si>
    <t>(backs/Pd.so.|f--3s-/en insulza/Cp.s/en (between/Br.ma/en (+/B.am/. peace/Cc.s/en talks/Cc.p/en) (and/J/en (of/Br.ma/en (the/Md/en government/Cp.s/en) colombia/Cp.s/en) (the/Md/en farc/Cp.s/en))))</t>
  </si>
  <si>
    <t>revoke</t>
  </si>
  <si>
    <t>Bahrain revokes the nationality of 72 people</t>
  </si>
  <si>
    <t>(revokes/Pd.so.|f--3s-/en bahrain/Cp.s/en (of/Br.ma/en (the/Md/en nationality/Cc.s/en) (72/M#/en people/Cc.p/en)))</t>
  </si>
  <si>
    <t>owe</t>
  </si>
  <si>
    <t>Fidel Castro to US: you owe us millions</t>
  </si>
  <si>
    <t>(owe/Pd.?sio.|f-----/en (to/Br.ma/en (+/B.am/. fidel/Cp.s/en castro/Cp.s/en) us/Cp.s/en) you/Ci/en us/Ci/en millions/Cc.p/en)</t>
  </si>
  <si>
    <t>India cancels scandal-hit AgustaWestland chopper deal</t>
  </si>
  <si>
    <t>(cancels/Pd.so.|f--3s-/en india/Cp.s/en ((scandal/M/en hit/Mv.&lt;pf----/en) (+/B.am/. agustawestland/Cp.s/en (+/B.am/. chopper/Cc.s/en deal/Cc.s/en))))</t>
  </si>
  <si>
    <t>carry</t>
  </si>
  <si>
    <t>More than 200 Brazilian police are carrying out a search inside an indigenous reserve in the Amazon region</t>
  </si>
  <si>
    <t>((out/Ml/en (are/Mv.|f-----/en carrying/Pd.so.|pg----/en)) ((more/Mc/en (than/M/en 200/M#/en)) (brazilian/Ma/en police/Cc.p/en)) (inside/Br.ma/en (a/Md/en search/Cc.s/en) (in/Br.ma/en (an/Md/en (indigenous/Ma/en reserve/Cc.s/en)) (the/Md/en (+/B.am/. amazon/Cp.s/en region/Cc.s/en)))))</t>
  </si>
  <si>
    <t>tackle</t>
  </si>
  <si>
    <t>Paris tackles pollution crisis with free public transport</t>
  </si>
  <si>
    <t>(tackles/Pd.so.|f--3s-/en paris/Cp.s/en (with/Br.ma/en (+/B.am/. pollution/Cc.s/en crisis/Cc.s/en) (free/Ma/en (public/Ma/en transport/Cc.s/en))))</t>
  </si>
  <si>
    <t>deal</t>
  </si>
  <si>
    <t>The Al Saud family of Saudi Arabia has dealt heavy crackdowns on peaceful protesters who demand democracy and human rights</t>
  </si>
  <si>
    <t>((has/Mv.|f--3s-/en dealt/Pd.so.&lt;pf----/en) (of/Br.ma/en (the/Md/en (+/B.am/. (+/B.am/. al/Cp.s/en saud/Cp.s/en) family/Cc.s/en)) (+/B.am/. saudi/Cp.s/en arabia/Cp.s/en)) (heavy/Ma/en (+/B.mm/. crackdowns/Cc.p/en (on/Jr.ma/en (peaceful/Ma/en protesters/Cc.p/en) (demand/P.so.|f-----/en who/Cw/en (and/J/en democracy/Cc.s/en (human/Ma/en rights/Cc.p/en)))))))</t>
  </si>
  <si>
    <t>miss</t>
  </si>
  <si>
    <t>Only 1 man is missing an arm</t>
  </si>
  <si>
    <t>((is/Mv.|f--3s-/en missing/Pd.so.|pg----/en) ((only/M/en 1/M#/en) man/Cc.s/en) (an/Md/en arm/Cc.s/en))</t>
  </si>
  <si>
    <t>NSW Shenhua coalmine faces legal challenge over risk of extinction to koala population</t>
  </si>
  <si>
    <t>(faces/Pd.so.|f--3s-/en (+/B.am/. (+/B.am/. nsw/Cp.s/en shenhua/Cp.s/en) coalmine/Cc.s/en) (over/Br.ma/en (legal/Ma/en challenge/Cc.s/en) (of/Br.ma/en risk/Cc.s/en (to/Br.ma/en extinction/Cc.s/en (+/B.am/. koala/Cp.s/en population/Cc.s/en)))))</t>
  </si>
  <si>
    <t>Poles mock ruling party MP's deportation comments</t>
  </si>
  <si>
    <t>(mock/Pd.so.|f-----/en poles/Cc.p/en ('s/Bp.am/en (ruling/Mv.|pg----/en (+/B.am/. party/Cc.s/en mp/Cp.s/en)) (+/B.am/. deportation/Cc.s/en comments/Cc.p/en)))</t>
  </si>
  <si>
    <t>Toronto mayor denies existence of crack smoking video</t>
  </si>
  <si>
    <t>(denies/Pd.so.|f--3s-/en (+/B.am/. toronto/Cp.s/en mayor/Cc.s/en) (of/Br.ma/en existence/Cc.s/en (+/B.am/. crack/Cc.s/en (+/B.am/. smoking/Cc.s/en video/Cc.s/en))))</t>
  </si>
  <si>
    <t>Russia warns West not to blackmail it over Ukraine</t>
  </si>
  <si>
    <t>(warns/Pd.sor.|f--3s-/en russia/Cp.s/en west/Cp.s/en ((not/Mn/en (to/Mi/en blackmail/P.ox.-i-----/en)) it/Ci/en (over/T/en ukraine/Cp.s/en)))</t>
  </si>
  <si>
    <t>Seafood experts discuss climate change threat</t>
  </si>
  <si>
    <t>(discuss/Pd.so.|f-----/en (+/B.am/. seafood/Cc.s/en experts/Cc.p/en) (+/B.am/. (+/B.am/. climate/Cc.s/en change/Cc.s/en) threat/Cc.s/en))</t>
  </si>
  <si>
    <t>Fortune 500 Company Wins Fight To Turn Women’s Safe House Into A Luxury Hotel</t>
  </si>
  <si>
    <t>(wins/Pd.sor.|f--3s-/en (+/B.am/. fortune/Cp.s/en (500/M#/en company/Cp.s/en)) fight/Cc.s/en ((to/Mi/en turn/P.ox.-i-----/en) (’s/Bp.am/en women/Cp.s/en (+/B.am/. safe/Cp.s/en house/Cp.s/en)) (into/T/en (+/B.am/. a/Cp.s/en (+/B.am/. luxury/Cp.s/en hotel/Cp.s/en)))))</t>
  </si>
  <si>
    <t>The impact caused an environmental catastrophe, including gigantic tsunamis</t>
  </si>
  <si>
    <t>(caused/Pd.so.&lt;f-----/en (the/Md/en impact/Cc.s/en) (,/J/en (an/Md/en (environmental/Ma/en catastrophe/Cc.s/en)) (+/B.mm/. including/C/en (gigantic/Ma/en tsunamis/Cc.s/en))))</t>
  </si>
  <si>
    <t>vow</t>
  </si>
  <si>
    <t>Venezuela protests not over, vows hardline Maduro foe</t>
  </si>
  <si>
    <t>(vows/Pd.so.|f--3s-/en ((not/Mn/en over/M/en) (+/B.am/. venezuela/Cp.s/en protests/Cc.p/en)) (hardline/Ma/en (+/B.am/. maduro/Cp.s/en foe/Cc.s/en)))</t>
  </si>
  <si>
    <t>Merkel vows Turkey to accelerate access EU membership process</t>
  </si>
  <si>
    <t>(vows/Pd.sor.|f--3s-/en merkel/Cp.s/en turkey/Cp.s/en ((to/Mi/en accelerate/P.oo.-i-----/en) access/Cc.s/en (+/B.am/. eu/Cp.s/en (+/B.am/. membership/Cc.s/en process/Cc.s/en))))</t>
  </si>
  <si>
    <t>Philippines Welcomes Court</t>
  </si>
  <si>
    <t>(welcomes/Pd.so.|f--3s-/en philippines/Cp.s/en court/Cp.s/en)</t>
  </si>
  <si>
    <t>Airstrikes in Syria kill more than 900, including 52 civilians</t>
  </si>
  <si>
    <t>(kill/Pd.so.|f-----/en (in/Br.ma/en airstrikes/Cc.p/en syria/Cp.s/en) (more/Mc/en (than/M/en (+/B.mm/. 900/C#/en (+/B.mm/. including/C/en (52/M#/en civilians/Cc.p/en))))))</t>
  </si>
  <si>
    <t>Scientists Find World's Most Irreplaceable Protected Places for Threatened Species</t>
  </si>
  <si>
    <t>(find/Pd.so.|f-----/en scientists/Cc.p/en (for/Br.ma/en ('s/Bp.am/en world/Cp.s/en ((most/M^/en irreplaceable/Ma/en) (protected/Mv.&lt;pf----/en places/Cp.p/en))) (threatened/Ma/en species/Cc.p/en)))</t>
  </si>
  <si>
    <t>treat</t>
  </si>
  <si>
    <t>Kurdish female fighter treats an injured ISIS hostage</t>
  </si>
  <si>
    <t>(treats/Pd.so.|f--3s-/en (kurdish/Ma/en (female/Ma/en fighter/Cc.s/en)) (an/Md/en (injured/Mv.&lt;pf----/en (+/B.am/. isis/Cp.s/en hostage/Cc.s/en))))</t>
  </si>
  <si>
    <t>shoot</t>
  </si>
  <si>
    <t>5-year-old Kentucky boy fatally shoots 2-year-old sister</t>
  </si>
  <si>
    <t>((fatally/M/en shoots/Pd.so.|f--3s-/en) (((5/M#/en year/M/en) old/Ma/en) (+/B.am/. kentucky/Cp.s/en boy/Cc.s/en)) (((2/M#/en year/M/en) old/Ma/en) sister/Cc.s/en))</t>
  </si>
  <si>
    <t>abandon</t>
  </si>
  <si>
    <t>Queen Mary 2 abandons search for missing crewmember</t>
  </si>
  <si>
    <t>(abandons/Pd.so.|f--3s-/en (2/M#/en (+/B.am/. queen/Cp.s/en mary/Cp.s/en)) (for/Br.ma/en search/Cc.s/en (missing/Mv.|pg----/en crewmember/Cc.s/en)))</t>
  </si>
  <si>
    <t>Police issued a wanted notice for a man suspected of involvement in bomb attacks at Brussels airport that left at least 10 people dead</t>
  </si>
  <si>
    <t>(issued/Pd.so.&lt;f-----/en police/Cc.p/en (a/Md/en (wanted/Ma/en (+/B.mm/. notice/Cc.s/en (for/Jr.ma/en (a/Md/en man/Cc.s/en) (suspected/P.x.&lt;pf----/en (of/T/en (+/B.mm/. involvement/Cc.s/en (in/Jr.ma/en (at/Br.ma/en (+/B.am/. bomb/Cc.s/en attacks/Cc.p/en) (+/B.am/. brussels/Cp.s/en airport/Cc.s/en)) (left/P.so.&lt;f-----/en that/C/en (+/B.mm/. (((at/M/en least/M^/en) 10/M#/en) people/Cc.p/en) dead/Ca/en)))))))))))</t>
  </si>
  <si>
    <t>Iran-G5+1 to continue talks on draft agreement</t>
  </si>
  <si>
    <t>((to/Mi/en continue/Pd.so.-i-----/en) (1/M#/en (+/B.mm/. (+/B.am/. iran/Cp.s/en g5/Cp.s/en) +/C/en)) (on/Br.ma/en talks/Cc.p/en (+/B.am/. draft/Cc.s/en agreement/Cc.s/en)))</t>
  </si>
  <si>
    <t>confirm</t>
  </si>
  <si>
    <t>Russia's woes confirm BRIC slowdown</t>
  </si>
  <si>
    <t>(confirm/Pd.so.|f-----/en ('s/Bp.am/en russia/Cp.s/en woes/Cc.p/en) (bric/Ma/en slowdown/Cc.s/en))</t>
  </si>
  <si>
    <t>Erdogan condemns Israel’s ‘excessive’ use of force in Jerusalem</t>
  </si>
  <si>
    <t>(condemns/Pd.so.|f--3s-/en erdogan/Cp.s/en (in/Br.ma/en (of/Br.ma/en (’s/Bp.am/en israel/Cp.s/en (excessive/Ma/en use/Cc.s/en)) force/Cc.s/en) jerusalem/Cp.s/en))</t>
  </si>
  <si>
    <t>Russia and Argentina have signed a series of framework agreements on economic and energy co -operation following talks in Moscow</t>
  </si>
  <si>
    <t>((have/Mv.|f-----/en signed/Pd.soo.&lt;pf----/en) (and/J/en russia/Cp.s/en argentina/Cp.s/en) (of/Br.ma/en (a/Md/en series/Cc.s/en) (+/B.mm/. (+/B.am/. framework/Cc.s/en agreements/Cc.p/en) (+/B.mm/. (on/Br.ma/en (+/B.am/. ((economic/Ma/en and/Mj/en) energy/Cc.s/en) co/Cc.s/en) -/Cc.s/en) operation/Cc.s/en))) (in/Br.ma/en (following/Mv.|pg----/en talks/Cc.p/en) moscow/Cp.s/en))</t>
  </si>
  <si>
    <t>Netanyahu makes a case for a preemptive strike</t>
  </si>
  <si>
    <t>(makes/Pd.so.|f--3s-/en netanyahu/Cp.s/en (for/Br.ma/en (a/Md/en case/Cc.s/en) (a/Md/en (preemptive/Ma/en strike/Cc.s/en))))</t>
  </si>
  <si>
    <t>Myanmar signs peace treaty with United Wa State Army</t>
  </si>
  <si>
    <t>(signs/Pd.so.|f--3s-/en myanmar/Cp.s/en (with/Br.ma/en (+/B.am/. peace/Cc.s/en treaty/Cc.s/en) (+/B.am/. (+/B.am/. united/Cp.s/en wa/Cp.s/en) (+/B.am/. state/Cp.s/en army/Cp.s/en))))</t>
  </si>
  <si>
    <t>Israeli Aid Gives an Unexpected ‘Glimmer of Hope’ for Syrians</t>
  </si>
  <si>
    <t>(gives/Pd.soi.|f--3s-/en (israeli/Ma/en aid/Cc.s/en) (of/Br.ma/en (an/Md/en (unexpected/Ma/en glimmer/Cp.s/en)) hope/Cp.s/en) (for/T/en syrians/Cp.p/en))</t>
  </si>
  <si>
    <t>China, Hungary, Serbia discuss high-speed rail line</t>
  </si>
  <si>
    <t>(discuss/Pd.so.|f-----/en (+/B.mm/. china/Cp.s/en (,/J/en hungary/Cp.s/en serbia/Cp.s/en)) (+/B.am/. (high/Ma/en speed/Cc.s/en) (+/B.am/. rail/Cc.s/en line/Cc.s/en)))</t>
  </si>
  <si>
    <t>Polar bears halt Arctic research in north Russia</t>
  </si>
  <si>
    <t>(halt/Pd.so.|f-----/en (polar/Ma/en bears/Cc.p/en) (in/Br.ma/en (+/B.am/. arctic/Cp.s/en research/Cc.s/en) (north/M/en russia/Cp.s/en)))</t>
  </si>
  <si>
    <t>International Energy Agency finds cost-neutral route to major CO2 cuts</t>
  </si>
  <si>
    <t>(finds/Pd.so.|f--3s-/en (+/B.am/. international/Cp.s/en (+/B.am/. energy/Cp.s/en agency/Cp.s/en)) (to/Br.ma/en ((cost/M/en neutral/Ma/en) route/Cc.s/en) (major/Ma/en (+/B.am/. co2/Cc.s/en cuts/Cc.p/en))))</t>
  </si>
  <si>
    <t>Argentine President Cristina Fernandez de Kirchner has criticised her country's elite for trying to create a negative image of her government</t>
  </si>
  <si>
    <t>((has/Mv.|f--3s-/en criticised/Pd.sox.&lt;pf----/en) (+/B.am/. (argentine/Ma/en president/Cp.s/en) (+/B.am/. cristina/Cp.s/en (+/B.am/. fernandez/Cp.s/en (+/B.am/. de/Cp.s/en kirchner/Cp.s/en)))) ('s/Bp.am/en (her/Mp/en country/Cc.s/en) elite/Cc.s/en) (for/T/en (trying/P.r.|pg----/en ((to/Mi/en create/P.o.-i-----/en) (of/Br.ma/en (a/Md/en (negative/Ma/en image/Cc.s/en)) (her/Mp/en government/Cc.s/en))))))</t>
  </si>
  <si>
    <t>Philippine president-elect urges public to kill drug dealers</t>
  </si>
  <si>
    <t>(urges/Pd.sor.|f--3s-/en (philippine/Ma/en (+/B.am/. president/Cc.s/en elect/Cp.s/en)) public/Ca/en ((to/Mi/en kill/P.o.-i-----/en) (+/B.am/. drug/Cc.s/en dealers/Cc.p/en)))</t>
  </si>
  <si>
    <t>Ukraine troops abandon key airport</t>
  </si>
  <si>
    <t>(abandon/Pd.so.|f-----/en (ukraine/Ma/en troops/Cc.p/en) (key/Ma/en airport/Cc.s/en))</t>
  </si>
  <si>
    <t>Netanyahu urges ICC to reject Palestinian bid</t>
  </si>
  <si>
    <t>(urges/Pd.sor.|f--3s-/en netanyahu/Cp.s/en icc/Cp.s/en ((to/Mi/en reject/P.o.-i-----/en) (palestinian/Ma/en bid/Cc.s/en)))</t>
  </si>
  <si>
    <t>Libyan smuggler fighting kills 22 migrants</t>
  </si>
  <si>
    <t>(kills/Pd.so.|f--3s-/en (+/B.am/. (libyan/Ma/en smuggler/Cc.s/en) fighting/Cc.s/en) (22/M#/en migrants/Cc.p/en))</t>
  </si>
  <si>
    <t>clarify</t>
  </si>
  <si>
    <t>Kim Jong Un clarifies his nuclear weapons stance</t>
  </si>
  <si>
    <t>(clarifies/Pd.so.|f--3s-/en (+/B.am/. kim/Cp.s/en (+/B.am/. jong/Cp.s/en un/Cp.s/en)) (his/Mp/en (+/B.am/. (nuclear/Ma/en weapons/Cc.p/en) stance/Cc.s/en)))</t>
  </si>
  <si>
    <t>Military Special Forces Have 15 Demands</t>
  </si>
  <si>
    <t>(have/Pd.so.|f-----/en (+/B.am/. military/Cp.s/en (+/B.am/. special/Cp.s/en forces/Cp.p/en)) (15/M#/en demands/Cc.p/en))</t>
  </si>
  <si>
    <t>Gov’t approves large housing project for Jerusalem Arabs</t>
  </si>
  <si>
    <t>(approves/Pd.so.|f--3s-/en gov’t/Cp.s/en (for/Br.ma/en (large/Ma/en (+/B.am/. housing/Cc.s/en project/Cc.s/en)) (+/B.am/. jerusalem/Cp.s/en arabs/Cp.p/en)))</t>
  </si>
  <si>
    <t>Iceland’s Capital bans all Israeli-made products over Occupation of Palestinian Territories</t>
  </si>
  <si>
    <t>(bans/Pd.so.|f--3s-/en (’s/Bp.am/en iceland/Cp.s/en capital/Cp.s/en) (over/Br.ma/en (all/Md/en ((israeli/Ma/en made/Mv.&lt;pf----/en) products/Cc.p/en)) (of/Br.ma/en occupation/Cp.s/en (+/B.am/. palestinian/Cp.s/en territories/Cp.p/en))))</t>
  </si>
  <si>
    <t>ease</t>
  </si>
  <si>
    <t>Europe eases the austerity whip</t>
  </si>
  <si>
    <t>(eases/Pd.so.|f--3s-/en europe/Cp.s/en (the/Md/en (+/B.am/. austerity/Cc.s/en whip/Cc.s/en)))</t>
  </si>
  <si>
    <t>they have no public benefit</t>
  </si>
  <si>
    <t>(have/Pd.so.|f-----/en they/Ci/en (no/Md/en (public/Ma/en benefit/Cc.s/en)))</t>
  </si>
  <si>
    <t>﻿Israel holds 5,000 Palestinians, including 200 minors</t>
  </si>
  <si>
    <t>(holds/Pd.so.|f--3s-/en ﻿israel/Cd/en (5,000/M#/en (+/B.mm/. palestinians/Cp.p/en (+/B.mm/. including/C/en (200/M#/en minors/Cc.p/en)))))</t>
  </si>
  <si>
    <t>Turkish president urges every company to hire one unemployed person</t>
  </si>
  <si>
    <t>(urges/Pd.sor.|f--3s-/en (turkish/Ma/en president/Cc.s/en) (every/Md/en company/Cc.s/en) ((to/Mi/en hire/P.o.-i-----/en) (one/M#/en (unemployed/Ma/en person/Cc.s/en))))</t>
  </si>
  <si>
    <t>SA Education Group Wins Top International Award</t>
  </si>
  <si>
    <t>(wins/Pd.so.|f--3s-/en (+/B.am/. sa/Cp.s/en (+/B.am/. education/Cp.s/en group/Cp.s/en)) (+/B.am/. (+/B.am/. top/Cp.s/en international/Cp.s/en) award/Cp.s/en))</t>
  </si>
  <si>
    <t>Australia says Chinese spy ship near war games</t>
  </si>
  <si>
    <t>(says/Pd.so.|f--3s-/en australia/Cp.s/en (near/Br.ma/en (chinese/Ma/en (+/B.am/. spy/Cc.s/en ship/Cc.s/en)) (+/B.am/. war/Cc.s/en games/Cc.p/en)))</t>
  </si>
  <si>
    <t>Isis claims responsibility for Paris shooting attack that left one police officer dead</t>
  </si>
  <si>
    <t>(claims/Pd.so.|f--3s-/en isis/Cp.s/en (+/B.mm/. responsibility/Cc.s/en (for/Jr.ma/en (+/B.am/. paris/Cp.s/en (+/B.am/. shooting/Cc.s/en attack/Cc.s/en)) (left/P.soo.&lt;f-----/en that/C/en (one/M#/en (+/B.am/. police/Cc.s/en officer/Cc.s/en)) dead/Ca/en))))</t>
  </si>
  <si>
    <t>shock</t>
  </si>
  <si>
    <t>Cameroon shocks Egypt to win Africa Cup of Nations title</t>
  </si>
  <si>
    <t>(shocks/Pd.sor.|f--3s-/en cameroon/Cp.s/en egypt/Cp.s/en ((to/Mi/en win/P.oo.-i-----/en) (of/Br.ma/en (+/B.am/. africa/Cp.s/en cup/Cp.s/en) nations/Cp.s/en) title/Cc.s/en))</t>
  </si>
  <si>
    <t>Bangladesh police kill 'mastermind' of Dhaka cafe attack</t>
  </si>
  <si>
    <t>(kill/Pd.so.|f-----/en (+/B.am/. bangladesh/Ca/en police/Cc.p/en) (of/Br.ma/en mastermind/Cc.s/en (+/B.am/. dhaka/Cp.s/en (+/B.am/. cafe/Cc.s/en attack/Cc.s/en))))</t>
  </si>
  <si>
    <t>end</t>
  </si>
  <si>
    <t>U.K. to End Small-Scale Renewables Aid in Blow to Solar</t>
  </si>
  <si>
    <t>((to/Mi/en end/Pd.so.-i-----/en) u%2ek%2e/Cp.s/en (+/B.mm/. (+/B.am/. (small/Ma/en scale/Cc.s/en) (+/B.mm/. renewables/Cp.s/en aid/C/en)) (+/B.mm/. in/C/en (to/Br.ma/en blow/Cp.s/en solar/Cp.s/en))))</t>
  </si>
  <si>
    <t>losse</t>
  </si>
  <si>
    <t>Study finds that 500 biggest US companies stash $2.1 trillion in overseas tax havens; government losses $ 620 billion in potential taxes</t>
  </si>
  <si>
    <t>(losses/Pd.rso.|f--3s-/en (finds/P.sr.|f--3s-/en study/Cc.s/en (that/T/en (stash/P.so.|f-----/en (500/M#/en (biggest/Ms/en (+/B.am/. us/Cp.s/en companies/Cc.p/en))) (in/Br.ma/en ($/M/en (2%2e1/M#/en trillion/C#/en)) (overseas/Ma/en (+/B.am/. tax/Cc.s/en havens/Cc.p/en)))))) government/Cc.s/en (in/Br.ma/en ($/M/en (620/M#/en billion/C#/en)) (potential/Ma/en taxes/Cc.p/en)))</t>
  </si>
  <si>
    <t>Netanyahu calls Putin, takes neutral stance on Ukraine</t>
  </si>
  <si>
    <t>(calls/Pd.so?.|f--3s-/en netanyahu/Cp.s/en putin/Cp.s/en (takes/Pd.ox.|f--3s-/en (neutral/Ma/en stance/Cc.s/en) (on/T/en ukraine/Cp.s/en)))</t>
  </si>
  <si>
    <t>Trump sends holiday greetings to Iranians, does not mention travel ban</t>
  </si>
  <si>
    <t>(sends/Pd.soi?.|f--3s-/en trump/Cp.s/en (+/B.am/. holiday/Cc.s/en greetings/Cc.p/en) (to/T/en iranians/Cp.p/en) ((does/Mv.|f--3s-/en (not/Mn/en mention/P!.o.-i-----/en)) (+/B.am/. travel/Cc.s/en ban/Cc.s/en)))</t>
  </si>
  <si>
    <t>Jamaica itself uses 33 % just to pay the interest on its foreign debts</t>
  </si>
  <si>
    <t>(uses/Pd.sor.|f--3s-/en (+/B.mm/. jamaica/Cp.s/en itself/Ci/en) (33/M#/en %25/Cc.s/en) ((just/M/en (to/Mi/en pay/P.o.-i-----/en)) (on/Br.ma/en (the/Md/en interest/Cc.s/en) (its/Mp/en (foreign/Ma/en debts/Cc.p/en)))))</t>
  </si>
  <si>
    <t>European parliament leaders demand rejection of Trump's likely EU ambassador pick</t>
  </si>
  <si>
    <t>(demand/Pd.so?.|f-----/en (european/Ma/en (+/B.am/. parliament/Cc.s/en leaders/Cc.p/en)) (of/Br.ma/en rejection/Cc.s/en ('s/Bp.am/en trump/Cp.s/en (likely/Ma/en (+/B.am/. eu/Cp.s/en ambassador/Cc.s/en)))) pick/C/en)</t>
  </si>
  <si>
    <t>US to provide Pakistan $250 mn in aid: Kerry</t>
  </si>
  <si>
    <t>((to/Mi/en provide/Pd.sioo.-i-----/en) us/Cp.s/en pakistan/Cp.s/en (in/Br.ma/en (($/M/en 250/M#/en) mn/Cp.s/en) aid/Cc.s/en) kerry/Cp.s/en)</t>
  </si>
  <si>
    <t>Convicted Israeli trainer of Colombia paramilitaries claims CIA ties</t>
  </si>
  <si>
    <t>(claims/Pd.so.|f--3s-/en (of/Br.ma/en (convicted/Mv.&lt;pf----/en (israeli/Ma/en trainer/Cc.s/en)) (+/B.am/. colombia/Cp.s/en paramilitaries/Cc.p/en)) (+/B.am/. cia/Cp.s/en ties/Cc.p/en))</t>
  </si>
  <si>
    <t>beg</t>
  </si>
  <si>
    <t>Pope begs forgiveness for sins and 'offences' of church against indigenous America</t>
  </si>
  <si>
    <t>(begs/Pd.so.|f--3s-/en pope/Cp.s/en (for/Br.ma/en forgiveness/Cc.s/en (and/J/en sins/Cc.p/en (of/Br.ma/en offences/Cc.p/en (against/Br.ma/en church/Cc.s/en (of/Br.ma/en indigenous/Cc.s/en america/Cp.s/en))))))</t>
  </si>
  <si>
    <t>US, Philippines launch joint South China Sea patrols</t>
  </si>
  <si>
    <t>(launch/Pd.?so.|f-----/en us/Cp.s/en philippines/Cp.s/en (joint/Ma/en (+/B.am/. (+/B.am/. (+/B.am/. south/Cp.s/en china/Cp.s/en) sea/Cp.s/en) patrols/Cc.p/en)))</t>
  </si>
  <si>
    <t>Brazil bans third builder from government work for Petrobras bribes</t>
  </si>
  <si>
    <t>(bans/Pd.so.|f--3s-/en brazil/Cp.s/en (from/Br.ma/en (third/Ma/en builder/Cc.s/en) (for/Br.ma/en (+/B.am/. government/Cc.s/en work/Cc.s/en) (+/B.am/. petrobras/Cp.s/en bribes/Cc.p/en))))</t>
  </si>
  <si>
    <t>Russia accused of 'faking terror plot' to make them more likeable to Donald Trump: Ukraine has accused the Kremlin of inventing a terrorism plot in Crimea</t>
  </si>
  <si>
    <t>((has/Mv.|f--3s-/en accused/Pd.rsox.&lt;pf----/en) (accused/P.sx.&lt;pf----/en russia/Cp.s/en (of/T/en (faking/P.ox.|pg----/en (+/B.am/. terror/Cc.s/en plot/Cc.s/en) ((to/Mi/en make/Pd.r.-i-----/en) (to/Br.ma/en (+/B.mm/. them/Ci/en (more/M=/en likeable/Ca/en)) (+/B.am/. donald/Cp.s/en trump/Cp.s/en)))))) ukraine/Cp.s/en (the/Md/en kremlin/Cp.s/en) (of/T/en (inventing/P.o.|pg----/en (in/Br.ma/en (a/Md/en (+/B.am/. terrorism/Cc.s/en plot/Cc.s/en)) crimea/Cp.s/en))))</t>
  </si>
  <si>
    <t>Canada governor general touches the Queen</t>
  </si>
  <si>
    <t>(touches/Pd.so.|f--3s-/en (+/B.am/. (+/B.am/. canada/Cp.s/en governor/Cc.s/en) general/Ca/en) (the/Md/en queen/Cp.s/en))</t>
  </si>
  <si>
    <t>Woman at center of South Korea political crisis begs forgiveness</t>
  </si>
  <si>
    <t>(begs/Pd.so.|f--3s-/en (at/Br.ma/en woman/Cc.s/en (of/Br.ma/en center/Cc.s/en (+/B.am/. (+/B.aa/. south/Cm/en korea/Cm/en) (political/Ma/en crisis/Cc.s/en)))) forgiveness/Cc.s/en)</t>
  </si>
  <si>
    <t>Canada’s spies have a new risk — Pokemon</t>
  </si>
  <si>
    <t>(have/Pd.so.|f-----/en (’s/Bp.am/en canada/Cp.s/en spies/Cc.p/en) (+/B.mm/. (a/Md/en (new/Ma/en risk/Cc.s/en)) pokemon/Cp.s/en))</t>
  </si>
  <si>
    <t>Venezuela ends rapprochement talks with Washington over US ‘meddling</t>
  </si>
  <si>
    <t>(ends/Pd.so.|f--3s-/en venezuela/Cp.s/en (over/Br.ma/en (with/Br.ma/en (+/B.am/. rapprochement/Cc.s/en talks/Cc.p/en) washington/Cp.s/en) (+/B.am/. us/Cm/en meddling/Cc.s/en)))</t>
  </si>
  <si>
    <t>Hillary Clinton accuses China of hacking "into everything that doesn’t move in America</t>
  </si>
  <si>
    <t>(accuses/Pd.sox.|f--3s-/en (+/B.am/. hillary/Cp.s/en clinton/Cp.s/en) china/Cp.s/en (of/T/en (hacking/P.x?.|pg----/en (into/T/en everything/Cc.s/en) ((does/Mv.|f--3s-/en (n’t/Mn/en move/P.sx.-i-----/en)) that/C/en (in/T/en america/Cp.s/en)))))</t>
  </si>
  <si>
    <t>intercept</t>
  </si>
  <si>
    <t>GCHQ intercepted foreign politicians' communications at G20 summits</t>
  </si>
  <si>
    <t>(intercepted/Pd.so.&lt;f-----/en gchq/Cp.s/en (at/Br.ma/en ('/Bp.am/en (foreign/Ma/en politicians/Cc.p/en) communications/Cc.p/en) (+/B.am/. g20/Cp.s/en summits/Cc.p/en)))</t>
  </si>
  <si>
    <t>leave</t>
  </si>
  <si>
    <t>Thursday's attack by armed youths on the base in Bor left at least 58 dead, including children</t>
  </si>
  <si>
    <t>(left/Pd.so.&lt;f-----/en (on/Br.ma/en (by/Br.ma/en ('s/Bp.am/en thursday/Cp.s/en attack/Cc.s/en) (armed/Ma/en youths/Cc.p/en)) (in/Br.ma/en (the/Md/en base/Cc.s/en) bor/Cp.s/en)) (((at/M/en least/M^/en) 58/M#/en) (+/B.mm/. dead/Ca/en (+/B.mm/. including/C/en children/Cc.p/en))))</t>
  </si>
  <si>
    <t>escape</t>
  </si>
  <si>
    <t>105 female students escape abduction in Nigeria</t>
  </si>
  <si>
    <t>(escape/Pd.so.|f-----/en (105/M#/en (female/Ma/en students/Cc.p/en)) (in/Br.ma/en abduction/Cc.s/en nigeria/Cp.s/en))</t>
  </si>
  <si>
    <t>Egypt monks defy their Church in road row</t>
  </si>
  <si>
    <t>(defy/Pd.so.|f-----/en (+/B.am/. egypt/Cp.s/en monks/Cc.p/en) (in/Br.ma/en (their/Mp/en church/Cp.s/en) (+/B.am/. road/Cc.s/en row/Cc.s/en)))</t>
  </si>
  <si>
    <t>seal</t>
  </si>
  <si>
    <t>Austria seals South Stream deal with Gazprom</t>
  </si>
  <si>
    <t>(seals/Pd.so.|f--3s-/en austria/Cp.s/en (with/Br.ma/en (+/B.am/. (+/B.am/. south/Cp.s/en stream/Cp.s/en) deal/Cc.s/en) gazprom/Cp.s/en))</t>
  </si>
  <si>
    <t>Pakistan Taliban faction claims park attack on Lahore Christians</t>
  </si>
  <si>
    <t>(claims/Pd.so.|f--3s-/en (+/B.am/. (+/B.am/. pakistan/Cp.s/en taliban/Cp.s/en) faction/Cc.s/en) (on/Br.ma/en (+/B.am/. park/Cc.s/en attack/Cc.s/en) (+/B.am/. lahore/Cp.s/en christians/Cp.p/en)))</t>
  </si>
  <si>
    <t>sell</t>
  </si>
  <si>
    <t>Russia to sell 19.5% Stake in Rosneft</t>
  </si>
  <si>
    <t>((to/Mi/en sell/Pd.so.-i-----/en) russia/Cp.s/en (in/Br.ma/en (+/B.am/. (19%2e5/M#/en %25/Cc.s/en) stake/Cc.s/en) rosneft/Cp.s/en))</t>
  </si>
  <si>
    <t>ceta</t>
  </si>
  <si>
    <t>Comprehensive Economic and Trade Agreement CETA full leak</t>
  </si>
  <si>
    <t>(ceta/Pd.so.&lt;f-----/en (+/B.am/. comprehensive/Cm/en (+/B.am/. (and/J/en economic/Cm/en trade/Cp.s/en) agreement/Cp.s/en)) (full/Ma/en leak/Cc.s/en))</t>
  </si>
  <si>
    <t>melt</t>
  </si>
  <si>
    <t>West Antarctica could melt away</t>
  </si>
  <si>
    <t>((could/Mm/en melt/Pd.so.-i-----/en) (+/B.am/. west/Cp.s/en antarctica/Cp.s/en) away/C/en)</t>
  </si>
  <si>
    <t>weigh</t>
  </si>
  <si>
    <t>Giant kangaroo weighed 240kg, looked like a rabbit and walked like a human</t>
  </si>
  <si>
    <t>(weighed/Pd.so?.&lt;f-----/en (+/B.am/. giant/Cp.s/en kangaroo/Cp.s/en) (240/M#/en kg/Cc.p/en) (and/J/en (looked/Pd.x.&lt;f-----/en (like/T/en (a/Md/en rabbit/Cc.s/en))) (walked/Pd.x.&lt;f-----/en (like/T/en (a/Md/en human/Cc.s/en)))))</t>
  </si>
  <si>
    <t>Parents of wrongfully executed teen in China to get $330,000</t>
  </si>
  <si>
    <t>((to/Mi/en get/Pd.so.-i-----/en) (of/Br.ma/en parents/Cc.p/en (in/Br.ma/en ((wrongfully/M/en executed/Mv.&lt;pf----/en) teen/Cc.s/en) china/Cp.s/en)) ($/M/en 330,000/C#/en))</t>
  </si>
  <si>
    <t>Russia Calls U.S. Arrest of Alleged Hacker 'Kidnapping</t>
  </si>
  <si>
    <t>(calls/Pd.so.|f--3s-/en russia/Cp.s/en (of/Br.ma/en (+/B.am/. u%2es%2e/Cp.s/en arrest/Cc.s/en) (+/B.am/. (+/B.aa/. alleged/Cp.s/en hacker/Cm/en) kidnapping/Cc.s/en)))</t>
  </si>
  <si>
    <t>Archeological dig in remote Turkmenistan reveals rare advanced civilization and Bronze Age treasures</t>
  </si>
  <si>
    <t>(reveals/Pd.so.|f--3s-/en (in/Br.ma/en (archeological/Ma/en dig/Cc.s/en) (remote/Ma/en turkmenistan/Cp.s/en)) (and/J/en (rare/Ma/en (advanced/Ma/en civilization/Cc.s/en)) (+/B.am/. (+/B.am/. bronze/Cp.s/en age/Cp.s/en) treasures/Cc.p/en)))</t>
  </si>
  <si>
    <t>Report slams Israel's military law enforcement system</t>
  </si>
  <si>
    <t>(slams/Pd.so.|f--3s-/en report/Cc.s/en ('s/Bp.am/en israel/Cp.s/en (+/B.am/. (military/Ma/en (+/B.am/. law/Cc.s/en enforcement/Cc.s/en)) system/Cc.s/en)))</t>
  </si>
  <si>
    <t>postpone</t>
  </si>
  <si>
    <t>Cyprus postpones an emergency parliamentary debate on a controversial bank bailout deal that would impose a levy on savers' deposits</t>
  </si>
  <si>
    <t>(postpones/Pd.so.|f--3s-/en cyprus/Cp.s/en (an/Md/en (+/B.am/. emergency/Cm/en (parliamentary/Ma/en (+/B.mm/. debate/Cc.s/en (on/Jr.ma/en (a/Md/en (controversial/Ma/en (+/B.am/. (+/B.am/. bank/Cc.s/en bailout/Cc.s/en) deal/Cc.s/en))) ((would/Mm/en impose/P.sox.-i-----/en) that/C/en (a/Md/en levy/Cc.s/en) (on/T/en ('/Bp.am/en savers/Cc.p/en deposits/Cc.p/en)))))))))</t>
  </si>
  <si>
    <t>Venezuela to create new 'tourist' exchange rate</t>
  </si>
  <si>
    <t>((to/Mi/en create/Pd.so.-i-----/en) venezuela/Cp.s/en (new/Ma/en (+/B.am/. (+/B.am/. tourist/Cm/en exchange/Cc.s/en) rate/Cc.s/en)))</t>
  </si>
  <si>
    <t>India swiftly rejects U.N. request for a visit to the disputed territory of Kashmir</t>
  </si>
  <si>
    <t>((swiftly/M/en rejects/Pd.so.|f--3s-/en) india/Cp.s/en (for/Br.ma/en (+/B.am/. u%2en%2e/Cp.s/en request/Cc.s/en) (to/Br.ma/en (a/Md/en visit/Cc.s/en) (of/Br.ma/en (the/Md/en (disputed/Ma/en territory/Cc.s/en)) kashmir/Cp.s/en))))</t>
  </si>
  <si>
    <t>Green Peace protester reach the top of the Shard</t>
  </si>
  <si>
    <t>(reach/Pd.so.|f-----/en (+/B.am/. (+/B.am/. green/Cp.s/en peace/Cp.s/en) protester/Cc.s/en) (of/Br.ma/en (the/Md/en top/Cc.s/en) (the/Md/en shard/Cp.s/en)))</t>
  </si>
  <si>
    <t>Israeli Court Approves Release of Fasting Palestinian</t>
  </si>
  <si>
    <t>(approves/Pd.so.|f--3s-/en (israeli/Ma/en court/Cp.s/en) (of/Jr.ma/en release/Cp.s/en (fasting/P.c.|pg----/en palestinian/Ca/en)))</t>
  </si>
  <si>
    <t>Anti-Putin campaigners urge Downing Street to bar Russian singers from UK</t>
  </si>
  <si>
    <t>(urge/Pd.sor.|f-----/en (anti/Ma/en (-/Ma/en (+/B.am/. putin/Cp.s/en campaigners/Cc.p/en))) (+/B.am/. downing/Cp.s/en street/Cp.s/en) ((to/Mi/en bar/P.ox.-i-----/en) (russian/Ma/en singers/Cc.p/en) (from/T/en uk/Cp.s/en)))</t>
  </si>
  <si>
    <t>praise</t>
  </si>
  <si>
    <t>Jordanian extremist praises Boston Marathon explosions</t>
  </si>
  <si>
    <t>(praises/Pd.so.|f--3s-/en (jordanian/Ma/en extremist/Cc.s/en) (+/B.am/. (+/B.am/. boston/Cp.s/en marathon/Cp.s/en) explosions/Cc.p/en))</t>
  </si>
  <si>
    <t>Story of minister and dominatrix sparks UK debate over media</t>
  </si>
  <si>
    <t>(sparks/Pd.so.|f--3s-/en (of/Br.ma/en story/Cc.s/en (and/J/en minister/Cc.s/en dominatrix/Cc.s/en)) (over/Br.ma/en (+/B.am/. uk/Cp.s/en debate/Cc.s/en) media/Cc.p/en))</t>
  </si>
  <si>
    <t>Crimea Base Incident Shows Danger of Ukraine Escalation</t>
  </si>
  <si>
    <t>(shows/Pd.so.|f--3s-/en (+/B.am/. crimea/Cp.s/en (+/B.am/. base/Cp.s/en incident/Cp.s/en)) (of/Br.ma/en danger/Cp.s/en (+/B.am/. ukraine/Cp.s/en escalation/Cp.s/en)))</t>
  </si>
  <si>
    <t>notify</t>
  </si>
  <si>
    <t>China formally notifies Hong Kong police 3 of the 5 missing booksellers are held as part of criminal investigation</t>
  </si>
  <si>
    <t>((formally/M/en notifies/Pd.sor.|f--3s-/en) china/Cp.s/en (+/B.am/. (+/B.am/. hong/Cp.s/en kong/Cp.s/en) police/Cc.p/en) ((are/Mv.|f-----/en held/P.px.&lt;pf----/en) (of/Br.ma/en 3/C#/en (the/Md/en (5/M#/en (missing/Mv.|pg----/en booksellers/Cc.p/en)))) (as/T/en (of/Br.ma/en part/Cc.s/en (criminal/Ma/en investigation/Cc.s/en)))))</t>
  </si>
  <si>
    <t>insult</t>
  </si>
  <si>
    <t>Turkey's ruling Justice and Development Party (AKP) deupty Zeyid Aslan harasses, insults women journalists</t>
  </si>
  <si>
    <t>(insults/Pd.so.|f--3s-/en (+/B.mm/. (+/B.mm/. ('s/Bp.am/en turkey/Cp.s/en (ruling/Mv.|pg----/en (+/B.am/. (and/J/en justice/Cm/en development/Cp.s/en) party/Cp.s/en))) akp/Cp.s/en) (deupty/Ma/en (+/B.am/. (+/B.am/. zeyid/Cp.s/en aslan/Cp.s/en) harasses/Cc.p/en))) (+/B.am/. women/Cc.p/en journalists/Cc.p/en))</t>
  </si>
  <si>
    <t>Area has 1 of most biodiverse tropical forest in region</t>
  </si>
  <si>
    <t>(has/Pd.so.|f--3s-/en area/Cc.s/en (of/Br.ma/en 1/C#/en (in/Br.ma/en ((most/M^/en biodiverse/Ma/en) (tropical/Ma/en forest/Cc.s/en)) region/Cc.s/en)))</t>
  </si>
  <si>
    <t>blow</t>
  </si>
  <si>
    <t>Indonesia Blows Up 23 Poacher Fishing Boats</t>
  </si>
  <si>
    <t>(blows/Pd.s?o.|f--3s-/en indonesia/Cp.s/en up/C/en (23/M#/en (+/B.am/. poacher/Cp.s/en (+/B.am/. fishing/Cp.s/en boats/Cp.p/en))))</t>
  </si>
  <si>
    <t>Russia &amp; Iran reach agreement on S-300 air defense systems delivery – deputy foreign minister</t>
  </si>
  <si>
    <t>(reach/Pd.so.|f-----/en (%26/J/en russia/Cp.s/en iran/Cp.s/en) (+/B.mm/. (on/Br.ma/en agreement/Cc.s/en (s-300/Ma/en (+/B.am/. (+/B.am/. (+/B.am/. air/Cc.s/en defense/Cc.s/en) systems/Cc.p/en) delivery/Cc.s/en))) (deputy/Ma/en (foreign/Ma/en minister/Cc.s/en))))</t>
  </si>
  <si>
    <t>Hungarian protesters keep up pressure on government</t>
  </si>
  <si>
    <t>((up/Ml/en keep/Pd.so.|f-----/en) (hungarian/Ma/en protesters/Cc.p/en) (on/Br.ma/en pressure/Cc.s/en government/Cc.s/en))</t>
  </si>
  <si>
    <t>Passengers attack Edinburgh taxi driver</t>
  </si>
  <si>
    <t>(attack/Pd.so.|f-----/en passengers/Cc.p/en (+/B.am/. edinburgh/Cp.s/en (+/B.am/. taxi/Cc.s/en driver/Cc.s/en)))</t>
  </si>
  <si>
    <t>Human activity is 'almost certainly' driving climate change, IPCC leaked report says</t>
  </si>
  <si>
    <t>(leaked/Pd.rso?.&lt;f-----/en (is/P.sr.|f--3s-/en (human/Ma/en activity/Cc.s/en) (((almost/M/en certainly/M/en) driving/P.o.|pg----/en) (+/B.am/. climate/Cc.s/en change/Cc.s/en))) ipcc/Cp.s/en report/Cc.s/en says/C/en)</t>
  </si>
  <si>
    <t>affirm</t>
  </si>
  <si>
    <t>Trump affirms commitment to NATO allies</t>
  </si>
  <si>
    <t>(affirms/Pd.so.|f--3s-/en trump/Cd/en (to/Br.ma/en commitment/Cc.s/en (+/B.am/. nato/Cp.s/en allies/Cc.p/en)))</t>
  </si>
  <si>
    <t>Swiss based Syngenta rejects $45 billion Monsanto takeover offer</t>
  </si>
  <si>
    <t>(rejects/Pd.so.|f--3s-/en (+/B.am/. (swiss/Ma/en based/C/en) syngenta/Cp.s/en) (($/M/en (45/M#/en billion/M#/en)) (+/B.am/. monsanto/Cp.s/en (+/B.am/. takeover/Cc.s/en offer/Cc.s/en))))</t>
  </si>
  <si>
    <t>NATO resumes contacts with Russia</t>
  </si>
  <si>
    <t>(resumes/Pd.so.|f--3s-/en nato/Cp.s/en (with/Br.ma/en contacts/Cc.p/en russia/Cp.s/en))</t>
  </si>
  <si>
    <t>Canada just appointed the world’s most Sikh cabinet</t>
  </si>
  <si>
    <t>((just/M/en appointed/Pd.so.&lt;f-----/en) canada/Cp.s/en (’s/Bp.am/en (the/Md/en world/Cc.s/en) (most/Ms/en (+/B.am/. sikh/Cp.s/en cabinet/Cc.s/en))))</t>
  </si>
  <si>
    <t>Corbyn defends £20,000 payment for Iranian TV appearances</t>
  </si>
  <si>
    <t>(defends/Pd.so.|f--3s-/en corbyn/Cp.s/en (for/Br.ma/en ((£/M/en 20,000/M#/en) payment/Cc.s/en) (iranian/Ma/en (+/B.am/. tv/Cc.s/en appearances/Cc.p/en))))</t>
  </si>
  <si>
    <t>3D Printed Drone Army Could Have Found Malaysian Airliner, Claim Researchers</t>
  </si>
  <si>
    <t>((could/Mm/en (have/Mv.-i-----/en found/Pd.soo.&lt;pf----/en)) (3d/M/en (+/B.am/. (+/B.am/. printed/Cp.s/en drone/Cp.s/en) army/Cp.s/en)) (,/Mj/en (malaysian/Ma/en airliner/Cp.s/en)) (+/B.am/. claim/Cp.s/en researchers/Cp.p/en))</t>
  </si>
  <si>
    <t>ignore</t>
  </si>
  <si>
    <t>Latin American complaints over U.S. spying ignore their own wiretap programs</t>
  </si>
  <si>
    <t>(ignore/Pd.so.|f-----/en (over/Br.ma/en ((latin/Ma/en american/Ma/en) complaints/Cc.p/en) (+/B.am/. u%2es%2e/Cp.s/en spying/Cc.s/en)) (their/Mp/en (own/Ma/en (+/B.am/. wiretap/Cc.s/en programs/Cc.p/en))))</t>
  </si>
  <si>
    <t>await</t>
  </si>
  <si>
    <t>IAAF awaits doping report findings</t>
  </si>
  <si>
    <t>(awaits/Pd.so.|f--3s-/en iaaf/Cp.s/en (+/B.am/. (+/B.am/. doping/Cc.s/en report/Cc.s/en) findings/Cc.p/en))</t>
  </si>
  <si>
    <t>Iraqi forces capture key parts of Mosul neighborhood</t>
  </si>
  <si>
    <t>(capture/Pd.so.|f-----/en (iraqi/Ma/en forces/Cc.p/en) (of/Br.ma/en (key/Ma/en parts/Cc.p/en) (+/B.am/. mosul/Cp.s/en neighborhood/Cc.s/en)))</t>
  </si>
  <si>
    <t>meet</t>
  </si>
  <si>
    <t>Madagascar leader Andry Rajoelina meets Pope Francis</t>
  </si>
  <si>
    <t>(meets/Pd.so.|f--3s-/en (+/B.am/. (+/B.am/. madagascar/Ca/en leader/Cc.s/en) (+/B.am/. andry/Cp.s/en rajoelina/Cp.s/en)) (+/B.am/. pope/Cp.s/en francis/Cp.s/en))</t>
  </si>
  <si>
    <t>explain</t>
  </si>
  <si>
    <t>Scientists explain Freddie Mercury's incredible singing voice</t>
  </si>
  <si>
    <t>(explain/Pd.so.|f-----/en scientists/Cc.p/en ('s/Bp.am/en (+/B.am/. freddie/Cp.s/en mercury/Cp.s/en) (incredible/Ma/en (+/B.am/. singing/Cc.s/en voice/Cc.s/en))))</t>
  </si>
  <si>
    <t>David Cameron: UK and India can have great partnership</t>
  </si>
  <si>
    <t>((can/Mm/en have/Pd.sso.-i-----/en) (+/B.am/. david/Cp.s/en cameron/Cp.s/en) (and/J/en uk/Cp.s/en india/Cp.s/en) (great/Ma/en partnership/Cc.s/en))</t>
  </si>
  <si>
    <t>Suicide bombers target Iraqi pilgrims</t>
  </si>
  <si>
    <t>(target/Pd.so.|f-----/en (+/B.am/. suicide/Cc.s/en bombers/Cc.p/en) (iraqi/Ma/en pilgrims/Cc.p/en))</t>
  </si>
  <si>
    <t>It also has the largest Muslim population</t>
  </si>
  <si>
    <t>((also/M/en has/Pd.so.|f--3s-/en) it/Ci/en (the/Md/en (largest/Ms/en (muslim/Ma/en population/Cc.s/en))))</t>
  </si>
  <si>
    <t>operate</t>
  </si>
  <si>
    <t>Air India operates 'world's longest all-women flight</t>
  </si>
  <si>
    <t>(operates/Pd.so.|f--3s-/en (+/B.am/. air/Cp.s/en india/Cp.s/en) ('s/Bp.am/en world/Cc.s/en (longest/Ms/en (+/B.am/. (all/Md/en women/Cc.p/en) flight/Cc.s/en))))</t>
  </si>
  <si>
    <t>Last Australia combat troops leave Afghan base</t>
  </si>
  <si>
    <t>(leave/Pd.so.|f-----/en (+/B.am/. (+/B.am/. last/Ca/en australia/Cp.s/en) (+/B.am/. combat/Cc.s/en troops/Cc.p/en)) (afghan/Ma/en base/Cc.s/en))</t>
  </si>
  <si>
    <t>Suicide car bomb in southern Afghanistan kills at least 29</t>
  </si>
  <si>
    <t>(kills/Pd.so.|f--3s-/en (in/Br.ma/en (+/B.am/. suicide/Cc.s/en (+/B.am/. car/Cc.s/en bomb/Cc.s/en)) (southern/Ma/en afghanistan/Cp.s/en)) ((at/M/en least/M^/en) 29/C#/en))</t>
  </si>
  <si>
    <t>WHO confirms 15th case of new corona virus</t>
  </si>
  <si>
    <t>(confirms/Pd.so.|f--3s-/en who/Cw/en (of/Br.ma/en (15th/Ma/en case/Cc.s/en) (new/Ma/en (+/B.am/. corona/Cp.s/en virus/Cc.s/en))))</t>
  </si>
  <si>
    <t>close</t>
  </si>
  <si>
    <t>IS enters Palestinian camp in Damascus; Jordan closes border</t>
  </si>
  <si>
    <t>(closes/Pd.rso.|f--3s-/en ((is/Mv.|f--3s-/en enters/P.o.|f--3s-/en) (in/Br.ma/en (palestinian/Ma/en camp/Cc.s/en) damascus/Cp.s/en)) jordan/Cp.s/en border/Cc.s/en)</t>
  </si>
  <si>
    <t>Some 2,000 Fukushima workers face increased cancer risk</t>
  </si>
  <si>
    <t>(face/Pd.so.|f-----/en ((some/Md/en 2,000/M#/en) (+/B.am/. fukushima/Cp.s/en workers/Cc.p/en)) (increased/Mv.&lt;pf----/en (+/B.am/. cancer/Cc.s/en risk/Cc.s/en)))</t>
  </si>
  <si>
    <t>China earthquake kills 156, injures 5,500: Shallow magnitude-7 quake strikes Sichuan province</t>
  </si>
  <si>
    <t>(kills/Pd.so??.|f--3s-/en (+/B.am/. china/Cp.s/en earthquake/Cc.s/en) 156/C#/en (injures/Pd.o.|f--3s-/en 5,500/C#/en) (strikes/Pd.so.|f--3s-/en (shallow/Mv.-i-----/en (magnitude-7/Ma/en quake/Cc.s/en)) (+/B.am/. sichuan/Cp.s/en province/Cc.s/en)))</t>
  </si>
  <si>
    <t>US accuses Russian agents of causing unrest in Eastern Ukraine</t>
  </si>
  <si>
    <t>(accuses/Pd.sox.|f--3s-/en us/Cp.s/en (russian/Ma/en agents/Cc.p/en) (of/T/en (causing/P.o.|pg----/en (in/Br.ma/en unrest/Cc.s/en (+/B.am/. eastern/Cp.s/en ukraine/Cp.s/en)))))</t>
  </si>
  <si>
    <t>Leading Muslim groups condemn ISIS killing of US journalists</t>
  </si>
  <si>
    <t>(condemn/Pd.so.|f-----/en (leading/Mv.|pg----/en (muslim/Ma/en groups/Cc.p/en)) (of/Br.ma/en (+/B.am/. isis/Cp.s/en killing/Cc.s/en) (+/B.am/. us/Cp.s/en journalists/Cc.p/en)))</t>
  </si>
  <si>
    <t>Female suicide bomber kills at least 13 people at Russian train station</t>
  </si>
  <si>
    <t>(kills/Pd.so.|f--3s-/en (female/Ma/en (+/B.am/. suicide/Cc.s/en bomber/Cc.s/en)) (at/Br.ma/en (((at/M/en least/M^/en) 13/M#/en) people/Cc.p/en) (russian/Ma/en (+/B.am/. train/Cc.s/en station/Cc.s/en))))</t>
  </si>
  <si>
    <t>World Health Organization issues preparedness response to drinking raw camel milk or urine</t>
  </si>
  <si>
    <t>(issues/Pd.so.|f--3s-/en (+/B.am/. world/Cp.s/en (+/B.am/. health/Cp.s/en organization/Cp.s/en)) (to/Jr.ma/en (+/B.am/. preparedness/Cc.s/en response/Cc.s/en) (drinking/P.o.|pg----/en (or/J/en (+/B.am/. (raw/Ma/en camel/Cc.s/en) milk/Cc.s/en) urine/Cc.s/en))))</t>
  </si>
  <si>
    <t>Gunmen kill 10 in attack on village Mali -army spokesman</t>
  </si>
  <si>
    <t>(kill/Pd.so.|f-----/en gunmen/Cc.p/en (in/Br.ma/en 10/C#/en (in/Br.ma/en (on/Br.ma/en attack/Cc.s/en village/Cc.s/en) (+/B.am/. (+/B.am/. mali/Cp.s/en -army/Cp.s/en) spokesman/Cc.s/en))))</t>
  </si>
  <si>
    <t>Trade commissioner for EU doesn't take her mandate from EU citizens</t>
  </si>
  <si>
    <t>((does/Mv.|f--3s-/en (n't/Mn/en take/Pd.so.-i-----/en)) (for/Br.ma/en (+/B.am/. trade/Cc.s/en commissioner/Cc.s/en) eu/Cp.s/en) (from/Br.ma/en (her/Mp/en mandate/Cc.s/en) (+/B.am/. eu/Cp.s/en citizens/Cc.p/en)))</t>
  </si>
  <si>
    <t>Mexico's drug war has cost country $134 billion</t>
  </si>
  <si>
    <t>((has/Mv.|f--3s-/en cost/Pd.sio.&lt;pf----/en) ('s/Bp.am/en mexico/Cp.s/en (+/B.am/. drug/Cc.s/en war/Cc.s/en)) country/Cc.s/en ($/M/en (134/M#/en billion/C#/en)))</t>
  </si>
  <si>
    <t>UK Wants 10 Year Prison Sentence For Online Pirates</t>
  </si>
  <si>
    <t>(wants/Pd.so.|f--3s-/en uk/Cp.s/en (for/Br.ma/en (+/B.am/. (10/M#/en year/Cp.s/en) (+/B.am/. prison/Cp.s/en sentence/Cp.s/en)) (+/B.am/. online/Cp.s/en pirates/Cp.p/en)))</t>
  </si>
  <si>
    <t>refute</t>
  </si>
  <si>
    <t>Pakistan refutes Utah gun maker’s claim on rifles contract</t>
  </si>
  <si>
    <t>(refutes/Pd.so.|f--3s-/en pakistan/Cp.s/en (on/Br.ma/en (’s/Bp.am/en (+/B.am/. utah/Cp.s/en (+/B.am/. gun/Cc.s/en maker/Cc.s/en)) claim/Cc.s/en) (+/B.am/. rifles/Cc.p/en contract/Cc.s/en)))</t>
  </si>
  <si>
    <t>Xi, Putin discuss Ukraine crisis on phone</t>
  </si>
  <si>
    <t>(discuss/Pd.sso.&lt;f-----/en xi/Cp.s/en putin/Cp.s/en (on/Br.ma/en (ukraine/Ma/en crisis/Cc.s/en) phone/Cc.s/en))</t>
  </si>
  <si>
    <t>Department of Telecom uphold Net Neutrality in India</t>
  </si>
  <si>
    <t>(uphold/Pd.so.-i-----/en (of/Br.ma/en department/Cp.s/en telecom/Cp.s/en) (in/Br.ma/en (+/B.am/. net/Cp.s/en neutrality/Cp.s/en) india/Cp.s/en))</t>
  </si>
  <si>
    <t>Canada's Trudeau sees potential for stronger ties with China; cites "tremendous potential</t>
  </si>
  <si>
    <t>(sees/Pd.so?.|f--3s-/en ('s/Bp.am/en canada/Cp.s/en trudeau/Cp.s/en) (for/Br.ma/en potential/Cc.s/en (with/Br.ma/en (stronger/Mc/en ties/Cc.p/en) china/Cp.s/en)) (cites/Pd.o.|f--3s-/en (tremendous/Ma/en potential/Cc.s/en)))</t>
  </si>
  <si>
    <t>Buses enter Old Homs to evacuate Syrian rebels</t>
  </si>
  <si>
    <t>(enter/Pd.sor.|f-----/en buses/Cc.p/en (+/B.am/. old/Cp.s/en homs/Cp.s/en) ((to/Mi/en evacuate/P.o.-i-----/en) (syrian/Ma/en rebels/Cc.p/en)))</t>
  </si>
  <si>
    <t>reinforce</t>
  </si>
  <si>
    <t>Kingdom reinforces Iraq border</t>
  </si>
  <si>
    <t>(reinforces/Pd.so.|f--3s-/en kingdom/Cp.s/en (+/B.am/. iraq/Cp.s/en border/Cc.s/en))</t>
  </si>
  <si>
    <t>insert</t>
  </si>
  <si>
    <t>Australian surgeon inserts 3D-printed vertebrae in world-first</t>
  </si>
  <si>
    <t>((first/M/en inserts/Pd.so.|f--3s-/en) (australian/Ma/en surgeon/Cc.s/en) (in/Br.ma/en ((3d/M/en printed/Mv.&lt;pf----/en) vertebrae/Cp.s/en) world/Cc.s/en))</t>
  </si>
  <si>
    <t>form</t>
  </si>
  <si>
    <t>Italy forms coalition government</t>
  </si>
  <si>
    <t>(forms/Pd.so.|f--3s-/en italy/Cp.s/en (+/B.am/. coalition/Cc.s/en government/Cc.s/en))</t>
  </si>
  <si>
    <t>Being prosecuted in Russia under loud corruption case, fugitive businessman gets Greek citizenship, creates investment company with President of Cyprus, Nicos Anastasiadis</t>
  </si>
  <si>
    <t>(creates/Pd.ros.|f--3s-/en (gets/P.xso.|f--3s-/en ((being/Mv.|pg----/en prosecuted/Pd.xx.&lt;pf----/en) (in/T/en russia/Cp.s/en) (under/T/en (loud/Ma/en (+/B.am/. corruption/Cc.s/en case/Cc.s/en)))) (fugitive/Ma/en businessman/Cc.s/en) (greek/Ma/en citizenship/Cc.s/en)) (with/Br.ma/en (+/B.am/. investment/Cc.s/en company/Cc.s/en) (of/Br.ma/en president/Cp.s/en cyprus/Cp.s/en)) (+/B.am/. nicos/Cp.s/en anastasiadis/Cp.s/en))</t>
  </si>
  <si>
    <t>boycott</t>
  </si>
  <si>
    <t>Islamic leaders boycott Jerusalem holy site over metal detectors</t>
  </si>
  <si>
    <t>(boycott/Pd.so.|f-----/en (islamic/Ma/en leaders/Cc.p/en) (over/Br.ma/en (+/B.am/. jerusalem/Cm/en (holy/Ma/en site/Cc.s/en)) (+/B.am/. metal/Cc.s/en detectors/Cc.p/en)))</t>
  </si>
  <si>
    <t>Trillion-Dollar Stock Managers See Chaos on Greek 'No' Vote</t>
  </si>
  <si>
    <t>(see/Pd.so.|f-----/en (+/B.am/. (trillion/M#/en dollar/Cc.s/en) (+/B.am/. stock/Cc.s/en managers/Cc.p/en)) (on/Br.ma/en chaos/Cc.s/en (greek/Ma/en (+/B.am/. no/Cm/en vote/Cc.s/en))))</t>
  </si>
  <si>
    <t>Iraqi Shia want their share of Russian firepower in fight against Isis</t>
  </si>
  <si>
    <t>(want/Pd.so.|f-----/en (iraqi/Ma/en shia/Cp.s/en) (in/Br.ma/en (of/Br.ma/en (their/Mp/en share/Cc.s/en) (russian/Ma/en firepower/Cc.s/en)) (against/Br.ma/en fight/Cc.s/en isis/Cp.s/en)))</t>
  </si>
  <si>
    <t>Johnny Depp to boycott Australia following dog death threat</t>
  </si>
  <si>
    <t>((to/Mi/en boycott/Pd.soo.-i-----/en) (+/B.am/. johnny/Cp.s/en depp/Cp.s/en) australia/Cp.s/en (following/Mv.|pg----/en (+/B.am/. (+/B.am/. dog/Cc.s/en death/Cc.s/en) threat/Cc.s/en)))</t>
  </si>
  <si>
    <t>Climate Change Is Melting 'The Roof Of The World</t>
  </si>
  <si>
    <t>((is/Mv.|f--3s-/en melting/Pd.so.|pg----/en) (+/B.am/. climate/Cc.s/en change/Cp.s/en) (of/Br.ma/en (the/Md/en roof/Cp.s/en) (the/Md/en world/Cc.s/en)))</t>
  </si>
  <si>
    <t>Perpetrators of U.S. sailors' assault will 'pay the price': Turkish Foreign Minister</t>
  </si>
  <si>
    <t>((will/Mm/en pay/Pd.soo.-i-----/en) (of/Br.ma/en perpetrators/Cc.p/en ('/Bp.am/en (+/B.am/. u%2es%2e/Cp.s/en sailors/Cc.p/en) assault/Cc.s/en)) (the/Md/en price/Cc.s/en) (turkish/Ma/en (+/B.am/. foreign/Cp.s/en minister/Cp.s/en)))</t>
  </si>
  <si>
    <t>Mursi Family to take Legal Action (Egypt</t>
  </si>
  <si>
    <t>((to/Mi/en take/Pd.so.-i-----/en) (+/B.am/. mursi/Cp.s/en family/Cp.s/en) (+/B.mm/. (+/B.am/. legal/Cp.s/en action/Cp.s/en) egypt/Cp.s/en))</t>
  </si>
  <si>
    <t>Putin gives tax exile Depardieu Russian citizenship</t>
  </si>
  <si>
    <t>(gives/Pd.sio.|f--3s-/en putin/Cp.s/en (+/B.am/. tax/Cc.s/en exile/Cc.s/en) (+/B.am/. depardieu/Cm/en (russian/Ma/en citizenship/Cc.s/en)))</t>
  </si>
  <si>
    <t>Denmark Says Microsoft Owes  £660 Million in Tax</t>
  </si>
  <si>
    <t>(says/Pd.so.|f--3s-/en denmark/Cp.s/en (+/B.mm/. (+/B.mm/. (+/B.am/. microsoft/Cp.s/en owes/Cp.s/en) %20/C/en) (in/Br.ma/en (£/M/en (660/M#/en million/C#/en)) tax/Cc.s/en)))</t>
  </si>
  <si>
    <t>Russia, China to Play Major Role in Brazil-Chile Transport Corridor</t>
  </si>
  <si>
    <t>((to/Mi/en play/Pd.sso.-i-----/en) russia/Cp.s/en china/Cp.s/en (in/Br.ma/en (+/B.am/. major/Cp.s/en role/Cc.s/en) (+/B.am/. (+/B.am/. brazil/Cp.s/en chile/Cp.s/en) (+/B.am/. transport/Cp.s/en corridor/Cp.s/en))))</t>
  </si>
  <si>
    <t>normalize</t>
  </si>
  <si>
    <t>Norway and China to normalize relationship after Nobel rift</t>
  </si>
  <si>
    <t>((to/Mi/en normalize/Pd.so.-i-----/en) (and/J/en norway/Cp.s/en china/Cp.s/en) (after/Br.ma/en relationship/Cc.s/en (+/B.am/. nobel/Cp.s/en rift/Cc.s/en)))</t>
  </si>
  <si>
    <t>score</t>
  </si>
  <si>
    <t>Mirziyoyev scores landslide win in presidential poll</t>
  </si>
  <si>
    <t>(scores/Pd.so.|f--3s-/en mirziyoyev/Cc.s/en (in/Br.ma/en (+/B.am/. landslide/Cc.s/en win/Cc.s/en) (presidential/Ma/en poll/Cc.s/en)))</t>
  </si>
  <si>
    <t>delete</t>
  </si>
  <si>
    <t>Bedfordshire Police deletes 'IS-style' finger tweets</t>
  </si>
  <si>
    <t>(deletes/Pd.so.|f--3s-/en (+/B.am/. bedfordshire/Cp.s/en police/Cp.s/en) ('/Bp.am/en (is/Ma/en style/Cc.s/en) (+/B.am/. finger/Cc.s/en tweets/Cc.p/en)))</t>
  </si>
  <si>
    <t>Japan Says Armed Chinese Ship Infiltrates Its Territorial Waters</t>
  </si>
  <si>
    <t>(says/Pd.so.|f--3s-/en japan/Cp.s/en (+/B.mm/. (+/B.am/. armed/Cp.s/en (+/B.am/. chinese/Cp.s/en (+/B.am/. ship/Cp.s/en infiltrates/Cp.p/en))) (its/Mp/en (territorial/Ma/en waters/Cc.p/en))))</t>
  </si>
  <si>
    <t>Days of action demand freedom for the Cuban Five</t>
  </si>
  <si>
    <t>(demand/Pd.so.|f-----/en (of/Br.ma/en days/Cc.p/en action/Cc.s/en) (for/Br.ma/en freedom/Cc.s/en (the/Md/en (+/B.am/. cuban/Cp.s/en five/C#/en))))</t>
  </si>
  <si>
    <t>Irish Prime Minister Enda Kenny to step down</t>
  </si>
  <si>
    <t>((to/Mi/en step/Pd.so.-i-----/en) (+/B.am/. (irish/Ma/en (+/B.am/. prime/Cp.s/en minister/Cp.s/en)) (+/B.am/. enda/Cp.s/en kenny/Cp.s/en)) down/C/en)</t>
  </si>
  <si>
    <t>U.S. sends F-22 warplanes to Romania</t>
  </si>
  <si>
    <t>(sends/Pd.soi.|f--3s-/en u%2es%2e/Cp.s/en (f-22/Ma/en warplanes/Cc.p/en) (to/T/en romania/Cp.s/en))</t>
  </si>
  <si>
    <t>convene</t>
  </si>
  <si>
    <t>US defense chief convenes anti-IS war council in Kuwait</t>
  </si>
  <si>
    <t>(convenes/Pd.so.|f--3s-/en (+/B.am/. us/Cp.s/en (+/B.am/. defense/Cc.s/en chief/Cc.s/en)) (in/Br.ma/en (anti/Ma/en (-/Ma/en (is/Ma/en (+/B.am/. war/Cc.s/en council/Cc.s/en)))) kuwait/Cp.s/en))</t>
  </si>
  <si>
    <t>Dutch company PlantLab has developed an indoor urban farming approach 40 times more productive than open fields</t>
  </si>
  <si>
    <t>((has/Mv.|f--3s-/en developed/Pd.so.&lt;pf----/en) (+/B.mm/. (dutch/Ma/en company/Cc.s/en) plantlab/Cp.s/en) (an/Md/en (indoor/Ma/en (urban/Ma/en (+/B.ma/. (+/B.am/. farming/Cc.s/en approach/Cc.s/en) (than/Br.ma/en (productive/Ma/en (more/M=/en (+/B.aa/. 40/C#/en times/Cc.p/en))) (open/Ma/en fields/Cc.p/en)))))))</t>
  </si>
  <si>
    <t>strike</t>
  </si>
  <si>
    <t>Ex-Muslim poet strikes fear in PC Denmark</t>
  </si>
  <si>
    <t>(strikes/Pd.so.|f--3s-/en (ex/Ma/en (-/Ma/en (muslim/Ma/en poet/Cc.s/en))) (in/Br.ma/en fear/Cc.s/en (+/B.am/. pc/Cp.s/en denmark/Cp.s/en)))</t>
  </si>
  <si>
    <t>US general accuses Russia, Iran of boosting Taliban in Afghanistan</t>
  </si>
  <si>
    <t>(accuses/Pd.sox.|f--3s-/en (+/B.am/. us/Cp.s/en general/Cc.s/en) (,/J/en russia/Cp.s/en iran/Cp.s/en) (of/T/en (boosting/P.ox.|pg----/en taliban/Cp.s/en (in/T/en afghanistan/Cp.s/en))))</t>
  </si>
  <si>
    <t>U.N. condemns sex abuse by peacekeepers in Africa</t>
  </si>
  <si>
    <t>(condemns/Pd.so.|f--3s-/en u%2en%2e/Cp.s/en (by/Br.ma/en (+/B.am/. sex/Cc.s/en abuse/Cc.s/en) (in/Br.ma/en peacekeepers/Cc.p/en africa/Cp.s/en)))</t>
  </si>
  <si>
    <t>lash</t>
  </si>
  <si>
    <t>Typhoon lashes China's east coast, 14 dead and four missing</t>
  </si>
  <si>
    <t>(lashes/Pd.so.|f--3s-/en typhoon/Cc.s/en (+/B.mm/. ('s/Bp.am/en china/Cp.s/en (+/B.am/. east/Cp.s/en coast/Cc.s/en)) (and/J/en (dead/Ma/en 14/C#/en) (missing/Mv.|pg----/en four/C#/en))))</t>
  </si>
  <si>
    <t>China and Russia are not creating any military blocs or alliances against anybody</t>
  </si>
  <si>
    <t>((are/Mv.|f-----/en (not/Mn/en creating/Pd.so.|pg----/en)) (and/J/en china/Cp.s/en russia/Cp.s/en) (or/J/en (any/Md/en (military/Ma/en blocs/Cc.p/en)) (against/Br.ma/en alliances/Cc.p/en anybody/Cc.s/en)))</t>
  </si>
  <si>
    <t>free</t>
  </si>
  <si>
    <t>Al-Qaeda in Syria 'frees seven US-trained rebels'</t>
  </si>
  <si>
    <t>(frees/Pd.so.|f--3s-/en (in/Br.ma/en (+/B.am/. al/Cp.s/en qaeda/Cp.s/en) syria/Cp.s/en) (seven/M#/en ((us/Ma/en trained/Mv.&lt;pf----/en) (+/B.mm/. rebels/Cc.p/en '/C/en))))</t>
  </si>
  <si>
    <t>update</t>
  </si>
  <si>
    <t>Lithuanian Min of Defence updates mobilization plans</t>
  </si>
  <si>
    <t>(updates/Pd.so.|f--3s-/en (of/Br.ma/en (lithuanian/Ma/en min/Cp.s/en) defence/Cp.s/en) (+/B.am/. mobilization/Cc.s/en plans/Cc.p/en))</t>
  </si>
  <si>
    <t>Qatar buys 24 French fighter jets</t>
  </si>
  <si>
    <t>(buys/Pd.so.|f--3s-/en qatar/Cp.s/en (24/M#/en (+/B.am/. (french/Ma/en fighter/Cc.s/en) jets/Cc.p/en)))</t>
  </si>
  <si>
    <t>Burundi Rebels Claim Rwanda Military Training</t>
  </si>
  <si>
    <t>(claim/Pd.so.|f-----/en (+/B.am/. burundi/Cp.s/en rebels/Cp.p/en) (+/B.am/. rwanda/Cp.s/en (+/B.am/. military/Cp.s/en training/Cp.s/en)))</t>
  </si>
  <si>
    <t>uncover</t>
  </si>
  <si>
    <t>BILD uncovers FIFA’s secret</t>
  </si>
  <si>
    <t>(uncovers/Pd.so.|f--3s-/en bild/Cc.s/en (’s/Bp.am/en fifa/Cp.s/en secret/Ca/en))</t>
  </si>
  <si>
    <t>Ukraine’s military retreats from Luhansk, leaves settlements near Donetsk</t>
  </si>
  <si>
    <t>(leaves/Pd.so.|f--3s-/en (from/Br.ma/en (’s/Bp.am/en ukraine/Cp.s/en (military/Ma/en retreats/Cc.p/en)) luhansk/Cp.s/en) (near/Br.ma/en settlements/Cc.p/en donetsk/Cp.s/en))</t>
  </si>
  <si>
    <t>Bomb blasts 'hit Nigeria's Kano</t>
  </si>
  <si>
    <t>(hit/Pd.so.&lt;pf----/en (+/B.am/. bomb/Cc.s/en blasts/C/en) ('s/Bp.am/en nigeria/Cp.s/en kano/Cp.s/en))</t>
  </si>
  <si>
    <t>blast</t>
  </si>
  <si>
    <t>Dalai Lama Blasts Putin's Self-Centeredness</t>
  </si>
  <si>
    <t>(blasts/Pd.so.|f--3s-/en (+/B.am/. dalai/Cp.s/en lama/Cp.s/en) ('s/Bp.am/en putin/Cp.s/en (+/B.am/. self/Cp.s/en centeredness/Cp.s/en)))</t>
  </si>
  <si>
    <t>Syria carried out mass hangings at military prison</t>
  </si>
  <si>
    <t>((out/Ml/en carried/Pd.so.&lt;f-----/en) syria/Cp.s/en (at/Br.ma/en (mass/Ma/en hangings/Cc.p/en) (military/Ma/en prison/Cc.s/en)))</t>
  </si>
  <si>
    <t>perform</t>
  </si>
  <si>
    <t>National Cathedral to perform same-sex weddings</t>
  </si>
  <si>
    <t>((to/Mi/en perform/Pd.so.-i-----/en) (+/B.am/. national/Cp.s/en cathedral/Cp.s/en) (+/B.am/. (same/Ma/en sex/Cc.s/en) weddings/Cc.p/en))</t>
  </si>
  <si>
    <t>Petition asks UK government to forget ISP porn filtering (link in the article</t>
  </si>
  <si>
    <t>(asks/Pd.sor.|f--3s-/en petition/Cc.s/en (+/B.am/. uk/Cp.s/en government/Cc.s/en) ((to/Mi/en forget/P.o.-i-----/en) (+/B.mm/. (+/B.am/. isp/Cc.s/en (+/B.am/. porn/Cc.s/en filtering/Cc.s/en)) (in/Br.ma/en link/Cc.s/en (the/Md/en article/Cc.s/en)))))</t>
  </si>
  <si>
    <t>France’s “Three Strikes” anti-piracy regime may target streaming sites</t>
  </si>
  <si>
    <t>((may/Mm/en target/Pd.so.-i-----/en) (’s/Bp.am/en france/Cp.s/en (+/B.am/. (three/M#/en strikes/Cm/en) (anti/Ma/en (-/Ma/en (piracy/Ma/en regime/Cc.s/en))))) (+/B.am/. streaming/Cc.s/en sites/Cc.p/en))</t>
  </si>
  <si>
    <t>recall</t>
  </si>
  <si>
    <t>Oh NO NOT Again: "Toyota Recalls 369K Vehicles Globally</t>
  </si>
  <si>
    <t>((globally/M/en recalls/Pd.?so.|f--3s-/en) (+/B.ma/. oh/C/en ((not/Mn/en again/M/en) no/C/en)) toyota/Cp.s/en (369/M#/en (+/B.am/. k/Cc.s/en vehicles/Cc.p/en)))</t>
  </si>
  <si>
    <t>It accuses Fifa of "failing almost completely" to stop the tournament "built on human rights abuses</t>
  </si>
  <si>
    <t>(accuses/Pd.sox.|f--3s-/en it/Ci/en fifa/Cp.s/en (of/T/en (((almost/M/en completely/M/en) failing/P.r.|pg----/en) ((to/Mi/en stop/P.o?.-i-----/en) (the/Md/en tournament/Cc.s/en) (built/P.x.&lt;pf----/en (on/T/en (+/B.am/. (human/Ma/en rights/Cc.p/en) abuses/Cc.p/en)))))))</t>
  </si>
  <si>
    <t>Malcolm Turnbull declares victory</t>
  </si>
  <si>
    <t>(declares/Pd.so.|f--3s-/en (+/B.am/. malcolm/Cp.s/en turnbull/Cp.s/en) victory/Cc.s/en)</t>
  </si>
  <si>
    <t>North Korea may have mid-range nuclear capability</t>
  </si>
  <si>
    <t>((may/Mm/en have/Pd.so.-i-----/en) (+/B.am/. north/Cp.s/en korea/Cp.s/en) (mid/Ma/en (-/Ma/en (range/Ma/en (nuclear/Ma/en capability/Cc.s/en)))))</t>
  </si>
  <si>
    <t>Intel's $15 billion purchase of Mobileye shakes up driverless car sector</t>
  </si>
  <si>
    <t>((up/Ml/en shakes/Pd.so.|f--3s-/en) (of/Br.ma/en ('s/Bp.am/en intel/Cp.s/en (($/M/en (15/M#/en billion/M#/en)) purchase/Cc.s/en)) mobileye/Cp.s/en) (driverless/Ma/en (+/B.am/. car/Cc.s/en sector/Cc.s/en)))</t>
  </si>
  <si>
    <t>Police have called the attack a hate crime</t>
  </si>
  <si>
    <t>((have/Mv.|f-----/en called/Pd.soo.&lt;pf----/en) police/Cc.p/en (the/Md/en attack/Cc.s/en) (a/Md/en (+/B.am/. hate/Cc.s/en crime/Cc.s/en)))</t>
  </si>
  <si>
    <t>hail</t>
  </si>
  <si>
    <t>Spain local elections: Podemos leader hails success</t>
  </si>
  <si>
    <t>(hails/Pd.?so.|f--3s-/en (+/B.am/. spain/Cm/en (local/Ma/en elections/Cc.p/en)) (+/B.am/. podemos/Cp.s/en leader/Cc.s/en) success/Cc.s/en)</t>
  </si>
  <si>
    <t>Economic Crisis Forces Russia to Slash Funding for Space Program</t>
  </si>
  <si>
    <t>((to/Mi/en slash/Pd.so.-i-----/en) (+/B.am/. (+/B.am/. (+/B.am/. economic/Cp.s/en crisis/Cp.s/en) forces/Cp.p/en) russia/Cp.s/en) (for/Br.ma/en funding/Cp.s/en (+/B.am/. space/Cp.s/en program/Cp.s/en)))</t>
  </si>
  <si>
    <t>Czech president bans U.S ambassador from Prague Castle: media</t>
  </si>
  <si>
    <t>(bans/Pd.soo.|f--3s-/en (czech/Ma/en president/Cc.s/en) (from/Br.ma/en (+/B.am/. u%2es/Cp.s/en ambassador/Cc.s/en) (+/B.am/. prague/Cp.s/en castle/Cp.s/en)) media/Cc.p/en)</t>
  </si>
  <si>
    <t>Mexico detains growing number of undocumented Cubans</t>
  </si>
  <si>
    <t>(detains/Pd.so.|f--3s-/en mexico/Cp.s/en (of/Br.ma/en (growing/Mv.|pg----/en number/Cc.s/en) (undocumented/Ma/en cubans/Cp.p/en)))</t>
  </si>
  <si>
    <t>UK PM Cameron launches English language campaign for Muslim women</t>
  </si>
  <si>
    <t>(launches/Pd.so.|f--3s-/en (+/B.am/. (+/B.am/. uk/Cp.s/en pm/Cp.s/en) cameron/Cp.s/en) (for/Br.ma/en (+/B.am/. (+/B.am/. english/Cp.s/en language/Cc.s/en) campaign/Cc.s/en) (muslim/Ma/en women/Cc.p/en)))</t>
  </si>
  <si>
    <t>Vatican Bank Has Money Laundering Concerns</t>
  </si>
  <si>
    <t>(has/Pd.so.|f--3s-/en (+/B.am/. vatican/Cp.s/en bank/Cp.s/en) (+/B.am/. (+/B.am/. money/Cp.s/en laundering/C/en) concerns/Cc.p/en))</t>
  </si>
  <si>
    <t>Angry Palestinians Attack Hamas Official Over Gaza Destruction</t>
  </si>
  <si>
    <t>(attack/Pd.so.-i-----/en (angry/Ma/en palestinians/Cp.p/en) (over/Br.ma/en (+/B.am/. hamas/Cp.s/en official/Cp.s/en) (+/B.am/. gaza/Cp.s/en destruction/Cc.s/en)))</t>
  </si>
  <si>
    <t>U.S. warns governments, bankers Iran sanctions still in place</t>
  </si>
  <si>
    <t>(warns/Pd.sor.|f--3s-/en u%2es%2e/Cp.s/en governments/Cc.p/en (sanctions/P.sx.|f--3s-/en (+/B.am/. bankers/Cc.p/en iran/Cp.s/en) ((still/M/en in/T/en) place/Cc.s/en)))</t>
  </si>
  <si>
    <t>Dolmio and Uncle Ben's firm advises limit on products</t>
  </si>
  <si>
    <t>(advises/Pd.so.|f--3s-/en (and/J/en dolmio/Cp.s/en ('s/Bp.am/en (+/B.am/. uncle/Cp.s/en ben/Cp.s/en) firm/Cc.s/en)) (on/Br.ma/en limit/Cc.s/en products/Cc.p/en))</t>
  </si>
  <si>
    <t>But the opposition criticized the Trump administration's move</t>
  </si>
  <si>
    <t>((but/Mj/en criticized/Pd.so.&lt;f-----/en) (the/Md/en opposition/Cc.s/en) ('s/Bp.am/en (the/Md/en (+/B.am/. trump/Cp.s/en administration/Cc.s/en)) move/Cc.s/en))</t>
  </si>
  <si>
    <t>confront</t>
  </si>
  <si>
    <t>Brazil Is Confronting an Epidemic of Anti-Gay Violence</t>
  </si>
  <si>
    <t>((is/Mv.|f--3s-/en confronting/Pd.so.|pg----/en) brazil/Cp.s/en (of/Br.ma/en (an/Md/en epidemic/Cp.s/en) (+/B.am/. anti/Cp.s/en (-/Ma/en (gay/Ma/en violence/Cc.s/en)))))</t>
  </si>
  <si>
    <t>Italy's election: Send in the clowns</t>
  </si>
  <si>
    <t>((in/Ml/en send/Pd.so.-i-----/en) ('s/Bp.am/en italy/Cp.s/en election/Cc.s/en) (the/Md/en clowns/Cc.p/en))</t>
  </si>
  <si>
    <t>Putin and Netanyahu Meet to Discuss Syria</t>
  </si>
  <si>
    <t>((to/M/en discuss/Pd.so.-i-----/en) (and/J/en putin/Cp.s/en (+/B.am/. netanyahu/Cp.s/en meet/Cp.s/en)) syria/Cp.s/en)</t>
  </si>
  <si>
    <t>carve</t>
  </si>
  <si>
    <t>Catalonia carves road map for independence from Spain</t>
  </si>
  <si>
    <t>(carves/Pd.so.|f--3s-/en catalonia/Cp.s/en (for/Br.ma/en (+/B.am/. road/Cc.s/en map/Cc.s/en) (from/Br.ma/en independence/Cc.s/en spain/Cp.s/en)))</t>
  </si>
  <si>
    <t>teach</t>
  </si>
  <si>
    <t>Greece just taught capitalists a lesson about what capitalism really means</t>
  </si>
  <si>
    <t>((just/M/en taught/Pd.sio.&lt;f-----/en) greece/Cp.s/en capitalists/Cc.p/en (about/Jr.ma/en (a/Md/en lesson/Cc.s/en) ((really/M/en means/P.os.|f--3s-/en) what/Cw/en capitalism/Cc.s/en)))</t>
  </si>
  <si>
    <t>China, US, India push world carbon emissions up</t>
  </si>
  <si>
    <t>(push/Pd.soo.|f-----/en (+/B.mm/. china/Cp.s/en (,/J/en us/Cp.s/en india/Cp.s/en)) (+/B.am/. world/Cc.s/en (+/B.am/. carbon/Cc.s/en emissions/Cc.p/en)) up/C/en)</t>
  </si>
  <si>
    <t>China, Canada resolve canola-shipping dispute</t>
  </si>
  <si>
    <t>(resolve/Pd.sso.|f-----/en china/Cp.s/en canada/Cp.s/en (+/B.am/. (+/B.am/. canola/Cc.s/en shipping/Cc.s/en) dispute/Cc.s/en))</t>
  </si>
  <si>
    <t>Colombia and FARC agree to combat drugs trade: Government and rebels announce "comprehensive solution" to trafficking a week ahead of presidential election</t>
  </si>
  <si>
    <t>(announce/Pd.rso.|f-----/en (agree/P.sr.|f-----/en (and/J/en colombia/Cp.s/en farc/Cp.s/en) ((to/Mi/en combat/P.oo.-i-----/en) drugs/Cc.p/en trade/Cc.s/en)) (and/J/en government/Cc.s/en rebels/Cc.p/en) (to/Jr.ma/en (comprehensive/Ma/en solution/Cc.s/en) (trafficking/P.?.|pg----/en (of/Br.ma/en (ahead/M/en (a/Md/en week/Cc.s/en)) (presidential/Ma/en election/Cc.s/en)))))</t>
  </si>
  <si>
    <t>Poroshenko And Putin Hold Talks</t>
  </si>
  <si>
    <t>(hold/Pd.so.-i-----/en (and/J/en poroshenko/Cp.s/en putin/Cp.s/en) talks/Cc.p/en)</t>
  </si>
  <si>
    <t>Danny Nightingale: court martial board considers verdict on ex-SAS sniper</t>
  </si>
  <si>
    <t>(considers/Pd.sso.|f--3s-/en (+/B.am/. danny/Cp.s/en nightingale/Cp.s/en) (+/B.am/. court/Cc.s/en (+/B.am/. martial/Ca/en board/Cp.s/en)) (on/Br.ma/en verdict/Cc.s/en (+/B.am/. ex/Cp.s/en (-/Ma/en (+/B.am/. sas/Cp.s/en sniper/Cc.s/en)))))</t>
  </si>
  <si>
    <t>enjoy</t>
  </si>
  <si>
    <t>Rosneft Executives Enjoy 9900% Rise in Bonus Payout</t>
  </si>
  <si>
    <t>(enjoy/Pd.so.|f-----/en (+/B.am/. rosneft/Cp.s/en executives/Cp.p/en) (in/Br.ma/en (+/B.am/. (9900/M#/en %25/Cc.s/en) rise/Cc.s/en) (+/B.am/. bonus/Cp.s/en payout/Cp.s/en)))</t>
  </si>
  <si>
    <t>Russia lifts nuclear export ban on Iran</t>
  </si>
  <si>
    <t>(lifts/Pd.so.|f--3s-/en russia/Cp.s/en (on/Br.ma/en (nuclear/Ma/en (+/B.am/. export/Cc.s/en ban/Cc.s/en)) iran/Cp.s/en))</t>
  </si>
  <si>
    <t>Isis claims responsibility for killing of Hindu priest in Bangladesh</t>
  </si>
  <si>
    <t>(claims/Pd.so.|f--3s-/en isis/Cp.s/en (for/Br.ma/en responsibility/Cc.s/en (in/Br.ma/en (of/Br.ma/en killing/Cc.s/en (+/B.am/. hindu/Cp.s/en priest/Cc.s/en)) bangladesh/Cp.s/en)))</t>
  </si>
  <si>
    <t>Scottish independence: Salmond and Cameron offer rival visions</t>
  </si>
  <si>
    <t>(offer/Pd.sso.|f-----/en (scottish/Ma/en independence/Cc.s/en) (and/J/en salmond/Cp.s/en cameron/Cp.s/en) (rival/Ma/en visions/Cc.p/en))</t>
  </si>
  <si>
    <t>guide</t>
  </si>
  <si>
    <t>North Korea guides artillery exercises against South Korean Island</t>
  </si>
  <si>
    <t>(guides/Pd.so.|f--3s-/en (+/B.am/. north/Cp.s/en korea/Cp.s/en) (against/Br.ma/en (+/B.am/. artillery/Cc.s/en exercises/Cc.p/en) (+/B.am/. (south/Ma/en korean/Cp.s/en) island/Cp.s/en)))</t>
  </si>
  <si>
    <t>Putin cuts salaries, including his own</t>
  </si>
  <si>
    <t>(cuts/Pd.so.|f--3s-/en putin/Cp.s/en (,/J/en salaries/Cc.p/en (+/B.mm/. including/C/en (his/Mp/en own/Ca/en))))</t>
  </si>
  <si>
    <t>Report reveals spike violent antisemitism in Europe</t>
  </si>
  <si>
    <t>(reveals/Pd.so.|f--3s-/en report/Cc.s/en (in/Br.ma/en (in/Br.ma/en spike/Cc.s/en (violent/Ma/en antisemitism/Cc.s/en)) europe/Cp.s/en))</t>
  </si>
  <si>
    <t>Apple Has 10 Percent of All Corporate Cash and More Profits Than the Three (Other) Biggest Brands Combined</t>
  </si>
  <si>
    <t>(has/Pd.so.|f--3s-/en apple/Cp.s/en (of/Br.ma/en (10/M#/en percent/Cc.s/en) (and/J/en (all/Md/en (corporate/Ma/en cash/Cc.s/en)) (than/Br.ma/en (more/Mc/en profits/Cc.p/en) (the/Md/en ((three/M#/en other/Ma/en) (+/B.am/. (+/B.am/. biggest/Ca/en brands/Cc.p/en) combined/C/en)))))))</t>
  </si>
  <si>
    <t>France Bans Pro-Palestine Protests Amid Increasing Violence</t>
  </si>
  <si>
    <t>(bans/Pd.so.|f--3s-/en france/Cp.s/en (amid/Jr.ma/en (pro/Ma/en (-/Ma/en (palestine/Ma/en protests/Cc.p/en))) (increasing/P.o.|pg----/en violence/Cc.s/en)))</t>
  </si>
  <si>
    <t>Rock find 'rewrites' Australian human history</t>
  </si>
  <si>
    <t>(find/Pd.soo.|f-----/en rock/Cc.s/en rewrites/Cc.p/en (australian/Ma/en (human/Ma/en history/Cc.s/en)))</t>
  </si>
  <si>
    <t>Montreal passes controversial pit bull ban</t>
  </si>
  <si>
    <t>(passes/Pd.so.|f--3s-/en montreal/Cp.s/en (controversial/Ma/en (+/B.am/. pit/Cc.s/en (+/B.am/. bull/Cc.s/en ban/Cc.s/en))))</t>
  </si>
  <si>
    <t>How flash mob flamenco took on the banks</t>
  </si>
  <si>
    <t>((how/M/en (on/Ml/en took/Pd.so.&lt;f-----/en)) (+/B.am/. (+/B.am/. flash/Cc.s/en mob/Cc.s/en) flamenco/Cc.s/en) (the/Md/en banks/Cc.p/en))</t>
  </si>
  <si>
    <t>Iran rejects terror charges in U.S. report</t>
  </si>
  <si>
    <t>(rejects/Pd.so.|f--3s-/en iran/Cp.s/en (in/Br.ma/en (+/B.am/. terror/Cc.s/en charges/Cc.p/en) (+/B.am/. u%2es%2e/Cp.s/en report/Cc.s/en)))</t>
  </si>
  <si>
    <t>U.S. concerned execution of Nimr will exacerbate sectarian tensions</t>
  </si>
  <si>
    <t>((will/Mm/en exacerbate/Pd.so.-i-----/en) (of/Br.ma/en (+/B.am/. u%2es%2e/Cm/en (concerned/Ma/en execution/Cc.s/en)) nimr/Cp.s/en) (sectarian/Ma/en tensions/Cc.p/en))</t>
  </si>
  <si>
    <t>pave</t>
  </si>
  <si>
    <t>Results in mice could now pave the way for clinical trials in humans</t>
  </si>
  <si>
    <t>((could/Mm/en (now/M/en pave/Pd.so.-i-----/en)) (in/Br.ma/en results/Cc.p/en mice/Cc.p/en) (for/Br.ma/en (the/Md/en way/Cc.s/en) (in/Br.ma/en (clinical/Ma/en trials/Cc.p/en) humans/Cc.p/en)))</t>
  </si>
  <si>
    <t>deliver</t>
  </si>
  <si>
    <t>Tesla delivers first China cars, plans national expansion</t>
  </si>
  <si>
    <t>(delivers/Pd.so?.|f--3s-/en tesla/Cp.s/en (first/Ma/en (+/B.am/. china/Cp.s/en cars/Cc.p/en)) (plans/Pd.o.|f--3s-/en (national/Ma/en expansion/Cc.s/en)))</t>
  </si>
  <si>
    <t>Iran rejects limited international access to military sites</t>
  </si>
  <si>
    <t>(rejects/Pd.so.|f--3s-/en iran/Cp.s/en (to/Br.ma/en (limited/Ma/en (international/Ma/en access/Cc.s/en)) (military/Ma/en sites/Cc.p/en)))</t>
  </si>
  <si>
    <t>Palestinians ask ICC to speed up Gaza war crimes probe after Israel closes cases</t>
  </si>
  <si>
    <t>(ask/Pd.sor.|f-----/en palestinians/Cp.p/en icc/Cp.s/en ((up/Ml/en (to/Mi/en speed/P.ox.-i-----/en)) (+/B.am/. gaza/Cp.s/en (+/B.am/. (+/B.am/. war/Cc.s/en crimes/Cc.p/en) probe/Cc.s/en)) (after/T/en (closes/Pd.so.|f--3s-/en israel/Cp.s/en cases/Cc.p/en))))</t>
  </si>
  <si>
    <t>Iran Has Grounds for Closer Cooperation with SCO: Russia</t>
  </si>
  <si>
    <t>(has/Pd.soo.|f--3s-/en iran/Cp.s/en (for/Br.ma/en grounds/Cc.p/en (with/Br.ma/en (closer/Mc/en cooperation/Cp.s/en) sco/Cp.s/en)) russia/Cp.s/en)</t>
  </si>
  <si>
    <t>US launches air strikes over Tikrit</t>
  </si>
  <si>
    <t>(launches/Pd.so.|f--3s-/en us/Cp.s/en (over/Br.ma/en (+/B.am/. air/Cc.s/en strikes/Cc.p/en) tikrit/Cp.s/en))</t>
  </si>
  <si>
    <t>Germans express outrage at Berlusconi concentration camp remarks</t>
  </si>
  <si>
    <t>(express/Pd.so?.|f-----/en germans/Cp.p/en (at/Br.ma/en outrage/Cc.s/en (+/B.am/. berlusconi/Cp.s/en (+/B.am/. concentration/Cc.s/en camp/Cc.s/en))) remarks/C/en)</t>
  </si>
  <si>
    <t>Toxic 'red tide' in Chile prompts investigation of salmon farming</t>
  </si>
  <si>
    <t>(prompts/Pd.so.|f--3s-/en (in/Br.ma/en (toxic/Ma/en (red/Ma/en tide/Cc.s/en)) chile/Cp.s/en) (of/Br.ma/en investigation/Cc.s/en (+/B.am/. salmon/Cc.s/en farming/Cc.s/en)))</t>
  </si>
  <si>
    <t>spoof</t>
  </si>
  <si>
    <t>The State Department’s Arabic outreach team spoofed an al-Qaeda video</t>
  </si>
  <si>
    <t>(spoofed/Pd.so.&lt;f-----/en (’s/Bp.am/en (the/Md/en (+/B.am/. state/Cp.s/en department/Cp.s/en)) (arabic/Ma/en (+/B.am/. outreach/Cc.s/en team/Cc.s/en))) (an/Md/en (+/B.am/. (+/B.am/. al/Cp.s/en qaeda/Cp.s/en) video/Cc.s/en)))</t>
  </si>
  <si>
    <t>U.S. intelligence officials reportedly warn Israeli counterparts against sharing info with Trump administration</t>
  </si>
  <si>
    <t>((reportedly/M/en warn/Pd.sox.|f-----/en) (+/B.am/. u%2es%2e/Cp.s/en (+/B.am/. intelligence/Cc.s/en officials/Cc.p/en)) (israeli/Ma/en counterparts/Cc.p/en) (against/T/en (sharing/P.o.|pg----/en (with/Br.ma/en info/Cc.s/en (+/B.am/. trump/Cp.s/en administration/Cc.s/en)))))</t>
  </si>
  <si>
    <t>Police remove scores of protesters from Hong Kong financial district</t>
  </si>
  <si>
    <t>(remove/Pd.so.|f-----/en police/Cc.p/en (of/Br.ma/en scores/Cc.p/en (from/Br.ma/en protesters/Cc.p/en (+/B.am/. (+/B.aa/. hong/Cm/en kong/Cm/en) (financial/Ma/en district/Cc.s/en)))))</t>
  </si>
  <si>
    <t>Bangkok to ban street food stalls in clean-up crusade</t>
  </si>
  <si>
    <t>((to/Mi/en ban/Pd.so.-i-----/en) bangkok/Cp.s/en (in/Br.ma/en (+/B.am/. street/Cc.s/en (+/B.am/. food/Cc.s/en stalls/Cc.p/en)) ((clean/Ma/en up/Ml/en) crusade/Cc.s/en)))</t>
  </si>
  <si>
    <t>Users of the social bookmarking website got hold of 28 URLs due to a domain name system configuration error</t>
  </si>
  <si>
    <t>(got/Pd.so.&lt;f-----/en (of/Br.ma/en users/Cc.p/en (the/Md/en (+/B.am/. (social/Ma/en bookmarking/Cc.s/en) website/Cc.s/en))) (of/Br.ma/en hold/Cc.s/en (28/M#/en (+/B.ma/. urls/Cc.p/en ((due/M/en to/M/en) (a/Md/en (+/B.am/. (+/B.am/. (+/B.am/. (+/B.am/. domain/Cc.s/en name/Cc.s/en) system/Cc.s/en) configuration/Cc.s/en) error/Cc.s/en)))))))</t>
  </si>
  <si>
    <t>allow</t>
  </si>
  <si>
    <t>Government allowed export of nerve gas chemicals to Syria The Government is to face questions over why a British company was allowed to export two chemicals capable of being used to make a nerve agent such as sarin to Syria</t>
  </si>
  <si>
    <t>(allowed/Pd.sor.&lt;f-----/en government/Cc.s/en (to/Br.ma/en (of/Br.ma/en export/Cc.s/en (+/B.am/. (+/B.am/. nerve/Cc.s/en gas/Cc.s/en) chemicals/Cc.p/en)) syria/Cp.s/en) (is/P.sr.|f--3s-/en (the/Md/en government/Cp.s/en) ((to/Mi/en face/P.o.-i-----/en) (over/Jr.ma/en questions/Cc.p/en ((why/M/en (was/Mv.&lt;f-----/en allowed/P.pr.&lt;pf----/en)) (a/Md/en (british/Ma/en company/Cc.s/en)) ((to/Mi/en export/P.o.-i-----/en) ((capable/Ma/en of/Jr.ma/en) (two/M#/en chemicals/Cc.p/en) ((being/Mv.|pg----/en used/P.r.&lt;pf----/en) ((to/Mi/en make/P.o.-i-----/en) (a/Md/en (+/B.mm/. (+/B.am/. nerve/Cc.s/en agent/Cc.s/en) (as/Br.ma/en such/Ca/en (to/Br.ma/en sarin/Cc.s/en syria/Cp.s/en)))))))))))))</t>
  </si>
  <si>
    <t>China is planning the first-ever landing on the far side of the Moon</t>
  </si>
  <si>
    <t>((is/Mv.|f--3s-/en planning/Pd.so.|pg----/en) china/Cp.s/en (on/Br.ma/en (the/Md/en ((first/Ma/en ever/M/en) landing/C/en)) (of/Br.ma/en (the/Md/en (far/Ma/en side/Cc.s/en)) (the/Md/en moon/Cc.s/en))))</t>
  </si>
  <si>
    <t>jail</t>
  </si>
  <si>
    <t>Kazakhstan jails online editor for 'spreading false information</t>
  </si>
  <si>
    <t>(jails/Pd.sox.|f--3s-/en kazakhstan/Cp.s/en (online/Ma/en editor/Cc.s/en) (for/T/en (spreading/P.o.|pg----/en (false/Ma/en information/Cc.s/en))))</t>
  </si>
  <si>
    <t>dig</t>
  </si>
  <si>
    <t>Condo developers dig up 1830s schooner in downtown Toronto</t>
  </si>
  <si>
    <t>((up/Ml/en dig/Pd.so.|f-----/en) (+/B.am/. condo/Cp.s/en developers/Cc.p/en) (in/Br.ma/en (1830s/M#/en schooner/Cc.s/en) (+/B.am/. downtown/Cc.s/en toronto/Cp.s/en)))</t>
  </si>
  <si>
    <t>fine</t>
  </si>
  <si>
    <t>Woman fined $140 a day for refusing to circumcise son</t>
  </si>
  <si>
    <t>(fined/Pd.sox.&lt;f-----/en woman/Cc.s/en ($/M/en (+/B.ma/. 140/C#/en (a/Md/en day/Cc.s/en))) (for/T/en (refusing/P.r.|pg----/en ((to/Mi/en circumcise/P.o.-i-----/en) son/Cc.s/en))))</t>
  </si>
  <si>
    <t>Peru to make 'first contact' with isolated Mascho Piro Amazon tribe</t>
  </si>
  <si>
    <t>((to/Mi/en make/Pd.so.-i-----/en) peru/Cp.s/en (with/Br.ma/en (first/Ma/en contact/Cc.s/en) (isolated/Mv.&lt;pf----/en (+/B.am/. (+/B.am/. mascho/Cp.s/en (+/B.am/. piro/Cp.s/en amazon/Cp.s/en)) tribe/Cc.s/en))))</t>
  </si>
  <si>
    <t>Border police find secret smuggling tunnel in Hong Kong</t>
  </si>
  <si>
    <t>(find/Pd.so.|f-----/en (+/B.am/. border/Ca/en police/Cc.p/en) (in/Br.ma/en (secret/Ma/en (+/B.am/. smuggling/Cc.s/en tunnel/Cc.s/en)) (+/B.am/. hong/Cp.s/en kong/Cp.s/en)))</t>
  </si>
  <si>
    <t>Russia orders Google, Facebook and Twitter to comply with local storage and censorship laws</t>
  </si>
  <si>
    <t>(orders/Pd.sor.|f--3s-/en russia/Cp.s/en (,/J/en google/Cp.s/en (and/J/en facebook/Cp.s/en twitter/Cp.s/en)) ((to/Mi/en comply/P.x.-i-----/en) (with/T/en (local/Ma/en (+/B.am/. (and/J/en storage/Cm/en censorship/Cc.s/en) laws/Cc.p/en)))))</t>
  </si>
  <si>
    <t>Japan launched North Korea Spy Satellite</t>
  </si>
  <si>
    <t>(launched/Pd.so.&lt;f-----/en japan/Cp.s/en (+/B.am/. (+/B.am/. north/Cp.s/en korea/Cp.s/en) (+/B.am/. spy/Cp.s/en satellite/Cp.s/en)))</t>
  </si>
  <si>
    <t>Russia and pro-Moscow rebels on Wednesday condemned Ukraine for ratifying two bills on greater autonomy for the separatist east, saying they violated a peace deal and threatened a shaky month-long truce</t>
  </si>
  <si>
    <t>(condemned/Pd.sxoxx.&lt;f-----/en (and/J/en russia/Cp.s/en (pro/Ma/en (-/Ma/en (moscow/Ma/en rebels/Cc.p/en)))) (on/Tt/en wednesday/Cp.s/en) ukraine/Cp.s/en (for/T/en (ratifying/P.o.|pg----/en (on/Br.ma/en (two/M#/en bills/Cc.p/en) (for/Br.ma/en (greater/Mc/en autonomy/Cc.s/en) (the/Md/en (+/B.am/. separatist/Cc.s/en east/Cp.s/en)))))) (saying/Pd.r.|pg----/en (and/J/en (violated/P.so.&lt;f-----/en they/Ci/en (a/Md/en (+/B.am/. peace/Cc.s/en deal/Cc.s/en))) (threatened/Pd.o.&lt;f-----/en (a/Md/en (shaky/Ma/en ((month/M/en long/Ma/en) truce/Cc.s/en)))))))</t>
  </si>
  <si>
    <t>turn</t>
  </si>
  <si>
    <t>Kyrgyzstan’s President Turns Mournful Singer-Songwriter</t>
  </si>
  <si>
    <t>(turns/Pd.so.|f--3s-/en (’s/Bp.am/en kyrgyzstan/Cp.s/en president/Cp.s/en) (+/B.am/. mournful/Cp.s/en (+/B.am/. singer/Cp.s/en songwriter/Cp.s/en)))</t>
  </si>
  <si>
    <t>appear</t>
  </si>
  <si>
    <t>Bond Default by Argentina Appears Likely</t>
  </si>
  <si>
    <t>(appears/Pd.so.|f--3s-/en (by/Br.ma/en (+/B.am/. bond/Cc.s/en default/Cp.s/en) argentina/Cp.s/en) likely/C/en)</t>
  </si>
  <si>
    <t>bounce</t>
  </si>
  <si>
    <t>Bullet bounces off robbery victim's face, shoots mugger dead</t>
  </si>
  <si>
    <t>((off/Ml/en bounces/Pd.so?.|f--3s-/en) bullet/Cc.s/en ('s/Bp.am/en (+/B.am/. robbery/Cc.s/en victim/Cc.s/en) face/Cc.s/en) (shoots/Pd.oo.|f--3s-/en mugger/Cc.s/en dead/Ca/en))</t>
  </si>
  <si>
    <t>Ecuador to Carry out Historic Audit of Chevron's Operations</t>
  </si>
  <si>
    <t>((out/Ml/en (to/Mi/en carry/Pd.so.-i-----/en)) ecuador/Cp.s/en (of/Br.ma/en (+/B.am/. historic/Cp.s/en audit/Cp.s/en) ('s/Bp.am/en chevron/Cp.s/en operations/Cc.p/en)))</t>
  </si>
  <si>
    <t>Islamic State shelling of Syrian school area kills nine</t>
  </si>
  <si>
    <t>(kills/Pd.so.|f--3s-/en (of/Br.ma/en (+/B.am/. (islamic/Ma/en state/Cp.s/en) shelling/Cc.s/en) (syrian/Ma/en (+/B.am/. school/Cc.s/en area/Cc.s/en))) nine/C#/en)</t>
  </si>
  <si>
    <t>Iran’s parliament approves nuclear deal with world powers</t>
  </si>
  <si>
    <t>(approves/Pd.so.|f--3s-/en (’s/Bp.am/en iran/Cp.s/en parliament/Cc.s/en) (with/Br.ma/en (nuclear/Ma/en deal/Cc.s/en) (+/B.am/. world/Cc.s/en powers/Cc.p/en)))</t>
  </si>
  <si>
    <t>UAE eases restrictions on Qatari media group</t>
  </si>
  <si>
    <t>(eases/Pd.so.|f--3s-/en uae/Cp.s/en (on/Br.ma/en restrictions/Cc.p/en (qatari/Ma/en (+/B.am/. media/Cc.s/en group/Cc.s/en))))</t>
  </si>
  <si>
    <t>Canada considers fines instead of charges for pot possession</t>
  </si>
  <si>
    <t>(considers/Pd.so.|f--3s-/en canada/Cp.s/en ((instead/M/en of/Br.ma/en) fines/Cc.p/en (for/Br.ma/en charges/Cc.p/en (+/B.am/. pot/Cc.s/en possession/Cc.s/en))))</t>
  </si>
  <si>
    <t>President Robert Mugabe of Zimbabwe Turns Down Confucius Peace Prize</t>
  </si>
  <si>
    <t>(turns/Pd.so.|f--3s-/en (of/Br.ma/en (+/B.am/. president/Cp.s/en (+/B.am/. robert/Cp.s/en mugabe/Cp.s/en)) zimbabwe/Cp.s/en) (+/B.am/. down/Cp.s/en (+/B.am/. confucius/Cp.s/en (+/B.am/. peace/Cp.s/en prize/Cp.s/en))))</t>
  </si>
  <si>
    <t>Israel training MKO terrorists in Jordan</t>
  </si>
  <si>
    <t>(training/Pd.so.|pg----/en israel/Cp.s/en (in/Br.ma/en (+/B.am/. mko/Cp.s/en terrorists/Cc.p/en) jordan/Cp.s/en))</t>
  </si>
  <si>
    <t>Attack in eastern Afghanistan kills 20 police officers, injures 8 others</t>
  </si>
  <si>
    <t>(kills/Pd.so?.|f--3s-/en (in/Br.ma/en attack/Cc.s/en (eastern/Ma/en afghanistan/Cp.s/en)) (20/M#/en (+/B.am/. police/Cc.s/en officers/Cc.p/en)) (injures/Pd.o.|f--3s-/en (8/M#/en others/Cc.p/en)))</t>
  </si>
  <si>
    <t>Japan lifts nuclear sanctions on Iran</t>
  </si>
  <si>
    <t>(lifts/Pd.so.|f--3s-/en japan/Cp.s/en (on/Br.ma/en (nuclear/Ma/en sanctions/Cc.p/en) iran/Cp.s/en))</t>
  </si>
  <si>
    <t>Explosions at Iraq election rally in Baghdad 'kill 31</t>
  </si>
  <si>
    <t>(kill/Pd.so.|f-----/en (at/Br.ma/en explosions/Cc.p/en (in/Br.ma/en (+/B.am/. iraq/Cp.s/en (+/B.am/. election/Cc.s/en rally/Cc.s/en)) baghdad/Cp.s/en)) 31/C#/en)</t>
  </si>
  <si>
    <t>audit</t>
  </si>
  <si>
    <t>EC to audit Apache HTTP Server and Keepass</t>
  </si>
  <si>
    <t>((to/Mi/en audit/Pd.so.-i-----/en) ec/Cp.s/en (and/J/en (+/B.am/. (+/B.am/. apache/Cp.s/en http/Cc.s/en) server/Cp.s/en) keepass/Cp.s/en))</t>
  </si>
  <si>
    <t>achieve</t>
  </si>
  <si>
    <t>Australian scientists achieve a 2050 solar efficiency benchmark 34 years early</t>
  </si>
  <si>
    <t>(achieve/Pd.so?.|f-----/en (australian/Ma/en scientists/Cc.p/en) (a/Md/en (2050/M#/en (+/B.am/. (solar/Ma/en efficiency/Cc.s/en) benchmark/Cc.s/en))) (early/M/en (34/M#/en years/Cc.p/en)))</t>
  </si>
  <si>
    <t>Ecuador asked the world to pay it not to drill for oil</t>
  </si>
  <si>
    <t>(asked/Pd.sor.&lt;f-----/en ecuador/Cp.s/en (the/Md/en world/Cc.s/en) ((to/Mi/en pay/P.ox.-i-----/en) it/Ci/en ((not/Mn/en (to/Mi/en drill/Pd.x.-i-----/en)) (for/T/en oil/Cc.s/en))))</t>
  </si>
  <si>
    <t>North Korea fires missiles, liquidates Seoul's assets</t>
  </si>
  <si>
    <t>(fires/Pd.so?.|f--3s-/en (+/B.am/. north/Cp.s/en korea/Cp.s/en) missiles/Cc.p/en (liquidates/Pd.o.|f--3s-/en ('s/Bp.am/en seoul/Cp.s/en assets/Cc.p/en)))</t>
  </si>
  <si>
    <t>The Gambia holds historic post-Jammeh election</t>
  </si>
  <si>
    <t>(holds/Pd.so.|f--3s-/en (the/Md/en gambia/Cp.s/en) (historic/Ma/en (post/Ma/en (-/Ma/en (jammeh/Ma/en election/Cc.s/en)))))</t>
  </si>
  <si>
    <t>Asean ministers show united front on South China Sea, regional and global issues</t>
  </si>
  <si>
    <t>(show/Pd.soo.|f-----/en (asean/Ma/en ministers/Cc.p/en) (on/Br.ma/en (united/Ma/en front/Cc.s/en) (+/B.am/. (+/B.am/. south/Cp.s/en china/Cp.s/en) sea/Cp.s/en)) (+/B.am/. ((regional/Ma/en and/Mj/en) global/Ca/en) issues/Cc.p/en))</t>
  </si>
  <si>
    <t>pick</t>
  </si>
  <si>
    <t>French robbers pick the wrong McDonald's</t>
  </si>
  <si>
    <t>(pick/Pd.so.|f-----/en (french/Ma/en robbers/Cc.p/en) (the/Md/en (wrong/Ma/en (+/B.mm/. mcdonald/Cp.s/en 's/C/en))))</t>
  </si>
  <si>
    <t>Pilot faces social medai storm for allegedly shoving police woman</t>
  </si>
  <si>
    <t>(faces/Pd.sox.|f--3s-/en pilot/Cc.s/en (+/B.am/. (+/B.am/. social/Cp.s/en medai/Cp.s/en) storm/Cc.s/en) (for/T/en ((allegedly/M/en shoving/P.o.|pg----/en) (+/B.am/. police/Cc.s/en woman/Cc.s/en))))</t>
  </si>
  <si>
    <t>EU report says LGBT face discrimination</t>
  </si>
  <si>
    <t>(says/Pd.so.|f--3s-/en (+/B.am/. eu/Cp.s/en report/Cc.s/en) (lgbt/Ma/en (+/B.am/. face/Cc.s/en discrimination/Cc.s/en)))</t>
  </si>
  <si>
    <t>US 'told Syria rebels'to seek intervention</t>
  </si>
  <si>
    <t>(told/Pd.sor.&lt;f-----/en us/Cp.s/en (+/B.mm/. (+/B.am/. syria/Cp.s/en rebels/Cc.p/en) '/C/en) ((to/Mi/en seek/P.o.-i-----/en) intervention/Cc.s/en))</t>
  </si>
  <si>
    <t>Russia announces ceasefire in Syria from midnight</t>
  </si>
  <si>
    <t>(announces/Pd.so.|f--3s-/en russia/Cp.s/en (from/Br.ma/en (in/Br.ma/en ceasefire/Cc.s/en syria/Cp.s/en) midnight/Cc.s/en))</t>
  </si>
  <si>
    <t>pen</t>
  </si>
  <si>
    <t>Top Brexiteer Boris Johnson penned arguments for staying in EU</t>
  </si>
  <si>
    <t>(penned/Pd.so.&lt;f-----/en (+/B.am/. (+/B.am/. top/Ca/en brexiteer/Cp.s/en) (+/B.am/. boris/Cp.s/en johnson/Cp.s/en)) (for/Jr.ma/en arguments/Cc.p/en (staying/P.x.|pg----/en (in/T/en eu/Cp.s/en))))</t>
  </si>
  <si>
    <t>test</t>
  </si>
  <si>
    <t>Pakistan successfully tests first indigenous armed drone</t>
  </si>
  <si>
    <t>((successfully/M/en tests/Pd.so.|f--3s-/en) pakistan/Cp.s/en (first/Ma/en (indigenous/Ma/en (armed/Ma/en drone/Cc.s/en))))</t>
  </si>
  <si>
    <t>Corruption scandal tests Turkey's cowed media</t>
  </si>
  <si>
    <t>(tests/Pd.so.|f--3s-/en (+/B.am/. corruption/Cc.s/en scandal/Cc.s/en) ('s/Bp.am/en turkey/Cp.s/en (cowed/Mv.&lt;pf----/en media/Cc.p/en)))</t>
  </si>
  <si>
    <t>National mapping agency raises security concerns</t>
  </si>
  <si>
    <t>(raises/Pd.so.|f--3s-/en (national/Ma/en (+/B.am/. mapping/Cc.s/en agency/Cc.s/en)) (+/B.am/. security/Cc.s/en concerns/Cc.p/en))</t>
  </si>
  <si>
    <t>China appoints first anti-terror tsar: State media</t>
  </si>
  <si>
    <t>(appoints/Pd.soo.|f--3s-/en china/Cp.s/en (first/Ma/en (anti/Ma/en (-/Ma/en (terror/Ma/en tsar/Cc.s/en)))) (+/B.am/. state/Cc.s/en media/Cc.p/en))</t>
  </si>
  <si>
    <t>New heart attack test could save 'many lives</t>
  </si>
  <si>
    <t>((could/Mm/en save/Pd.so.-i-----/en) (new/Ma/en (+/B.am/. (+/B.am/. heart/Cc.s/en attack/Cc.s/en) test/Cc.s/en)) (many/Ma/en lives/Cc.p/en))</t>
  </si>
  <si>
    <t>North Korea video shows two on trial for watching American films</t>
  </si>
  <si>
    <t>(shows/Pd.so.|f--3s-/en (+/B.am/. (+/B.am/. north/Cp.s/en korea/Cp.s/en) video/Cc.s/en) (on/Br.ma/en two/C#/en (for/Jr.ma/en trial/Cc.s/en (watching/P.o.|pg----/en (american/Ma/en films/Cc.p/en)))))</t>
  </si>
  <si>
    <t>South Sudan 'facing worst-ever famine</t>
  </si>
  <si>
    <t>(facing/Pd.so.|pg----/en (+/B.am/. south/Cp.s/en sudan/Cp.s/en) ((worst/M^/en ever/M/en) famine/Cc.s/en))</t>
  </si>
  <si>
    <t>Saudi man allegedly beats employee for 'looking at his wife</t>
  </si>
  <si>
    <t>((allegedly/M/en beats/Pd.sox.|f--3s-/en) (saudi/Ma/en man/Cc.s/en) employee/Cc.s/en (for/T/en (looking/P.x.|pg----/en (at/T/en (his/Mp/en wife/Cc.s/en)))))</t>
  </si>
  <si>
    <t>Israeli Strike in Gaza Kills Palestinian Woman, Child as Violence Continues</t>
  </si>
  <si>
    <t>(kills/Pd.so?.|f--3s-/en (in/Br.ma/en (israeli/Ma/en strike/Cp.s/en) gaza/Cp.s/en) (palestinian/Ma/en (+/B.mm/. woman/Cp.s/en (as/Br.ma/en child/Cc.s/en violence/Cc.s/en))) continues/C/en)</t>
  </si>
  <si>
    <t>wipe</t>
  </si>
  <si>
    <t>Bali landslide leaves 12 people dead, homes wiped out</t>
  </si>
  <si>
    <t>(wiped/Pd.rso.&lt;f-----/en (leaves/P.soo.|f--3s-/en (+/B.am/. bali/Cp.s/en landslide/Cc.s/en) (12/M#/en people/Cc.p/en) dead/Ca/en) homes/Cc.p/en out/C/en)</t>
  </si>
  <si>
    <t>UN Criticizes Germany for not Censoring Controversial Banker and Author Thilo Sarrazin</t>
  </si>
  <si>
    <t>(criticizes/Pd.sox.|f--3s-/en un/Cp.s/en germany/Cp.s/en (for/T/en ((not/Mn/en censoring/P.o.|pg----/en) (and/J/en (controversial/Ma/en banker/Cp.s/en) (+/B.am/. author/Cp.s/en (+/B.am/. thilo/Cp.s/en sarrazin/Cp.s/en))))))</t>
  </si>
  <si>
    <t>Finland's Valio to Put 800 Staff on Unpaid Leave due to Russia's Import Ban</t>
  </si>
  <si>
    <t>((to/Mi/en put/Pd.so.-i-----/en) ('s/Bp.am/en finland/Cp.s/en valio/Cp.s/en) (on/Br.ma/en (800/M#/en staff/Cp.s/en) ((to/M/en due/Br.ma/en) (+/B.am/. unpaid/Cp.s/en leave/Cp.s/en) ('s/Bp.am/en russia/Cp.s/en (+/B.am/. import/Cp.s/en ban/Cp.s/en)))))</t>
  </si>
  <si>
    <t>support</t>
  </si>
  <si>
    <t>US Promises Ukrainian People: We Will Support You</t>
  </si>
  <si>
    <t>((will/Mm/en support/Pd.rso.-i-----/en) (promises/P.so.|f--3s-/en us/Cp.s/en (ukrainian/Ma/en people/Cc.p/en)) we/Ci/en you/Ci/en)</t>
  </si>
  <si>
    <t>Seagulls Have a Gruesome New Way of Attacking Baby Seals</t>
  </si>
  <si>
    <t>(have/Pd.so.|f-----/en seagulls/Cc.p/en (of/Br.ma/en (a/Md/en (+/B.am/. gruesome/Cp.s/en (+/B.am/. new/Cp.s/en way/Cp.s/en))) (+/B.am/. attacking/Cp.s/en (+/B.am/. baby/Cp.s/en seals/Cc.p/en))))</t>
  </si>
  <si>
    <t>bombard</t>
  </si>
  <si>
    <t>Turkish-backed groups bombard al-Bab villages</t>
  </si>
  <si>
    <t>(bombard/Pd.so.|f-----/en ((turkish/Ma/en backed/Mv.&lt;pf----/en) groups/Cc.p/en) (+/B.am/. (+/B.am/. al/Cp.s/en bab/Cp.s/en) villages/Cc.p/en))</t>
  </si>
  <si>
    <t>rule</t>
  </si>
  <si>
    <t>Australia rules out new sanctions</t>
  </si>
  <si>
    <t>((out/Ml/en rules/Pd.so.|f--3s-/en) australia/Cp.s/en (new/Ma/en sanctions/Cc.p/en))</t>
  </si>
  <si>
    <t>Suicide bomber kills eight in northeast Nigeria's Maiduguri: police</t>
  </si>
  <si>
    <t>(kills/Pd.soo.|f--3s-/en (+/B.am/. suicide/Cc.s/en bomber/Cc.s/en) (in/Br.ma/en eight/C#/en ('s/Bp.am/en (northeast/Ma/en nigeria/Cp.s/en) maiduguri/Cp.s/en)) police/Cc.s/en)</t>
  </si>
  <si>
    <t>Love-hate relationship': Secret cabinet papers reveal 'bitter' clashes of UK &amp; Australian PMs Thatcher &amp; Hawke</t>
  </si>
  <si>
    <t>(reveal/Pd.sso.|f-----/en (+/B.am/. (+/B.am/. love/Cc.s/en hate/Cc.s/en) relationship/Cc.s/en) (secret/Ma/en (+/B.am/. cabinet/Cc.s/en papers/Cc.p/en)) (of/Br.ma/en (bitter/Ma/en clashes/Cc.p/en) (%26/J/en (+/B.am/. (%26/J/en uk/Cm/en australian/Cp.s/en) (+/B.am/. pms/Cp.s/en thatcher/Cp.s/en)) hawke/Cp.s/en)))</t>
  </si>
  <si>
    <t>The Syrian Arab Army (SAA) has reached the outskirts of Palmyra</t>
  </si>
  <si>
    <t>((has/Mv.|f--3s-/en reached/Pd.so.&lt;pf----/en) (+/B.mm/. (the/Md/en (syrian/Ma/en (+/B.am/. arab/Cp.s/en army/Cp.s/en))) saa/Cp.s/en) (of/Br.ma/en (the/Md/en outskirts/Cc.p/en) palmyra/Cp.s/en))</t>
  </si>
  <si>
    <t>France orders Facebook to stop monitoring Facebook visitors who don't sign up</t>
  </si>
  <si>
    <t>(orders/Pd.sor.|f--3s-/en france/Cp.s/en facebook/Cp.s/en ((to/Mi/en stop/P.r.-i-----/en) (monitoring/P.o?.|pg----/en (+/B.am/. facebook/Cp.s/en visitors/Cc.p/en) ((up/Ml/en (do/Mv.|f-----/en (n't/Mn/en sign/P.s.-i-----/en))) who/Cw/en))))</t>
  </si>
  <si>
    <t>Tobacco groups are demanding assurances from govt over the proposed law</t>
  </si>
  <si>
    <t>((are/Mv.|f-----/en demanding/Pd.so.|pg----/en) (+/B.am/. tobacco/Cc.s/en groups/Cc.p/en) (over/Br.ma/en (from/Br.ma/en assurances/Cc.p/en govt/Cc.s/en) (the/Md/en (proposed/Mv.&lt;pf----/en law/Cc.s/en))))</t>
  </si>
  <si>
    <t>Switzerland sees rise in child victims of forced marriage</t>
  </si>
  <si>
    <t>(sees/Pd.so.|f--3s-/en switzerland/Cp.s/en (in/Br.ma/en rise/Cc.s/en (of/Br.ma/en (+/B.am/. child/Cc.s/en victims/Cc.p/en) (forced/Mv.&lt;pf----/en marriage/Cc.s/en))))</t>
  </si>
  <si>
    <t>Top Intel Official Confirms ISIS Made, Used Chemical Weapons</t>
  </si>
  <si>
    <t>(confirms/Pd.sooo.|f--3s-/en (top/Ma/en (+/B.am/. intel/Cp.s/en official/Cp.s/en)) isis/Cp.s/en made/C/en (+/B.am/. used/Cp.s/en (+/B.am/. chemical/Cp.s/en weapons/Cc.p/en)))</t>
  </si>
  <si>
    <t>review</t>
  </si>
  <si>
    <t>Tokyo to review ‘one-sided’ privileged status of Americans working at US bases in Japan</t>
  </si>
  <si>
    <t>((to/Mi/en review/Pd.so.-i-----/en) tokyo/Cp.s/en ((one/M#/en sided/Ma/en) (privileged/Ma/en (+/B.mm/. status/Cc.s/en (of/Jr.ma/en americans/Cp.p/en (working/P.x.|pg----/en (at/T/en (in/Br.ma/en (+/B.am/. us/Cp.s/en bases/Cc.p/en) japan/Cp.s/en))))))))</t>
  </si>
  <si>
    <t>Polar Bear Plunge in Jeopardy : ' female plungers report a loss of feeling from their waist down</t>
  </si>
  <si>
    <t>(report/Pd.sso?.|f-----/en (in/Br.ma/en (+/B.am/. polar/Cp.s/en (+/B.am/. bear/Cp.s/en plunge/Cp.s/en)) jeopardy/Cp.s/en) (female/Ma/en plungers/Cc.p/en) (of/Br.ma/en (a/Md/en loss/Cc.s/en) (from/Br.ma/en feeling/Cc.s/en (their/Mp/en waist/Cc.s/en))) down/C/en)</t>
  </si>
  <si>
    <t>North Korea denies responsibility for Sony cyberattack</t>
  </si>
  <si>
    <t>(denies/Pd.so.|f--3s-/en (+/B.am/. north/Cp.s/en korea/Cp.s/en) (for/Br.ma/en responsibility/Cc.s/en (+/B.am/. sony/Cp.s/en cyberattack/Cc.s/en)))</t>
  </si>
  <si>
    <t>Russian mafia in US: Razhden Shulaya to face 65-year-imprisonment, 2 killers of gang to be sentenced for life</t>
  </si>
  <si>
    <t>((to/Mi/en face/Pd.so?.-i-----/en) (+/B.mm/. (in/Br.ma/en (russian/Ma/en mafia/Cc.s/en) us/Cp.s/en) (+/B.am/. razhden/Cp.s/en shulaya/Cp.s/en)) (+/B.am/. (65/M#/en year/Cc.s/en) imprisonment/Cc.s/en) ((to/Mi/en (be/Mv.-i-----/en sentenced/Pd.px.&lt;pf----/en)) (of/Br.ma/en (2/M#/en killers/Cc.p/en) gang/Cc.s/en) (for/T/en life/Cc.s/en)))</t>
  </si>
  <si>
    <t>Freedom of speech has limits</t>
  </si>
  <si>
    <t>(has/Pd.so.|f--3s-/en (of/Br.ma/en freedom/Cc.s/en speech/Cc.s/en) limits/Cc.p/en)</t>
  </si>
  <si>
    <t>Australian police find baby koala in woman's bag</t>
  </si>
  <si>
    <t>(find/Pd.so.|f-----/en (australian/Ma/en police/Cc.p/en) (in/Br.ma/en (+/B.am/. baby/Cc.s/en koala/Cc.s/en) ('s/Bp.am/en woman/Cc.s/en bag/Cc.s/en)))</t>
  </si>
  <si>
    <t>invoke</t>
  </si>
  <si>
    <t>Our rules, not China’s’: Obama invokes Beijing threat in defense of TPP trade deal</t>
  </si>
  <si>
    <t>(invokes/Pd.?so.|f--3s-/en (+/B.mm/. (our/Mp/en rules/Cc.p/en) (not/Mn/en (+/B.mm/. china/Cp.s/en ’s/C/en))) obama/Cp.s/en (in/Br.ma/en (+/B.am/. beijing/Cp.s/en threat/Cc.s/en) (of/Br.ma/en defense/Cc.s/en (+/B.am/. tpp/Cp.s/en (+/B.am/. trade/Cc.s/en deal/Cc.s/en)))))</t>
  </si>
  <si>
    <t>flee</t>
  </si>
  <si>
    <t>Paris residents, artwork flee deadly floods</t>
  </si>
  <si>
    <t>(flee/Pd.so.|f-----/en (+/B.mm/. (+/B.am/. paris/Cp.s/en residents/Cc.p/en) artwork/Cc.s/en) (deadly/Ma/en floods/Cc.p/en))</t>
  </si>
  <si>
    <t>pull</t>
  </si>
  <si>
    <t>Robbers pull off 'gigantic' multimillion-dollar diamond heist in Belgium</t>
  </si>
  <si>
    <t>((off/Ml/en pull/Pd.so.|f-----/en) robbers/Cc.p/en (in/Br.ma/en (gigantic/Ma/en (+/B.am/. (multimillion/Ma/en dollar/Cc.s/en) (+/B.am/. diamond/Cc.s/en heist/Cc.s/en))) belgium/Cp.s/en))</t>
  </si>
  <si>
    <t>Bitcoin mining companies face shutdown in southwest China</t>
  </si>
  <si>
    <t>(face/Pd.so.|f-----/en (+/B.am/. bitcoin/Cc.s/en (+/B.am/. mining/Cc.s/en companies/Cc.p/en)) (in/Br.ma/en shutdown/Cc.s/en (southwest/Ma/en china/Cp.s/en)))</t>
  </si>
  <si>
    <t>Russia Cuts All Military Ties With Turkey</t>
  </si>
  <si>
    <t>(cuts/P.so.-------/en russia/Cp.s/en (with/Br.ma/en (all/Md/en (+/B.am/. military/Ca/en ties/Cc.p/en)) turkey/Cp.s/en))</t>
  </si>
  <si>
    <t>Ukraine Turns Up the Charm to Capture Billions in IT Outsourcing</t>
  </si>
  <si>
    <t>((up/Ml/en turns/Pd.sor.|f--3s-/en) ukraine/Cp.s/en (the/Md/en charm/Cc.s/en) ((to/Mi/en capture/P.ox.-i-----/en) billions/Cp.p/en (in/T/en (+/B.am/. it/Cc.s/en outsourcing/Cc.s/en))))</t>
  </si>
  <si>
    <t>Military attaches, diplomats flee Turkey's post-coup inquiry</t>
  </si>
  <si>
    <t>(flee/Pd.sso.|f-----/en (military/Ma/en attaches/Cc.p/en) diplomats/Cc.p/en ('s/Bp.am/en turkey/Cp.s/en (post/Ma/en (-/Ma/en (coup/Ma/en inquiry/Cc.s/en)))))</t>
  </si>
  <si>
    <t>North (Korea) digs silos for missiles in Mt. Paektu area</t>
  </si>
  <si>
    <t>(digs/Pd.so.|f--3s-/en (+/B.mm/. north/Cp.s/en korea/Cp.s/en) (for/Br.ma/en silos/Cc.s/en (in/Br.ma/en missiles/Cc.p/en (+/B.am/. (+/B.am/. mt%2e/Cp.s/en paektu/Cp.s/en) area/Cc.s/en))))</t>
  </si>
  <si>
    <t>A Reuters witness saw the bodies of 27 people</t>
  </si>
  <si>
    <t>(saw/Pd.so.&lt;f-----/en (a/Md/en (+/B.am/. reuters/Cp.s/en witness/Cc.s/en)) (of/Br.ma/en (the/Md/en bodies/Cc.p/en) (27/M#/en people/Cc.p/en)))</t>
  </si>
  <si>
    <t>Iran calls off Major Hajj</t>
  </si>
  <si>
    <t>((off/Ml/en calls/Pd.so.|f--3s-/en) iran/Cp.s/en (+/B.am/. major/Cp.s/en hajj/Cp.s/en))</t>
  </si>
  <si>
    <t>Germany plans expulsion centres for Algerians and Moroccans</t>
  </si>
  <si>
    <t>(plans/Pd.so.|f--3s-/en germany/Cp.s/en (for/Br.ma/en (+/B.am/. expulsion/Cc.s/en centres/Cc.p/en) (and/J/en algerians/Cp.p/en moroccans/Cp.p/en)))</t>
  </si>
  <si>
    <t>overtake</t>
  </si>
  <si>
    <t>China overtakes US to become world’s biggest goods trading nation</t>
  </si>
  <si>
    <t>(overtakes/Pd.sor.|f--3s-/en china/Cp.s/en us/Cp.s/en ((to/Mi/en become/P.c.-i-----/en) (’s/Bp.am/en world/Cc.s/en (biggest/Ms/en (+/B.am/. (+/B.am/. goods/Cc.p/en trading/Cc.s/en) nation/Cc.s/en)))))</t>
  </si>
  <si>
    <t>recommend</t>
  </si>
  <si>
    <t>Brazil committee recommends Dilma Rousseff's impeachment</t>
  </si>
  <si>
    <t>(recommends/Pd.so.|f--3s-/en (+/B.am/. brazil/Cp.s/en committee/Cc.s/en) ('s/Bp.am/en (+/B.am/. dilma/Cp.s/en rousseff/Cp.s/en) impeachment/Cc.s/en))</t>
  </si>
  <si>
    <t>overshadow</t>
  </si>
  <si>
    <t>U.S. spying row overshadows McCain's trip to India</t>
  </si>
  <si>
    <t>(overshadows/Pd.so.|f--3s-/en (+/B.am/. u%2es%2e/Cp.s/en (+/B.am/. spying/Cc.s/en row/Cc.s/en)) (to/Br.ma/en ('s/Bp.am/en mccain/Cp.s/en trip/Cc.s/en) india/Cp.s/en))</t>
  </si>
  <si>
    <t>NZ confirms Silver Fern as flag referendum candidate</t>
  </si>
  <si>
    <t>(confirms/Pd.so.|f--3s-/en nz/Cp.s/en (as/Br.ma/en (+/B.am/. silver/Cp.s/en fern/Cp.s/en) (+/B.am/. (+/B.am/. flag/Cc.s/en referendum/Cc.s/en) candidate/Cc.s/en)))</t>
  </si>
  <si>
    <t>Nuclear talks showed US enmity towards Iran – Khamenei</t>
  </si>
  <si>
    <t>(showed/Pd.soo.&lt;f-----/en (nuclear/Ma/en talks/Cc.p/en) (towards/Br.ma/en (+/B.am/. us/Cp.s/en enmity/Cc.s/en) iran/Cp.s/en) khamenei/Cp.s/en)</t>
  </si>
  <si>
    <t>Venezuelan Trade Council asks government to address economic crisis</t>
  </si>
  <si>
    <t>(asks/Pd.sor.|f--3s-/en (+/B.am/. venezuelan/Cp.s/en (+/B.am/. trade/Cp.s/en council/Cp.s/en)) government/Cc.s/en ((to/Mi/en address/P.o.-i-----/en) (economic/Ma/en crisis/Cc.s/en)))</t>
  </si>
  <si>
    <t>Putin orders Russia’s central bank to help his billionaire friends after U.S. targets them for sanctions</t>
  </si>
  <si>
    <t>(orders/Pd.sor.|f--3s-/en putin/Cp.s/en (’s/Bp.am/en russia/Cp.s/en (central/Ma/en bank/Cc.s/en)) ((to/Mi/en help/P.ox.-i-----/en) (his/Mp/en (+/B.am/. billionaire/Cc.s/en friends/Cc.p/en)) (after/T/en (targets/Pd.sox.|f--3s-/en u%2es%2e/Cp.s/en them/Ci/en (for/T/en sanctions/Cc.p/en)))))</t>
  </si>
  <si>
    <t>PKK-linked TAK claims responsibility for Ankara attack</t>
  </si>
  <si>
    <t>(claims/Pd.so?.|f--3s-/en ((pkk/Ma/en linked/Mv.&lt;pf----/en) tak/Cp.s/en) (for/Br.ma/en responsibility/Cc.s/en ankara/Cp.s/en) attack/Cc.s/en)</t>
  </si>
  <si>
    <t>undermine</t>
  </si>
  <si>
    <t>Donald Trump's 'flirtation with torture' undermines human rights warns UN official</t>
  </si>
  <si>
    <t>(undermines/Pd.so?.|f--3s-/en (with/Br.ma/en ('s/Bp.am/en (+/B.am/. donald/Cp.s/en trump/Cp.s/en) flirtation/Cc.s/en) torture/Cc.s/en) (human/Ma/en rights/Cc.p/en) (warns/Pd.o.|f--3s-/en (+/B.am/. un/Cp.s/en official/Cc.s/en)))</t>
  </si>
  <si>
    <t>infiltrate</t>
  </si>
  <si>
    <t>16 dead: Militants infiltrate UN's Somalia office</t>
  </si>
  <si>
    <t>(infiltrate/Pd.rso.|f-----/en (16/M#/en dead/Ca/en) militants/Cc.p/en ('s/Bp.am/en un/Cp.s/en (+/B.am/. somalia/Cp.s/en office/Cc.s/en)))</t>
  </si>
  <si>
    <t>Group says boycott Qatar Airways, cites poor rights record</t>
  </si>
  <si>
    <t>(says/Pd.so?.|f--3s-/en group/Cp.s/en (+/B.am/. boycott/Cc.s/en (+/B.am/. qatar/Cp.s/en airways/Cp.s/en)) (cites/Pd.o.|f--3s-/en (poor/Ma/en (+/B.am/. rights/Cc.p/en record/Cc.s/en))))</t>
  </si>
  <si>
    <t>Syria militants ask American senator for US targeted strikes on Hezbollah</t>
  </si>
  <si>
    <t>(ask/Pd.so.|f-----/en (+/B.am/. syria/Cp.s/en militants/Cc.p/en) (for/Br.ma/en (american/Ma/en senator/Cc.s/en) (on/Br.ma/en ((us/Ma/en targeted/Mv.&lt;pf----/en) strikes/Cc.p/en) hezbollah/Cp.s/en)))</t>
  </si>
  <si>
    <t>Video threatens Sochi Winter Olympics</t>
  </si>
  <si>
    <t>(threatens/Pd.so.|f--3s-/en video/Cc.s/en (+/B.am/. sochi/Cp.s/en (+/B.am/. winter/Cp.s/en olympics/Cp.p/en)))</t>
  </si>
  <si>
    <t>acknowledge</t>
  </si>
  <si>
    <t>Syria’s embattled leader publicly acknowledges battlefield setbacks</t>
  </si>
  <si>
    <t>((publicly/M/en acknowledges/Pd.so.|f--3s-/en) (’s/Bp.am/en syria/Cp.s/en (embattled/Mv.&lt;pf----/en leader/Cc.s/en)) (battlefield/M/en setbacks/Cc.p/en))</t>
  </si>
  <si>
    <t>10 more billionaires join Buffett-Gates Giving Pledge</t>
  </si>
  <si>
    <t>(join/Pd.so.|f-----/en (10/M#/en (more/Mc/en billionaires/Cc.p/en)) (+/B.am/. (+/B.am/. buffett/Cp.s/en gates/Cp.s/en) (+/B.am/. giving/Cp.s/en pledge/Cp.s/en)))</t>
  </si>
  <si>
    <t>Heat-seeking devices join satellites and sonar in hunt for missing Malaysian plane</t>
  </si>
  <si>
    <t>(join/Pd.soxx.|f-----/en ((heat/M/en seeking/Mv.|pg----/en) devices/Cc.p/en) (and/J/en satellites/Cc.p/en sonar/Cc.s/en) (in/T/en hunt/Cc.s/en) (for/T/en (missing/P.o.|pg----/en (malaysian/Ma/en plane/Cc.s/en))))</t>
  </si>
  <si>
    <t>Lloyds Banking Group to pay $370 million Libor rigging fines</t>
  </si>
  <si>
    <t>((to/Mi/en pay/Pd.so.-i-----/en) (+/B.am/. lloyds/Cp.s/en (+/B.am/. banking/Cp.s/en group/Cp.s/en)) (($/M/en (370/M#/en million/M#/en)) (+/B.am/. libor/Cp.s/en (+/B.am/. rigging/Cc.s/en fines/Cc.p/en))))</t>
  </si>
  <si>
    <t>secure</t>
  </si>
  <si>
    <t>Nobel laureate Malala Yousafzai secures top marks in British school exams</t>
  </si>
  <si>
    <t>(secures/Pd.so.|f--3s-/en (+/B.am/. (+/B.am/. nobel/Cp.s/en laureate/Cc.s/en) (+/B.am/. malala/Cp.s/en yousafzai/Cp.s/en)) (in/Br.ma/en (top/Ma/en marks/Cc.p/en) (british/Ma/en (+/B.am/. school/Cc.s/en exams/Cc.p/en))))</t>
  </si>
  <si>
    <t>France can order internet providers to block terrorist websites</t>
  </si>
  <si>
    <t>((can/Mm/en order/Pd.sor.-i-----/en) france/Cp.s/en (+/B.am/. internet/Cc.s/en providers/Cc.p/en) ((to/Mi/en block/P.o.-i-----/en) (terrorist/Ma/en websites/Cc.p/en)))</t>
  </si>
  <si>
    <t>Avigdor Liberman unveils new "carrot and stick" policy for West Bank Palestinians</t>
  </si>
  <si>
    <t>(unveils/Pd.so.|f--3s-/en (+/B.am/. avigdor/Cp.s/en liberman/Cp.s/en) (for/Br.ma/en (new/Ma/en (+/B.am/. (and/J/en carrot/Cm/en stick/Pd..-i-----/en) policy/Cc.s/en)) (+/B.am/. (+/B.am/. west/Cp.s/en bank/Cp.s/en) palestinians/Cp.p/en)))</t>
  </si>
  <si>
    <t>Colombia to use air bombing raids against crime gangs</t>
  </si>
  <si>
    <t>((to/Mi/en use/Pd.so.-i-----/en) colombia/Cp.s/en (against/Br.ma/en (+/B.am/. (+/B.am/. air/Cc.s/en bombing/Cc.s/en) raids/Cc.p/en) (+/B.am/. crime/Cc.s/en gangs/Cc.p/en)))</t>
  </si>
  <si>
    <t>charge</t>
  </si>
  <si>
    <t>US charges six Bosnian natives with aiding terrorist organisations</t>
  </si>
  <si>
    <t>(charges/Pd.so.|f--3s-/en us/Cp.s/en (with/Jr.ma/en (six/M#/en (bosnian/Ma/en natives/Cc.p/en)) (aiding/P.o.|pg----/en (terrorist/Ma/en organisations/Cc.p/en))))</t>
  </si>
  <si>
    <t>Israelis evict Palestinian protest camp</t>
  </si>
  <si>
    <t>(evict/Pd.so.|f-----/en israelis/Cp.p/en (palestinian/Ma/en (+/B.am/. protest/Cc.s/en camp/Cc.s/en)))</t>
  </si>
  <si>
    <t>ITV to buy The Voice producer</t>
  </si>
  <si>
    <t>((to/Mi/en buy/Pd.so.-i-----/en) itv/Cp.s/en (the/Md/en (+/B.am/. voice/Cp.s/en producer/Cc.s/en)))</t>
  </si>
  <si>
    <t>Russia denies ground troop in Syria</t>
  </si>
  <si>
    <t>(denies/Pd.so.|f--3s-/en russia/Cp.s/en (in/Br.ma/en (+/B.am/. ground/Cc.s/en troop/Cc.s/en) syria/Cp.s/en))</t>
  </si>
  <si>
    <t>stand</t>
  </si>
  <si>
    <t>Leading Russian rights activists stand Obama up</t>
  </si>
  <si>
    <t>((up/Ml/en stand/Pd.so.|f-----/en) (leading/Mv.|pg----/en (+/B.am/. (russian/Ma/en rights/Cc.p/en) activists/Cc.p/en)) obama/Cp.s/en)</t>
  </si>
  <si>
    <t>recieve</t>
  </si>
  <si>
    <t>Russian troops to recieve over 750 new weapon systems</t>
  </si>
  <si>
    <t>((to/Mi/en recieve/Pd.so.-i-----/en) (russian/Ma/en troops/Cc.p/en) ((over/M/en 750/M#/en) (new/Ma/en (+/B.am/. weapon/Cc.s/en systems/Cc.p/en))))</t>
  </si>
  <si>
    <t>protect</t>
  </si>
  <si>
    <t>Rioters injure five Palestinians, disrupt public transportation, even burst into McDonald's looking for Arabs as undercover police, security guards protect potential victims</t>
  </si>
  <si>
    <t>(protect/Pd.rso.|f-----/en (injure/P.so?.|f-----/en rioters/Cc.p/en (five/M#/en palestinians/Cp.p/en) (disrupt/P!.o?.|f-----/en (public/Ma/en transportation/Cc.s/en) ((even/M/en burst/Pd.x.&lt;f-----/en) (into/T/en (looking/P.sx.|pg----/en (+/B.mm/. mcdonald/Cp.s/en 's/C/en) (for/T/en (as/Br.ma/en arabs/Cp.p/en (undercover/Ma/en police/Cc.p/en)))))))) (+/B.am/. security/Cc.s/en guards/Cc.p/en) (potential/Ma/en victims/Cc.p/en))</t>
  </si>
  <si>
    <t>Cuban military plane crash kills eight</t>
  </si>
  <si>
    <t>(kills/Pd.so.|f--3s-/en (cuban/Ma/en (+/B.am/. (military/Ma/en plane/Cc.s/en) crash/Cc.s/en)) eight/C#/en)</t>
  </si>
  <si>
    <t>Bankrupt Hanjin seeks court protection for its ships</t>
  </si>
  <si>
    <t>(seeks/Pd.so.|f--3s-/en (bankrupt/Ma/en hanjin/Cp.s/en) (for/Br.ma/en (+/B.am/. court/Cc.s/en protection/Cc.s/en) (its/Mp/en ships/Cc.p/en)))</t>
  </si>
  <si>
    <t>Ansar Bayt al-Maqdis claims responsibility for opening fire on Israeli soldiers near Egyptian border</t>
  </si>
  <si>
    <t>(claims/Pd.so.|f--3s-/en (+/B.am/. ansar/Cp.s/en (+/B.am/. bayt/Cp.s/en (+/B.am/. al/Cp.s/en maqdis/Cp.s/en))) (for/Jr.ma/en responsibility/Cc.s/en (on/Jr.ma/en (opening/P.o.|pg----/en fire/Cc.s/en) (near/Br.ma/en (israeli/Ma/en soldiers/Cc.p/en) (egyptian/Ma/en border/Cc.s/en)))))</t>
  </si>
  <si>
    <t>New Zealand lawmakers pass anti-terrorism measures</t>
  </si>
  <si>
    <t>(pass/Pd.so.|f-----/en (+/B.am/. (+/B.am/. new/Cp.s/en zealand/Cp.s/en) lawmakers/Cc.p/en) (anti/Ma/en (-/Ma/en (terrorism/Ma/en measures/Cc.p/en))))</t>
  </si>
  <si>
    <t>Hong Kong's election reform faces defeat by pro-democracy lawmakers</t>
  </si>
  <si>
    <t>(faces/Pd.so.|f--3s-/en ('s/Bp.am/en (+/B.am/. hong/Cp.s/en kong/Cp.s/en) (+/B.am/. election/Cc.s/en reform/Cc.s/en)) (by/Br.ma/en defeat/Cc.s/en (pro/Ma/en (-/Ma/en (democracy/Ma/en lawmakers/Cc.p/en)))))</t>
  </si>
  <si>
    <t>cite</t>
  </si>
  <si>
    <t>Rebels in eastern Ukraine pledge access to plane crash site, but Kiev cites restrictions</t>
  </si>
  <si>
    <t>(cites/Pd.sso.|f--3s-/en (but/J/en (in/Br.ma/en rebels/Cc.p/en (eastern/Ma/en ukraine/Cp.s/en)) (to/Br.ma/en (+/B.am/. pledge/Cc.s/en access/Cc.s/en) (+/B.am/. (+/B.am/. plane/Cc.s/en crash/Cc.s/en) site/Cc.s/en))) kiev/Cp.s/en restrictions/Cc.p/en)</t>
  </si>
  <si>
    <t>Kenya's $13 billion railway project is taking shape</t>
  </si>
  <si>
    <t>((is/Mv.|f--3s-/en taking/Pd.so.|pg----/en) ('s/Bp.am/en kenya/Cp.s/en (($/M/en (13/M#/en billion/M#/en)) (+/B.am/. railway/Cc.s/en project/Cc.s/en))) shape/Cc.s/en)</t>
  </si>
  <si>
    <t>Will you miss the Canadian Penny</t>
  </si>
  <si>
    <t>((will/Mm/en miss/P?.so.-i-----/en) you/Ci/en (the/Md/en (canadian/Ma/en penny/Cp.s/en)))</t>
  </si>
  <si>
    <t>New study suggests more and longer atmospheric stagnation events due to global warming</t>
  </si>
  <si>
    <t>(suggests/Pd.so.|f--3s-/en (new/Ma/en study/Cc.s/en) (+/B.am/. ((more/M=/en and/Mj/en) longer/Ca/en) (atmospheric/Ma/en (+/B.mm/. (+/B.am/. stagnation/Cc.s/en events/Cc.p/en) (+/B.mm/. (+/B.mm/. due/Ca/en to/C/en) (global/Ma/en warming/Cc.s/en))))))</t>
  </si>
  <si>
    <t>talk</t>
  </si>
  <si>
    <t>Syria talks: 'no breakthrough, no breakdown</t>
  </si>
  <si>
    <t>(talks/Pd.so.|f--3s-/en syria/Cp.s/en (+/B.mm/. (no/Md/en breakthrough/Cc.s/en) (no/Md/en breakdown/Cc.s/en)))</t>
  </si>
  <si>
    <t>Ukraine tensions hit world stocks</t>
  </si>
  <si>
    <t>(hit/Pd.so.&lt;f-----/en (ukraine/Ma/en tensions/Cc.p/en) (+/B.am/. world/Cc.s/en stocks/Cc.p/en))</t>
  </si>
  <si>
    <t>Canadian Police do nothing</t>
  </si>
  <si>
    <t>(do/Pd.so.|f-----/en (canadian/Ma/en police/Cc.p/en) nothing/Cc.s/en)</t>
  </si>
  <si>
    <t>North Korea closes Kaesong industrial complex</t>
  </si>
  <si>
    <t>(closes/Pd.so.|f--3s-/en (+/B.am/. north/Cp.s/en korea/Cp.s/en) (+/B.am/. kaesong/Cm/en (industrial/Ma/en complex/Cc.s/en)))</t>
  </si>
  <si>
    <t>North Korea Missiles Passed Near Chinese Passenger Jet</t>
  </si>
  <si>
    <t>(passed/Pd.so.&lt;f-----/en (+/B.am/. (+/B.am/. north/Cp.s/en korea/Cp.s/en) missiles/Cp.s/en) (+/B.am/. near/C/en (chinese/Ma/en (+/B.am/. passenger/Cc.s/en jet/Cp.s/en))))</t>
  </si>
  <si>
    <t>Obama apologizes for Kunduz attack, MSF demands independent probe</t>
  </si>
  <si>
    <t>(demands/Pd.rso.|f--3s-/en (apologizes/P.sx.|f--3s-/en obama/Cp.s/en (for/T/en (+/B.am/. kunduz/Cp.s/en attack/Cc.s/en))) msf/Cp.s/en (independent/Ma/en probe/Cc.s/en))</t>
  </si>
  <si>
    <t>India cabinet expansion gets a thumbs-up from business community</t>
  </si>
  <si>
    <t>(gets/Pd.so.|f--3s-/en (+/B.am/. india/Cp.s/en (+/B.am/. cabinet/Cc.s/en expansion/Cc.s/en)) (from/Br.ma/en (a/Md/en (+/B.am/. thumbs/Cc.p/en up/Cc.s/en)) (+/B.am/. business/Cc.s/en community/Cc.s/en)))</t>
  </si>
  <si>
    <t>occupy</t>
  </si>
  <si>
    <t>Gunmen occupy Iraqi university campus, take students hostage</t>
  </si>
  <si>
    <t>(occupy/Pd.so?.|f-----/en gunmen/Cc.p/en (iraqi/Ma/en (+/B.am/. university/Cc.s/en campus/Cc.s/en)) (take/P!.io.|f-----/en students/Cc.p/en hostage/Cc.s/en))</t>
  </si>
  <si>
    <t>Secret Memos Reveal Details Of Julian Assange's Troubled Three-Year Stay In Ecuador's Embassy</t>
  </si>
  <si>
    <t>(reveal/Pd.so.|f-----/en (secret/Ma/en memos/Cc.p/en) (of/Br.ma/en details/Cc.p/en (in/Br.ma/en ('s/Bp.am/en (+/B.am/. julian/Cp.s/en assange/Cp.s/en) (troubled/Ma/en (+/B.am/. (three/M#/en year/Cc.s/en) stay/Cc.s/en))) ('s/Bp.am/en ecuador/Cp.s/en embassy/Cc.s/en))))</t>
  </si>
  <si>
    <t>Russia urges Assad to give up chemical weapons</t>
  </si>
  <si>
    <t>(urges/Pd.sor.|f--3s-/en russia/Cp.s/en assad/Cp.s/en ((up/Ml/en (to/Mi/en give/P.o.-i-----/en)) (chemical/M/en weapons/Cc.p/en)))</t>
  </si>
  <si>
    <t>Leaders of the Bodo ethnic group meet India's Home Minister Sushilkumar Shinde, demand the creation of the new state Bodoland in Assam</t>
  </si>
  <si>
    <t>(meet/Pd.so?.|f-----/en (of/Br.ma/en leaders/Cc.p/en (the/Md/en (+/B.am/. bodo/Cm/en (ethnic/Ma/en group/Cc.s/en)))) ('s/Bp.am/en india/Cp.s/en (+/B.am/. (+/B.am/. home/Cp.s/en minister/Cp.s/en) (+/B.am/. sushilkumar/Cp.s/en shinde/Cp.s/en))) (demand/P!.o.|f-----/en (in/Br.ma/en (of/Br.ma/en (the/Md/en creation/Cc.s/en) (of/Br.ma/en (the/Md/en (new/Ma/en state/Cc.s/en)) bodoland/Cp.s/en)) assam/Cp.s/en)))</t>
  </si>
  <si>
    <t>endorse</t>
  </si>
  <si>
    <t>German Left party endorses euro, slams austerity measures</t>
  </si>
  <si>
    <t>(endorses/Pd.so?.|f--3s-/en (german/Ma/en (left/Ma/en party/Cc.s/en)) euro/Cp.s/en (slams/Pd.o.|f--3s-/en (+/B.am/. austerity/Cc.s/en measures/Cc.p/en)))</t>
  </si>
  <si>
    <t>adopt</t>
  </si>
  <si>
    <t>The UN General Assembly adopts anti-spy resolution</t>
  </si>
  <si>
    <t>(adopts/Pd.so.|f--3s-/en (the/Md/en (+/B.am/. un/Cp.s/en (+/B.am/. general/Cp.s/en assembly/Cp.s/en))) (anti/Ma/en (-/Ma/en (spy/Ma/en resolution/Cc.s/en))))</t>
  </si>
  <si>
    <t>Obama seeks new Syria strategy review to deal with ISIS</t>
  </si>
  <si>
    <t>(seeks/Pd.sor.|f--3s-/en obama/Cp.s/en (new/Ma/en (+/B.am/. syria/Cp.s/en (+/B.am/. strategy/Cc.s/en review/Cc.s/en))) ((to/Mi/en deal/P.x.-i-----/en) (with/T/en isis/Cp.s/en)))</t>
  </si>
  <si>
    <t>Turkish President Recep Tayyip Erdogan on Monday blasted Israeli Premier Benjamin Netanyahu for "daring" to attend an anti-terror solidarity march in Paris, accusing him of leading "state terrorism" against the Palestinians</t>
  </si>
  <si>
    <t>(blasted/Pd.sxoxx.&lt;f-----/en (+/B.am/. (turkish/Ma/en president/Cp.s/en) (+/B.am/. recep/Cp.s/en (+/B.am/. tayyip/Cp.s/en erdogan/Cp.s/en))) (on/Tt/en monday/Cp.s/en) (+/B.am/. (israeli/Ma/en premier/Cp.s/en) (+/B.am/. benjamin/Cp.s/en netanyahu/Cp.s/en)) (for/T/en (daring/P.r.|pg----/en ((to/Mi/en attend/P.o.-i-----/en) (in/Br.ma/en (an/Md/en (anti/Ma/en (-/Ma/en (terror/Ma/en (+/B.am/. solidarity/Cc.s/en march/Cp.s/en))))) paris/Cp.s/en)))) (accusing/Pd.ox.|pg----/en him/Ci/en (of/T/en (leading/P.o.|pg----/en (against/Br.ma/en (+/B.am/. state/Cc.s/en terrorism/Cc.s/en) (the/Md/en palestinians/Cp.p/en))))))</t>
  </si>
  <si>
    <t>Australian senator Pauline Hanson wins backing for clearer halal labelling on food</t>
  </si>
  <si>
    <t>(wins/Pd.so.|f--3s-/en (+/B.am/. (australian/Ma/en senator/Cc.s/en) (+/B.am/. pauline/Cp.s/en hanson/Cp.s/en)) (+/B.mm/. backing/C/en (for/Jr.ma/en (clearer/Mc/en halal/Cc.p/en) (labelling/P.x.|pg----/en (on/T/en food/Cc.s/en)))))</t>
  </si>
  <si>
    <t>Russia using high-treason charge to root out perceived internal enemies</t>
  </si>
  <si>
    <t>(using/Pd.sor.|pg----/en russia/Cp.s/en (+/B.am/. (high/Ma/en treason/Cc.s/en) charge/Cc.s/en) ((out/Ml/en (to/Mi/en root/P.o.-i-----/en)) (perceived/Mv.&lt;pf----/en (internal/Ma/en enemies/Cc.p/en))))</t>
  </si>
  <si>
    <t>Number of Syrian refugees tops 1.5 million</t>
  </si>
  <si>
    <t>(tops/Pd.so.|f--3s-/en (of/Br.ma/en number/Cc.s/en (syrian/Ma/en refugees/Cc.p/en)) (1%2e5/M#/en million/C#/en))</t>
  </si>
  <si>
    <t>MPs condemn 'anti-Semitic' content on World Social Forum website</t>
  </si>
  <si>
    <t>(condemn/Pd.so.|f-----/en mps/Cc.p/en (on/Br.ma/en (anti/Ma/en (-/Ma/en (semitic/Ma/en content/Cc.s/en))) (+/B.am/. (+/B.am/. world/Cp.s/en (+/B.am/. social/Cp.s/en forum/Cp.s/en)) website/Cc.s/en)))</t>
  </si>
  <si>
    <t>ditch</t>
  </si>
  <si>
    <t>Westfield ditches SMS feature over privacy issues</t>
  </si>
  <si>
    <t>(ditches/Pd.so.|f--3s-/en westfield/Cp.s/en (over/Br.ma/en (+/B.am/. sms/Cc.s/en feature/Cc.s/en) (+/B.am/. privacy/Cc.s/en issues/Cc.p/en)))</t>
  </si>
  <si>
    <t>International Consortium of Investigative Journalists catches intl money-moving tax dodgers</t>
  </si>
  <si>
    <t>(catches/Pd.soo.|f--3s-/en (of/Br.ma/en (+/B.am/. international/Cp.s/en consortium/Cp.s/en) (+/B.am/. investigative/Cp.s/en journalists/Cp.p/en)) intl/Cp.s/en ((money/M/en moving/Mv.|pg----/en) (+/B.am/. tax/Cc.s/en dodgers/Cc.p/en)))</t>
  </si>
  <si>
    <t>require</t>
  </si>
  <si>
    <t>The U.S. State Department will require all nations to provide extensive data to help it vet visa applicants and determine whether a traveler poses a terrorist threat</t>
  </si>
  <si>
    <t>((will/Mm/en require/Pd.sor.-i-----/en) (the/Md/en (+/B.am/. u%2es%2e/Cp.s/en (+/B.am/. state/Cp.s/en department/Cp.s/en))) (all/Md/en nations/Cc.p/en) ((to/Mi/en provide/P.ox.-i-----/en) (extensive/Ma/en data/Cc.p/en) (and/J/en ((to/Mi/en help/Pd.r.-i-----/en) (vet/P.so.-i-----/en it/Ci/en (+/B.am/. visa/Cc.s/en applicants/Cc.p/en))) (determine/P!.r.-i-----/en (whether/T/en (poses/P.so.|f--3s-/en (a/Md/en traveler/Cc.s/en) (a/Md/en (terrorist/Ma/en threat/Cc.s/en))))))))</t>
  </si>
  <si>
    <t>Microsoft takes a stand against revenge porn, announces it will remove links, access</t>
  </si>
  <si>
    <t>(takes/Pd.so?.|f--3s-/en microsoft/Cp.s/en (against/Br.ma/en (a/Md/en stand/Cc.s/en) (+/B.am/. revenge/Cc.s/en porn/Cc.s/en)) (announces/Pd.r.|f--3s-/en ((will/Mm/en remove/P.so.-i-----/en) it/Ci/en (+/B.mm/. links/Cc.p/en access/Cc.s/en))))</t>
  </si>
  <si>
    <t>Mexico's Congress approves revision of military code justice</t>
  </si>
  <si>
    <t>(approves/Pd.so.|f--3s-/en ('s/Bp.am/en mexico/Cp.s/en congress/Cp.s/en) (of/Br.ma/en revision/Cc.s/en (of/Br.ma/en (military/Ma/en code/Cc.s/en) justice/Cc.s/en)))</t>
  </si>
  <si>
    <t>Suspected ISIS militants kill 16 Iraqi border guards</t>
  </si>
  <si>
    <t>(kill/Pd.so.|f-----/en (suspected/Mv.&lt;pf----/en (+/B.am/. isis/Cp.s/en militants/Cc.p/en)) (16/M#/en (iraqi/Ma/en (+/B.am/. border/Cc.s/en guards/Cc.p/en))))</t>
  </si>
  <si>
    <t>UN peacekeepers face new sex abuse claims in CAR</t>
  </si>
  <si>
    <t>(face/Pd.so.|f-----/en (+/B.am/. un/Cp.s/en peacekeepers/Cc.p/en) (in/Br.ma/en (new/Ma/en (+/B.am/. (+/B.am/. sex/Cc.s/en abuse/Cc.s/en) claims/Cc.p/en)) car/Cp.s/en))</t>
  </si>
  <si>
    <t>Chomsky condemns Australia's refugee policy</t>
  </si>
  <si>
    <t>(condemns/Pd.so.|f--3s-/en chomsky/Cp.s/en ('s/Bp.am/en australia/Cp.s/en (+/B.am/. refugee/Cc.s/en policy/Cc.s/en)))</t>
  </si>
  <si>
    <t>deflate</t>
  </si>
  <si>
    <t>UK 'Leave' vote deflates hopes for U.S.-EU trade deal</t>
  </si>
  <si>
    <t>(deflates/Pd.so.|f--3s-/en (+/B.am/. uk/Cm/en (+/B.am/. leave/Cm/en vote/Cc.s/en)) (for/Br.ma/en hopes/Cc.p/en (+/B.am/. u%2es%2e-eu/Cc.s/en (+/B.am/. trade/Cc.s/en deal/Cc.s/en))))</t>
  </si>
  <si>
    <t>Blast targets UN office in Gaza Strip</t>
  </si>
  <si>
    <t>(targets/Pd.so.|f--3s-/en blast/Cc.s/en (in/Br.ma/en (+/B.am/. un/Cp.s/en office/Cc.s/en) (+/B.am/. gaza/Cp.s/en strip/Cp.s/en)))</t>
  </si>
  <si>
    <t>showcase</t>
  </si>
  <si>
    <t>Iran showcases cyber, drone warfare skills</t>
  </si>
  <si>
    <t>(showcases/Pd.so.|f--3s-/en iran/Cp.s/en (cyber/Ma/en (+/B.am/. (+/B.am/. drone/Cc.s/en warfare/Cc.s/en) skills/Cc.p/en)))</t>
  </si>
  <si>
    <t>dominate</t>
  </si>
  <si>
    <t>Bahrain's pro-government bloc dominates vote</t>
  </si>
  <si>
    <t>(dominates/Pd.so.|f--3s-/en ('s/Bp.am/en bahrain/Cp.s/en (pro/Ma/en (-/Ma/en (government/Ma/en bloc/Cc.s/en)))) vote/Cc.s/en)</t>
  </si>
  <si>
    <t>Pope lifts beatification ban on Salvadoran Oscar Romero</t>
  </si>
  <si>
    <t>(lifts/Pd.so.|f--3s-/en pope/Cp.s/en (on/Br.ma/en (+/B.am/. beatification/Cc.s/en ban/Cc.s/en) (+/B.am/. salvadoran/Cp.s/en (+/B.am/. oscar/Cp.s/en romero/Cp.s/en))))</t>
  </si>
  <si>
    <t>Ethiopia to give ID cards to Rastafarians long stateless</t>
  </si>
  <si>
    <t>((to/Mi/en give/Pd.soir.-i-----/en) ethiopia/Cp.s/en (+/B.am/. id/Cc.s/en cards/Cc.p/en) (to/T/en rastafarians/Cp.p/en) (long/M/en stateless/Ca/en))</t>
  </si>
  <si>
    <t>France could ease ban on gay men giving blood after ECJ ruling</t>
  </si>
  <si>
    <t>((could/Mm/en ease/Pd.so.-i-----/en) france/Cp.s/en (+/B.mm/. ban/Cc.s/en (on/Jr.ma/en (gay/Ma/en men/Cc.p/en) (giving/P.ox.|pg----/en blood/Cc.s/en (after/T/en (+/B.am/. ecj/Cp.s/en ruling/Cc.s/en))))))</t>
  </si>
  <si>
    <t>More Africans have access to cell phone service than piped water</t>
  </si>
  <si>
    <t>(have/Pd.so.|f-----/en (more/Mc/en africans/Cp.p/en) (than/Br.ma/en (to/Br.ma/en access/Cc.s/en (+/B.am/. (+/B.am/. cell/Cc.s/en phone/Cc.s/en) service/Cc.s/en)) (piped/Ma/en water/Cc.s/en)))</t>
  </si>
  <si>
    <t>Federal appeals court releases secret legal memo on drone killing</t>
  </si>
  <si>
    <t>(releases/Pd.so.|f--3s-/en (federal/Ma/en (+/B.am/. appeals/Cc.p/en court/Cc.s/en)) (on/Br.ma/en (secret/Ma/en (legal/Ma/en memo/Cc.s/en)) (+/B.am/. drone/Cc.s/en killing/C/en)))</t>
  </si>
  <si>
    <t>Turkey to discuss measures following German vote on Armenian ′genocide′</t>
  </si>
  <si>
    <t>((to/Mi/en discuss/Pd.so?.-i-----/en) turkey/Cp.s/en (on/Jr.ma/en measures/Cc.p/en (following/P.o.|pg----/en (german/Ma/en vote/Cc.s/en))) (armenian/Ma/en ′genocide′/C/en))</t>
  </si>
  <si>
    <t>ISIS to ‘Brothers Residing in America': Kill US Military Personnel</t>
  </si>
  <si>
    <t>(kill/Pd.s?o.-i-----/en isis/Cp.s/en (+/B.mm/. to/C/en (in/Br.ma/en (+/B.am/. brothers/Cp.p/en residing/Cp.s/en) america/Cp.s/en)) (+/B.am/. us/Cp.s/en (+/B.am/. military/Cp.s/en personnel/Cp.s/en)))</t>
  </si>
  <si>
    <t>Iraqi forces secure Samarra, "Life back to normal</t>
  </si>
  <si>
    <t>(secure/Pd.so.|f-----/en (iraqi/Ma/en forces/Cc.p/en) (+/B.mm/. samarra/Cp.s/en ((back/M/en to/Br.ma/en) life/Cc.s/en normal/Ca/en)))</t>
  </si>
  <si>
    <t>assault</t>
  </si>
  <si>
    <t>Former Canadian rocker Tim Bachman allegedly sexually assaulted foster child</t>
  </si>
  <si>
    <t>((allegedly/M/en (sexually/M/en assaulted/Pd.so.&lt;f-----/en)) (+/B.am/. (former/Ma/en (canadian/Ma/en rocker/Cc.s/en)) (+/B.am/. tim/Cp.s/en bachman/Cp.s/en)) (foster/Ma/en child/Cc.s/en))</t>
  </si>
  <si>
    <t>contaminate</t>
  </si>
  <si>
    <t>Oil spill from grounded Russian tanker contaminates 3,500 meters of coastline near the port city of Nevelsk on Sakhalin Island</t>
  </si>
  <si>
    <t>(contaminates/Pd.so.|f--3s-/en (from/Br.ma/en (+/B.am/. oil/Cc.s/en spill/Cc.s/en) (grounded/Mv.&lt;pf----/en (russian/Ma/en tanker/Cc.s/en))) (on/Br.ma/en (near/Br.ma/en (of/Br.ma/en (3,500/M#/en meters/Cc.p/en) coastline/Cc.s/en) (of/Br.ma/en (the/Md/en (+/B.am/. port/Cc.s/en city/Cc.s/en)) nevelsk/Cp.s/en)) (+/B.am/. sakhalin/Cp.s/en island/Cp.s/en)))</t>
  </si>
  <si>
    <t>Britain, Iran announce first ambassadors in 5 years</t>
  </si>
  <si>
    <t>(announce/Pd.sso.|f-----/en britain/Cp.s/en iran/Cp.s/en (in/Br.ma/en (first/Ma/en ambassadors/Cc.p/en) (5/M#/en years/Cc.p/en)))</t>
  </si>
  <si>
    <t>The leaflet made claims that chemicals involved in fracking can cause cancer</t>
  </si>
  <si>
    <t>(made/Pd.so.&lt;f-----/en (the/Md/en leaflet/Cc.s/en) (+/J.mm/. claims/Cc.p/en (that/Jr.ma/en ((can/Mm/en cause/P.s?.-i-----/en) chemicals/Cc.p/en (involved/P.x.&lt;pf----/en (in/T/en fracking/Cc.s/en))) cancer/Cc.s/en)))</t>
  </si>
  <si>
    <t>Firms such as Kellogg's, Unilever and Nestlé ' use child-labour palm oil</t>
  </si>
  <si>
    <t>(use/Pd.sso.|f-----/en (+/B.mm/. firms/Cc.p/en (as/Br.ma/en such/Ca/en (+/B.mm/. kellogg/Cp.s/en 's/C/en))) (and/J/en unilever/Cp.s/en (+/B.mm/. nestlé/Cp.s/en '/C/en)) (+/B.am/. (+/B.am/. child/Cc.s/en labour/Cc.s/en) (+/B.am/. palm/Cc.s/en oil/Cc.s/en)))</t>
  </si>
  <si>
    <t>16 ISIS militants tested positive with AIDS in Syria's Deiz ez-Zor</t>
  </si>
  <si>
    <t>(tested/Pd.so.&lt;f-----/en (16/M#/en (+/B.am/. isis/Cp.s/en militants/Cc.p/en)) (with/Br.ma/en positive/Ca/en (in/Br.ma/en aids/Cp.s/en ('s/Bp.am/en syria/Cp.s/en (+/B.am/. deiz/Cp.s/en (+/B.am/. ez/Cp.s/en zor/Cp.s/en))))))</t>
  </si>
  <si>
    <t>Australian Vaccination-Skeptics Network loses its charity status for fundraising over misinformation claims</t>
  </si>
  <si>
    <t>(loses/Pd.sox?.|f--3s-/en (australian/Ma/en (+/B.am/. vaccination/Cp.s/en (+/B.am/. skeptics/Cp.s/en network/Cp.s/en))) (its/Mp/en (+/B.am/. charity/Cc.s/en status/Cc.s/en)) (for/T/en (fundraising/P.x.|pg----/en (over/T/en misinformation/Cc.s/en))) claims/Cc.p/en)</t>
  </si>
  <si>
    <t>Girl soldiers face tougher battle on return to civilian life</t>
  </si>
  <si>
    <t>(face/Pd.so.|f-----/en (girl/Ma/en soldiers/Cc.p/en) (on/Br.ma/en (tougher/Mc/en battle/Cc.s/en) (to/Br.ma/en return/Cc.s/en (civilian/Ma/en life/Cc.s/en))))</t>
  </si>
  <si>
    <t>Taliban shoot dead Supreme Court official in Afghanistan capital</t>
  </si>
  <si>
    <t>(shoot/Pd.so.|f-----/en taliban/Cp.s/en (in/Br.ma/en (dead/Ma/en (+/B.am/. (+/B.am/. supreme/Cp.s/en court/Cp.s/en) official/Cc.s/en)) (+/B.am/. afghanistan/Cp.s/en capital/Cc.s/en)))</t>
  </si>
  <si>
    <t>Paris gunman served more than 12 years in jail for shooting at police</t>
  </si>
  <si>
    <t>(served/Pd.sox.&lt;f-----/en (+/B.am/. paris/Cp.s/en gunman/Cc.s/en) (in/Br.ma/en ((more/Mc/en (than/M/en 12/M#/en)) years/Cc.p/en) jail/Cc.s/en) (for/T/en (shooting/P.x.|pg----/en (at/T/en police/Cc.p/en))))</t>
  </si>
  <si>
    <t>PCB mulling Afridi’s request for farewell T20 against West Indies</t>
  </si>
  <si>
    <t>(mulling/Pd.so.|pg----/en pcb/Cp.s/en (against/Br.ma/en (for/Br.ma/en (’s/Bp.am/en afridi/Cp.s/en request/Cc.s/en) (+/B.mm/. farewell/Cc.s/en t20/Cp.s/en)) (+/B.am/. west/Cp.s/en indies/Cp.p/en)))</t>
  </si>
  <si>
    <t>receive</t>
  </si>
  <si>
    <t>2 students receive disciplinary penalties for insulting Erdoğan after minister’s complaint</t>
  </si>
  <si>
    <t>(receive/Pd.so.|f-----/en (2/M#/en students/Cc.p/en) (for/Jr.ma/en (disciplinary/Ma/en penalties/Cc.p/en) (insulting/P.ox.|pg----/en erdoğan/Cp.s/en (after/T/en (’s/Bp.am/en minister/Cc.s/en complaint/Cc.s/en)))))</t>
  </si>
  <si>
    <t>Quick-thinking tanker crew saves F-16 pilot over ISIS-controlled territory</t>
  </si>
  <si>
    <t>(saves/Pd.so.|f--3s-/en ((quick/Ma/en thinking/Mv.|pg----/en) (+/B.am/. tanker/Cc.s/en crew/Cc.s/en)) (over/Br.ma/en (f-16/M#/en pilot/Cc.s/en) ((isis/Ma/en controlled/Mv.&lt;pf----/en) territory/Cc.s/en)))</t>
  </si>
  <si>
    <t>A prominent Iranian official recently suggested a new drug policy for the country that includes taking steps toward the legalization of cannabis and opium</t>
  </si>
  <si>
    <t>((recently/M/en suggested/Pd.so.&lt;f-----/en) (a/Md/en (prominent/Ma/en (iranian/Ma/en official/Cc.s/en))) (a/Md/en (new/Ma/en (+/B.mm/. (+/B.am/. drug/Cc.s/en policy/Cc.s/en) (for/Jr.ma/en (the/Md/en country/Cc.s/en) (includes/P.sr.|f--3s-/en that/C/en (taking/P.ox.|pg----/en steps/Cc.p/en (toward/T/en (of/Br.ma/en (the/Md/en legalization/Cc.s/en) (and/J/en cannabis/Cc.s/en opium/Cc.s/en))))))))))</t>
  </si>
  <si>
    <t>​face</t>
  </si>
  <si>
    <t>African forest elephants may ​face extinction</t>
  </si>
  <si>
    <t>((may/Mm/en ​face/P.so.-------/en) (african/Ma/en (+/B.am/. forest/Cc.s/en elephants/Cc.p/en)) extinction/Cc.s/en)</t>
  </si>
  <si>
    <t>UN chief to receive Legion of Honor from French president</t>
  </si>
  <si>
    <t>((to/Mi/en receive/Pd.so.-i-----/en) (+/B.am/. un/Cp.s/en chief/Cc.s/en) (from/Br.ma/en (of/Br.ma/en legion/Cp.s/en honor/Cp.s/en) (french/Ma/en president/Cc.s/en)))</t>
  </si>
  <si>
    <t>Trump administration weighs a hardened approach toward Pakistan</t>
  </si>
  <si>
    <t>(weighs/Pd.so.|f--3s-/en (+/B.am/. trump/Cp.s/en administration/Cc.s/en) (toward/Br.ma/en (a/Md/en (hardened/Ma/en approach/Cc.s/en)) pakistan/Cp.s/en))</t>
  </si>
  <si>
    <t>appeal</t>
  </si>
  <si>
    <t>Libya to appeal ICC ruling to hand over Gaddafi's son</t>
  </si>
  <si>
    <t>((to/Mi/en appeal/Pd.sor.-i-----/en) libya/Cp.s/en (+/B.am/. icc/Cp.s/en ruling/C/en) ((over/Ml/en (to/Mi/en hand/P.o.-i-----/en)) ('s/Bp.am/en gaddafi/Cp.s/en son/Cc.s/en)))</t>
  </si>
  <si>
    <t>injure</t>
  </si>
  <si>
    <t>Intentional' Car crash in Las Vegas, injures 37</t>
  </si>
  <si>
    <t>(injures/Pd.so.|f--3s-/en (in/Br.ma/en (intentional/Ma/en (+/B.am/. car/Cc.s/en crash/Cc.s/en)) (+/B.am/. las/Cp.s/en vegas/Cp.s/en)) 37/C#/en)</t>
  </si>
  <si>
    <t>Kosovo Leader Dismisses Parallels With Crimea</t>
  </si>
  <si>
    <t>(dismisses/Pd.so.|f--3s-/en (+/B.am/. kosovo/Cp.s/en leader/Cp.s/en) (with/Br.ma/en parallels/Cp.s/en crimea/Cp.s/en))</t>
  </si>
  <si>
    <t>air</t>
  </si>
  <si>
    <t>Israeli minister airs Iran nuclear concerns at Pentagon</t>
  </si>
  <si>
    <t>(airs/Pd.so.|f--3s-/en (israeli/Ma/en minister/Cc.s/en) (at/Br.ma/en (+/B.am/. iran/Cm/en (nuclear/Ma/en concerns/Cc.p/en)) pentagon/Cp.s/en))</t>
  </si>
  <si>
    <t>Yemen car bomb attack kills 25, including 15 children</t>
  </si>
  <si>
    <t>(kills/Pd.so.|f--3s-/en (+/B.am/. yemen/Cp.s/en (+/B.am/. (+/B.am/. car/Cc.s/en bomb/Cc.s/en) attack/Cc.s/en)) (+/B.mm/. 25/C#/en (+/B.mm/. including/C/en (15/M#/en children/Cc.p/en))))</t>
  </si>
  <si>
    <t>Venezuela expels 3 US consular officials</t>
  </si>
  <si>
    <t>(expels/Pd.so.|f--3s-/en venezuela/Cp.s/en (3/M#/en (+/B.am/. us/Cm/en (consular/Ma/en officials/Cc.p/en))))</t>
  </si>
  <si>
    <t>throng</t>
  </si>
  <si>
    <t>Protesters throng London to oppose new UK government's austerity plan</t>
  </si>
  <si>
    <t>(throng/Pd.sor.|f-----/en protesters/Cc.p/en london/Cp.s/en ((to/Mi/en oppose/P.o.-i-----/en) ('s/Bp.am/en (new/Ma/en (+/B.am/. uk/Cp.s/en government/Cc.s/en)) (+/B.am/. austerity/Cc.s/en plan/Cc.s/en))))</t>
  </si>
  <si>
    <t>Donetsk regional council deputies asks Russia to bring troops</t>
  </si>
  <si>
    <t>(asks/Pd.sor.|f--3s-/en (donetsk/Ma/en (+/B.am/. (regional/Ma/en council/Cc.s/en) deputies/Cc.p/en)) russia/Cp.s/en ((to/Mi/en bring/P.o.-i-----/en) troops/Cc.p/en))</t>
  </si>
  <si>
    <t>HK protesters enter government HQ</t>
  </si>
  <si>
    <t>(enter/Pd.so.|f-----/en (+/B.am/. hk/Cp.s/en protesters/Cc.p/en) (+/B.am/. government/Cc.s/en hq/Cc.s/en))</t>
  </si>
  <si>
    <t>Spain dismantles 'jihadist cell</t>
  </si>
  <si>
    <t>(dismantles/Pd.so.|f--3s-/en spain/Cp.s/en (+/B.am/. jihadist/Cp.s/en cell/Cc.s/en))</t>
  </si>
  <si>
    <t>blur</t>
  </si>
  <si>
    <t>Conflicting data blurs China's economic outlook</t>
  </si>
  <si>
    <t>(blurs/Pd.so.|f--3s-/en (conflicting/Mv.|pg----/en data/Cc.p/en) ('s/Bp.am/en china/Cp.s/en (economic/Ma/en outlook/Cc.s/en)))</t>
  </si>
  <si>
    <t>Sudanese authorities demolish church building in anti-Christian campaign</t>
  </si>
  <si>
    <t>(demolish/Pd.so.|f-----/en (sudanese/Ma/en authorities/Cc.p/en) (in/Br.ma/en (+/B.am/. church/Cc.s/en building/Cc.s/en) (anti/Ma/en (-/Ma/en (christian/Ma/en campaign/Cc.s/en)))))</t>
  </si>
  <si>
    <t>Health experts accuse WHO of ‘egregious failure’ on Ebola</t>
  </si>
  <si>
    <t>(accuse/Pd.so.|f-----/en (+/B.am/. health/Cc.s/en experts/Cc.p/en) (of/Br.ma/en who/Cw/en (on/Br.ma/en (egregious/Ma/en failure/Cc.s/en) ebola/Cp.s/en)))</t>
  </si>
  <si>
    <t>Illegal Eritrean migrant gets 23 years in jail for raping 83-year old woman in Israel</t>
  </si>
  <si>
    <t>(gets/Pd.sox.|f--3s-/en (illegal/Ma/en (eritrean/Ma/en migrant/Cc.s/en)) (in/Br.ma/en (23/M#/en years/Cc.p/en) jail/Cc.s/en) (for/Tt/en (raping/P.o.|pg----/en (in/Br.ma/en (((83/M#/en year/M/en) old/Ma/en) woman/Cc.s/en) israel/Cp.s/en))))</t>
  </si>
  <si>
    <t>Palestinian Authority's Fatah party urges Muslims to ‘intensify’ struggle over Temple Mount</t>
  </si>
  <si>
    <t>(urges/Pd.sor.|f--3s-/en ('s/Bp.am/en (+/B.am/. palestinian/Cp.s/en authority/Cp.s/en) (+/B.am/. fatah/Cp.s/en party/Cc.s/en)) muslims/Cp.p/en ((to/Mi/en intensify/P.o.-i-----/en) (over/Br.ma/en struggle/Cc.s/en (+/B.am/. temple/Cp.s/en mount/Cp.s/en))))</t>
  </si>
  <si>
    <t>Russian television reveals another secret: the Soviet space cannon</t>
  </si>
  <si>
    <t>(reveals/Pd.so.|f--3s-/en (russian/Ma/en television/Cc.s/en) (+/B.mm/. (another/Md/en secret/Cc.s/en) (the/Md/en (soviet/Ma/en (+/B.am/. space/Cc.s/en cannon/Cc.s/en)))))</t>
  </si>
  <si>
    <t>35 economists urge cancellation of Greek debt and end of austerity program</t>
  </si>
  <si>
    <t>(urge/Pd.so.|f-----/en (35/M#/en economists/Cc.p/en) (and/J/en (of/Br.ma/en cancellation/Cc.s/en (greek/Ma/en debt/Cc.s/en)) (of/Br.ma/en end/Cc.s/en (+/B.am/. austerity/Cc.s/en program/Cc.s/en))))</t>
  </si>
  <si>
    <t>British ministers in Kenya to discuss green energy technology</t>
  </si>
  <si>
    <t>((to/Mi/en discuss/Pd.so.-i-----/en) (in/Br.ma/en (british/Ma/en ministers/Cc.p/en) kenya/Cp.s/en) (green/Ma/en (+/B.am/. energy/Cc.s/en technology/Cc.s/en)))</t>
  </si>
  <si>
    <t>Singapore condemns Istanbul night club attack</t>
  </si>
  <si>
    <t>(condemns/Pd.so.|f--3s-/en singapore/Cp.s/en (+/B.am/. istanbul/Cp.s/en (+/B.am/. night/Cc.s/en (+/B.am/. club/Cc.s/en attack/Cc.s/en))))</t>
  </si>
  <si>
    <t>assert</t>
  </si>
  <si>
    <t>China asserts rights over South China Sea</t>
  </si>
  <si>
    <t>(asserts/Pd.so.|f--3s-/en china/Cp.s/en (over/Br.ma/en rights/Cc.p/en (+/B.am/. (+/B.am/. south/Cp.s/en china/Cp.s/en) sea/Cp.s/en)))</t>
  </si>
  <si>
    <t>Libya protests kill 28 in Benghazi</t>
  </si>
  <si>
    <t>(kill/Pd.so.|f-----/en (+/B.am/. libya/Cp.s/en protests/Cc.p/en) (in/Br.ma/en 28/C#/en benghazi/Cp.s/en))</t>
  </si>
  <si>
    <t>Sophisticated Attack Takes Down Key Internet Servers</t>
  </si>
  <si>
    <t>((down/Ml/en takes/Pd.so.|f--3s-/en) (sophisticated/Ma/en attack/Cc.s/en) (+/B.am/. key/Cp.s/en (+/B.am/. internet/Cc.s/en servers/Cc.p/en)))</t>
  </si>
  <si>
    <t>Hosting AIIB's 2nd annual meeting to have great meaning for S.Korea</t>
  </si>
  <si>
    <t>((to/Mi/en have/Pd.so.-i-----/en) ('s/Bp.am/en (+/B.am/. hosting/C/en aiib/Cp.s/en) (2nd/Ma/en (annual/Ma/en meeting/Cc.s/en))) (for/Br.ma/en (great/Ma/en meaning/Cc.s/en) s%2ekorea/Cp.s/en))</t>
  </si>
  <si>
    <t>outline</t>
  </si>
  <si>
    <t>Australia's opposition leader has outlined tough new immigration and asylum proposals</t>
  </si>
  <si>
    <t>((has/Mv.|f--3s-/en outlined/Pd.so.&lt;pf----/en) ('s/Bp.am/en australia/Cp.s/en (+/B.am/. opposition/Cc.s/en leader/Cc.s/en)) (and/J/en (tough/Ma/en (new/Ma/en immigration/Cc.s/en)) (+/B.am/. asylum/Cc.s/en proposals/Cc.p/en)))</t>
  </si>
  <si>
    <t>simulate</t>
  </si>
  <si>
    <t>Iranian TV Animation Simulates Missile Attack on Israel</t>
  </si>
  <si>
    <t>(simulates/Pd.so.|f--3s-/en (iranian/Ma/en (+/B.am/. tv/Cc.s/en animation/Cp.s/en)) (on/Br.ma/en (+/B.am/. missile/Cp.s/en attack/Cp.s/en) israel/Cp.s/en))</t>
  </si>
  <si>
    <t>Alleged Auschwitz Guard, 94, Faces 3,681 Accessory to Murder Charges</t>
  </si>
  <si>
    <t>(faces/Pd.so.|f--3s-/en (+/B.mm/. (+/B.am/. alleged/Cp.s/en (+/B.am/. auschwitz/Cp.s/en guard/Cp.s/en)) 94/C#/en) (to/Br.ma/en (3,681/M#/en accessory/Cc.s/en) (+/B.am/. murder/Cc.s/en charges/Cc.p/en)))</t>
  </si>
  <si>
    <t>U.N. Security Council Authorizes More Peacekeeping Troops for South Sudan</t>
  </si>
  <si>
    <t>(authorizes/Pd.so.|f--3s-/en (+/B.am/. u%2en%2e/Cp.s/en (+/B.am/. security/Cp.s/en council/Cp.s/en)) (for/Br.ma/en (more/Mc/en (+/B.am/. peacekeeping/Cp.s/en troops/Cc.p/en)) (+/B.am/. south/Cp.s/en sudan/Cp.s/en)))</t>
  </si>
  <si>
    <t>Bahrain ordered tougher penalties for what it called terrorist acts including demonstrating in the capital, Manama, ahead of planned anti-government protests next month</t>
  </si>
  <si>
    <t>(ordered/Pd.sox.&lt;f-----/en bahrain/Cp.s/en (tougher/Mc/en penalties/Cc.p/en) (for/Tt/en (called/P.oso.&lt;f-----/en what/Cw/en it/Ci/en (terrorist/Ma/en (+/B.mm/. acts/Cc.p/en (+/J.mm/. including/C/en (next/Jr.ma/en ((ahead/M/en of/Jr.ma/en) (demonstrating/P.x.|pg----/en (in/T/en (+/B.mm/. (the/Md/en capital/Cc.s/en) manama/Cp.s/en))) (planned/Mv.&lt;pf----/en (anti/Ma/en (-/Ma/en (government/Ma/en protests/Cc.p/en))))) month/Cc.s/en)))))))</t>
  </si>
  <si>
    <t>ratify</t>
  </si>
  <si>
    <t>Will US Senate ratify it</t>
  </si>
  <si>
    <t>((will/Mm/en ratify/P?.so.-i-----/en) (+/B.am/. us/Cp.s/en senate/Cp.s/en) it/Ci/en)</t>
  </si>
  <si>
    <t>Typhoon causes widespread flooding in Busan, S Korea</t>
  </si>
  <si>
    <t>(causes/Pd.so.|f--3s-/en typhoon/Cc.s/en (in/Br.ma/en (widespread/Ma/en flooding/Cc.s/en) (,/J/en busan/Cp.s/en (+/B.am/. s/Cp.s/en korea/Cp.s/en))))</t>
  </si>
  <si>
    <t>Guardian editor accuses UK politicians of failing to tackle issues raised by NSA revelations, which have sparked US debate</t>
  </si>
  <si>
    <t>(accuses/Pd.sox.|f--3s-/en (+/B.am/. guardian/Ca/en editor/Cc.s/en) (+/B.am/. uk/Cp.s/en politicians/Cc.p/en) (of/T/en (failing/P.r.|pg----/en ((to/Mi/en tackle/P.o?.-i-----/en) issues/Cc.p/en (raised/P.a?.&lt;pf----/en (by/T/en (+/B.am/. nsa/Cp.s/en revelations/Cc.p/en)) ((have/Mv.|f-----/en sparked/P.so.&lt;pf----/en) which/C/en (+/B.am/. us/Cp.s/en debate/Cc.s/en)))))))</t>
  </si>
  <si>
    <t>Yandex asks EU to investigate Android</t>
  </si>
  <si>
    <t>(asks/Pd.sor.|f--3s-/en yandex/Cp.s/en eu/Cp.s/en ((to/Mi/en investigate/P.o.-i-----/en) android/Cp.s/en))</t>
  </si>
  <si>
    <t>Trump gives Mattis authority to send more troops to Afghanistan</t>
  </si>
  <si>
    <t>(gives/Pd.sior.|f--3s-/en trump/Cp.s/en mattis/Cp.s/en authority/Cc.s/en ((to/Mi/en send/P.ox.-i-----/en) (more/Mc/en troops/Cc.p/en) (to/T/en afghanistan/Cp.s/en)))</t>
  </si>
  <si>
    <t>Chinese President Xi Jinping makes symbolic visit to border area near North Korea</t>
  </si>
  <si>
    <t>(makes/Pd.so.|f--3s-/en (+/B.am/. (chinese/Ma/en president/Cp.s/en) (+/B.am/. xi/Cp.s/en jinping/Cp.s/en)) (to/Br.ma/en (symbolic/Ma/en visit/Cc.s/en) (near/Br.ma/en (+/B.am/. border/Cc.s/en area/Cc.s/en) (+/B.am/. north/Cp.s/en korea/Cp.s/en))))</t>
  </si>
  <si>
    <t>Afghan forces 'kill Pakistan Taliban commander Azam Tariq</t>
  </si>
  <si>
    <t>(kill/Pd.so.-i-----/en (afghan/Ma/en forces/Cc.p/en) (+/B.am/. (+/B.am/. (+/B.am/. pakistan/Cp.s/en taliban/Cp.s/en) commander/Cc.s/en) (+/B.am/. azam/Cp.s/en tariq/Cp.s/en)))</t>
  </si>
  <si>
    <t>French government is currently passing a bill of "global surveillance" on internet</t>
  </si>
  <si>
    <t>((is/Mv.|f--3s-/en (currently/M/en passing/Pd.so.|pg----/en)) (french/Ma/en government/Cc.s/en) (of/Br.ma/en (a/Md/en bill/Cc.s/en) (on/Br.ma/en (global/Ma/en surveillance/Cc.s/en) internet/Cc.s/en)))</t>
  </si>
  <si>
    <t>restrict</t>
  </si>
  <si>
    <t>Israel restricts access to Aqsa mosque after West Bank arson attack</t>
  </si>
  <si>
    <t>(restricts/Pd.so.|f--3s-/en israel/Cp.s/en (after/Br.ma/en (to/Br.ma/en access/Cc.s/en (+/B.am/. aqsa/Cp.s/en mosque/Cp.s/en)) (+/B.am/. (+/B.am/. west/Cp.s/en bank/Cp.s/en) (+/B.am/. arson/Cc.s/en attack/Cc.s/en))))</t>
  </si>
  <si>
    <t>Hamas drones enter Egyptian airspace</t>
  </si>
  <si>
    <t>(enter/Pd.so.|f-----/en (+/B.am/. hamas/Cp.s/en drones/Cc.p/en) (egyptian/Ma/en airspace/Cc.s/en))</t>
  </si>
  <si>
    <t>Catholic hospitals accept birth control compromise</t>
  </si>
  <si>
    <t>(accept/Pd.so.|f-----/en (catholic/Ma/en hospitals/Cc.p/en) (+/B.am/. (+/B.am/. birth/Cc.s/en control/Cc.s/en) compromise/Cc.s/en))</t>
  </si>
  <si>
    <t>India keeps its promise</t>
  </si>
  <si>
    <t>(keeps/Pd.so.|f--3s-/en india/Cp.s/en (its/Mp/en promise/Cc.s/en))</t>
  </si>
  <si>
    <t>Attacks hit mainly Shia cities</t>
  </si>
  <si>
    <t>((mainly/M/en hit/Pd.so.&lt;f-----/en) attacks/Cc.p/en (+/B.am/. shia/Cp.s/en cities/Cc.p/en))</t>
  </si>
  <si>
    <t>Spain to restrict cellphone use for train drivers</t>
  </si>
  <si>
    <t>((to/Mi/en restrict/Pd.so.-i-----/en) spain/Cp.s/en (for/Br.ma/en (+/B.am/. cellphone/Cc.s/en use/Cc.s/en) (+/B.am/. train/Cc.s/en drivers/Cc.p/en)))</t>
  </si>
  <si>
    <t>China reports 4 more cases of unusual bird flu</t>
  </si>
  <si>
    <t>(reports/Pd.so.|f--3s-/en china/Cp.s/en (of/Br.ma/en (4/M#/en (more/Mc/en cases/Cc.p/en)) (unusual/Ma/en (+/B.am/. bird/Cc.s/en flu/Cc.s/en))))</t>
  </si>
  <si>
    <t>German spy agency used legal loophole to target citizens living abroad</t>
  </si>
  <si>
    <t>(used/Pd.sor.&lt;f-----/en (german/Ma/en (+/B.am/. spy/Cc.s/en agency/Cc.s/en)) (legal/Ma/en loophole/Cc.s/en) ((to/Mi/en target/P.o.-i-----/en) ((abroad/M/en living/P.o.|pg----/en) citizens/Cc.p/en)))</t>
  </si>
  <si>
    <t>North Korea Releases Footage of 21-Year-Old Captive's 'Crime Against the State</t>
  </si>
  <si>
    <t>(releases/Pd.so.|f--3s-/en (+/B.am/. north/Cp.s/en korea/Cp.s/en) (of/Br.ma/en footage/Cc.s/en (against/Br.ma/en ('s/Bp.am/en (+/B.am/. (21/M#/en year/Cc.s/en) (+/B.am/. old/Cp.s/en captive/Cp.s/en)) crime/Cp.s/en) (the/Md/en state/Cc.s/en))))</t>
  </si>
  <si>
    <t>South Africa expels Rwanda diplomats</t>
  </si>
  <si>
    <t>(expels/Pd.so.|f--3s-/en (+/B.am/. south/Cp.s/en africa/Cp.s/en) (+/B.am/. rwanda/Cp.s/en diplomats/Cc.p/en))</t>
  </si>
  <si>
    <t>Hiroshima marks atomic bombing, worries about steps towards war</t>
  </si>
  <si>
    <t>(marks/Pd.so?.|f--3s-/en hiroshima/Cp.s/en (atomic/Ma/en bombing/Cc.s/en) (worries/Pd.x.|f--3s-/en (about/T/en (towards/Br.ma/en steps/Cc.p/en war/Cc.s/en))))</t>
  </si>
  <si>
    <t>Amnesty International has accused the US military of a lack accountability for Afghan civilian deaths</t>
  </si>
  <si>
    <t>((has/Mv.|f--3s-/en accused/Pd.so.&lt;pf----/en) (+/B.am/. amnesty/Cp.s/en international/Cp.s/en) (of/Br.ma/en (the/Md/en (+/B.am/. us/Cp.s/en military/Cc.s/en)) (for/Br.ma/en (of/Br.ma/en (a/Md/en lack/Cc.s/en) accountability/Cc.s/en) (afghan/Ma/en (civilian/Ma/en deaths/Cc.p/en)))))</t>
  </si>
  <si>
    <t>Pope Francis wins the Internet</t>
  </si>
  <si>
    <t>(wins/Pd.so.|f--3s-/en (+/B.am/. pope/Cp.s/en francis/Cp.s/en) (the/Md/en internet/Cc.s/en))</t>
  </si>
  <si>
    <t>Heterosexual UK couple lose civil partnership challenge</t>
  </si>
  <si>
    <t>(lose/Pd.so.|f-----/en (+/B.am/. (heterosexual/Ma/en uk/Cp.s/en) couple/Cc.s/en) (+/B.am/. (civil/Ma/en partnership/Cc.s/en) challenge/Cc.s/en))</t>
  </si>
  <si>
    <t>Sunni militants accuse the army, perhaps the only widely respected public institution in Lebanon, of siding with Hezbollah</t>
  </si>
  <si>
    <t>(accuse/Pd.soo.|f-----/en (sunni/Ma/en militants/Cc.p/en) (the/Md/en army/Cc.s/en) (of/Br.ma/en (in/Br.ma/en (perhaps/M/en (the/Md/en (only/M/en ((widely/M/en respected/Mv.&lt;pf----/en) (public/Ma/en institution/Cc.s/en))))) lebanon/Cp.s/en) (with/Br.ma/en siding/Cc.s/en hezbollah/Cp.s/en)))</t>
  </si>
  <si>
    <t>Kerry’s visit to South Korea sparks protests</t>
  </si>
  <si>
    <t>(sparks/Pd.so.|f--3s-/en (to/Br.ma/en (’s/Bp.am/en kerry/Cp.s/en visit/Cc.s/en) (+/B.am/. south/Cp.s/en korea/Cp.s/en)) protests/Cc.p/en)</t>
  </si>
  <si>
    <t>Singapore's National Library destroys books about gay penguins, turns them to pulp</t>
  </si>
  <si>
    <t>(destroys/Pd.so?.|f--3s-/en ('s/Bp.am/en singapore/Cp.s/en (+/B.am/. national/Cp.s/en library/Cp.s/en)) (about/Br.ma/en books/Cc.p/en (gay/Ma/en penguins/Cc.p/en)) (turns/Pd.ox.|f--3s-/en them/Ci/en (to/T/en pulp/Cc.s/en)))</t>
  </si>
  <si>
    <t>Indian police arrest 35 crew of US ship</t>
  </si>
  <si>
    <t>(arrest/Pd.so.|f-----/en (indian/Ma/en police/Cc.p/en) (of/Br.ma/en (35/M#/en crew/Cc.s/en) (+/B.am/. us/Cp.s/en ship/Cc.s/en)))</t>
  </si>
  <si>
    <t>Leaders of the Catholic Church in Israel filed an incitement complaint against the head of of an extreme right-wing group opposed to Jewish-Arab integration, who on Tuesday advocated the burning mosques and churches in Israel at a public forum</t>
  </si>
  <si>
    <t>(filed/Pd.so.&lt;f-----/en (of/Br.ma/en leaders/Cc.p/en (in/Br.ma/en (the/Md/en (+/B.am/. catholic/Cp.s/en church/Cp.s/en)) israel/Cp.s/en)) (against/Br.ma/en (an/Md/en (+/B.am/. incitement/Cc.s/en complaint/Cc.s/en)) (the/Md/en (+/B.mm/. head/Cc.s/en (of/Jr.ma/en (an/Md/en (extreme/Ma/en (+/B.am/. (right/Ma/en wing/Cc.s/en) group/Cc.s/en))) (opposed/P.xx.&lt;pf----/en (to/T/en ((jewish/Ma/en arab/Ma/en) integration/Cc.s/en)) (advocated/P.sxxx.&lt;f-----/en who/Cw/en (on/Tt/en tuesday/Cp.s/en) (in/Br.ma/en (of/Br.ma/en (the/Md/en burning/Cc.s/en) (and/J/en mosques/Cc.p/en churches/Cc.p/en)) israel/Cp.s/en) (at/T/en (a/Md/en (public/Ma/en forum/Cc.s/en))))))))))</t>
  </si>
  <si>
    <t>You're going to lose', woman tells bloodied 'killer</t>
  </si>
  <si>
    <t>(tells/Pd.rso.|f--3s-/en ((to/Mi/en lose/P.r.-i-----/en) (('re/Mv.|f-----/en going/P.s.|pg----/en) you/Ci/en)) woman/Cc.s/en (bloodied/Ma/en killer/Cc.s/en))</t>
  </si>
  <si>
    <t>Poroshenko orders prompt completion of military operation</t>
  </si>
  <si>
    <t>(prompt/Pd.so.|f-----/en (+/B.mm/. poroshenko/Cp.s/en orders/C/en) (of/Br.ma/en completion/Cc.s/en (military/Ma/en operation/Cc.s/en)))</t>
  </si>
  <si>
    <t>U.S. SOF killed senior Islamic State leader in Syria raid</t>
  </si>
  <si>
    <t>(killed/Pd.so.&lt;f-----/en (+/B.am/. u%2es%2e/Cp.s/en sof/Cp.s/en) (in/Br.ma/en (senior/Ma/en (+/B.am/. (+/B.am/. islamic/Ca/en state/Cp.s/en) leader/Cc.s/en)) (+/B.am/. syria/Cp.s/en raid/Cc.s/en)))</t>
  </si>
  <si>
    <t>recognize</t>
  </si>
  <si>
    <t>Russia to Recognize Parliamentary Elections in Ukraine</t>
  </si>
  <si>
    <t>((to/Mi/en recognize/Pd.so.-i-----/en) russia/Cp.s/en (in/Br.ma/en (+/B.am/. parliamentary/Cp.s/en elections/Cp.p/en) ukraine/Cp.s/en))</t>
  </si>
  <si>
    <t>Lionel Messi's 21-month prison sentence set to be swapped for fine worth less than one week's wage</t>
  </si>
  <si>
    <t>(set/Pd.sro.&lt;pf----/en ('s/Bp.am/en (+/B.am/. lionel/Cp.s/en messi/Cp.s/en) (+/B.am/. (21/M#/en month/Cc.s/en) (+/B.am/. prison/Cc.s/en sentence/Cc.s/en))) ((to/Mi/en (be/Mv.-i-----/en swapped/P.x.&lt;pf----/en)) (for/T/en (fine/Ma/en worth/Cc.s/en))) ('s/Bp.am/en ((less/Mc/en (than/M/en one/M#/en)) week/Cc.s/en) wage/Cc.s/en))</t>
  </si>
  <si>
    <t>Australian plane spots two objects in hunt for missing Malaysia plane</t>
  </si>
  <si>
    <t>(spots/Pd.sox.|f--3s-/en (australian/Ma/en plane/Cc.s/en) (in/Br.ma/en (two/M#/en objects/Cc.p/en) hunt/Cc.s/en) (for/T/en (missing/P.o.|pg----/en (+/B.am/. malaysia/Cp.s/en plane/Cc.s/en))))</t>
  </si>
  <si>
    <t>Leader of Hezbollah, Sayyed Hassan Nasrallah, strongly denounces ISIS slaughter of Egyptian Copts</t>
  </si>
  <si>
    <t>((strongly/M/en denounces/Pd.so.|f--3s-/en) (+/B.mm/. (of/Br.ma/en leader/Cc.s/en hezbollah/Cp.s/en) (+/B.am/. sayyed/Cp.s/en (+/B.am/. hassan/Cp.s/en nasrallah/Cp.s/en))) (of/Br.ma/en (+/B.am/. isis/Cp.s/en slaughter/Cc.s/en) (+/B.am/. egyptian/Cp.s/en copts/Cp.p/en)))</t>
  </si>
  <si>
    <t>vet</t>
  </si>
  <si>
    <t>Lithuania to vet more investments for national security risks</t>
  </si>
  <si>
    <t>((to/Mi/en vet/Pd.so.-i-----/en) lithuania/Cp.s/en (for/Br.ma/en (more/Mc/en investments/Cc.p/en) (+/B.am/. (national/Ma/en security/Cc.s/en) risks/Cc.p/en)))</t>
  </si>
  <si>
    <t>Philippines to offer eight bases to US forces: official</t>
  </si>
  <si>
    <t>((to/Mi/en offer/Pd.soio.-i-----/en) philippines/Cc.p/en (eight/M#/en bases/Cc.p/en) (to/T/en (+/B.am/. us/Cp.s/en forces/Cc.p/en)) official/Cc.s/en)</t>
  </si>
  <si>
    <t>out</t>
  </si>
  <si>
    <t>White House accidentally outs CIA official</t>
  </si>
  <si>
    <t>((accidentally/M/en outs/Pd.so.|f--3s-/en) (+/B.am/. white/Cp.s/en house/Cp.s/en) (+/B.am/. cia/Cp.s/en official/Cc.s/en))</t>
  </si>
  <si>
    <t>yell</t>
  </si>
  <si>
    <t>Golden Dawn Member Of Parliament Yells 'Heil Hitler</t>
  </si>
  <si>
    <t>(yells/Pd.so.|f--3s-/en (of/Br.ma/en (+/B.am/. golden/Ca/en (+/B.am/. dawn/Cp.s/en member/Cp.s/en)) parliament/Cp.s/en) (+/B.am/. heil/Cp.s/en hitler/Cp.s/en))</t>
  </si>
  <si>
    <t>Australia, with tight gun curbs, announces new firearms amnesty</t>
  </si>
  <si>
    <t>(announces/Pd.so.|f--3s-/en (with/Br.ma/en australia/Cp.s/en (tight/Ma/en (+/B.am/. gun/Cc.s/en curbs/Cc.p/en))) (new/Ma/en (+/B.am/. firearms/Cc.p/en amnesty/Cc.s/en)))</t>
  </si>
  <si>
    <t>WHO incapable of reacting to crises such as Ebola, says report</t>
  </si>
  <si>
    <t>(says/Pd.so.|f--3s-/en ((incapable/Ma/en of/Jr.ma/en) who/Cw/en (reacting/P.x.|pg----/en (to/T/en (+/B.mm/. crises/Cc.p/en (as/Br.ma/en such/Ca/en ebola/Cp.s/en))))) report/Cc.s/en)</t>
  </si>
  <si>
    <t>disrupt</t>
  </si>
  <si>
    <t>Japanese ships disrupt Chinese military exercises</t>
  </si>
  <si>
    <t>(disrupt/Pd.so.|f-----/en (japanese/Ma/en ships/Cc.p/en) (chinese/Ma/en (military/Ma/en exercises/Cc.p/en)))</t>
  </si>
  <si>
    <t>Villagers Turn Relic Hunters at Construction Site in C China</t>
  </si>
  <si>
    <t>(turn/Pd.so.|f-----/en villagers/Cc.p/en (at/Br.ma/en (+/B.am/. relic/Cc.s/en hunters/Cc.p/en) (in/Br.ma/en (+/B.am/. construction/Cp.s/en site/Cp.s/en) (+/B.am/. c/Cp.s/en china/Cp.s/en))))</t>
  </si>
  <si>
    <t>Afghan Taliban condemns Pakistani Taliban 's massacre of school children</t>
  </si>
  <si>
    <t>(condemns/Pd.so.|f--3s-/en (+/B.am/. afghan/Ca/en taliban/Cp.s/en) (of/Br.ma/en ('s/Bp.am/en (+/B.am/. pakistani/Cp.s/en taliban/Cp.s/en) massacre/Cc.s/en) (+/B.am/. school/Cc.s/en children/Cc.p/en)))</t>
  </si>
  <si>
    <t>Separately, the influential leader of the country's red shirt movement has told frustrated followers to play dead for now</t>
  </si>
  <si>
    <t>((separately/M/en (has/Mv.|f--3s-/en told/Pd.sor.&lt;pf----/en)) (of/Br.ma/en (the/Md/en (influential/Ma/en leader/Cc.s/en)) ('s/Bp.am/en (the/Md/en country/Cc.s/en) (+/B.am/. (red/Ma/en shirt/Cc.s/en) movement/Cc.s/en))) (frustrated/Ma/en followers/Cc.p/en) ((to/Mi/en play/P.ox.-i-----/en) dead/Ca/en (for/T/en now/C/en)))</t>
  </si>
  <si>
    <t>Migrant ship off Greece says armed people on board</t>
  </si>
  <si>
    <t>(says/Pd.so.|f--3s-/en (off/Br.ma/en (migrant/Ma/en ship/Cc.s/en) greece/Cp.s/en) (on/Br.ma/en (armed/Ma/en people/Cc.p/en) board/Cc.s/en))</t>
  </si>
  <si>
    <t>Double hotel bombing strikes Iraqi capital</t>
  </si>
  <si>
    <t>(strikes/Pd.so.|f--3s-/en (double/Ma/en (+/B.am/. hotel/Cc.s/en bombing/Cc.s/en)) (iraqi/Ma/en capital/Cc.s/en))</t>
  </si>
  <si>
    <t>Indian textbook asks students to kill a kitten for an experiment</t>
  </si>
  <si>
    <t>(asks/Pd.sor.|f--3s-/en (indian/Ma/en textbook/Cc.s/en) students/Cc.p/en ((to/Mi/en kill/P.ox.-i-----/en) (a/Md/en kitten/Cc.s/en) (for/T/en (an/Md/en experiment/Cc.s/en))))</t>
  </si>
  <si>
    <t>U.S. drone attack in Yemen kills four suspected al Qaeda militants: security sources</t>
  </si>
  <si>
    <t>(kills/Pd.so.|f--3s-/en (in/Br.ma/en (+/B.am/. u%2es%2e/Cp.s/en (+/B.am/. drone/Cc.s/en attack/Cc.s/en)) yemen/Cp.s/en) (+/B.mm/. (four/M#/en (suspected/Mv.&lt;pf----/en (+/B.am/. (+/B.am/. al/Cp.s/en qaeda/Cp.s/en) militants/Cc.p/en))) (+/B.am/. security/Cc.s/en sources/Cc.p/en)))</t>
  </si>
  <si>
    <t>Putin has 'no place at the table': Canadian PM Harper at G7</t>
  </si>
  <si>
    <t>(has/Pd.soo.|f--3s-/en putin/Cp.s/en (at/Br.ma/en (no/Md/en place/Cc.s/en) (the/Md/en table/Cc.s/en)) (at/Br.ma/en (canadian/Ma/en (+/B.am/. pm/Cp.s/en harper/Cp.s/en)) g7/Cp.s/en))</t>
  </si>
  <si>
    <t>US criticises new wave of Israeli settlements in West Bank</t>
  </si>
  <si>
    <t>(criticises/Pd.so.|f--3s-/en us/Cp.s/en (of/Br.ma/en (new/Ma/en wave/Cc.s/en) (in/Br.ma/en (israeli/Ma/en settlements/Cc.p/en) (+/B.am/. west/Cp.s/en bank/Cp.s/en))))</t>
  </si>
  <si>
    <t>abduct</t>
  </si>
  <si>
    <t>ISIL abducts 70 people in northern Iraq</t>
  </si>
  <si>
    <t>(abducts/Pd.so.|f--3s-/en isil/Cp.s/en (in/Br.ma/en (70/M#/en people/Cc.p/en) (northern/Ma/en iraq/Cp.s/en)))</t>
  </si>
  <si>
    <t>Netanyahu supports it</t>
  </si>
  <si>
    <t>(supports/Pd.so.|f--3s-/en netanyahu/Cp.s/en it/Ci/en)</t>
  </si>
  <si>
    <t>boast</t>
  </si>
  <si>
    <t>West Bank settler group boasts rapid growth</t>
  </si>
  <si>
    <t>(boasts/Pd.so.|f--3s-/en (+/B.am/. (+/B.am/. west/Cp.s/en bank/Cp.s/en) (+/B.am/. settler/Cc.s/en group/Cc.s/en)) (rapid/Ma/en growth/Cc.s/en))</t>
  </si>
  <si>
    <t>Huge earthquake hits Greece and Turkey</t>
  </si>
  <si>
    <t>(hits/Pd.so.|f--3s-/en (huge/Ma/en earthquake/Cc.s/en) (and/J/en greece/Cp.s/en turkey/Cp.s/en))</t>
  </si>
  <si>
    <t>South Korea halts Thaad anti-missile system rollout</t>
  </si>
  <si>
    <t>(halts/Pd.so.|f--3s-/en (+/B.am/. south/Cp.s/en korea/Cp.s/en) (+/B.am/. (+/B.am/. thaad/Cp.s/en (anti/Ma/en (-/Ma/en (missile/Ma/en system/Cc.s/en)))) rollout/Cc.s/en))</t>
  </si>
  <si>
    <t>Scores of Palestinians disrupt Israeli-Palestinian activists peace meeting in Ramallah</t>
  </si>
  <si>
    <t>(disrupt/Pd.so.|f-----/en (of/Br.ma/en scores/Cc.p/en palestinians/Cp.p/en) (in/Br.ma/en (+/B.am/. ((israeli/Ma/en palestinian/Ma/en) activists/Cc.p/en) (+/B.am/. peace/Cc.s/en meeting/Cc.s/en)) ramallah/Cp.s/en))</t>
  </si>
  <si>
    <t>Researchers Accuse Canadian Internet Company of Helping Yemen Censor the Web</t>
  </si>
  <si>
    <t>(accuse/Pd.sor.|f-----/en researchers/Cc.p/en (of/Br.ma/en (+/B.am/. canadian/Ca/en (+/B.am/. internet/Cp.s/en company/Cp.s/en)) (+/B.am/. helping/Cp.s/en yemen/Cp.s/en)) (+/B.mm/. censor/Cp.s/en (the/Md/en web/Cc.s/en)))</t>
  </si>
  <si>
    <t>refuse</t>
  </si>
  <si>
    <t>Police refused access to Shoreham pilot interviews</t>
  </si>
  <si>
    <t>(refused/Pd.so.&lt;f-----/en police/Cc.p/en (to/Br.ma/en access/Cc.s/en (+/B.am/. shoreham/Cp.s/en (+/B.am/. pilot/Cc.s/en interviews/Cc.p/en))))</t>
  </si>
  <si>
    <t>speed</t>
  </si>
  <si>
    <t>North Korea speeding up work at Nuclear test site</t>
  </si>
  <si>
    <t>((up/Ml/en speeding/Pd.so.|pg----/en) (+/B.am/. north/Cp.s/en korea/Cp.s/en) (at/Br.ma/en work/Cc.s/en (nuclear/Ma/en (+/B.am/. test/Cc.s/en site/Cc.s/en))))</t>
  </si>
  <si>
    <t>North Korea prepares large-scale fire power drill near Pyongyang (Xpost</t>
  </si>
  <si>
    <t>(prepares/Pd.so.|f--3s-/en (+/B.am/. north/Cp.s/en korea/Cp.s/en) (near/Br.ma/en (+/B.am/. (large/Ma/en scale/Cc.s/en) (+/B.am/. fire/Cc.s/en (+/B.am/. power/Cc.s/en drill/Cc.s/en))) (+/B.mm/. pyongyang/Cp.s/en xpost/Cp.s/en)))</t>
  </si>
  <si>
    <t>Russia eliminates 84.5% of chemical weapons stockpile</t>
  </si>
  <si>
    <t>(eliminates/Pd.so.|f--3s-/en russia/Cp.s/en (of/Br.ma/en (84%2e5/M#/en %25/Cc.s/en) (+/B.am/. (chemical/Ma/en weapons/Cc.p/en) stockpile/Cc.s/en)))</t>
  </si>
  <si>
    <t>defeat</t>
  </si>
  <si>
    <t>Syrian rebels defeat Isis to take control of main supply route to Turkey</t>
  </si>
  <si>
    <t>(defeat/Pd.sor.|f-----/en (syrian/Ma/en rebels/Cc.p/en) isis/Cp.s/en ((to/Mi/en take/P.o.-i-----/en) (of/Br.ma/en control/Cc.s/en (to/Br.ma/en (main/Ma/en (+/B.am/. supply/Cc.s/en route/Cc.s/en)) turkey/Cp.s/en))))</t>
  </si>
  <si>
    <t>thwart</t>
  </si>
  <si>
    <t>Israeli intelligence helped thwart terror attack in Germany</t>
  </si>
  <si>
    <t>((helped/Mv.&lt;f-----/en thwart/Pd.so.-i-----/en) (israeli/Ma/en intelligence/Cc.s/en) (in/Br.ma/en (+/B.am/. terror/Cc.s/en attack/Cc.s/en) germany/Cp.s/en))</t>
  </si>
  <si>
    <t>Raytheon Co and Lockheed Martin Corp are working with Japanese partners on rival projects to develop new radars that will enhance Japan 's shield against any North Korean missile strike, government and defence industry sources in Tokyo told Reuters</t>
  </si>
  <si>
    <t>(told/Pd.rso.&lt;f-----/en ((are/Mv.|f-----/en working/P.sxxx.|pg----/en) (and/J/en (+/B.am/. raytheon/Cp.s/en co/Cp.s/en) (+/B.am/. lockheed/Cp.s/en (+/B.am/. martin/Cp.s/en corp/Cp.s/en))) (with/T/en (japanese/Ma/en partners/Cc.p/en)) (on/T/en (rival/Ma/en projects/Cc.p/en)) ((to/Mi/en develop/Pd.o?.-i-----/en) (new/Ma/en radars/Cc.p/en) ((will/Mm/en enhance/P.sox.-i-----/en) that/C/en ('s/Bp.am/en japan/Cp.s/en shield/Cc.s/en) (against/T/en (,/Mj/en (any/Md/en ((north/Ma/en korean/Ma/en) (+/B.am/. missile/Cc.s/en strike/Cc.s/en)))))))) (in/Br.ma/en (+/B.am/. (+/B.am/. (and/J/en government/Cm/en defence/Cc.s/en) industry/Cc.s/en) sources/Cc.p/en) tokyo/Cp.s/en) reuters/Cp.s/en)</t>
  </si>
  <si>
    <t>Bulgarian FM to EU: take action against Hezbollah</t>
  </si>
  <si>
    <t>(take/Pd.so.-i-----/en (to/Br.ma/en (bulgarian/Ma/en fm/Cp.s/en) eu/Cp.s/en) (against/Br.ma/en action/Cc.s/en hezbollah/Cp.s/en))</t>
  </si>
  <si>
    <t>Afghan Protesters Demand Justice for Woman Killed by Mob</t>
  </si>
  <si>
    <t>(demand/Pd.so.|f-----/en (+/B.am/. afghan/Cp.s/en protesters/Cp.p/en) (+/B.mm/. justice/Cp.s/en (for/Jr.ma/en woman/Cc.s/en (killed/P.a.&lt;pf----/en (by/T/en mob/Cc.s/en)))))</t>
  </si>
  <si>
    <t>Islamophobia Is Giving Muslims Mental Disorders</t>
  </si>
  <si>
    <t>((is/Mv.|f--3s-/en giving/Pd.sio.|pg----/en) islamophobia/Cp.s/en muslims/Cp.p/en (mental/Ma/en disorders/Cc.p/en))</t>
  </si>
  <si>
    <t>Ukraine in Context of Other Major Missed Opportunities</t>
  </si>
  <si>
    <t>(missed/Pd.so.&lt;f-----/en (in/Br.ma/en ukraine/Cp.s/en (of/Br.ma/en context/Cp.s/en (other/Ma/en major/Cp.s/en))) opportunities/Cc.p/en)</t>
  </si>
  <si>
    <t>Ukraine crisis threatens Transnistria</t>
  </si>
  <si>
    <t>(threatens/Pd.so.|f--3s-/en (ukraine/Ma/en crisis/Cc.s/en) transnistria/Cp.s/en)</t>
  </si>
  <si>
    <t>Major Japanese retailers hold 'Black Friday' Christmas sales</t>
  </si>
  <si>
    <t>(hold/Pd.so.|f-----/en (major/Ma/en (japanese/Ma/en retailers/Cc.p/en)) ('/Bp.am/en (+/B.am/. black/Cp.s/en friday/Cp.s/en) (+/B.am/. christmas/Cp.s/en sales/Cc.p/en)))</t>
  </si>
  <si>
    <t>European Commission and IT Companies announce Code of Conduct on illegal online hate speech</t>
  </si>
  <si>
    <t>(announce/Pd.so.|f-----/en (and/J/en (+/B.am/. european/Cp.s/en commission/Cp.s/en) (+/B.am/. it/Cp.s/en companies/Cp.p/en)) (on/Br.ma/en (of/Br.ma/en code/Cp.s/en conduct/Cp.s/en) (illegal/Ma/en (online/Ma/en (+/B.am/. hate/Cp.s/en speech/Cc.s/en)))))</t>
  </si>
  <si>
    <t>German neo-Nazi trial sparks fear of hidden racism</t>
  </si>
  <si>
    <t>(sparks/Pd.so.|f--3s-/en (german/Ma/en (neo/Ma/en (-/Ma/en (nazi/Ma/en trial/Cc.s/en)))) (of/Br.ma/en fear/Cc.s/en (hidden/Ma/en racism/Cc.s/en)))</t>
  </si>
  <si>
    <t>Pope Francis urged “drowsy and dull kids” to swap their sofas and video games for walking boots on Saturday at an international Catholic youth festival in Poland</t>
  </si>
  <si>
    <t>(urged/Pd.sor.&lt;f-----/en (+/B.am/. pope/Cp.s/en francis/Cp.s/en) (+/B.am/. ((drowsy/Ma/en and/Mj/en) dull/Ca/en) kids/Cc.p/en) ((to/Mi/en swap/P.oxxx.-i-----/en) (and/J/en (their/Mp/en sofas/Cc.s/en) (+/B.am/. video/Cc.s/en games/Cc.p/en)) (for/T/en (walking/P.o.|pg----/en boots/Cc.p/en)) (on/Tt/en saturday/Cp.s/en) (at/T/en (in/Br.ma/en (an/Md/en (international/Ma/en (catholic/Ma/en (+/B.am/. youth/Cc.s/en festival/Cc.s/en)))) poland/Cp.s/en))))</t>
  </si>
  <si>
    <t>Engineers Find Construction Error In Ancient Monument</t>
  </si>
  <si>
    <t>(find/Pd.so.|f-----/en engineers/Cc.p/en (in/Br.ma/en (+/B.am/. construction/Cp.s/en error/Cc.s/en) (+/B.am/. ancient/Cp.s/en monument/Cp.s/en)))</t>
  </si>
  <si>
    <t>Egypt's Mohamed Morsi to stand trial for 'espionage': state media</t>
  </si>
  <si>
    <t>((to/Mi/en stand/Pd.soo.-i-----/en) ('s/Bp.am/en egypt/Cp.s/en (+/B.am/. mohamed/Cp.s/en morsi/Cp.s/en)) (for/Br.ma/en trial/Cc.s/en espionage/Cc.s/en) (+/B.am/. state/Cc.s/en media/Cc.p/en))</t>
  </si>
  <si>
    <t>Japanese opposition party elects first female leader</t>
  </si>
  <si>
    <t>(elects/Pd.so.|f--3s-/en (japanese/Ma/en (+/B.am/. opposition/Cc.s/en party/Cc.s/en)) (first/Ma/en (female/Ma/en leader/Cc.s/en)))</t>
  </si>
  <si>
    <t>Punjab province of Pakistan bans any glorification of terrorists</t>
  </si>
  <si>
    <t>(bans/Pd.so.|f--3s-/en (of/Br.ma/en (+/B.am/. punjab/Cp.s/en province/Cc.s/en) pakistan/Cp.s/en) (of/Br.ma/en (any/Md/en glorification/Cc.s/en) terrorists/Cc.p/en))</t>
  </si>
  <si>
    <t>Unarmed US Marines 'take down' Kalashnikov-wielding gunman</t>
  </si>
  <si>
    <t>((down/Ml/en take/Pd.so.-i-----/en) (unarmed/Ma/en (+/B.am/. us/Cp.s/en marines/Cp.p/en)) ((kalashnikov/Ma/en wielding/Mv.|pg----/en) gunman/Cc.s/en))</t>
  </si>
  <si>
    <t>Famous hacker Kevin Mitnik now selling zero day hacks</t>
  </si>
  <si>
    <t>((now/M/en selling/Pd.so.|pg----/en) (+/B.am/. (famous/Ma/en hacker/Cc.s/en) (+/B.am/. kevin/Cp.s/en mitnik/Cp.s/en)) (+/B.am/. (zero/M#/en day/Cc.s/en) hacks/Cc.p/en))</t>
  </si>
  <si>
    <t>stun</t>
  </si>
  <si>
    <t>Venezuela crackdown stuns once-welcomed Colombian migrants</t>
  </si>
  <si>
    <t>(stuns/Pd.so.|f--3s-/en (+/B.am/. venezuela/Cp.s/en crackdown/Cc.s/en) ((once/M/en welcomed/Mv.&lt;pf----/en) (colombian/Ma/en migrants/Cc.p/en)))</t>
  </si>
  <si>
    <t>Pakistan fighter jets target militant hideouts near Afghan border</t>
  </si>
  <si>
    <t>(target/Pd.so.|f-----/en (+/B.am/. (+/B.am/. pakistan/Cp.s/en fighter/Cc.s/en) jets/Cc.p/en) (near/Br.ma/en (militant/Ma/en hideouts/Cc.p/en) (afghan/Ma/en border/Cc.s/en)))</t>
  </si>
  <si>
    <t>U.S., France 'on same page' over Iran, want stronger deal</t>
  </si>
  <si>
    <t>(want/Pd.so.|f-----/en (+/B.mm/. (on/Br.ma/en u%2es%2e/Cp.s/en france/Cp.s/en) (over/Br.ma/en (same/Ma/en page/Cc.s/en) iran/Cp.s/en)) (stronger/Mc/en deal/Cc.s/en))</t>
  </si>
  <si>
    <t>Germany's secret services have found little evidence that the Kremlin is directly trying to manipulate the country's public opinion</t>
  </si>
  <si>
    <t>((have/Mv.|f-----/en found/Pd.so.&lt;pf----/en) ('s/Bp.am/en germany/Cp.s/en (secret/Ma/en services/Cc.p/en)) (that/Jr.ma/en (little/Ma/en evidence/Cc.s/en) ((is/Mv.|f--3s-/en (directly/M/en trying/P.sr.|pg----/en)) (the/Md/en kremlin/Cp.s/en) ((to/Mi/en manipulate/P.o.-i-----/en) ('s/Bp.am/en (the/Md/en country/Cc.s/en) (public/Ma/en opinion/Cc.s/en))))))</t>
  </si>
  <si>
    <t>Somali forces kill 'more than 100' al Shabab fighters</t>
  </si>
  <si>
    <t>(kill/Pd.so.|f-----/en (somali/Ma/en forces/Cc.p/en) ((more/Mc/en (than/M/en 100/M#/en)) (+/B.am/. (+/B.am/. al/Cp.s/en shabab/Cp.s/en) fighters/Cc.p/en)))</t>
  </si>
  <si>
    <t>South Korean activists launch anti-Pyongyang leaflets</t>
  </si>
  <si>
    <t>(launch/Pd.so.|f-----/en ((south/Ma/en korean/Ma/en) activists/Cc.p/en) (anti/Ma/en (-/Ma/en (pyongyang/Ma/en leaflets/Cc.p/en))))</t>
  </si>
  <si>
    <t>North Korea celebrates as South Korea US keep watch</t>
  </si>
  <si>
    <t>(keep/Pd.rso.|f-----/en (celebrates/P.sx.|f--3s-/en (+/B.am/. north/Cp.s/en korea/Cp.s/en) (as/T/en (+/B.am/. south/Cp.s/en korea/Cp.s/en))) us/Cp.s/en watch/Cc.s/en)</t>
  </si>
  <si>
    <t>Iraq to file UN complaint over Turkish 'incursion</t>
  </si>
  <si>
    <t>((to/Mi/en file/Pd.so.-i-----/en) iraq/Cp.s/en (over/Br.ma/en (+/B.am/. un/Cp.s/en complaint/Cc.s/en) (turkish/Ma/en incursion/Cc.s/en)))</t>
  </si>
  <si>
    <t>French parliament dismisses impeachment call against Hollande</t>
  </si>
  <si>
    <t>(dismisses/Pd.so.|f--3s-/en (french/Ma/en parliament/Cc.s/en) (against/Br.ma/en (+/B.am/. impeachment/Cc.s/en call/Cc.s/en) hollande/Cp.s/en))</t>
  </si>
  <si>
    <t>French company wins $50-billion Submarine Contract</t>
  </si>
  <si>
    <t>(wins/Pd.so.|f--3s-/en (french/Ma/en company/Cc.s/en) (+/B.am/. ($/M/en (billion/M#/en 50/C#/en)) (+/B.am/. submarine/Cp.s/en contract/Cc.s/en)))</t>
  </si>
  <si>
    <t>Archaeologists find vast pagan sanctuary outside Roman city in north Israel</t>
  </si>
  <si>
    <t>(find/Pd.so.|f-----/en archaeologists/Cc.p/en (in/Br.ma/en (outside/Br.ma/en (vast/Ma/en (pagan/Ma/en sanctuary/Cc.s/en)) (roman/Ma/en city/Cc.s/en)) (+/B.am/. north/Cc.s/en israel/Cp.s/en)))</t>
  </si>
  <si>
    <t>German Parliament Bans Burqa for Civil Servants</t>
  </si>
  <si>
    <t>(bans/Pd.so.|f--3s-/en (german/Ma/en parliament/Cp.s/en) (for/Br.ma/en burqa/Cp.s/en (civil/Ma/en servants/Cc.p/en)))</t>
  </si>
  <si>
    <t>Father fined $700 dollars for spanking his nine-year-old son in France, a country where spanking is still legal</t>
  </si>
  <si>
    <t>(fined/Pd.sox.&lt;f-----/en father/Cp.s/en (($/M/en 700/M#/en) dollars/Cc.p/en) (for/Tt/en (spanking/P.o.|pg----/en (his/Mp/en (((nine/M#/en year/M/en) old/Ma/en) (+/B.mm/. son/Cc.s/en (in/Jr.ma/en (+/B.mm/. france/Cp.s/en (a/Md/en country/Cc.s/en)) ((where/M/en (still/M/en is/P.sc.|f--3s-/en)) spanking/Cc.s/en legal/Ca/en))))))))</t>
  </si>
  <si>
    <t>recognise</t>
  </si>
  <si>
    <t>Cross-party peers in UK campaign to recognise Islamic State 'genocide</t>
  </si>
  <si>
    <t>((to/Mi/en recognise/Pd.so.-i-----/en) (in/Br.ma/en (cross/Ma/en (-/Ma/en (party/Ma/en peers/Cc.p/en))) (+/B.am/. uk/Cp.s/en campaign/Cc.s/en)) (+/B.am/. (+/B.aa/. islamic/Cp.s/en state/Cm/en) genocide/Cc.s/en))</t>
  </si>
  <si>
    <t>Quebec grocery stores first in Canada to send unused produce to food banks</t>
  </si>
  <si>
    <t>((to/Mi/en send/Pd.soi.-i-----/en) ((first/M/en in/Br.ma/en) (+/B.am/. quebec/Cp.s/en (+/B.am/. grocery/Cc.s/en stores/Cc.p/en)) canada/Cp.s/en) (unused/Ma/en produce/Cc.s/en) (to/T/en (+/B.am/. food/Cc.s/en banks/Cc.p/en)))</t>
  </si>
  <si>
    <t>Muslim Council of Britain to set up alternative counter-terror scheme</t>
  </si>
  <si>
    <t>((up/Ml/en (to/Mi/en set/Pd.so.-i-----/en)) (of/Br.ma/en (+/B.am/. muslim/Cp.s/en council/Cp.s/en) britain/Cp.s/en) (alternative/Ma/en (counter/Ma/en (-/Ma/en (terror/Ma/en scheme/Cc.s/en)))))</t>
  </si>
  <si>
    <t>jeopardise</t>
  </si>
  <si>
    <t>The lack of effort jeopardised the lives of others</t>
  </si>
  <si>
    <t>(jeopardised/Pd.so.&lt;f-----/en (of/Br.ma/en (the/Md/en lack/Cc.s/en) effort/Cc.s/en) (of/Br.ma/en (the/Md/en lives/Cc.p/en) others/Cc.p/en))</t>
  </si>
  <si>
    <t>Forces loyal to president seize parts of Yemen's economic hub</t>
  </si>
  <si>
    <t>(seize/Pd.so.-i-----/en ((loyal/Ma/en to/Br.ma/en) forces/Cc.p/en president/Cp.s/en) (of/Br.ma/en parts/Cc.p/en ('s/Bp.am/en yemen/Cp.s/en (economic/Ma/en hub/Cc.s/en))))</t>
  </si>
  <si>
    <t>Uganda passes tough new anti-gay law: Sets life imprisonment as the maximum penalty for homosexuality as defense against 'Western' lifestyles</t>
  </si>
  <si>
    <t>(passes/Pd.so?.|f--3s-/en uganda/Cp.s/en (tough/Ma/en (new/Ma/en (anti/Ma/en (-/Ma/en (gay/Ma/en law/Cc.s/en))))) (sets/Pd.ox.|f--3s-/en (+/B.am/. life/Cc.s/en imprisonment/Cc.s/en) (as/T/en (as/Br.ma/en (for/Br.ma/en (the/Md/en (maximum/Ma/en penalty/Cc.s/en)) homosexuality/Cc.s/en) (against/Br.ma/en defense/Cc.s/en (western/Ma/en lifestyles/Cc.p/en))))))</t>
  </si>
  <si>
    <t>BP confirms $1bn North Sea investment, secures project lifespan through 2030</t>
  </si>
  <si>
    <t>(confirms/Pd.so?.|f--3s-/en bp/Cp.s/en (+/B.am/. (+/B.am/. $/Cm/en 1bn/Cp.s/en) (+/B.am/. (+/B.am/. north/Cp.s/en sea/Cp.s/en) investment/Cc.s/en)) (secures/Pd.ox.|f--3s-/en (+/B.am/. project/Cc.s/en lifespan/Cc.s/en) (through/Tt/en 2030/C#/en)))</t>
  </si>
  <si>
    <t>Pepe the Frog Creator Kills Off Meme</t>
  </si>
  <si>
    <t>(kills/Pd.?so.|f--3s-/en pepe/Cp.s/en (the/Md/en (+/B.am/. frog/Cp.s/en creator/Cc.s/en)) (+/B.am/. off/C/en meme/Cc.s/en))</t>
  </si>
  <si>
    <t>Venezuela seizes US-owned oil rigs in dispute over unpaid bills</t>
  </si>
  <si>
    <t>(seizes/Pd.so.|f--3s-/en venezuela/Cp.s/en (in/Br.ma/en ((us/Ma/en owned/Mv.&lt;pf----/en) (+/B.am/. oil/Cc.s/en rigs/Cc.p/en)) (over/Br.ma/en dispute/Cc.s/en (unpaid/Ma/en bills/Cc.p/en))))</t>
  </si>
  <si>
    <t>Documents reveal extent of Shell and Rio Tinto lobbying in human rights case</t>
  </si>
  <si>
    <t>(reveal/Pd.so.|f-----/en documents/Cc.p/en (of/Br.ma/en extent/Cc.s/en (+/B.mm/. (and/J/en shell/Cp.s/en (+/B.am/. rio/Cp.s/en tinto/Cp.s/en)) (in/Br.ma/en lobbying/Cc.s/en (+/B.am/. (human/Ma/en rights/Cc.p/en) case/Cc.s/en)))))</t>
  </si>
  <si>
    <t>video asks Bill to divest from fossil fuels</t>
  </si>
  <si>
    <t>(asks/Pd.sor.|f--3s-/en video/Cc.s/en bill/Cp.s/en ((to/Mi/en divest/P.x.-i-----/en) (from/T/en (fossil/Ma/en fuels/Cc.p/en))))</t>
  </si>
  <si>
    <t>Hamas holds a military parade</t>
  </si>
  <si>
    <t>(holds/Pd.so.|f--3s-/en hamas/Cp.s/en (a/Md/en (military/Ma/en parade/Cc.s/en)))</t>
  </si>
  <si>
    <t>Google Announces Plan To provide Wi-Fi In 400 Train Stations Across India</t>
  </si>
  <si>
    <t>(announces/Pd.sor.|f--3s-/en google/Cp.s/en plan/Cc.s/en ((to/Mi/en provide/P.oooxx.-i-----/en) wi/Cc.s/en -/Cc.s/en fi/Cc.s/en (in/T/en (400/M#/en (+/B.am/. train/Cp.s/en stations/Cp.p/en))) (across/T/en india/Cp.s/en)))</t>
  </si>
  <si>
    <t>Saudi Arabia's Prince Alwaleed bin Talal pledges his entire $32bn fortune to charity projects</t>
  </si>
  <si>
    <t>(pledges/Pd.so.|f--3s-/en ('s/Bp.am/en (+/B.am/. saudi/Cp.s/en arabia/Cp.s/en) (+/B.am/. prince/Cp.s/en (+/B.am/. alwaleed/Cp.s/en (+/B.am/. bin/Cp.s/en talal/Cp.s/en)))) (to/Br.ma/en (his/Mp/en (entire/Ma/en (+/B.am/. (+/B.am/. $/Cm/en 32bn/Cc.s/en) fortune/Cc.s/en))) (+/B.am/. charity/Cc.s/en projects/Cc.p/en)))</t>
  </si>
  <si>
    <t>Spaniards joined Ukraine rebels</t>
  </si>
  <si>
    <t>(joined/Pd.so.&lt;f-----/en spaniards/Cp.p/en (ukraine/Ma/en rebels/Cc.p/en))</t>
  </si>
  <si>
    <t>Zimbabwe to ban electric water heaters</t>
  </si>
  <si>
    <t>((to/Mi/en ban/Pd.so.-i-----/en) zimbabwe/Cp.s/en (+/B.am/. (electric/Ma/en water/Cc.s/en) heaters/Cc.p/en))</t>
  </si>
  <si>
    <t>ISIS release the last 40 hostages of 230 Assyrian Christians kidnapped in Syria</t>
  </si>
  <si>
    <t>(release/Pd.so.-i-----/en isis/Cp.s/en (the/Md/en (last/Ma/en (40/M#/en (+/B.mm/. hostages/Cc.p/en (of/Jr.ma/en (230/M#/en (assyrian/Ma/en christians/Cp.p/en)) (kidnapped/P.x.&lt;pf----/en (in/T/en syria/Cp.s/en))))))))</t>
  </si>
  <si>
    <t>encourage</t>
  </si>
  <si>
    <t>Isis video encourages Swiss terror attacks</t>
  </si>
  <si>
    <t>(encourages/Pd.so.|f--3s-/en (+/B.am/. isis/Cp.s/en video/Cc.s/en) (swiss/Ma/en (+/B.am/. terror/Cc.s/en attacks/Cc.p/en)))</t>
  </si>
  <si>
    <t>phase</t>
  </si>
  <si>
    <t>ECB phases out 500-euro banknotes</t>
  </si>
  <si>
    <t>((out/Ml/en phases/Pd.so.|f--3s-/en) ecb/Cp.s/en (+/B.am/. (500/M#/en euro/Cc.s/en) banknotes/Cc.p/en))</t>
  </si>
  <si>
    <t>Ukraine seeks U.N. vote</t>
  </si>
  <si>
    <t>(seeks/Pd.so.|f--3s-/en ukraine/Cp.s/en (+/B.am/. u%2en%2e/Cp.s/en vote/Cc.s/en))</t>
  </si>
  <si>
    <t>Indian Govt to Sell 10% Stake in Coal India Limited, the world's largest coal producer</t>
  </si>
  <si>
    <t>((to/Mi/en sell/Pd.so.-i-----/en) (indian/Ma/en govt/Cc.s/en) (in/Br.ma/en (+/B.am/. (10/M#/en %25/Cc.s/en) stake/Cc.s/en) (+/B.mm/. (+/B.am/. coal/Cp.s/en (+/B.am/. india/Cp.s/en limited/Cp.s/en)) ('s/Bp.am/en (the/Md/en world/Cc.s/en) (largest/Ms/en (+/B.am/. coal/Cc.s/en producer/Cc.s/en))))))</t>
  </si>
  <si>
    <t>Pakistan adopts Chinese rival GPS satellite system</t>
  </si>
  <si>
    <t>(adopts/Pd.so.|f--3s-/en pakistan/Cp.s/en (chinese/Ma/en (rival/Ma/en (+/B.am/. gps/Cp.s/en (+/B.am/. satellite/Cc.s/en system/Cc.s/en)))))</t>
  </si>
  <si>
    <t>China rolls out its massive elevated 'straddling bus</t>
  </si>
  <si>
    <t>((out/Ml/en rolls/Pd.so.|f--3s-/en) china/Cp.s/en (its/Mp/en (massive/Ma/en (elevated/Ma/en (straddling/Mv.|pg----/en bus/Cc.s/en)))))</t>
  </si>
  <si>
    <t>Israel's Nahariya Hospital treats three wounded Syria rebels</t>
  </si>
  <si>
    <t>(treats/Pd.so.|f--3s-/en ('s/Bp.am/en israel/Cp.s/en (+/B.am/. nahariya/Cp.s/en hospital/Cp.s/en)) (three/M#/en (wounded/Mv.&lt;f-----/en (+/B.am/. syria/Cp.s/en rebels/Cc.p/en))))</t>
  </si>
  <si>
    <t>admit</t>
  </si>
  <si>
    <t>Ukrainian man admits murder and terrorist attacks against UK mosques</t>
  </si>
  <si>
    <t>(admits/Pd.so.|f--3s-/en (ukrainian/Ma/en man/Cc.s/en) (and/J/en murder/Cc.s/en (against/Br.ma/en (terrorist/Ma/en attacks/Cc.p/en) (+/B.am/. uk/Cp.s/en mosques/Cc.p/en))))</t>
  </si>
  <si>
    <t>European Union regulators have fined banks JPMorgan, HSBC and Credit Agricole a combined $520 million for colluding to manipulate the price of financial products linked to interest rates</t>
  </si>
  <si>
    <t>((have/Mv.|f-----/en fined/Pd.soo.&lt;pf----/en) (+/B.am/. (+/B.am/. european/Cp.s/en union/Cp.s/en) regulators/Cc.p/en) banks/Cc.p/en (+/B.mm/. (,/J/en jpmorgan/Cp.s/en (and/J/en hsbc/Cp.s/en (+/B.am/. credit/Cp.s/en agricole/Cp.s/en))) (for/Jr.ma/en (a/Md/en (combined/Mv.&lt;pf----/en ($/M/en (520/M#/en million/C#/en)))) (colluding/P.r.|pg----/en ((to/Mi/en manipulate/P.o.-i-----/en) (the/Md/en (+/B.mm/. price/Cc.s/en (of/Jr.ma/en (financial/Ma/en products/Cc.p/en) (linked/P.x.&lt;pf----/en (to/T/en (+/B.am/. interest/Cc.s/en rates/Cc.p/en)))))))))))</t>
  </si>
  <si>
    <t>US drone strike kills three in northwest Pakistan</t>
  </si>
  <si>
    <t>(kills/Pd.so.|f--3s-/en (+/B.am/. us/Cp.s/en (+/B.am/. drone/Cc.s/en strike/Cc.s/en)) (in/Br.ma/en three/C#/en (northwest/Ma/en pakistan/Cp.s/en)))</t>
  </si>
  <si>
    <t>But President Robert Mugabe's small reforms have eased pressure from the West</t>
  </si>
  <si>
    <t>((but/Mj/en (have/Mv.|f-----/en eased/Pd.so.&lt;pf----/en)) ('s/Bp.am/en (+/B.am/. president/Cp.s/en (+/B.am/. robert/Cp.s/en mugabe/Cp.s/en)) (small/Ma/en reforms/Cc.p/en)) (from/Br.ma/en pressure/Cc.s/en (the/Md/en west/Cp.s/en)))</t>
  </si>
  <si>
    <t>Ukrainian forces win back Mariupol</t>
  </si>
  <si>
    <t>((back/Ml/en win/Pd.so.|f-----/en) (ukrainian/Ma/en forces/Cc.p/en) mariupol/Cp.s/en)</t>
  </si>
  <si>
    <t>fuel</t>
  </si>
  <si>
    <t>tactics by Kerry and Europeans fuel anti-Israel terror, stir boycott threats</t>
  </si>
  <si>
    <t>(fuel/Pd.so?.|f-----/en (by/Br.ma/en tactics/Cc.p/en (and/J/en kerry/Cp.s/en europeans/Cp.p/en)) (anti/Ma/en (+/B.am/. -/Ca/en (israel/Ma/en terror/Cc.s/en))) (stir/P!.o.-i-----/en (+/B.am/. boycott/Cc.s/en threats/Cc.p/en)))</t>
  </si>
  <si>
    <t>Catalan leader to step up independence push as 80% vote to split from Spain</t>
  </si>
  <si>
    <t>((up/Ml/en (to/Mi/en step/Pd.so?.-i-----/en)) (catalan/Ma/en leader/Cc.s/en) independence/Cc.s/en (push/P!.x?.-i-----/en (as/T/en (+/B.am/. (80/M#/en %25/Cc.s/en) vote/Cc.s/en)) ((to/Mi/en split/P.x.-i-----/en) (from/T/en spain/Cp.s/en))))</t>
  </si>
  <si>
    <t>Gazprom to sign monumental gas deal with China</t>
  </si>
  <si>
    <t>((to/Mi/en sign/Pd.so.-i-----/en) gazprom/Cp.s/en (with/Br.ma/en (monumental/Ma/en (+/B.am/. gas/Cc.s/en deal/Cc.s/en)) china/Cp.s/en))</t>
  </si>
  <si>
    <t>Venezuela's Maduro in Meeting with Iran's Leader Unveils the Plan to Overcome Oil Price Freefall</t>
  </si>
  <si>
    <t>(unveils/Pd.sor.|f--3s-/en (in/Br.ma/en ('s/Bp.am/en venezuela/Cp.s/en maduro/Cp.s/en) (with/Br.ma/en meeting/Cc.s/en ('s/Bp.am/en iran/Cp.s/en leader/Cp.s/en))) (the/Md/en plan/Cc.s/en) ((to/Mi/en overcome/P.o.-i-----/en) (+/B.am/. (+/B.am/. oil/Cp.s/en price/Cp.s/en) freefall/Cp.s/en)))</t>
  </si>
  <si>
    <t>Mexican security forces committed crimes against humanity</t>
  </si>
  <si>
    <t>(committed/Pd.so.&lt;f-----/en (mexican/Ma/en (+/B.am/. security/Cc.s/en forces/Cc.p/en)) (against/Br.ma/en crimes/Cc.p/en humanity/Cc.s/en))</t>
  </si>
  <si>
    <t>Dozens of US diplomats urge military strikes against Syrian regime</t>
  </si>
  <si>
    <t>(urge/Pd.so.|f-----/en (+/B.am/. (of/Br.ma/en dozens/Cm/en us/Cp.s/en) diplomats/Cc.p/en) (against/Br.ma/en (military/Ma/en strikes/Cc.p/en) (syrian/Ma/en regime/Cc.s/en)))</t>
  </si>
  <si>
    <t>Syria army announces halt in fighting parts of Eastern Ghouta</t>
  </si>
  <si>
    <t>(announces/Pd.so.|f--3s-/en (+/B.am/. syria/Cp.s/en army/Cp.s/en) (in/Br.ma/en halt/Cc.s/en (in/Br.ma/en fighting/Cc.s/en (of/Br.ma/en parts/Cc.p/en (+/B.am/. eastern/Cp.s/en ghouta/Cp.s/en)))))</t>
  </si>
  <si>
    <t>Militant attacks on north Sinai city kill 5</t>
  </si>
  <si>
    <t>(kill/Pd.so.|f-----/en (on/Br.ma/en (militant/Ma/en attacks/Cc.p/en) (+/B.am/. (+/B.am/. north/Ca/en sinai/Cp.s/en) city/Cc.s/en)) 5/C#/en)</t>
  </si>
  <si>
    <t>but I never touched the brakes once</t>
  </si>
  <si>
    <t>((but/Mj/en (once/M/en (never/Mn/en touched/Pd.so.&lt;f-----/en))) i/Ci/en (the/Md/en brakes/Cc.p/en))</t>
  </si>
  <si>
    <t>Sectarian war an aim of Gulf states, Israel and Turkey, claims Hezbollah</t>
  </si>
  <si>
    <t>(claims/Pd.so.|f--3s-/en (+/B.mm/. (sectarian/Ma/en war/Cc.s/en) (of/Br.ma/en (an/Md/en aim/Cc.s/en) (+/B.mm/. (+/B.am/. gulf/Cp.s/en states/Cc.p/en) (and/J/en israel/Cp.s/en turkey/Cp.s/en)))) hezbollah/Cp.s/en)</t>
  </si>
  <si>
    <t>Israel's foreign ministry condemned the "exceptional and discriminatory step</t>
  </si>
  <si>
    <t>(condemned/Pd.so.&lt;f-----/en ('s/Bp.am/en israel/Cp.s/en (foreign/Ma/en ministry/Cc.s/en)) (the/Md/en (+/B.am/. ((exceptional/Ma/en and/Mj/en) discriminatory/Ca/en) step/Cc.s/en)))</t>
  </si>
  <si>
    <t>Htin Kyaw wins historic president vote in Myanmar parliament</t>
  </si>
  <si>
    <t>(wins/Pd.so.|f--3s-/en (+/B.am/. htin/Cp.s/en kyaw/Cp.s/en) (in/Br.ma/en (+/B.am/. (historic/Ma/en president/Cp.s/en) vote/Cc.s/en) (+/B.am/. myanmar/Cp.s/en parliament/Cc.s/en)))</t>
  </si>
  <si>
    <t>Chemical spill causes road closure near Temerloh</t>
  </si>
  <si>
    <t>(causes/Pd.so.|f--3s-/en (+/B.am/. chemical/Ca/en spill/Cc.s/en) (near/Br.ma/en (+/B.am/. road/Cc.s/en closure/Cc.s/en) temerloh/Cp.s/en))</t>
  </si>
  <si>
    <t>Another US Warship Passed Dardanelles Strait</t>
  </si>
  <si>
    <t>(passed/Pd.so.&lt;f-----/en (another/Md/en (+/B.am/. us/Cp.s/en warship/Cp.s/en)) (+/B.am/. dardanelles/Cp.s/en strait/Cp.s/en))</t>
  </si>
  <si>
    <t>Christian militias take bloody revenge on Muslims in Central African Republic</t>
  </si>
  <si>
    <t>(take/Pd.so.|f-----/en (christian/Ma/en militias/Cc.p/en) (on/Br.ma/en (bloody/Ma/en revenge/Cc.s/en) (in/Br.ma/en muslims/Cp.p/en (+/B.am/. central/Cp.s/en (+/B.am/. african/Cp.s/en republic/Cp.s/en)))))</t>
  </si>
  <si>
    <t>Turkey says attacks on Aleppo a crime against humanity</t>
  </si>
  <si>
    <t>(says/Pd.so.|f--3s-/en turkey/Cp.s/en (+/B.mm/. (on/Br.ma/en attacks/Cc.p/en aleppo/Cp.s/en) (against/Br.ma/en (a/Md/en crime/Cc.s/en) humanity/Cc.s/en)))</t>
  </si>
  <si>
    <t>Top Editors Call Out UK Govt: 'Detention of Miranda Undermines Free Press</t>
  </si>
  <si>
    <t>((out/Ml/en call/Pd.soo.|f-----/en) (top/Ma/en editors/Cc.p/en) (+/B.am/. uk/Cp.s/en govt/Cc.s/en) (of/Br.ma/en detention/Cc.s/en (+/B.am/. miranda/Cp.s/en (+/B.am/. undermines/Cp.s/en (+/B.am/. free/Cp.s/en press/Cp.s/en)))))</t>
  </si>
  <si>
    <t>London mayor calls BDS movement ‘foolish</t>
  </si>
  <si>
    <t>(calls/Pd.soo.|f--3s-/en (+/B.am/. london/Cp.s/en mayor/Cc.s/en) (+/B.am/. bds/Cp.s/en movement/Cc.s/en) foolish/Ca/en)</t>
  </si>
  <si>
    <t>Magnitude 6.9 quake strikes Sichuan region of China</t>
  </si>
  <si>
    <t>(strikes/Pd.so.|f--3s-/en (+/B.mm/. magnitude/Cc.s/en (6%2e9/M#/en quake/Cc.s/en)) (of/Br.ma/en (+/B.am/. sichuan/Cp.s/en region/Cc.s/en) china/Cp.s/en))</t>
  </si>
  <si>
    <t>Britain approves controversial gene-editing technique</t>
  </si>
  <si>
    <t>(approves/Pd.so.|f--3s-/en britain/Cp.s/en (controversial/Ma/en (+/B.am/. (+/B.am/. gene/Cc.s/en editing/Cc.s/en) technique/Cc.s/en)))</t>
  </si>
  <si>
    <t>challenge</t>
  </si>
  <si>
    <t>Snoopers' Charter: Mozilla, TechUK and privacy groups challenge controversial bill</t>
  </si>
  <si>
    <t>(challenge/Pd.so.|f-----/en (+/B.mm/. (+/B.am/. snoopers/Cm/en charter/Cp.s/en) (+/B.mm/. mozilla/Cp.s/en (+/B.am/. (and/Mj/en techuk/Cm/en) (+/B.am/. privacy/Cc.s/en groups/Cc.p/en)))) (controversial/Ma/en bill/Cc.s/en))</t>
  </si>
  <si>
    <t>The operator of Japan's wrecked Fukushima nuclear plant has taken the first step in the long and hazardous process of extracting fuel-rods from the damaged reactor</t>
  </si>
  <si>
    <t>((has/Mv.|f--3s-/en taken/Pd.so.&lt;pf----/en) (of/Br.ma/en (the/Md/en operator/Cc.s/en) ('s/Bp.am/en japan/Cp.s/en (wrecked/Mv.&lt;pf----/en (+/B.am/. fukushima/Cm/en (nuclear/Ma/en plant/Cc.s/en))))) (in/Br.ma/en (the/Md/en (first/Ma/en step/Cc.s/en)) (of/Jr.ma/en (the/Md/en (+/B.am/. ((long/Ma/en and/Mj/en) hazardous/Ca/en) process/Cc.s/en)) (extracting/P.ox.|pg----/en (+/B.am/. fuel/Cc.s/en rods/Cc.p/en) (from/T/en (the/Md/en (damaged/Mv.&lt;pf----/en reactor/Cc.s/en)))))))</t>
  </si>
  <si>
    <t>Ex-CFK official caught hiding bags of cash</t>
  </si>
  <si>
    <t>(caught/Pd.so.&lt;f-----/en (ex/Ma/en (-/Ma/en (cfk/Ma/en official/Cc.s/en))) (of/Br.ma/en (+/B.am/. hiding/Cc.s/en bags/Cc.p/en) cash/Cc.s/en))</t>
  </si>
  <si>
    <t>US is now giving arms to Iran and Syria</t>
  </si>
  <si>
    <t>((is/Mv.|f--3s-/en (now/M/en giving/Pd.soi.|pg----/en)) us/Cp.s/en arms/Cc.p/en (to/T/en (and/J/en iran/Cp.s/en syria/Cp.s/en)))</t>
  </si>
  <si>
    <t>End of Golden Era: Saudi Arabia cuts down 20% salaries of Govt Ministers</t>
  </si>
  <si>
    <t>((down/M/en cuts/Pd.?so.|f--3s-/en) (of/Br.ma/en end/Cc.s/en (+/B.am/. golden/Cp.s/en era/Cp.s/en)) (+/B.am/. saudi/Cp.s/en arabia/Cp.s/en) (of/Br.ma/en (+/B.am/. (20/M#/en %25/Cc.s/en) salaries/Cc.p/en) (+/B.am/. govt/Cp.s/en ministers/Cp.p/en)))</t>
  </si>
  <si>
    <t>German politicians to get encrypted phones</t>
  </si>
  <si>
    <t>((to/Mi/en get/Pd.so.-i-----/en) (german/Ma/en politicians/Cc.p/en) (encrypted/Ma/en phones/Cc.p/en))</t>
  </si>
  <si>
    <t>reopen</t>
  </si>
  <si>
    <t>Pakistan reopens major Afghanistan border crossing</t>
  </si>
  <si>
    <t>(reopens/Pd.so.|f--3s-/en pakistan/Cp.s/en (major/Ma/en (+/B.am/. (+/B.am/. afghanistan/Cp.s/en border/Cc.s/en) crossing/Cc.s/en)))</t>
  </si>
  <si>
    <t>Nigeria troops save young woman suicide bomber, kill another</t>
  </si>
  <si>
    <t>(save/Pd.so?.|f-----/en (+/B.am/. nigeria/Cp.s/en troops/Cc.p/en) (+/B.am/. (young/Ma/en woman/Cc.s/en) (+/B.am/. suicide/Cc.s/en bomber/Cc.s/en)) (kill/P!.o.-i-----/en another/Cd/en))</t>
  </si>
  <si>
    <t>Israel warns Lebanon to curb Hezbollah reprisals for air strike</t>
  </si>
  <si>
    <t>(warns/Pd.sor.|f--3s-/en israel/Cp.s/en lebanon/Cp.s/en ((to/Mi/en curb/P.o.-i-----/en) (for/Br.ma/en (+/B.am/. hezbollah/Cp.s/en reprisals/Cc.p/en) (+/B.am/. air/Cc.s/en strike/Cc.s/en))))</t>
  </si>
  <si>
    <t>British grandfather facing 350 lashes in Saudi Arabia 'to be released within a week</t>
  </si>
  <si>
    <t>(facing/Pd.sor.|pg----/en (british/Ma/en grandfather/Cc.s/en) (in/Br.ma/en (350/M#/en lashes/Cc.p/en) (+/B.am/. saudi/Cp.s/en arabia/Cp.s/en)) ((to/Mi/en (be/Mv.-i-----/en released/P.x.&lt;pf----/en)) (within/Tt/en (a/Md/en week/Cc.s/en))))</t>
  </si>
  <si>
    <t>Two reserve areas in Kazakhstan may hold a combined 36 million barrels of recoverable oil resources</t>
  </si>
  <si>
    <t>((may/Mm/en hold/Pd.so.-i-----/en) (in/Br.ma/en (two/M#/en (+/B.am/. reserve/Cc.s/en areas/Cc.p/en)) kazakhstan/Cp.s/en) (of/Br.ma/en (a/Md/en (combined/Mv.&lt;pf----/en ((36/M#/en million/M#/en) barrels/Cc.p/en))) (recoverable/Ma/en (+/B.am/. oil/Cc.s/en resources/Cc.p/en))))</t>
  </si>
  <si>
    <t>Mystery man in Bangkok bomb probe 'never said a word</t>
  </si>
  <si>
    <t>((never/Mn/en said/Pd.so.&lt;f-----/en) (in/Br.ma/en (+/B.am/. mystery/Ca/en man/Cc.s/en) (+/B.am/. bangkok/Cp.s/en (+/B.am/. bomb/Cc.s/en probe/Cc.s/en))) (a/Md/en word/Cc.s/en))</t>
  </si>
  <si>
    <t>Quebec Judge issues $1 fine for possessing 30 cannabis plants, calls marijuana laws obsolete</t>
  </si>
  <si>
    <t>(issues/Pd.so?.|f--3s-/en (+/B.am/. quebec/Cp.s/en judge/Cp.s/en) (for/Jr.ma/en (($/M/en 1/M#/en) fine/Cc.s/en) (possessing/P.o.|pg----/en (30/M#/en (+/B.am/. cannabis/Cc.s/en plants/Cc.p/en)))) (calls/Pd.oo.|f--3s-/en (+/B.am/. marijuana/Cc.s/en laws/Cc.p/en) obsolete/Ca/en))</t>
  </si>
  <si>
    <t>Explosion hits military airport in Damascus</t>
  </si>
  <si>
    <t>(hits/Pd.so.|f--3s-/en explosion/Cc.s/en (in/Br.ma/en (military/Ma/en airport/Cc.s/en) damascus/Cp.s/en))</t>
  </si>
  <si>
    <t>Snowden Reveals How GCHQ in Britain Soaks Up Mass Internet Data</t>
  </si>
  <si>
    <t>(reveals/Pd.so.|f--3s-/en snowden/Cp.s/en (+/B.am/. (how/M/en (in/Br.ma/en gchq/Cp.s/en britain/Cp.s/en)) (up/Br.ma/en soaks/Cm/en (+/B.am/. mass/Cp.s/en (+/B.am/. internet/Cp.s/en data/Cp.s/en)))))</t>
  </si>
  <si>
    <t>China proposes SCO development bank</t>
  </si>
  <si>
    <t>(proposes/Pd.so.|f--3s-/en china/Cp.s/en (+/B.am/. sco/Cp.s/en (+/B.am/. development/Cc.s/en bank/Cc.s/en)))</t>
  </si>
  <si>
    <t>India releases detained Iranian ship</t>
  </si>
  <si>
    <t>(detained/Pd.so.&lt;f-----/en (+/B.am/. india/Cp.s/en releases/Cc.p/en) (iranian/Ma/en ship/Cc.s/en))</t>
  </si>
  <si>
    <t>Lord Peter Hain urges PM Theresa May to intervene in Northern Ireland talks process</t>
  </si>
  <si>
    <t>(urges/Pd.soor.|f--3s-/en (+/B.am/. lord/Cp.s/en (+/B.am/. peter/Cp.s/en hain/Cp.s/en)) pm/Cp.s/en (+/B.am/. theresa/Cp.s/en may/Cp.s/en) ((to/Mi/en intervene/P.x.-i-----/en) (in/T/en (+/B.am/. (+/B.am/. northern/Cp.s/en ireland/Cp.s/en) (+/B.am/. talks/Cc.p/en process/Cc.s/en)))))</t>
  </si>
  <si>
    <t>blame</t>
  </si>
  <si>
    <t>Russia blames 'negligent' Moscow airport bosses for Total CEO Christophe de Margerie's death in plane crash</t>
  </si>
  <si>
    <t>(blames/Pd.so.|f--3s-/en russia/Cp.s/en (for/Br.ma/en (negligent/Ma/en (+/B.am/. moscow/Cp.s/en (+/B.am/. airport/Cc.s/en bosses/Cc.p/en))) (in/Br.ma/en ('s/Bp.am/en (+/B.am/. (total/Ma/en ceo/Cp.s/en) (+/B.am/. christophe/Cp.s/en (+/B.am/. de/Cp.s/en margerie/Cp.s/en))) death/Cc.s/en) (+/B.am/. plane/Cc.s/en crash/Cc.s/en))))</t>
  </si>
  <si>
    <t>US Accuses Iran Of Conducting Rocket Test Near Warships</t>
  </si>
  <si>
    <t>(accuses/Pd.soxo.|f--3s-/en us/Cp.s/en iran/Cp.s/en (of/T/en (conducting/P.o.|pg----/en (+/B.am/. rocket/Cp.s/en test/Cp.s/en))) (+/B.am/. near/C/en warships/Cp.p/en))</t>
  </si>
  <si>
    <t>Militant mortar attacks kill at least 30, wound 140 civilians in Syria’s Aleppo</t>
  </si>
  <si>
    <t>(kill/Pd.so?.|f-----/en (militant/Ma/en (+/B.am/. mortar/Cc.s/en attacks/Cc.p/en)) ((at/M/en least/M^/en) 30/C#/en) (wound/Pd.ox.&lt;f-----/en (140/M#/en civilians/Cc.p/en) (in/T/en (’s/Bp.am/en syria/Cp.s/en aleppo/Cp.s/en))))</t>
  </si>
  <si>
    <t>The governor of Bavaria has urged the German government to address public concerns about security and immigration after a spate of terror attacks</t>
  </si>
  <si>
    <t>((has/Mv.|f--3s-/en urged/Pd.sor.&lt;pf----/en) (of/Br.ma/en (the/Md/en governor/Cc.s/en) bavaria/Cp.s/en) (the/Md/en (german/Ma/en government/Cc.s/en)) ((to/Mi/en address/P.ox.-i-----/en) (about/Br.ma/en (public/Ma/en concerns/Cc.p/en) (and/J/en security/Cc.s/en immigration/Cc.s/en)) (after/T/en (of/Br.ma/en (a/Md/en spate/Cc.s/en) (+/B.am/. terror/Cc.s/en attacks/Cc.p/en)))))</t>
  </si>
  <si>
    <t>Tougher Canadian visa policy hits foreign workers, protects Canadian jobs</t>
  </si>
  <si>
    <t>(hits/Pd.so?.|f--3s-/en (tougher/Mc/en (canadian/Ma/en (+/B.am/. visa/Cc.s/en policy/Cc.s/en))) (foreign/Ma/en workers/Cc.p/en) (protects/Pd.o.|f--3s-/en (canadian/Ma/en jobs/Cc.p/en)))</t>
  </si>
  <si>
    <t>Attorney General Loretta E. Lynch Announces the Launch of the Strong Cities Network at the United Nations General Assembly</t>
  </si>
  <si>
    <t>(announces/Pd.so.|f--3s-/en (+/B.am/. (+/B.am/. attorney/Cp.s/en general/Cp.s/en) (+/B.am/. loretta/Cp.s/en (+/B.am/. e%2e/Cp.s/en lynch/Cp.s/en))) (at/Br.ma/en (of/Br.ma/en (the/Md/en launch/Cp.s/en) (the/Md/en (+/B.am/. (+/B.am/. strong/Cp.s/en cities/Cp.p/en) network/Cp.s/en))) (the/Md/en (+/B.am/. (+/B.am/. united/Cp.s/en nations/Cp.s/en) (+/B.am/. general/Cp.s/en assembly/Cp.s/en)))))</t>
  </si>
  <si>
    <t>US launched a propaganda program in Syria</t>
  </si>
  <si>
    <t>(launched/Pd.so.&lt;f-----/en us/Cp.s/en (in/Br.ma/en (a/Md/en (+/B.am/. propaganda/Cc.s/en program/Cc.s/en)) syria/Cp.s/en))</t>
  </si>
  <si>
    <t>Businesses urge action on EU workers and infrastructure</t>
  </si>
  <si>
    <t>(urge/Pd.so.|f-----/en businesses/Cc.p/en (on/Br.ma/en action/Cc.s/en (and/J/en (+/B.am/. eu/Cp.s/en workers/Cc.p/en) infrastructure/Cc.s/en)))</t>
  </si>
  <si>
    <t>Israeli Strike in Quneitra, Syria kills 4 Hezbollah Fighters</t>
  </si>
  <si>
    <t>(kills/Pd.sso.|f--3s-/en (in/Br.ma/en (israeli/Ma/en strike/Cp.s/en) quneitra/Cp.s/en) syria/Cp.s/en (4/M#/en (+/B.am/. hezbollah/Cp.s/en fighters/Cp.p/en)))</t>
  </si>
  <si>
    <t>UN's proposed nuclear weapons ban 'unrealistic,' US general tells Congress</t>
  </si>
  <si>
    <t>(tells/Pd.sso.|f--3s-/en ('s/Bp.am/en un/Cp.s/en (unrealistic/Ma/en (proposed/Mv.&lt;pf----/en (+/B.am/. (nuclear/Ma/en weapons/Cc.p/en) ban/Cc.s/en)))) (+/B.am/. us/Cp.s/en general/Cc.s/en) congress/Cp.s/en)</t>
  </si>
  <si>
    <t>UN reveals more sex abuse allegations in Central African Republic</t>
  </si>
  <si>
    <t>(reveals/Pd.so.|f--3s-/en un/Cp.s/en (in/Br.ma/en (more/Mc/en (+/B.am/. (+/B.am/. sex/Cc.s/en abuse/Cc.s/en) allegations/Cc.p/en)) (+/B.am/. central/Cp.s/en (+/B.am/. african/Cp.s/en republic/Cp.s/en))))</t>
  </si>
  <si>
    <t>Amnesty urges leaders to stand up to Turkish rights violations</t>
  </si>
  <si>
    <t>(urges/Pd.sor.|f--3s-/en amnesty/Cp.s/en leaders/Cc.p/en ((up/Ml/en (to/Mi/en stand/P.x.-i-----/en)) (to/T/en (turkish/Ma/en (+/B.am/. rights/Cc.p/en violations/Cc.p/en)))))</t>
  </si>
  <si>
    <t>rebuff</t>
  </si>
  <si>
    <t>Qatar Airways rebuffs claim that staff need permission to marry</t>
  </si>
  <si>
    <t>(rebuffs/Pd.so.|f--3s-/en (+/B.am/. qatar/Cp.s/en airways/Cp.p/en) (that/Jr.ma/en claim/C/en (need/P.so.|f-----/en staff/Cc.s/en ((to/Mi/en marry/P.o.-i-----/en) permission/Cc.s/en))))</t>
  </si>
  <si>
    <t>Samsung ends Note 7 production, may kill off entire line</t>
  </si>
  <si>
    <t>(ends/Pd.sor.|f--3s-/en samsung/Cp.s/en note/C/en ((off/Ml/en (may/Mm/en kill/P.so.-i-----/en)) (7/M#/en production/Cc.s/en) (entire/Ma/en line/Cc.s/en)))</t>
  </si>
  <si>
    <t>Israeli Air Force attacks Assad army targets</t>
  </si>
  <si>
    <t>(attacks/Pd.so.|f--3s-/en (+/B.am/. israeli/Cp.s/en (+/B.am/. air/Cp.s/en force/Cp.s/en)) (+/B.am/. (+/B.am/. assad/Cp.s/en army/Cc.s/en) targets/Cc.p/en))</t>
  </si>
  <si>
    <t>Australian Opposition Leader defends candidate for describing Islamic attire as a sign of oppression</t>
  </si>
  <si>
    <t>(defends/Pd.sox.|f--3s-/en (+/B.am/. australian/Ca/en (+/B.am/. opposition/Cp.s/en leader/Cp.s/en)) candidate/Cc.s/en (for/T/en (describing/P.ox.|pg----/en (islamic/Ma/en attire/Cc.s/en) (as/T/en (of/Br.ma/en (a/Md/en sign/Cc.s/en) oppression/Cc.s/en)))))</t>
  </si>
  <si>
    <t>Venezuelan military seizes major retail chain</t>
  </si>
  <si>
    <t>(seizes/Pd.so.|f--3s-/en (venezuelan/Ma/en military/Cc.s/en) (major/Ma/en (retail/Ma/en chain/Cc.s/en)))</t>
  </si>
  <si>
    <t>Poland wants punishments for use of 'Polish death camp' phrase</t>
  </si>
  <si>
    <t>(wants/Pd.soo.|f--3s-/en poland/Cp.s/en (for/Br.ma/en punishments/Cc.p/en (of/Br.ma/en use/Cc.s/en (polish/Ma/en (+/B.am/. death/Cc.s/en camp/Cc.s/en)))) phrase/Cc.s/en)</t>
  </si>
  <si>
    <t>I Recant Says Author of Infamous Seventies Newsweek Global Cooling Article</t>
  </si>
  <si>
    <t>(says/Pd.so.|f--3s-/en (+/B.mm/. i/Ci/en recant/Cp.s/en) (of/Br.ma/en author/Cc.s/en (+/B.am/. (+/B.am/. (+/B.am/. infamous/Cp.s/en seventies/Cp.p/en) newsweek/Cp.s/en) (+/B.am/. (+/B.am/. global/Cp.s/en cooling/Cp.s/en) article/Cp.s/en))))</t>
  </si>
  <si>
    <t>Tenpenny cancels anti-vaxx tour of Oz</t>
  </si>
  <si>
    <t>(cancels/Pd.so.|f--3s-/en tenpenny/Cc.s/en (of/Br.ma/en (anti/Ma/en (-/Ma/en (vaxx/Ma/en tour/Cc.s/en))) oz/Cp.s/en))</t>
  </si>
  <si>
    <t>Israeli Forces Kill Palestinian Fisherman</t>
  </si>
  <si>
    <t>(kill/Pd.so.|f-----/en (israeli/Ma/en forces/Cp.p/en) (palestinian/Ma/en fisherman/Cp.s/en))</t>
  </si>
  <si>
    <t>Canada and Denmark keep relations warm in Arctic island dispute</t>
  </si>
  <si>
    <t>(keep/Pd.so.|f-----/en (and/J/en canada/Cp.s/en denmark/Cp.s/en) ((warm/Ma/en in/Br.ma/en) relations/Cc.p/en (+/B.am/. (+/B.am/. arctic/Cp.s/en island/Cc.s/en) dispute/Cc.s/en)))</t>
  </si>
  <si>
    <t>low</t>
  </si>
  <si>
    <t>University to lower entry grades for poor</t>
  </si>
  <si>
    <t>((to/Mi/en lower/Pd.so.-i-----/en) university/Cc.s/en (for/Br.ma/en (+/B.am/. entry/Cc.s/en grades/Cc.p/en) poor/Ca/en))</t>
  </si>
  <si>
    <t>Japanese journalists accuse gov't of pressuring media</t>
  </si>
  <si>
    <t>(accuse/Pd.sox.|f-----/en (japanese/Ma/en journalists/Cc.p/en) gov't/Cp.s/en (of/T/en (pressuring/P.o.|pg----/en media/Cc.p/en)))</t>
  </si>
  <si>
    <t>Canadians Seek Dick Cheney's Arrest For War Crimes During Upcoming Visit</t>
  </si>
  <si>
    <t>(seek/Pd.so.|f-----/en canadians/Cp.p/en (during/Br.ma/en (for/Br.ma/en ('s/Bp.am/en (+/B.am/. dick/Cp.s/en cheney/Cp.s/en) arrest/Cc.s/en) (+/B.am/. war/Cp.s/en crimes/Cp.p/en)) (+/B.am/. upcoming/Cp.s/en visit/Cp.s/en)))</t>
  </si>
  <si>
    <t>North Korean ship was carrying sugar donation, Cuba told Panama</t>
  </si>
  <si>
    <t>(told/Pd.rso.&lt;f-----/en ((was/Mv.&lt;f-----/en carrying/P.so.|pg----/en) ((north/Ma/en korean/Ma/en) ship/Cc.s/en) (+/B.am/. sugar/Cc.s/en donation/Cc.s/en)) cuba/Cp.s/en panama/Cp.s/en)</t>
  </si>
  <si>
    <t>pile</t>
  </si>
  <si>
    <t>Grains piled on runways, parking lots, fields amid global glut</t>
  </si>
  <si>
    <t>((on/Ml/en piled/Pd.so.&lt;f-----/en) grains/Cc.p/en (+/B.mm/. runways/Cc.p/en (,/J/en (+/B.am/. parking/Cc.s/en lots/Cc.p/en) (amid/Br.ma/en fields/Cc.p/en (global/Ma/en glut/Cc.s/en)))))</t>
  </si>
  <si>
    <t>Satirical company offers kids Pocket Money Loans</t>
  </si>
  <si>
    <t>(offers/Pd.sio.|f--3s-/en (satirical/Ma/en company/Cc.s/en) kids/Cc.p/en (+/B.am/. (+/B.am/. pocket/Cp.s/en money/Cp.s/en) loans/Cp.p/en))</t>
  </si>
  <si>
    <t>Ukip's Godfrey Bloom defends ' bongo bongo land' comments</t>
  </si>
  <si>
    <t>(defends/Pd.soo.|f--3s-/en ('s/Bp.am/en ukip/Cp.s/en (+/B.am/. godfrey/Cp.s/en bloom/Cp.s/en)) '/C/en ('/Bp.am/en (+/B.am/. bongo/Cp.s/en (+/B.am/. bongo/Cp.s/en land/Cp.s/en)) comments/Cc.p/en))</t>
  </si>
  <si>
    <t>India has highest number of suicides in the world</t>
  </si>
  <si>
    <t>(has/Pd.so.|f--3s-/en india/Cp.s/en (of/Br.ma/en (highest/Ms/en number/Cc.s/en) (in/Br.ma/en suicides/Cc.p/en (the/Md/en world/Cc.s/en))))</t>
  </si>
  <si>
    <t>Tel Aviv Attackers Ordered Dessert, Then Opened Fire: Dressed in suits, the two men could have been any cafe-goers at Max Brenner—until they started shooting ‘point-blank</t>
  </si>
  <si>
    <t>(ordered/Pd.soor.&lt;f-----/en (+/B.am/. (+/B.am/. tel/Cp.s/en aviv/Cp.s/en) attackers/Cp.p/en) dessert/Cp.s/en ((then/M/en opened/Mv.&lt;pf----/en) fire/Cc.s/en) ((could/Mm/en (have/Mv.-i-----/en been/P.xscx.&lt;pf----/en)) (dressed/Pd.x.&lt;pf----/en (in/T/en suits/Cc.p/en)) (the/Md/en (two/M#/en men/Cc.p/en)) (at/Br.ma/en (any/Md/en (+/B.am/. cafe/Cc.s/en goers/Cc.p/en)) (+/B.am/. max/Cp.s/en brenner/Cp.s/en)) (until/T/en (started/Pd.sr.&lt;f-----/en they/Ci/en (shooting/P.o.|pg----/en (+/B.am/. point/Cc.s/en blank/Ca/en))))))</t>
  </si>
  <si>
    <t>Chaos and fear overtake Liberia’s Ebola response</t>
  </si>
  <si>
    <t>(overtake/Pd.so.|f-----/en (and/J/en chaos/Cc.s/en fear/Cc.s/en) (’s/Bp.am/en liberia/Cp.s/en (+/B.am/. ebola/Cp.s/en response/Cc.s/en)))</t>
  </si>
  <si>
    <t>track</t>
  </si>
  <si>
    <t>It's happening again: CSE tracks millions of downloads daily</t>
  </si>
  <si>
    <t>((daily/M/en tracks/Pd.rso.|f--3s-/en) ((again/M/en ('s/Mv.|f--3s-/en happening/P.s.|pg----/en)) it/Ci/en) cse/Cp.s/en (of/Br.ma/en millions/Cc.p/en downloads/Cc.p/en))</t>
  </si>
  <si>
    <t>escalate</t>
  </si>
  <si>
    <t>Separatists have escalated a growing conflict in the heart of the German capital</t>
  </si>
  <si>
    <t>((have/Mv.|f-----/en escalated/Pd.so.&lt;pf----/en) separatists/Cc.p/en (in/Br.ma/en (a/Md/en (growing/Mv.|pg----/en conflict/Cc.s/en)) (of/Br.ma/en (the/Md/en heart/Cc.s/en) (the/Md/en (german/Ma/en capital/Cc.s/en)))))</t>
  </si>
  <si>
    <t>British EU exit could provoke new Scottish independence vote</t>
  </si>
  <si>
    <t>((could/Mm/en provoke/Pd.so.-i-----/en) (+/B.am/. (british/Ma/en eu/Cp.s/en) exit/Cc.s/en) (new/Ma/en (+/B.am/. (scottish/Ma/en independence/Cc.s/en) vote/Cc.s/en)))</t>
  </si>
  <si>
    <t>Rand Paul suing Obama Administration over NSA data collection</t>
  </si>
  <si>
    <t>(suing/Pd.so.|pg----/en (+/B.am/. rand/Cp.s/en paul/Cp.s/en) (over/Br.ma/en (+/B.am/. obama/Cp.s/en administration/Cp.s/en) (+/B.am/. nsa/Cp.s/en (+/B.am/. data/Cc.p/en collection/Cc.s/en))))</t>
  </si>
  <si>
    <t>penalize</t>
  </si>
  <si>
    <t>The bill penalizes violence against women committed by persons close to them through the use of the Internet</t>
  </si>
  <si>
    <t>(penalizes/Pd.so.|f--3s-/en (the/Md/en bill/Cc.s/en) (+/B.mm/. violence/Cc.s/en (against/Jr.ma/en women/Cc.p/en (committed/P.ax.&lt;pf----/en (by/T/en ((close/Ma/en to/Br.ma/en) persons/Cc.p/en them/Ci/en)) (through/T/en (of/Br.ma/en (the/Md/en use/Cc.s/en) (the/Md/en internet/Cc.s/en)))))))</t>
  </si>
  <si>
    <t>Argentina reaches settlement in U.S. debt class action: mediator</t>
  </si>
  <si>
    <t>(reaches/Pd.so.|f--3s-/en argentina/Cp.s/en (+/B.mm/. (in/Br.ma/en settlement/Cc.s/en (+/B.am/. u%2es%2e/Cp.s/en (+/B.am/. (+/B.am/. debt/Cc.s/en class/Cc.s/en) action/Cc.s/en))) mediator/Cc.s/en))</t>
  </si>
  <si>
    <t>strangle</t>
  </si>
  <si>
    <t>Escaped snake strangles two Canadian children</t>
  </si>
  <si>
    <t>(strangles/Pd.so.|f--3s-/en (escaped/Ma/en snake/Cc.s/en) (two/M#/en (canadian/Ma/en children/Cc.p/en)))</t>
  </si>
  <si>
    <t>gain</t>
  </si>
  <si>
    <t>Yemen Rebels Gain Concessions From Government After Assault on Capital</t>
  </si>
  <si>
    <t>(gain/Pd.so.|f-----/en (+/B.am/. yemen/Cp.s/en rebels/Cp.p/en) (after/Br.ma/en (from/Br.ma/en concessions/Cc.p/en government/Cc.s/en) (on/Br.ma/en assault/Cc.s/en capital/Cp.s/en)))</t>
  </si>
  <si>
    <t>Thou shalt not kill': Pope Francis urges Islamic leaders to reject violence carried out in the name of religion</t>
  </si>
  <si>
    <t>(urges/Pd.rsor.|f--3s-/en ((shalt/Mm/en (not/Mn/en kill/P.s.-i-----/en)) thou/Cc.s/en) (+/B.am/. pope/Cp.s/en francis/Cp.s/en) (islamic/Ma/en leaders/Cc.p/en) ((to/Mi/en reject/P.o?.-i-----/en) violence/Cc.s/en ((out/Ml/en carried/P.x.&lt;pf----/en) (in/T/en (of/Br.ma/en (the/Md/en name/Cc.s/en) religion/Cc.s/en)))))</t>
  </si>
  <si>
    <t>Amit Shah appointed new Bharatiya Janata Party chief</t>
  </si>
  <si>
    <t>(appointed/Pd.so.&lt;f-----/en (+/B.am/. amit/Cp.s/en shah/Cp.s/en) (new/Ma/en (+/B.am/. (+/B.am/. bharatiya/Cp.s/en (+/B.am/. janata/Cp.s/en party/Cp.s/en)) chief/Cc.s/en)))</t>
  </si>
  <si>
    <t>Christian clerics urge recognition of Palestinian state</t>
  </si>
  <si>
    <t>(urge/Pd.so.|f-----/en (christian/Ma/en clerics/Cc.p/en) (of/Br.ma/en recognition/Cc.s/en (palestinian/Ma/en state/Cc.s/en)))</t>
  </si>
  <si>
    <t>China criticized the U.S. for applying new tariffs on Chinese solar products following allegations that panels and cells were being sold too cheaply to the American consumer</t>
  </si>
  <si>
    <t>(criticized/Pd.sox.&lt;f-----/en china/Cp.s/en (the/Md/en u%2es%2e/Cp.s/en) (for/T/en (applying/P.ox.|pg----/en (on/Br.ma/en (new/Ma/en tariffs/Cc.p/en) (chinese/Ma/en (solar/Ma/en products/Cc.p/en))) (following/Tv.|pg----/en (that/Jr.ma/en allegations/Cc.p/en (((too/M/en cheaply/M/en) to/Jr.ma/en) ((were/Mv.&lt;f-----/en (being/Mv.|pg----/en sold/P.p.&lt;pf----/en)) (and/J/en panels/Cc.p/en cells/Cc.p/en)) (the/Md/en (american/Ma/en consumer/Cc.s/en))))))))</t>
  </si>
  <si>
    <t>Vladimir Putin Blows Edward Snowden PR Coup With Navalny Conviction</t>
  </si>
  <si>
    <t>(blows/Pd.soc.|f--3s-/en (+/B.am/. vladimir/Cp.s/en putin/Cp.s/en) (+/B.am/. edward/Cp.s/en snowden/Cp.s/en) (with/Br.ma/en (+/B.am/. pr/Cc.s/en coup/Cc.s/en) (+/B.am/. navalny/Cp.s/en conviction/Cc.s/en)))</t>
  </si>
  <si>
    <t>Egyptian security forces destroy Gaza tunnels</t>
  </si>
  <si>
    <t>(destroy/Pd.so.|f-----/en (egyptian/Ma/en (+/B.am/. security/Cc.s/en forces/Cc.p/en)) (+/B.am/. gaza/Cp.s/en tunnels/Cc.p/en))</t>
  </si>
  <si>
    <t>Syrian Israel strikes Syrian targets</t>
  </si>
  <si>
    <t>((syrian/Ma/en strikes/Pd.so.|f--3s-/en) israel/Cp.s/en (syrian/Ma/en targets/Cc.p/en))</t>
  </si>
  <si>
    <t>Children find 10 handcuffed, blindfolded corpses in Baghdad</t>
  </si>
  <si>
    <t>(find/Pd.soo.|f-----/en children/Cc.p/en (handcuffed/P.o.&lt;pf----/en 10/C#/en) (,/Mj/en (in/Br.ma/en (blindfolded/Mv.&lt;f-----/en corpses/Cc.p/en) baghdad/Cp.s/en)))</t>
  </si>
  <si>
    <t>U.N. Seeks a More Nimble Response to Ebola in Africa</t>
  </si>
  <si>
    <t>(seeks/P.so.-------/en u%2en%2e/Cp.s/en (in/Br.ma/en (to/Br.ma/en (a/Md/en ((more/M=/en nimble/Ma/en) response/Cc.s/en)) ebola/Cp.s/en) africa/Cp.s/en))</t>
  </si>
  <si>
    <t>Nice terror attack prompts Great War centenary security review in France</t>
  </si>
  <si>
    <t>(prompts/Pd.so.|f--3s-/en (nice/Ma/en (+/B.am/. terror/Cc.s/en attack/Cc.s/en)) (in/Br.ma/en (+/B.am/. (+/B.am/. great/Cp.s/en war/Cp.s/en) (+/B.am/. centenary/Cc.s/en (+/B.am/. security/Cc.s/en review/Cc.s/en))) france/Cp.s/en))</t>
  </si>
  <si>
    <t>Switzerland sex slave seeks asylum in Austria</t>
  </si>
  <si>
    <t>(seeks/Pd.so.|f--3s-/en (+/B.am/. switzerland/Cp.s/en (+/B.am/. sex/Cc.s/en slave/Cc.s/en)) (in/Br.ma/en asylum/Cc.s/en austria/Cp.s/en))</t>
  </si>
  <si>
    <t>Russian Navy vessels make port call in S. Korea for friendship visit</t>
  </si>
  <si>
    <t>(make/Pd.so.|f-----/en (+/B.am/. (russian/Ma/en navy/Cp.s/en) vessels/Cc.p/en) (for/Br.ma/en (in/Br.ma/en (+/B.am/. port/Cc.s/en call/Cc.s/en) (+/B.am/. s%2e/Cp.s/en korea/Cp.s/en)) (+/B.am/. friendship/Cc.s/en visit/Cc.s/en)))</t>
  </si>
  <si>
    <t>No one is getting our nukes, not even Saudis</t>
  </si>
  <si>
    <t>((is/Mv.|f--3s-/en getting/Pd.so.|pg----/en) (no/Md/en one/Cc.s/en) (+/B.mm/. ((not/Mn/en even/M/en) (our/Mp/en nukes/Cc.p/en)) saudis/Cp.p/en))</t>
  </si>
  <si>
    <t>Pianist James Rhodes can publish child abuse memoir</t>
  </si>
  <si>
    <t>((can/Mm/en publish/Pd.so.-i-----/en) (+/B.am/. pianist/Cp.s/en (+/B.am/. james/Cp.s/en rhodes/Cp.s/en)) (+/B.am/. (+/B.am/. child/Cc.s/en abuse/Cc.s/en) memoir/Cp.s/en))</t>
  </si>
  <si>
    <t>Japan accepts less than 1% of asylum applications</t>
  </si>
  <si>
    <t>(accepts/Pd.so.|f--3s-/en japan/Cp.s/en (of/Br.ma/en ((less/Mc/en (than/M/en 1/M#/en)) %25/Cc.s/en) (+/B.am/. asylum/Cc.s/en applications/Cc.p/en)))</t>
  </si>
  <si>
    <t>West-sponsored Syrian rebels condemn airstrikes against Islamic State</t>
  </si>
  <si>
    <t>(condemn/Pd.so.|f-----/en ((west/M/en sponsored/Mv.&lt;pf----/en) (syrian/Ma/en rebels/Cc.p/en)) (against/Br.ma/en airstrikes/Cc.p/en (+/B.am/. islamic/Cp.s/en state/Cp.s/en)))</t>
  </si>
  <si>
    <t>Colombian government and Farc to sign new peace deal</t>
  </si>
  <si>
    <t>((to/Mi/en sign/Pd.so.-i-----/en) (and/J/en (colombian/Ma/en government/Cc.s/en) farc/Cp.s/en) (new/Ma/en (+/B.am/. peace/Cc.s/en deal/Cc.s/en)))</t>
  </si>
  <si>
    <t>U.N. aid chief suggests more intervention in humanitarian emergencies</t>
  </si>
  <si>
    <t>(suggests/Pd.so.|f--3s-/en (+/B.am/. u%2en%2e/Cp.s/en (+/B.am/. aid/Cc.s/en chief/Cc.s/en)) (in/Br.ma/en (more/Mc/en intervention/Cc.s/en) (humanitarian/Ma/en emergencies/Cc.p/en)))</t>
  </si>
  <si>
    <t>Russia bath lotion kills 33 drinkers in Irkutsk</t>
  </si>
  <si>
    <t>(kills/Pd.so.|f--3s-/en (+/B.am/. russia/Cp.s/en (+/B.am/. bath/Cc.s/en lotion/Cc.s/en)) (in/Br.ma/en (33/M#/en drinkers/Cc.p/en) irkutsk/Cp.s/en))</t>
  </si>
  <si>
    <t>S. Koreans Demand President's Removal on New Year's Eve</t>
  </si>
  <si>
    <t>(demand/Pd.so.|f-----/en (+/B.am/. s%2e/Cp.s/en koreans/Cp.p/en) (on/Br.ma/en ('s/Bp.am/en president/Cp.s/en removal/Cp.s/en) ('s/Bp.am/en (+/B.am/. new/Cp.s/en year/Cp.s/en) eve/Cp.s/en)))</t>
  </si>
  <si>
    <t>contradict</t>
  </si>
  <si>
    <t>Video contradicts Ukraine and US version of bus attack in Ukraine</t>
  </si>
  <si>
    <t>(contradicts/Pd.so.|f--3s-/en video/Cc.s/en (of/Br.ma/en (+/B.am/. (and/J/en ukraine/Cm/en us/Cp.s/en) version/Cc.s/en) (in/Br.ma/en (+/B.am/. bus/Cc.s/en attack/Cc.s/en) ukraine/Cp.s/en)))</t>
  </si>
  <si>
    <t>Norway proposes national ban on full-face veils in educational institutions</t>
  </si>
  <si>
    <t>(proposes/Pd.so.|f--3s-/en norway/Cp.s/en (in/Br.ma/en (on/Br.ma/en (national/Ma/en ban/Cc.s/en) (+/B.am/. (full/Ma/en face/Cc.s/en) veils/Cc.p/en)) (educational/Ma/en institutions/Cc.p/en)))</t>
  </si>
  <si>
    <t>CIA chief meets Pakistan's ISI and army chiefs</t>
  </si>
  <si>
    <t>(meets/Pd.so.|f--3s-/en (+/B.am/. cia/Cp.s/en chief/Cc.s/en) (and/J/en ('s/Bp.am/en pakistan/Cp.s/en isi/Cp.s/en) (+/B.am/. army/Cc.s/en chiefs/Cc.p/en)))</t>
  </si>
  <si>
    <t>ISIS Declares Itself Pro-Slavery</t>
  </si>
  <si>
    <t>(declares/Pd.sorro.|f--3s-/en isis/Cp.s/en itself/Ci/en pro/Ca/en -/Ca/en slavery/Ca/en)</t>
  </si>
  <si>
    <t>Japan to set bitcoin rules, stop banks and brokerages from handling</t>
  </si>
  <si>
    <t>((to/Mi/en set/Pd.so?.-i-----/en) japan/Cp.s/en (+/B.am/. bitcoin/Cc.s/en rules/Cc.p/en) (handling/P.?.|pg----/en (from/T/en (stop/P!.o.-i-----/en (and/J/en banks/Cc.p/en brokerages/Cc.p/en)))))</t>
  </si>
  <si>
    <t>First Dengue Fever Vaccine Gets Green Light in Three Countries</t>
  </si>
  <si>
    <t>(gets/Pd.so.|f--3s-/en (+/B.am/. (+/B.am/. first/Cp.s/en (+/B.am/. dengue/Cp.s/en fever/Cp.s/en)) vaccine/Cc.s/en) (in/Br.ma/en (+/B.am/. green/Cp.s/en light/Cp.s/en) (+/B.am/. three/C#/en countries/Cc.p/en)))</t>
  </si>
  <si>
    <t>delay</t>
  </si>
  <si>
    <t>Senate delays Syria test vote</t>
  </si>
  <si>
    <t>(delays/Pd.so.|f--3s-/en senate/Cp.s/en (+/B.am/. syria/Cp.s/en (+/B.am/. test/Cc.s/en vote/Cc.s/en)))</t>
  </si>
  <si>
    <t>China vows massive clean-up of power plants</t>
  </si>
  <si>
    <t>(vows/Pd.so.|f--3s-/en china/Cp.s/en (of/Br.ma/en (massive/Ma/en (+/B.am/. clean/Cc.s/en up/Cc.s/en)) (+/B.am/. power/Cc.s/en plants/Cc.p/en)))</t>
  </si>
  <si>
    <t>Mexican president's family faces calls for investigation into Miami apartment partially owned by government contractor</t>
  </si>
  <si>
    <t>(faces/Pd.so.|f--3s-/en ('s/Bp.am/en (mexican/Ma/en president/Cc.s/en) family/Cc.s/en) (for/Br.ma/en calls/Cc.p/en (+/B.mm/. investigation/Cc.s/en (into/Jr.ma/en (+/B.am/. miami/Cp.s/en apartment/Cc.s/en) ((partially/M/en owned/P.a.&lt;pf----/en) (by/T/en (+/B.am/. government/Cc.s/en contractor/Cc.s/en)))))))</t>
  </si>
  <si>
    <t>Philippine President Rodrigo Duterte Declares Martial Rule in Southern Part of Country</t>
  </si>
  <si>
    <t>(declares/Pd.so.|f--3s-/en (+/B.am/. (philippine/Ma/en president/Cp.s/en) (+/B.am/. rodrigo/Cp.s/en duterte/Cp.s/en)) (in/Br.ma/en (+/B.am/. martial/Cp.s/en rule/Cp.s/en) (of/Br.ma/en (+/B.am/. southern/Cp.s/en part/Cp.s/en) country/Cp.s/en)))</t>
  </si>
  <si>
    <t>Attack on Pakistan court kills at least 11</t>
  </si>
  <si>
    <t>(kills/Pd.so.|f--3s-/en (on/Br.ma/en attack/Cc.s/en (+/B.am/. pakistan/Cp.s/en court/Cc.s/en)) ((at/M/en least/M^/en) 11/C#/en))</t>
  </si>
  <si>
    <t>drop</t>
  </si>
  <si>
    <t>Russia drops Greenpeace piracy charges</t>
  </si>
  <si>
    <t>(drops/Pd.so.|f--3s-/en russia/Cp.s/en (+/B.am/. (+/B.am/. greenpeace/Cc.s/en piracy/Cc.s/en) charges/Cc.p/en))</t>
  </si>
  <si>
    <t>France seeks end to Russia sanctions</t>
  </si>
  <si>
    <t>(seeks/Pd.so.|f--3s-/en france/Cp.s/en (to/Br.ma/en end/Cc.s/en (+/B.am/. russia/Cp.s/en sanctions/Cc.p/en)))</t>
  </si>
  <si>
    <t>Putin orders combat readiness checks for troops in Russia's far east</t>
  </si>
  <si>
    <t>(orders/Pd.so.|f--3s-/en putin/Cp.s/en (for/Br.ma/en (+/B.am/. combat/Cc.s/en (+/B.am/. readiness/Cc.s/en checks/Cc.p/en)) (in/Br.ma/en troops/Cc.p/en ('s/Bp.am/en russia/Cp.s/en (far/M/en east/Cc.s/en)))))</t>
  </si>
  <si>
    <t>US investigates coalition airstrikes said to have caused mass civilian casualties</t>
  </si>
  <si>
    <t>(investigates/Pd.so?.|f--3s-/en us/Cp.s/en (+/B.am/. coalition/Cc.s/en airstrikes/Cc.p/en) (said/Pd.r.&lt;f-----/en ((to/Mi/en (have/Mv.-i-----/en caused/P.o.&lt;pf----/en)) (mass/Ma/en (civilian/Ma/en casualties/Cc.p/en)))))</t>
  </si>
  <si>
    <t>North Korea Has 6,000-Member Cyber Army</t>
  </si>
  <si>
    <t>(has/Pd.so.|f--3s-/en (+/B.am/. north/Cp.s/en korea/Cp.s/en) (+/B.am/. (6,000/M#/en member/Cc.s/en) (+/B.am/. cyber/Cp.s/en army/Cp.s/en)))</t>
  </si>
  <si>
    <t>Australia Launches New Protest Against Japanese Whale Hunt</t>
  </si>
  <si>
    <t>(launches/Pd.so.|f--3s-/en australia/Cp.s/en (against/Br.ma/en (+/B.am/. new/Ca/en protest/Cp.s/en) (japanese/Ma/en (+/B.am/. whale/Cp.s/en hunt/Cp.s/en))))</t>
  </si>
  <si>
    <t>Spanish Police have released striking pictures of a huge weapons haul seized from an organised crime group</t>
  </si>
  <si>
    <t>((have/Mv.|f-----/en released/Pd.so.&lt;pf----/en) (spanish/Ma/en police/Cc.p/en) (striking/Ma/en (+/B.mm/. pictures/Cc.p/en (of/Jr.ma/en (a/Md/en (huge/Ma/en (+/B.am/. weapons/Cc.p/en haul/Cc.s/en))) (seized/P.x.&lt;pf----/en (from/T/en (an/Md/en (+/B.am/. (organised/Mv.&lt;pf----/en crime/Cc.s/en) group/Cc.s/en))))))))</t>
  </si>
  <si>
    <t>Pope urges young people not to waste time on Internet and smartphones</t>
  </si>
  <si>
    <t>(urges/Pd.sor.|f--3s-/en pope/Cp.s/en (young/Ma/en people/Cc.p/en) ((not/Mn/en (to/Mi/en waste/P.ox.-i-----/en)) time/Cc.s/en (on/T/en (and/J/en internet/Cc.s/en smartphones/Cc.p/en))))</t>
  </si>
  <si>
    <t>New Zealand PM Key announces shock resignation, backs Finance Minister</t>
  </si>
  <si>
    <t>(announces/Pd.so?.|f--3s-/en (+/B.am/. (+/B.am/. new/Cp.s/en zealand/Cp.s/en) (+/B.am/. pm/Cp.s/en key/Cp.s/en)) (+/B.am/. shock/Cc.s/en resignation/Cc.s/en) (backs/Pd.o.|f--3s-/en (+/B.am/. finance/Cp.s/en minister/Cp.s/en)))</t>
  </si>
  <si>
    <t>Civilians in eastern Ukraine are facing increasing hardships, with wrecked infrastructure and limited access to power and water supplies</t>
  </si>
  <si>
    <t>((are/Mv.|f-----/en facing/Pd.so.|pg----/en) (in/Br.ma/en civilians/Cc.p/en (eastern/Ma/en ukraine/Cp.s/en)) (with/Br.ma/en (increasing/Mv.|pg----/en hardships/Cc.p/en) (and/J/en (wrecked/Ma/en infrastructure/Cc.s/en) (to/Br.ma/en (limited/Ma/en access/Cc.s/en) (+/B.am/. (and/J/en power/Cm/en water/Cc.s/en) supplies/Cc.p/en)))))</t>
  </si>
  <si>
    <t>Wikileaks: US blamed Israel for holding back peace in 1975</t>
  </si>
  <si>
    <t>(blamed/Pd.?sox.&lt;f-----/en wikileaks/Cc.p/en us/Cp.s/en israel/Cp.s/en (for/Tt/en ((back/Ml/en holding/P.ox.|pg----/en) peace/Cc.s/en (in/Tt/en 1975/C#/en))))</t>
  </si>
  <si>
    <t>Pakistani couple seek asylum in Delhi</t>
  </si>
  <si>
    <t>(seek/Pd.so.|f-----/en (pakistani/Ma/en couple/Cc.s/en) (in/Br.ma/en asylum/Cc.s/en delhi/Cp.s/en))</t>
  </si>
  <si>
    <t>conduct</t>
  </si>
  <si>
    <t>U.S. conducts 'counter terrorism strike' against al Qaeda-linked target in Libya</t>
  </si>
  <si>
    <t>(conducts/Pd.so.|f--3s-/en u%2es%2e/Cp.s/en (against/Br.ma/en (+/B.am/. counter/Ca/en (+/B.am/. terrorism/Cc.s/en strike/Cc.s/en)) (in/Br.ma/en (+/B.am/. al/Cp.s/en ((qaeda/Ma/en linked/Mv.&lt;pf----/en) target/Cc.s/en)) libya/Cp.s/en)))</t>
  </si>
  <si>
    <t>trim</t>
  </si>
  <si>
    <t>German SPD trims Merkel's lead in Forsa poll</t>
  </si>
  <si>
    <t>(trims/Pd.so.|f--3s-/en (german/Ma/en spd/Cp.s/en) (in/Br.ma/en ('s/Bp.am/en merkel/Cp.s/en lead/Cc.s/en) (+/B.am/. forsa/Cp.s/en poll/Cc.s/en)))</t>
  </si>
  <si>
    <t>Spain Supports Argentina’s Claim over Malvinas Islands</t>
  </si>
  <si>
    <t>(supports/Pd.so.|f--3s-/en spain/Cp.s/en (over/Br.ma/en (’s/Bp.am/en argentina/Cp.s/en claim/Cc.s/en) (+/B.am/. malvinas/Cp.s/en islands/Cp.p/en)))</t>
  </si>
  <si>
    <t>felicitate</t>
  </si>
  <si>
    <t>Assembly of California, Sacramento (USA) has felicitated Dr. Charanjit Singh Atwal, Speaker Punjab Assembly for his contribution in promoting the democratic values</t>
  </si>
  <si>
    <t>((has/Mv.|f--3s-/en felicitated/Pd.so.&lt;pf----/en) (+/B.ma/. (of/Br.ma/en assembly/Cp.s/en (,/Mj/en california/Cp.s/en)) (+/B.am/. sacramento/Cp.s/en usa/Cp.s/en)) (,/J/en (+/B.am/. dr%2e/Cp.s/en (+/B.am/. charanjit/Cp.s/en (+/B.am/. singh/Cp.s/en atwal/Cp.s/en))) (for/Br.ma/en (+/B.am/. speaker/Cp.s/en (+/B.am/. punjab/Cp.s/en assembly/Cp.s/en)) (in/Jr.ma/en (his/Mp/en contribution/Cc.s/en) (promoting/P.o.|pg----/en (the/Md/en (democratic/Ma/en values/Cc.p/en)))))))</t>
  </si>
  <si>
    <t>Banker for Kim Jong-Un flees North Korea, seeks asylum</t>
  </si>
  <si>
    <t>(seeks/Pd.so.|f--3s-/en (for/Br.ma/en banker/Cc.s/en (+/B.am/. (+/B.am/. (+/B.am/. kim/Cp.s/en (+/B.am/. jong/Cp.s/en un/Cp.s/en)) flees/C/en) (+/B.am/. north/Cp.s/en korea/Cp.s/en))) asylum/Cc.s/en)</t>
  </si>
  <si>
    <t>Lawyers seeks house arrest for Vatican monsignor</t>
  </si>
  <si>
    <t>(seeks/Pd.so.|f--3s-/en lawyers/Cc.p/en (for/Br.ma/en (+/B.am/. house/Cc.s/en arrest/Cc.s/en) (+/B.am/. vatican/Cp.s/en monsignor/Cc.s/en)))</t>
  </si>
  <si>
    <t>Royal Navy joins fight against migrant smugglers</t>
  </si>
  <si>
    <t>(joins/Pd.so.|f--3s-/en (+/B.am/. royal/Cp.s/en navy/Cp.s/en) (against/Br.ma/en fight/Cc.s/en (migrant/Ma/en smugglers/Cc.p/en)))</t>
  </si>
  <si>
    <t>concern</t>
  </si>
  <si>
    <t>Czech Republic's New Tax Laws Seek Redistribution of Wealth, Some Concerned a Return to Communism</t>
  </si>
  <si>
    <t>(concerned/Pd.rso.&lt;f-----/en (seek/P.so.-i-----/en ('s/Bp.am/en (+/B.am/. czech/Cp.s/en republic/Cp.s/en) (+/B.am/. (+/B.am/. new/Cp.s/en tax/Cp.s/en) laws/Cc.p/en)) (of/Br.ma/en redistribution/Cc.s/en wealth/Cp.s/en)) some/Cd/en (to/Br.ma/en (a/Md/en return/Cp.s/en) communism/Cp.s/en))</t>
  </si>
  <si>
    <t>oppose</t>
  </si>
  <si>
    <t>China opposes sending North Korea to int’l court</t>
  </si>
  <si>
    <t>(opposes/Pd.sro.|f--3s-/en china/Cp.s/en (sending/P.ox.|pg----/en (+/B.am/. north/Cp.s/en korea/Cp.s/en) (to/T/en int’l/Cd/en)) court/Cc.s/en)</t>
  </si>
  <si>
    <t>Iran accuses US navy of firing warning shots at its vessels</t>
  </si>
  <si>
    <t>(accuses/Pd.sox.|f--3s-/en iran/Cp.s/en (+/B.am/. us/Cp.s/en navy/Cc.s/en) (of/T/en (firing/P.ox.|pg----/en (+/B.am/. warning/Cc.s/en shots/Cc.p/en) (at/T/en (its/Mp/en vessels/Cc.p/en)))))</t>
  </si>
  <si>
    <t>ISIS Seized Hundreds of Millions Worth Humvees</t>
  </si>
  <si>
    <t>(seized/Pd.so.&lt;f-----/en isis/Cp.s/en (of/Br.ma/en hundreds/Cc.p/en (of/Br.ma/en (+/B.am/. millions/Cc.p/en worth/Cp.s/en) humvees/Cp.p/en)))</t>
  </si>
  <si>
    <t>Power plant fire causes massive blackout in Puerto Rico</t>
  </si>
  <si>
    <t>(causes/Pd.so.|f--3s-/en (+/B.am/. (+/B.am/. power/Cc.s/en plant/Cc.s/en) fire/Cc.s/en) (in/Br.ma/en (massive/Ma/en blackout/Cc.s/en) (+/B.am/. puerto/Cp.s/en rico/Cp.s/en)))</t>
  </si>
  <si>
    <t>Paris mayor plans official camp for homeless refugees</t>
  </si>
  <si>
    <t>(plans/Pd.so.|f--3s-/en (+/B.am/. paris/Cp.s/en mayor/Cc.s/en) (for/Br.ma/en (official/Ma/en camp/Cc.s/en) (homeless/Ma/en refugees/Cc.p/en)))</t>
  </si>
  <si>
    <t>Sister says don't make missing Flight 370 pilot the fall guy</t>
  </si>
  <si>
    <t>(says/Pd.sro.|f--3s-/en sister/Cc.s/en ((do/Mv.|f-----/en (n't/Mn/en make/P.o.-i-----/en)) (missing/Ma/en (+/B.am/. flight/Cm/en (370/M#/en pilot/Cc.s/en)))) (the/Md/en (+/B.am/. fall/Cc.s/en guy/Cc.s/en)))</t>
  </si>
  <si>
    <t>Bitcoin Baron Keeps a Secretive Open Source OS Alive</t>
  </si>
  <si>
    <t>(keeps/Pd.so.|f--3s-/en (+/B.am/. bitcoin/Cp.s/en baron/Cp.s/en) (a/Md/en (+/B.am/. (+/B.am/. secretive/Cp.s/en (+/B.am/. open/Cp.s/en source/Cp.s/en)) (+/B.am/. os/Cc.s/en alive/Cp.s/en))))</t>
  </si>
  <si>
    <t>Venezuela Commerce Chamber slams gov't economic inaction</t>
  </si>
  <si>
    <t>(slams/Pd.so.|f--3s-/en (+/B.am/. venezuela/Cp.s/en (+/B.am/. commerce/Cp.s/en chamber/Cp.s/en)) (+/B.am/. gov't/Cm/en (economic/Ma/en inaction/Cc.s/en)))</t>
  </si>
  <si>
    <t>Kashmir to impose curfew, use drones for vigil ahead of Eid</t>
  </si>
  <si>
    <t>((to/Mi/en impose/Pd.so?.-i-----/en) kashmir/Cp.s/en curfew/Cc.s/en ((ahead/M/en of/Jr.ma/en) (use/P!.ox.-i-----/en drones/Cc.p/en (for/T/en vigil/Cc.s/en)) eid/Cp.s/en))</t>
  </si>
  <si>
    <t>Tibetan Monks Describe a Web of Unseen Controls</t>
  </si>
  <si>
    <t>(describe/Pd.so.|f-----/en (tibetan/Ma/en monks/Cc.p/en) (of/Br.ma/en (a/Md/en web/Cc.s/en) (unseen/Ma/en controls/Cc.p/en)))</t>
  </si>
  <si>
    <t>Iraqi forces capture west Mosul's main buildings in pre-dawn raid</t>
  </si>
  <si>
    <t>(capture/Pd.so.|f-----/en (iraqi/Ma/en forces/Cc.p/en) (in/Br.ma/en ('s/Bp.am/en (+/B.am/. west/Cp.s/en mosul/Cp.s/en) (main/Ma/en buildings/Cc.p/en)) (pre/Ma/en (-/Ma/en (dawn/Ma/en raid/Cc.s/en)))))</t>
  </si>
  <si>
    <t>Tunnels under ancient Mosul mosque show Islamic State's focus on loot</t>
  </si>
  <si>
    <t>(show/Pd.so.|f-----/en (under/Br.ma/en tunnels/Cc.p/en (ancient/Ma/en (+/B.am/. mosul/Cp.s/en mosque/Cc.s/en))) (on/Br.ma/en ('s/Bp.am/en (+/B.am/. islamic/Cp.s/en state/Cp.s/en) focus/Cc.s/en) loot/Cc.s/en))</t>
  </si>
  <si>
    <t>Mexican Military opens fire and attacks unarmed Indigenous Communities of Ostula</t>
  </si>
  <si>
    <t>(opens/Pd.soo.|f--3s-/en (+/B.am/. mexican/Cp.s/en military/Cp.s/en) (and/J/en fire/Cc.s/en attacks/Cc.p/en) (of/Br.ma/en (unarmed/Mv.&lt;pf----/en (+/B.am/. indigenous/Cp.s/en communities/Cp.p/en)) ostula/Cp.s/en))</t>
  </si>
  <si>
    <t>baffle</t>
  </si>
  <si>
    <t>Deadly new bird flu baffles China</t>
  </si>
  <si>
    <t>(baffles/Pd.so.|f--3s-/en (deadly/Ma/en (new/Ma/en (+/B.am/. bird/Cc.s/en flu/Cc.s/en))) china/Cp.s/en)</t>
  </si>
  <si>
    <t>ISIS destroys part of Roman theater in Palmyra,</t>
  </si>
  <si>
    <t>(destroys/Pd.so.|f--3s-/en isis/Cp.s/en (of/Br.ma/en part/Cc.s/en (in/Br.ma/en (roman/Ma/en theater/Cc.s/en) (,/Mj/en palmyra/Cp.s/en))))</t>
  </si>
  <si>
    <t>Afghanistan intelligence accuses Pakistan military of having hand in Kabul attacks</t>
  </si>
  <si>
    <t>(accuses/Pd.soxo.|f--3s-/en (+/B.am/. afghanistan/Cp.s/en intelligence/Cc.s/en) (+/B.am/. pakistan/Cp.s/en military/Cc.s/en) (of/T/en (having/P.ox.|pg----/en hand/Cc.s/en (in/T/en kabul/Cp.s/en))) attacks/Cc.p/en)</t>
  </si>
  <si>
    <t>unearth</t>
  </si>
  <si>
    <t>Archaeologists unearth 3,000-year-old Egypt tombs</t>
  </si>
  <si>
    <t>(unearth/Pd.so.|f-----/en archaeologists/Cc.p/en (((3,000/M#/en year/M/en) old/Ma/en) (+/B.am/. egypt/Cp.s/en tombs/Cc.p/en)))</t>
  </si>
  <si>
    <t>Nanjing Massacre-denying Japanese hotel boss sparks Tokyo protest</t>
  </si>
  <si>
    <t>(sparks/Pd.so.|f--3s-/en (+/B.am/. nanjing/Cp.s/en ((massacre/Ma/en denying/Mv.|pg----/en) (japanese/Ma/en (+/B.am/. hotel/Cc.s/en boss/Cc.s/en)))) (+/B.am/. tokyo/Cp.s/en protest/Cc.s/en))</t>
  </si>
  <si>
    <t>Exit polls give 'Indignados' possible lead in Madrid, Barcelona</t>
  </si>
  <si>
    <t>(give/Pd.soo.|f-----/en (+/B.am/. exit/Cc.s/en polls/Cc.p/en) (in/Br.ma/en ('/Bp.am/en indignados/Cc.p/en (possible/Ma/en lead/Cc.s/en)) (,/Mj/en madrid/Cp.s/en)) barcelona/Cp.s/en)</t>
  </si>
  <si>
    <t>initiate</t>
  </si>
  <si>
    <t>21 Asian countries initiate new China-backed bank</t>
  </si>
  <si>
    <t>(initiate/Pd.so.|f-----/en (21/M#/en (asian/Ma/en countries/Cc.p/en)) (new/Ma/en ((china/Ma/en backed/Mv.&lt;pf----/en) bank/Cc.s/en)))</t>
  </si>
  <si>
    <t>Israel calls Iran nuclear deal a historic mistake</t>
  </si>
  <si>
    <t>(calls/Pd.soo.|f--3s-/en israel/Cp.s/en (+/B.am/. iran/Cm/en (nuclear/Ma/en deal/Cc.s/en)) (a/Md/en (historic/Ma/en mistake/Cc.s/en)))</t>
  </si>
  <si>
    <t>Swedes Don Hijab to Support Muslims</t>
  </si>
  <si>
    <t>((to/Mi/en support/Pd.so.-i-----/en) (+/B.am/. swedes/Cc.p/en (+/B.am/. don/Cp.s/en hijab/Cp.s/en)) muslims/Cp.p/en)</t>
  </si>
  <si>
    <t>New credit card phishing scam hits Canada</t>
  </si>
  <si>
    <t>(hits/Pd.so.|f--3s-/en (+/B.am/. (new/Ma/en (+/B.am/. credit/Cc.s/en card/Cc.s/en)) (phishing/Mv.|pg----/en scam/Cc.s/en)) canada/Cp.s/en)</t>
  </si>
  <si>
    <t>Majority of Finns reject NATO membership</t>
  </si>
  <si>
    <t>(reject/Pd.so.|f-----/en (of/Br.ma/en majority/Cc.s/en finns/Cp.p/en) (+/B.am/. nato/Cp.s/en membership/Cc.s/en))</t>
  </si>
  <si>
    <t>Senegal confirms its 1st case of Ebola</t>
  </si>
  <si>
    <t>(confirms/Pd.so.|f--3s-/en senegal/Cp.s/en (of/Br.ma/en (its/Mp/en (1st/Ma/en case/Cc.s/en)) ebola/Cp.s/en))</t>
  </si>
  <si>
    <t>Uganda president to sign anti-gay bill</t>
  </si>
  <si>
    <t>((to/Mi/en sign/Pd.so.-i-----/en) (+/B.am/. uganda/Cp.s/en president/Cc.s/en) (anti/Ma/en (-/Ma/en (gay/Ma/en bill/Cc.s/en))))</t>
  </si>
  <si>
    <t>Indian State Bans The Slaughter, Sale And Consumption Of Beef</t>
  </si>
  <si>
    <t>(bans/Pd.so.|f--3s-/en (indian/Ma/en state/Cp.s/en) (the/Md/en (+/B.mm/. slaughter/Cp.s/en (and/J/en sale/Cc.s/en (of/Br.ma/en consumption/Cc.s/en beef/Cc.s/en)))))</t>
  </si>
  <si>
    <t>cast</t>
  </si>
  <si>
    <t>UK Party Leaders cast their votes</t>
  </si>
  <si>
    <t>(cast/Pd.so.&lt;f-----/en (+/B.am/. (+/B.am/. uk/Cp.s/en party/Cp.s/en) leaders/Cp.p/en) (their/Mp/en votes/Cc.p/en))</t>
  </si>
  <si>
    <t>row</t>
  </si>
  <si>
    <t>New World Record: Two 21yo Successfully Row the Atlantic</t>
  </si>
  <si>
    <t>((successfully/M/en row/Pd.so.-i-----/en) (+/B.mm/. (+/B.am/. new/Cp.s/en (+/B.am/. world/Cp.s/en record/Cp.s/en)) (two/M#/en 21yo/Ca/en)) (the/Md/en atlantic/Cp.s/en))</t>
  </si>
  <si>
    <t>Deposed Ukrainian Leader Calls Crimea Annexation a Tragedy</t>
  </si>
  <si>
    <t>(calls/Pd.soo.|f--3s-/en (deposed/Mv.&lt;pf----/en (+/B.am/. ukrainian/Cp.s/en leader/Cp.s/en)) (+/B.am/. crimea/Cp.s/en annexation/Cp.s/en) (a/Md/en tragedy/Cc.s/en))</t>
  </si>
  <si>
    <t>US to sign record $38bn military aid deal with Israel</t>
  </si>
  <si>
    <t>((to/Mi/en sign/Pd.s?o.-i-----/en) us/Cp.s/en record/Cc.s/en (with/Br.ma/en (+/B.am/. (+/B.aa/. $/Cm/en 38bn/Cm/en) (+/B.am/. (military/Ma/en aid/Cc.s/en) deal/Cc.s/en)) israel/Cp.s/en))</t>
  </si>
  <si>
    <t>promise</t>
  </si>
  <si>
    <t>Cameron Promises Britons a Referendum on E.U. Membership</t>
  </si>
  <si>
    <t>(promises/Pd.sio.|f--3s-/en cameron/Cp.s/en britons/Cp.p/en (on/Br.ma/en (a/Md/en referendum/Cp.s/en) (+/B.am/. e%2eu%2e/Cp.s/en membership/Cp.s/en)))</t>
  </si>
  <si>
    <t>Thai government rules out death penalty for rapists despite mounting pressure: The suspected rape and murder of a 27-year-old teacher has prompted widespread calls for harsher penalties</t>
  </si>
  <si>
    <t>((has/Mv.|f--3s-/en prompted/Pd.rso.&lt;pf----/en) ((out/Ml/en rules/P.soxx.|f--3s-/en) (thai/Ma/en government/Cc.s/en) (+/B.am/. death/Cc.s/en penalty/Cc.s/en) (for/T/en rapists/Cc.p/en) (despite/T/en (mounting/Mv.|pg----/en pressure/Cc.s/en))) (of/Br.ma/en (and/J/en (the/Md/en (suspected/Mv.&lt;pf----/en rape/Cc.s/en)) murder/Cc.s/en) (a/Md/en (((27/M#/en year/M/en) old/Ma/en) teacher/Cc.s/en))) (for/Br.ma/en (widespread/Ma/en calls/Cc.p/en) (harsher/Mc/en penalties/Cc.p/en)))</t>
  </si>
  <si>
    <t>It’s hard to see Netanyahu making difficult compromises, Obama tells NY Times</t>
  </si>
  <si>
    <t>(tells/Pd.rso.|f--3s-/en (’s/P.scr.|f--3s-/en it/Ci/en hard/Ca/en ((to/Mi/en see/P.r.-i-----/en) (making/P.so.|pg----/en netanyahu/Cp.s/en (difficult/Ma/en compromises/Cc.p/en)))) obama/Cp.s/en (+/B.am/. ny/Cp.s/en times/Cp.s/en))</t>
  </si>
  <si>
    <t>freeze</t>
  </si>
  <si>
    <t>PayPal freezes Canadian media company's account over story about Syrian family</t>
  </si>
  <si>
    <t>(freezes/Pd.so.|f--3s-/en paypal/Cp.s/en (over/Br.ma/en ('s/Bp.am/en (canadian/Ma/en (+/B.am/. media/Cc.p/en company/Cc.s/en)) account/Cc.s/en) (about/Br.ma/en story/Cc.s/en (syrian/Ma/en family/Cc.s/en))))</t>
  </si>
  <si>
    <t>pardon</t>
  </si>
  <si>
    <t>Putin pardons Russian tax exiles</t>
  </si>
  <si>
    <t>(pardons/Pd.so.|f--3s-/en putin/Cp.s/en (russian/Ma/en (+/B.am/. tax/Cc.s/en exiles/Cc.p/en)))</t>
  </si>
  <si>
    <t>Another migrant boat capsized, some 80 feared dead</t>
  </si>
  <si>
    <t>(feared/Pd.rso.&lt;f-----/en (capsized/P.s.&lt;f-----/en (another/Md/en (migrant/Ma/en boat/Cc.s/en))) (some/Md/en 80/C#/en) dead/Ca/en)</t>
  </si>
  <si>
    <t>Saudi Arabia Bans National Geographic Issue</t>
  </si>
  <si>
    <t>(bans/Pd.so.|f--3s-/en (+/B.am/. saudi/Cp.s/en arabia/Cp.s/en) (+/B.am/. national/Cp.s/en (+/B.am/. geographic/Cp.s/en issue/Cp.s/en)))</t>
  </si>
  <si>
    <t>F-22 Raptor Carried US Flag on Maiden Combat Mission Into Syria</t>
  </si>
  <si>
    <t>(carried/Pd.so.&lt;f-----/en (f-22/Ma/en raptor/Cp.s/en) (on/Br.ma/en (+/B.am/. us/Cp.s/en flag/Cp.s/en) (into/Br.ma/en (+/B.am/. maiden/Cp.s/en (+/B.am/. combat/Cp.s/en mission/Cp.s/en)) syria/Cp.s/en)))</t>
  </si>
  <si>
    <t>prevent</t>
  </si>
  <si>
    <t>UK prevents EU council’s adoption of Paris conference statement: France’s resolution would have adopted the Paris peace summit’s conclusions, and stated EU ’s willingness to award Israel and the Palestinians with economic incentives if they reach a peace treaty</t>
  </si>
  <si>
    <t>(prevents/Pd.sor.|f--3s-/en uk/Cp.s/en (of/Br.ma/en (’s/Bp.am/en (+/B.am/. eu/Cp.s/en council/Cc.s/en) adoption/Cc.s/en) (+/B.am/. paris/Cp.s/en (+/B.am/. conference/Cc.s/en statement/Cc.s/en))) (and/J/en ((would/Mm/en (have/Mv.-i-----/en adopted/P.so.&lt;pf----/en)) (’s/Bp.am/en france/Cp.s/en resolution/Cc.s/en) (’s/Bp.am/en (the/Md/en (+/B.am/. paris/Cp.s/en (+/B.am/. peace/Cc.s/en summit/Cc.s/en))) conclusions/Cc.p/en)) (stated/Pd.o?.&lt;f-----/en (’s/Bp.am/en eu/Cp.s/en willingness/Cc.s/en) ((to/Mi/en award/P.oxx.-i-----/en) (and/J/en israel/Cp.s/en (the/Md/en palestinians/Cp.p/en)) (with/T/en (economic/Ma/en incentives/Cc.p/en)) (if/T/en (reach/Pd.so.|f-----/en they/Ci/en (a/Md/en (+/B.am/. peace/Cc.s/en treaty/Cc.s/en))))))))</t>
  </si>
  <si>
    <t>Turkey’s intel agency to have NSA-like body</t>
  </si>
  <si>
    <t>((to/Mi/en have/Pd.so.-i-----/en) (’s/Bp.am/en turkey/Cp.s/en (+/B.am/. intel/Cp.s/en agency/Cc.s/en)) ((nsa/Ma/en like/Ma/en) body/Cc.s/en))</t>
  </si>
  <si>
    <t>VW works council says talks over strategy pact broken off without results</t>
  </si>
  <si>
    <t>(says/Pd.so.|f--3s-/en (+/B.am/. vw/Cp.s/en (+/B.am/. works/Cc.p/en council/Cp.s/en)) (+/B.mm/. talks/Cc.p/en (over/Jr.ma/en (+/B.am/. strategy/Cc.s/en pact/Cc.s/en) ((off/Ml/en broken/P.x.&lt;pf----/en) (without/T/en results/Cc.p/en)))))</t>
  </si>
  <si>
    <t>South Korea prosecutors investigate data leak at nuclear power plants</t>
  </si>
  <si>
    <t>(investigate/Pd.so.|f-----/en (+/B.am/. (+/B.am/. south/Cp.s/en korea/Cp.s/en) prosecutors/Cc.p/en) (at/Br.ma/en (+/B.am/. data/Cc.p/en leak/Cc.s/en) (+/B.am/. (nuclear/Ma/en power/Cc.s/en) plants/Cc.p/en)))</t>
  </si>
  <si>
    <t>Russia warns NATO not to offer membership to Ukraine</t>
  </si>
  <si>
    <t>(warns/Pd.sor.|f--3s-/en russia/Cp.s/en nato/Cp.s/en ((not/Mn/en (to/Mi/en offer/P.oi.-i-----/en)) membership/Cc.s/en (to/T/en ukraine/Cp.s/en)))</t>
  </si>
  <si>
    <t>Europe is burning forests for renewable” energy</t>
  </si>
  <si>
    <t>((is/Mv.|f--3s-/en burning/Pd.so.|pg----/en) europe/Cp.s/en (for/Br.ma/en forests/Cc.p/en (renewable/Ma/en energy/Cc.s/en)))</t>
  </si>
  <si>
    <t>UK announces new visa waiver scheme for UAE, Oman, Qatar and Kuwait</t>
  </si>
  <si>
    <t>(announces/Pd.so.|f--3s-/en uk/Cp.s/en (for/Br.ma/en (new/Ma/en (+/B.am/. (+/B.am/. visa/Cc.s/en waiver/Cc.s/en) scheme/Cc.s/en)) (,/J/en uae/Cp.s/en (,/J/en oman/Cp.s/en (and/J/en qatar/Cp.s/en kuwait/Cp.s/en)))))</t>
  </si>
  <si>
    <t>Pakistan's Sharif urges Taliban peace talks</t>
  </si>
  <si>
    <t>(urges/Pd.so.|f--3s-/en ('s/Bp.am/en pakistan/Cp.s/en sharif/Cp.s/en) (+/B.am/. taliban/Cp.s/en (+/B.am/. peace/Cc.s/en talks/Cc.p/en)))</t>
  </si>
  <si>
    <t>Philippine leader asks separatists, Maoists to join fight against Islamic State</t>
  </si>
  <si>
    <t>(asks/Pd.sor.|f--3s-/en (philippine/Ma/en leader/Cc.s/en) separatists/Cc.p/en ((to/Mi/en join/P.so.-i-----/en) maoists/Cp.p/en (against/Br.ma/en fight/Cc.s/en (+/B.am/. islamic/Cp.s/en state/Cp.s/en))))</t>
  </si>
  <si>
    <t>dodge</t>
  </si>
  <si>
    <t>One Austrian police station has dodged an explosive situation</t>
  </si>
  <si>
    <t>((has/Mv.|f--3s-/en dodged/Pd.so.&lt;pf----/en) (one/M#/en (austrian/Ma/en (+/B.am/. police/Cc.s/en station/Cc.s/en))) (an/Md/en (explosive/Ma/en situation/Cc.s/en)))</t>
  </si>
  <si>
    <t>Royal Bank of Scotland sets aside extra £3.1bn for fines</t>
  </si>
  <si>
    <t>((aside/Ml/en sets/Pd.so.|f--3s-/en) (of/Br.ma/en (+/B.am/. royal/Cp.s/en bank/Cp.s/en) scotland/Cp.s/en) (for/Br.ma/en (extra/Ma/en (£/M/en 3%2e1bn/C#/en)) fines/Cc.p/en))</t>
  </si>
  <si>
    <t>Hezbollah also destroyed several Al Qaeda training camps</t>
  </si>
  <si>
    <t>((also/M/en destroyed/Pd.so.&lt;f-----/en) hezbollah/Cp.s/en (several/Ma/en (+/B.am/. (+/B.am/. al/Cp.s/en qaeda/Cp.s/en) (+/B.am/. training/Cc.s/en camps/Cc.p/en))))</t>
  </si>
  <si>
    <t>sow</t>
  </si>
  <si>
    <t>Russia sowing seeds of global instability</t>
  </si>
  <si>
    <t>(sowing/Pd.so.|pg----/en russia/Cp.s/en (of/Br.ma/en seeds/Cc.p/en (global/Ma/en instability/Cc.s/en)))</t>
  </si>
  <si>
    <t>Syrian troops continue assault on Damascus suburb, site of chemical weapons attack</t>
  </si>
  <si>
    <t>(continue/Pd.so.|f-----/en (syrian/Ma/en troops/Cc.p/en) (on/Br.ma/en assault/Cc.s/en (,/J/en (+/B.am/. damascus/Cp.s/en suburb/Cc.s/en) (of/Br.ma/en site/Cc.s/en (+/B.am/. (chemical/Ma/en weapons/Cc.p/en) attack/Cc.s/en)))))</t>
  </si>
  <si>
    <t>Multiple suicide bombings kill five in eastern Lebanon</t>
  </si>
  <si>
    <t>(kill/Pd.so.|f-----/en (multiple/Ma/en (+/B.am/. suicide/Cc.s/en bombings/Cc.p/en)) (in/Br.ma/en five/C#/en (eastern/Ma/en lebanon/Cp.s/en)))</t>
  </si>
  <si>
    <t>impact</t>
  </si>
  <si>
    <t>Thailand's booming tourism industry and skyrocketing prices impacts poverty-stricken children</t>
  </si>
  <si>
    <t>(impacts/Pd.so.|f--3s-/en (and/J/en ('s/Bp.am/en thailand/Cp.s/en (booming/Ma/en (+/B.am/. tourism/Cc.s/en industry/Cc.s/en))) (skyrocketing/Mv.|pg----/en prices/Cc.p/en)) ((poverty/M/en stricken/Mv.&lt;pf----/en) children/Cc.p/en))</t>
  </si>
  <si>
    <t>Rob Ford tells Fox he wants to be prime minister</t>
  </si>
  <si>
    <t>(tells/Pd.sor.|f--3s-/en (+/B.am/. rob/Cp.s/en ford/Cp.s/en) fox/Cp.s/en (wants/P.sr.|f--3s-/en he/Ci/en ((to/Mi/en be/P.c.-i-----/en) (prime/Ma/en minister/Cc.s/en))))</t>
  </si>
  <si>
    <t>Russian snowboarder shows off Pussy Riot-themed board at Olympics</t>
  </si>
  <si>
    <t>((off/Ml/en shows/Pd.so.|f--3s-/en) (russian/Ma/en snowboarder/Cc.s/en) (at/Br.ma/en (pussy/Ma/en (+/B.am/. (themed/Ma/en riot/Cc.s/en) board/Cc.s/en)) olympics/Cp.p/en))</t>
  </si>
  <si>
    <t>They Beat Me’: Univision Reporter Attacked Outside Venezuelan Supreme Court</t>
  </si>
  <si>
    <t>(attacked/Pd.rso.&lt;f-----/en (beat/P.so.&lt;f-----/en they/Ci/en me/Ci/en) (+/B.am/. univision/Cp.s/en reporter/Cc.s/en) (outside/Ma/en (+/B.am/. venezuelan/Ca/en (+/B.am/. supreme/Cp.s/en court/Cp.s/en))))</t>
  </si>
  <si>
    <t>Frog foam could deliver drug therapy</t>
  </si>
  <si>
    <t>((could/Mm/en deliver/Pd.so.-i-----/en) (+/B.am/. frog/Cc.s/en foam/Cc.s/en) (+/B.am/. drug/Cc.s/en therapy/Cc.s/en))</t>
  </si>
  <si>
    <t>UK) PM made a statement on the death of Olive Cooke, Britain's longest serving poppy seller</t>
  </si>
  <si>
    <t>(made/Pd.so.&lt;f-----/en (+/B.am/. uk/Cm/en pm/Cp.s/en) (on/Br.ma/en (a/Md/en statement/Cc.s/en) (of/Br.ma/en (the/Md/en death/Cc.s/en) (,/J/en (+/B.am/. olive/Cp.s/en cooke/Cp.s/en) ('s/Bp.am/en britain/Cp.s/en ((longest/Ms/en serving/Mv.|pg----/en) (poppy/Ma/en seller/Cc.s/en)))))))</t>
  </si>
  <si>
    <t>State education ministers warn Canberra not to change school funding agreements</t>
  </si>
  <si>
    <t>(warn/Pd.sor.|f-----/en (+/B.am/. (+/B.am/. state/Cc.s/en education/Cc.s/en) ministers/Cc.p/en) canberra/Cp.s/en ((not/Mn/en (to/Mi/en change/P.o.-i-----/en)) (+/B.am/. (+/B.am/. school/Cc.s/en funding/Cc.s/en) agreements/Cc.p/en)))</t>
  </si>
  <si>
    <t>New Pro-Kremlin Crimean Prime Minister Aksyonov denies allegations of criminal past</t>
  </si>
  <si>
    <t>(denies/Pd.so.|f--3s-/en (+/B.am/. (+/B.am/. new/Ca/en (+/B.am/. pro/Ca/en (+/B.am/. -/Cp.s/en (kremlin/Ma/en (+/B.am/. crimean/Ca/en (+/B.am/. prime/Cp.s/en minister/Cp.s/en)))))) aksyonov/Cp.s/en) (of/Br.ma/en allegations/Cc.p/en (criminal/Ma/en past/Cc.s/en)))</t>
  </si>
  <si>
    <t>Mexico arrests key figures in escape of drug lord Guzman</t>
  </si>
  <si>
    <t>(arrests/Pd.so.|f--3s-/en mexico/Cp.s/en (in/Br.ma/en (key/Ma/en figures/Cc.p/en) (of/Br.ma/en escape/Cc.s/en (+/B.am/. drug/Cc.s/en (+/B.am/. lord/Cp.s/en guzman/Cp.s/en)))))</t>
  </si>
  <si>
    <t>Sweden calls off hunt for suspected "Russian submarine</t>
  </si>
  <si>
    <t>((off/Ml/en calls/Pd.so.|f--3s-/en) sweden/Cp.s/en (for/Br.ma/en hunt/Cc.s/en (suspected/Mv.&lt;pf----/en (russian/Ma/en submarine/Cc.s/en))))</t>
  </si>
  <si>
    <t>Moscow expects Kiev’s explanations over intention to close border — Lavrov</t>
  </si>
  <si>
    <t>(expects/Pd.sor.|f--3s-/en moscow/Cp.s/en (’s/Bp.am/en kiev/Cp.s/en (+/B.mm/. explanations/Cc.p/en (over/Jr.ma/en intention/Cc.s/en ((to/Mi/en close/P.o.-i-----/en) border/Cc.s/en)))) lavrov/Cp.s/en)</t>
  </si>
  <si>
    <t>change</t>
  </si>
  <si>
    <t>Pollution Is Radically Changing Childhood in China’s Cities</t>
  </si>
  <si>
    <t>((is/Mv.|f--3s-/en (radically/M/en changing/Pd.so.|pg----/en)) pollution/Cc.s/en (in/Br.ma/en childhood/Cp.s/en (’s/Bp.am/en china/Cp.s/en cities/Cc.p/en)))</t>
  </si>
  <si>
    <t>Locals attack police to foil casino raid</t>
  </si>
  <si>
    <t>(attack/Pd.soo.|f-----/en locals/Cc.p/en police/Cc.p/en (+/B.am/. (to/Mi/en foil/C/en) (+/B.am/. casino/Cc.s/en raid/Cc.s/en)))</t>
  </si>
  <si>
    <t>Chinese media warns US of tax war</t>
  </si>
  <si>
    <t>(warns/Pd.so.|f--3s-/en (chinese/Ma/en media/Cc.p/en) (of/Br.ma/en us/Cp.s/en (+/B.am/. tax/Cc.s/en war/Cc.s/en)))</t>
  </si>
  <si>
    <t>The Latest: Obama: US lifts economic sanctions against Iran</t>
  </si>
  <si>
    <t>(lifts/Pd.?so.|f--3s-/en (+/B.mm/. (the/Md/en latest/Ca/en) obama/Cp.s/en) us/Cp.s/en (against/Br.ma/en (economic/Ma/en sanctions/Cc.p/en) iran/Cp.s/en))</t>
  </si>
  <si>
    <t>Turkey may consider referendum on park plan</t>
  </si>
  <si>
    <t>((may/Mm/en consider/Pd.so.-i-----/en) turkey/Cp.s/en (on/Br.ma/en referendum/Cc.s/en (+/B.am/. park/Cc.s/en plan/Cc.s/en)))</t>
  </si>
  <si>
    <t>Trudeau calls Trump to say climate decision a disappointment</t>
  </si>
  <si>
    <t>(calls/Pd.sor.|f--3s-/en trudeau/Cp.s/en trump/Cp.s/en ((to/Mi/en say/P.oo.-i-----/en) (+/B.am/. climate/Cc.s/en decision/Cc.s/en) (a/Md/en disappointment/Cc.s/en)))</t>
  </si>
  <si>
    <t>US strike targets al-Shabab leader</t>
  </si>
  <si>
    <t>(targets/Pd.so.|f--3s-/en (+/B.am/. us/Cp.s/en strike/Cc.s/en) (+/B.am/. (+/B.am/. al/Cp.s/en shabab/Cp.s/en) leader/Cc.s/en))</t>
  </si>
  <si>
    <t>Police Service of Northern Ireland post stickman cartoon on Facebook page after gun and petrol-bomb attacks block Belfast-Dublin railway line at Lurgan</t>
  </si>
  <si>
    <t>(block/Pd.so.|f-----/en (+/B.mm/. (of/Br.ma/en (+/B.am/. police/Cp.s/en service/Cp.s/en) (+/B.am/. northern/Cp.s/en ireland/Cp.s/en)) (on/Br.ma/en (+/B.am/. (+/B.am/. post/Cc.s/en stickman/Cc.s/en) cartoon/Cc.s/en) (after/Br.ma/en (+/B.am/. facebook/Cp.s/en page/Cc.s/en) (+/B.am/. (and/J/en gun/Cm/en (-/B/en petrol/Cc.s/en bomb/Cc.s/en)) attacks/Cc.p/en)))) (at/Br.ma/en (+/B.am/. (+/B.am/. belfast/Cp.s/en dublin/Cp.s/en) (+/B.am/. railway/Cc.s/en line/Cc.s/en)) lurgan/Cp.s/en))</t>
  </si>
  <si>
    <t>storm</t>
  </si>
  <si>
    <t>Isis storms Saddam-era chemical weapons complex in Iraq</t>
  </si>
  <si>
    <t>(storms/Pd.so.|f--3s-/en isis/Cp.s/en (in/Br.ma/en (+/B.am/. (+/B.am/. saddam/Cp.s/en era/Cc.s/en) (+/B.am/. (+/B.am/. chemical/Cc.s/en weapons/Cc.p/en) complex/Ca/en)) iraq/Cp.s/en))</t>
  </si>
  <si>
    <t>Turkish PM tells female reporter to 'know your place</t>
  </si>
  <si>
    <t>(tells/Pd.sor.|f--3s-/en (turkish/Ma/en pm/Cp.s/en) (female/Ma/en reporter/Cc.s/en) ((to/Mi/en know/P.o.-i-----/en) (your/Mp/en place/Cc.s/en)))</t>
  </si>
  <si>
    <t>agree</t>
  </si>
  <si>
    <t>US and South Korea agree 'early' deployment of THAAD missile defence system</t>
  </si>
  <si>
    <t>(agree/Pd.so.|f-----/en (and/J/en us/Cp.s/en (+/B.am/. south/Cp.s/en korea/Cp.s/en)) (of/Br.ma/en (early/Ma/en deployment/Cc.s/en) (+/B.am/. (+/B.am/. (+/B.am/. thaad/Cp.s/en missile/Cc.s/en) defence/Cc.s/en) system/Cc.s/en)))</t>
  </si>
  <si>
    <t>indict</t>
  </si>
  <si>
    <t>Israel indicts Arab lawmaker for smuggling phones to prison</t>
  </si>
  <si>
    <t>(indicts/Pd.so.|f--3s-/en israel/Cp.s/en (for/Jr.ma/en (arab/Ma/en lawmaker/Cc.s/en) (smuggling/P.ox.|pg----/en phones/Cc.p/en (to/T/en prison/Cc.s/en))))</t>
  </si>
  <si>
    <t>AACIMH to charge 250 Lps (~$12) a day for playing national or international music in private businesses, radio stations, bars, malls, etc.</t>
  </si>
  <si>
    <t>((to/Mi/en charge/Pd.soo.-i-----/en) aacimh/Cc.p/en (250/M#/en (+/B.mm/. lps/Cp.s/en ~$12/C/en)) (for/Jr.ma/en (a/Md/en day/Cc.s/en) (in/Jr.ma/en (playing/P.o.|pg----/en (+/B.am/. ((national/Ma/en or/Mj/en) international/Ca/en) music/Cc.s/en)) (,/J/en (private/Ma/en businesses/Cc.p/en) (,/J/en (+/B.am/. radio/Cc.s/en stations/Cc.p/en) (,/J/en bars/Cc.p/en (+/B.mm/. (+/B.mm/. malls/Cc.p/en etc/C/en) %2e/C/en)))))))</t>
  </si>
  <si>
    <t>UN condemns 'devastating' Rohingya abuse in Myanmar</t>
  </si>
  <si>
    <t>(condemns/Pd.so.|f--3s-/en un/Cp.s/en (in/Br.ma/en (devastating/Ma/en (+/B.am/. rohingya/Cp.s/en abuse/Cc.s/en)) myanmar/Cp.s/en))</t>
  </si>
  <si>
    <t>designate</t>
  </si>
  <si>
    <t>An Irish teenager, designated a prisoner of conscience" by Amnesty International, has been held for almost two years in Egypt, charged with conspiracy against the state</t>
  </si>
  <si>
    <t>(designated/Pd.sor.&lt;f-----/en (an/Md/en (irish/Ma/en teenager/Cc.s/en)) (by/Br.ma/en (of/Br.ma/en (a/Md/en prisoner/Cc.s/en) conscience/Cc.s/en) (+/B.am/. amnesty/Cp.s/en international/Cp.s/en)) ((has/Mv.|f--3s-/en (been/Mv.&lt;pf----/en held/P.xxx.&lt;pf----/en)) (for/Tt/en ((almost/M/en two/M#/en) years/Cc.p/en)) (in/T/en egypt/Cp.s/en) (charged/Pd.x.&lt;pf----/en (with/T/en (against/Br.ma/en conspiracy/Cc.s/en (the/Md/en state/Cc.s/en))))))</t>
  </si>
  <si>
    <t>Britain should keep open possibility of joining euro</t>
  </si>
  <si>
    <t>((should/Mm/en keep/Pd.so.-i-----/en) britain/Cp.s/en (of/Jr.ma/en (open/Ma/en possibility/Cc.s/en) (joining/P.o.|pg----/en euro/Cp.s/en)))</t>
  </si>
  <si>
    <t>hand</t>
  </si>
  <si>
    <t>peers hand Theresa May major boost ahead of Brexit talks</t>
  </si>
  <si>
    <t>(hand/Pd.sor.|f-----/en peers/Cc.p/en theresa/Cp.s/en ((ahead/M/en of/Br.ma/en) (may/Mm/en (major/Ma/en boost/Cc.s/en)) (+/B.am/. brexit/Cp.s/en talks/Cc.p/en)))</t>
  </si>
  <si>
    <t>Iran offers India $8 billion of projects</t>
  </si>
  <si>
    <t>(offers/Pd.sio.|f--3s-/en iran/Cp.s/en india/Cp.s/en (of/Br.ma/en ($/M/en (8/M#/en billion/C#/en)) projects/Cc.p/en))</t>
  </si>
  <si>
    <t>Karadzic Found Guilty</t>
  </si>
  <si>
    <t>(found/Pd.so.&lt;f-----/en karadzic/Cp.s/en guilty/Cp.s/en)</t>
  </si>
  <si>
    <t>Indonesia Vimeo Ban Raises Freedom Concerns</t>
  </si>
  <si>
    <t>(raises/Pd.so.|f--3s-/en (+/B.am/. indonesia/Cp.s/en (+/B.am/. vimeo/Cp.s/en ban/Cp.s/en)) (+/B.am/. freedom/Cp.s/en concerns/Cp.p/en))</t>
  </si>
  <si>
    <t>Syrian rebels get Western recruits</t>
  </si>
  <si>
    <t>(get/Pd.so.|f-----/en (syrian/Ma/en rebels/Cc.p/en) (western/Ma/en recruits/Cc.p/en))</t>
  </si>
  <si>
    <t>Israeli warplanes strike Syrian weapons facility</t>
  </si>
  <si>
    <t>(strike/Pd.so.|f-----/en (israeli/Ma/en warplanes/Cc.p/en) (syrian/Ma/en (+/B.am/. weapons/Cc.p/en facility/Cc.s/en)))</t>
  </si>
  <si>
    <t>The victims accuse the Pope of knowing yet failing to sanction the priest concerned</t>
  </si>
  <si>
    <t>(accuse/Pd.sox.|f-----/en (the/Md/en victims/Cc.p/en) (the/Md/en pope/Cp.s/en) (of/T/en ((yet/M/en knowing/P.?.|pg----/en) (failing/Pd.r.|pg----/en ((to/Mi/en sanction/P.r.-i-----/en) (concerned/P.s.&lt;pf----/en (the/Md/en priest/Cc.s/en)))))))</t>
  </si>
  <si>
    <t>Iran Sunni group Jaish al-Adl claims border attack</t>
  </si>
  <si>
    <t>(claims/Pd.so.|f--3s-/en (+/B.am/. (+/B.am/. (+/B.am/. iran/Cp.s/en sunni/Cp.s/en) group/Cc.s/en) (+/B.am/. jaish/Cp.s/en (+/B.am/. al/Cp.s/en adl/Cp.s/en))) (+/B.am/. border/Cc.s/en attack/Cc.s/en))</t>
  </si>
  <si>
    <t>add</t>
  </si>
  <si>
    <t>Harold Hamm Adds $3 Billion in 3 Hours on OPEC Deal</t>
  </si>
  <si>
    <t>(adds/Pd.so.|f--3s-/en (+/B.am/. harold/Cp.s/en hamm/Cp.s/en) (in/Br.ma/en ($/M/en (3/M#/en billion/C#/en)) (on/Br.ma/en (3/M#/en hours/Cc.p/en) (+/B.am/. opec/Cp.s/en deal/Cp.s/en))))</t>
  </si>
  <si>
    <t>Free Syrian Army denies responsibility</t>
  </si>
  <si>
    <t>(denies/Pd.so.|f--3s-/en (free/Ma/en (syrian/Ma/en army/Cp.s/en)) responsibility/Cc.s/en)</t>
  </si>
  <si>
    <t>A peer-reviewed study backs the White House’s claims for the health benefits of its plan to fight climate change</t>
  </si>
  <si>
    <t>(backs/Pd.so.|f--3s-/en (a/Md/en ((peer/M/en reviewed/Mv.&lt;pf----/en) study/Cc.s/en)) (for/Br.ma/en (’s/Bp.am/en (the/Md/en (+/B.am/. white/Cp.s/en house/Cp.s/en)) claims/Cc.p/en) (the/Md/en (+/B.mm/. (+/B.am/. health/Cc.s/en benefits/Cc.p/en) (of/Jr.ma/en (its/Mp/en plan/Cc.s/en) ((to/Mi/en fight/P.o.-i-----/en) (+/B.am/. climate/Cc.s/en change/Cc.s/en)))))))</t>
  </si>
  <si>
    <t>Vietnamese police have launched an investigation into the illegal dumping of harmful waste material from a Taiwanese steel company already under fire for massive fish deaths in what officials say was the country's worst environmental disaster</t>
  </si>
  <si>
    <t>((have/Mv.|f-----/en launched/Pd.so.&lt;pf----/en) (vietnamese/Ma/en police/Cc.p/en) (into/Br.ma/en (an/Md/en investigation/Cc.s/en) (for/Br.ma/en ((already/M/en under/Br.ma/en) (from/Br.ma/en (of/Br.ma/en (the/Md/en (illegal/Ma/en dumping/Cc.s/en)) (harmful/Ma/en (+/B.am/. waste/Cc.s/en material/Cc.s/en))) (a/Md/en (taiwanese/Ma/en (+/B.am/. steel/Cc.s/en company/Cc.s/en)))) fire/Cc.s/en) (massive/Ma/en (+/B.mm/. (+/B.am/. fish/Cc.s/en deaths/Cc.p/en) (in/Jr.ma/en what/Cw/en (say/P.sr.|f-----/en officials/Cc.p/en (was/P.c.&lt;f-----/en ('s/Bp.am/en (the/Md/en country/Cc.s/en) (worst/Ms/en (environmental/Ma/en disaster/Cc.s/en)))))))))))</t>
  </si>
  <si>
    <t>Ukraine Accuses Russia of Invasion</t>
  </si>
  <si>
    <t>(accuses/Pd.so.|f--3s-/en ukraine/Cp.s/en (of/Br.ma/en russia/Cp.s/en invasion/Cp.s/en))</t>
  </si>
  <si>
    <t>Putin Tells Everyone Exactly Who Created ISIS</t>
  </si>
  <si>
    <t>(tells/Pd.sor.|f--3s-/en putin/Cp.s/en everyone/Cc.s/en (created/P.so.&lt;f-----/en (exactly/M/en who/Cw/en) isis/Cp.s/en))</t>
  </si>
  <si>
    <t>Iraq Balks at Joining OPEC Cuts, Making Oil Output Deal Harder</t>
  </si>
  <si>
    <t>(making/Pd.so.|pg----/en (at/Jr.ma/en (+/B.am/. iraq/Cp.s/en balks/Cp.s/en) (joining/P.o.|pg----/en (+/B.am/. opec/Cp.s/en cuts/Cp.p/en))) (+/B.am/. (+/B.am/. oil/Cc.s/en output/Cp.s/en) (+/B.am/. deal/Cp.s/en harder/Cp.s/en)))</t>
  </si>
  <si>
    <t>Twin blasts in Philippine capital kill at least two: police</t>
  </si>
  <si>
    <t>(kill/Pd.so?.|f-----/en (in/Br.ma/en (+/B.am/. twin/Cc.s/en blasts/Cc.p/en) (philippine/Ma/en capital/Cc.s/en)) ((at/M/en least/Ms/en) two/C#/en) police/Cc.p/en)</t>
  </si>
  <si>
    <t>US warns Britain against leaving European Union</t>
  </si>
  <si>
    <t>(warns/Pd.sox.|f--3s-/en us/Cp.s/en britain/Cp.s/en (against/T/en (leaving/P.o.|pg----/en (+/B.am/. european/Cp.s/en union/Cp.s/en))))</t>
  </si>
  <si>
    <t>The videos capture 10 seconds of movement, just enough to catch trucks’ license plates—the operation’s main objective</t>
  </si>
  <si>
    <t>(capture/Pd.so?.|f-----/en (the/Md/en videos/Cc.p/en) (of/Br.ma/en (10/M#/en seconds/Cc.p/en) movement/Cc.s/en) (((just/M/en enough/M/en) (to/Mi/en catch/P.o.-i-----/en)) (+/B.mm/. (’/Bp.am/en trucks/Cc.p/en (+/B.am/. license/Cc.s/en plates/Cc.p/en)) (’s/Bp.am/en (the/Md/en operation/Cc.s/en) (main/Ma/en objective/Cc.s/en)))))</t>
  </si>
  <si>
    <t>Head of Russia's Rosneft says U.S., not OPEC, Rules Oil Markets</t>
  </si>
  <si>
    <t>(says/Pd.so.|f--3s-/en (of/Br.ma/en head/Cp.s/en ('s/Bp.am/en russia/Cp.s/en rosneft/Cp.s/en)) (+/B.mm/. (not/Mn/en u%2es%2e/Cp.s/en) (,/J/en opec/Cp.s/en (+/B.am/. rules/Cp.s/en (+/B.am/. oil/Cp.s/en markets/Cp.p/en)))))</t>
  </si>
  <si>
    <t>NASA to Discuss Science Findings of Oct. 19 Comet Flyby Mars</t>
  </si>
  <si>
    <t>((to/Mi/en discuss/Pd.so.-i-----/en) nasa/Cp.s/en (of/Br.ma/en (+/B.am/. science/Cp.s/en findings/Cp.p/en) (of/Br.ma/en (+/B.am/. (19/M#/en oct%2e/Cm/en) (+/B.am/. comet/Cp.s/en flyby/Cp.s/en)) mars/Cp.s/en)))</t>
  </si>
  <si>
    <t>invite</t>
  </si>
  <si>
    <t>Poland did not invite refugees, has right to say 'no Kaczynski</t>
  </si>
  <si>
    <t>((did/Mv.&lt;f-----/en (not/Mn/en invite/Pd.so?o.-i-----/en)) poland/Cp.s/en refugees/Cc.p/en (has/Pd.or.|f--3s-/en right/Ca/en ((to/Mi/en say/P.o.-i-----/en) no/C/en)) kaczynski/Cp.s/en)</t>
  </si>
  <si>
    <t>inform</t>
  </si>
  <si>
    <t>DPRK informed he US that it would be doing nuclear testing prior to its testing</t>
  </si>
  <si>
    <t>(informed/Pd.soor.&lt;f-----/en dprk/Cp.s/en he/Ci/en us/Cp.s/en (that/T/en ((prior/M/en to/Jr.ma/en) ((would/Mm/en (be/Mv.-i-----/en doing/P.so.|pg----/en)) it/Ci/en (nuclear/Ma/en testing/Cc.s/en)) (its/Mp/en testing/Cc.s/en))))</t>
  </si>
  <si>
    <t>Germanwings Victims Included 2 Americans as well as 16 Students From a Single High School</t>
  </si>
  <si>
    <t>(included/Pd.so.&lt;f-----/en (+/B.am/. germanwings/Cc.p/en victims/Cp.p/en) (2/M#/en (+/B.mm/. (+/B.mm/. americans/Cp.p/en (as/M/en (well/M/en as/C/en))) (from/Br.ma/en (16/M#/en students/Cc.p/en) (a/Md/en (+/B.am/. single/Cp.s/en (+/B.am/. high/Cp.s/en school/Cp.s/en)))))))</t>
  </si>
  <si>
    <t>Saudi Arabia urges religious police to ‘gently’ enforce Islamic laws</t>
  </si>
  <si>
    <t>(urges/Pd.sor.|f--3s-/en (+/B.am/. saudi/Cp.s/en arabia/Cp.s/en) (religious/Ma/en police/Cc.p/en) ((to/Mi/en (gently/M/en enforce/P.o.-i-----/en)) (islamic/Ma/en laws/Cc.p/en)))</t>
  </si>
  <si>
    <t>Bam Margera's 'painting party' causes $5k damages in Brisbane hotel</t>
  </si>
  <si>
    <t>(causes/Pd.so.|f--3s-/en ('s/Bp.am/en (+/B.am/. bam/Cp.s/en margera/Cp.s/en) (+/B.am/. painting/C/en party/Cc.s/en)) (in/Br.ma/en (($/M/en 5k/M#/en) damages/Cc.p/en) (+/B.am/. brisbane/Cp.s/en hotel/Cc.s/en)))</t>
  </si>
  <si>
    <t>Iranian president gives qualified support for western action against Isis</t>
  </si>
  <si>
    <t>(gives/Pd.so.|f--3s-/en (iranian/Ma/en president/Cc.s/en) (for/Br.ma/en (qualified/Ma/en support/Cc.s/en) (against/Br.ma/en (western/Ma/en action/Cc.s/en) isis/Cp.s/en)))</t>
  </si>
  <si>
    <t>IMF urges higher energy taxes to fight climate change</t>
  </si>
  <si>
    <t>(urges/Pd.sor.|f--3s-/en imf/Cp.s/en (higher/Mc/en (+/B.am/. energy/Cc.s/en taxes/Cc.p/en)) ((to/Mi/en fight/P.o.-i-----/en) (+/B.am/. climate/Cc.s/en change/Cc.s/en)))</t>
  </si>
  <si>
    <t>Bombing, Saudi Arabia air strike kill nine civilians</t>
  </si>
  <si>
    <t>(kill/Pd.so.-i-----/en (+/B.mm/. bombing/Cc.s/en (+/B.am/. (+/B.am/. saudi/Cp.s/en arabia/Cp.s/en) (+/B.am/. air/Cc.s/en strike/Cc.s/en))) (nine/M#/en civilians/Cc.p/en))</t>
  </si>
  <si>
    <t>Bomb attacks kill four in Pakistan's Karachi</t>
  </si>
  <si>
    <t>(kill/Pd.so.|f-----/en (+/B.am/. bomb/Cc.s/en attacks/Cc.p/en) (in/Br.ma/en four/C#/en ('s/Bp.am/en pakistan/Cp.s/en karachi/Cp.s/en)))</t>
  </si>
  <si>
    <t>Moscow Court Orders Navalny To Remove Video With Medvedev Corruption Allegations</t>
  </si>
  <si>
    <t>((to/Mi/en remove/Pd.so.-i-----/en) (+/B.am/. (+/B.am/. (+/B.am/. moscow/Cp.s/en court/Cp.s/en) orders/Cp.p/en) navalny/Cp.s/en) (with/Br.ma/en video/Cc.s/en (+/B.am/. medvedev/Cp.s/en (+/B.am/. corruption/Cp.s/en allegations/Cp.p/en))))</t>
  </si>
  <si>
    <t>European Union to provide $15 billion in aid to the Ukraine</t>
  </si>
  <si>
    <t>((to/Mi/en provide/Pd.so.-i-----/en) (+/B.am/. european/Cp.s/en union/Cp.s/en) (in/Br.ma/en ($/M/en (15/M#/en billion/C#/en)) (to/Br.ma/en aid/Cc.s/en (the/Md/en ukraine/Cp.s/en))))</t>
  </si>
  <si>
    <t>accelerate</t>
  </si>
  <si>
    <t>Reduction in nuclear arsenals could accelerate race for conventional arms</t>
  </si>
  <si>
    <t>((could/Mm/en accelerate/Pd.so.-i-----/en) (in/Br.ma/en reduction/Cc.s/en (nuclear/Ma/en arsenals/Cc.p/en)) (for/Br.ma/en race/Cc.s/en (conventional/Ma/en arms/Cc.p/en)))</t>
  </si>
  <si>
    <t>Last week's attack by the Al-Mourabitoun extremist group killed 19 people</t>
  </si>
  <si>
    <t>(killed/Pd.so.&lt;f-----/en (by/Br.ma/en ('s/Bp.am/en (last/Ma/en week/Cc.s/en) attack/Cc.s/en) (the/Md/en (+/B.am/. (+/B.am/. al/Cp.s/en mourabitoun/Cp.s/en) (+/B.am/. extremist/Cc.s/en group/Cc.s/en)))) (19/M#/en people/Cc.p/en))</t>
  </si>
  <si>
    <t>Bosnia marks Srebrenica massacre anniversary</t>
  </si>
  <si>
    <t>(marks/Pd.so.|f--3s-/en bosnia/Cp.s/en (+/B.am/. srebrenica/Cp.s/en (+/B.am/. massacre/Cc.s/en anniversary/Cc.s/en)))</t>
  </si>
  <si>
    <t>eGames: British government announces eSports version of the Olympics</t>
  </si>
  <si>
    <t>(announces/Pd.?so.|f--3s-/en egames/Cp.s/en (british/Ma/en government/Cc.s/en) (of/Br.ma/en (+/B.am/. esports/Cp.p/en version/Cc.s/en) (the/Md/en olympics/Cp.p/en)))</t>
  </si>
  <si>
    <t>Ottawa unveils final medical marijuana rules</t>
  </si>
  <si>
    <t>(unveils/Pd.so.|f--3s-/en ottawa/Cp.s/en (final/Ma/en (+/B.am/. (medical/Ma/en marijuana/Cc.s/en) rules/Cc.p/en)))</t>
  </si>
  <si>
    <t>crash</t>
  </si>
  <si>
    <t>Turkish 747-400F cargo plane crashes nearby Manas airport</t>
  </si>
  <si>
    <t>(crashes/Pd.so.|f--3s-/en (+/B.am/. (+/B.aa/. turkish/Cm/en (747/M#/en 400f/C#/en)) (+/B.am/. cargo/Cc.s/en plane/Cc.s/en)) (nearby/M/en (+/B.am/. manas/Cp.s/en airport/Cc.s/en)))</t>
  </si>
  <si>
    <t>UN asks US to review Trayvon Martin case and its laws</t>
  </si>
  <si>
    <t>(asks/Pd.sor.|f--3s-/en un/Cp.s/en us/Cp.s/en ((to/Mi/en review/P.o.-i-----/en) (and/J/en (+/B.am/. (+/B.am/. trayvon/Cp.s/en martin/Cp.s/en) case/Cc.s/en) (its/Mp/en laws/Cc.p/en))))</t>
  </si>
  <si>
    <t>start</t>
  </si>
  <si>
    <t>Chevron starts Romania shale exploration drilling</t>
  </si>
  <si>
    <t>(starts/Pd.so.|f--3s-/en chevron/Cp.s/en (+/B.am/. romania/Cp.s/en (shale/Ma/en (+/B.am/. exploration/Cc.s/en drilling/Cc.s/en))))</t>
  </si>
  <si>
    <t>Taiwan unveils new ships for Senkaku-Diaoyu patrols</t>
  </si>
  <si>
    <t>(unveils/Pd.so.|f--3s-/en taiwan/Cp.s/en (for/Br.ma/en (new/Ma/en ships/Cc.p/en) (+/B.am/. (+/B.am/. senkaku/Cp.s/en diaoyu/Cp.s/en) patrols/Cc.p/en)))</t>
  </si>
  <si>
    <t>MasterCard Study Reveals the Rapidly Growing Cashless Economies</t>
  </si>
  <si>
    <t>(reveals/Pd.so.|f--3s-/en (+/B.am/. mastercard/Cp.s/en study/Cp.s/en) (the/Md/en ((rapidly/Ma/en growing/Mv.|pg----/en) (+/B.am/. cashless/Cp.s/en economies/Cc.p/en))))</t>
  </si>
  <si>
    <t>Hong Kong police arrest key student protest leaders</t>
  </si>
  <si>
    <t>(arrest/Pd.so.|f-----/en (+/B.am/. (+/B.am/. hong/Cp.s/en kong/Cp.s/en) police/Cc.s/en) (key/Ma/en (+/B.am/. student/Cc.s/en (+/B.am/. protest/Cc.s/en leaders/Cc.p/en))))</t>
  </si>
  <si>
    <t>Turkey suspends 15,200 education staff</t>
  </si>
  <si>
    <t>(suspends/Pd.so.|f--3s-/en turkey/Cp.s/en (15,200/M#/en (+/B.am/. education/Cc.s/en staff/Cc.s/en)))</t>
  </si>
  <si>
    <t>attend</t>
  </si>
  <si>
    <t>Iran to unveil drone; Nation of Islam’s Louis Farrakhan to attend ceremony</t>
  </si>
  <si>
    <t>((to/Mi/en attend/Pd.rso.-i-----/en) ((to/Mi/en unveil/P.so.-i-----/en) iran/Cp.s/en drone/Cc.s/en) (of/Br.ma/en nation/Cc.s/en (’s/Bp.am/en islam/Cp.s/en (+/B.am/. louis/Cp.s/en farrakhan/Cp.s/en))) ceremony/Cc.s/en)</t>
  </si>
  <si>
    <t>Deep sea creatures 'will not escape climate change</t>
  </si>
  <si>
    <t>((will/Mm/en (not/Mn/en escape/Pd.so.-i-----/en)) (+/B.am/. (+/B.am/. deep/Cp.s/en sea/Cc.s/en) creatures/Cc.p/en) (+/B.am/. climate/Cc.s/en change/Cc.s/en))</t>
  </si>
  <si>
    <t>forgive</t>
  </si>
  <si>
    <t>Anti-war protest in Moscow: "Ukrainians, forgive us</t>
  </si>
  <si>
    <t>(forgive/Pd.?so.-i-----/en (in/Br.ma/en (anti/Ma/en (-/Ma/en (war/Ma/en protest/Cc.s/en))) moscow/Cp.s/en) ukrainians/Cp.p/en us/Ci/en)</t>
  </si>
  <si>
    <t>Putin Reopens Possibility for Preemptive Attack on the West</t>
  </si>
  <si>
    <t>(reopens/Pd.so.|f--3s-/en putin/Cp.s/en (for/Br.ma/en possibility/Cc.s/en (on/Br.ma/en (preemptive/Ma/en attack/Cc.s/en) (the/Md/en west/Cc.s/en))))</t>
  </si>
  <si>
    <t>Catholic priest Terrence Millard loses appeal over smacking a child in church</t>
  </si>
  <si>
    <t>(loses/Pd.so.|f--3s-/en (+/B.am/. (catholic/Ma/en priest/Cc.s/en) (+/B.am/. terrence/Cp.s/en millard/Cp.s/en)) (over/Jr.ma/en appeal/Cc.s/en (smacking/P.ox.|pg----/en (a/Md/en child/Cc.s/en) (in/T/en church/Cc.s/en))))</t>
  </si>
  <si>
    <t>Indian textbook says "Japan Nuked US</t>
  </si>
  <si>
    <t>(says/Pd.so.|f--3s-/en (indian/Ma/en textbook/Cc.s/en) (+/B.am/. japan/Cp.s/en (+/B.am/. nuked/Cp.s/en us/Cp.s/en)))</t>
  </si>
  <si>
    <t>EU lifts sanctions on two Iranian oil producers</t>
  </si>
  <si>
    <t>(lifts/Pd.so.|f--3s-/en eu/Cp.s/en (on/Br.ma/en sanctions/Cc.p/en (two/M#/en (iranian/Ma/en (+/B.am/. oil/Cc.s/en producers/Cc.p/en)))))</t>
  </si>
  <si>
    <t>Oil Train Disaster Settlement Fund Reaches $345 Million</t>
  </si>
  <si>
    <t>(reaches/Pd.so.|f--3s-/en (+/B.am/. (+/B.am/. (+/B.am/. oil/Cc.s/en train/Cp.s/en) disaster/Cp.s/en) (+/B.am/. settlement/Cp.s/en fund/Cp.s/en)) ($/M/en (345/M#/en million/C#/en)))</t>
  </si>
  <si>
    <t>validate</t>
  </si>
  <si>
    <t>Togo's constitutional court on Monday validated results from last month's parliamentary polls giving the ruling party a two-thirds majority and allowing President Faure Gnassingbe's family to maintain its decades-long grip on power</t>
  </si>
  <si>
    <t>(validated/Pd.so.&lt;f-----/en (on/Br.ma/en ('s/Bp.am/en togo/Cp.s/en (constitutional/Ma/en court/Cc.s/en)) monday/Cp.s/en) (+/B.mm/. results/Cc.p/en (from/Jr.ma/en ('s/Bp.am/en (last/Ma/en month/Cc.s/en) (parliamentary/Ma/en polls/Cc.p/en)) (and/J/en (giving/P.io.|pg----/en (the/Md/en (ruling/Mv.|pg----/en party/Cc.s/en)) (a/Md/en (+/B.am/. (two/M#/en thirds/Cc.p/en) majority/Cc.s/en))) (allowing/Pd.r.|pg----/en ((to/Mi/en maintain/P.so.-i-----/en) ('s/Bp.am/en (+/B.am/. president/Cp.s/en (+/B.am/. faure/Cp.s/en gnassingbe/Cp.s/en)) family/Cc.s/en) (on/Br.ma/en (its/Mp/en ((decades/M/en long/Ma/en) grip/Cc.s/en)) power/Cc.s/en)))))))</t>
  </si>
  <si>
    <t>Treason costs Beijing nuclear secrets</t>
  </si>
  <si>
    <t>(costs/Pd.so.|f--3s-/en treason/Cc.s/en (+/B.am/. beijing/Cm/en (nuclear/Ma/en secrets/Cc.p/en)))</t>
  </si>
  <si>
    <t>Gunmen abduct 3 foreign tourists from southern Philippines resort: Unidentified gunmen have abducted a Norwegian resort manager, two Canadians and a Filipino woman from a southern Philippine island</t>
  </si>
  <si>
    <t>((have/Mv.|f-----/en abducted/Pd.rso.&lt;pf----/en) (abduct/P.so.|f-----/en gunmen/Cc.p/en (from/Br.ma/en (3/M#/en (foreign/Ma/en tourists/Cc.p/en)) (+/B.am/. (southern/Ma/en philippines/Cp.s/en) resort/Cc.s/en))) (unidentified/Ma/en gunmen/Cc.p/en) (+/B.mm/. (a/Md/en (norwegian/Ma/en (+/B.am/. resort/Cc.s/en manager/Cc.s/en))) (from/Br.ma/en (and/J/en (two/M#/en canadians/Cp.p/en) (a/Md/en (filipino/Ma/en woman/Cc.s/en))) (a/Md/en (southern/Ma/en (philippine/Ma/en island/Cc.s/en))))))</t>
  </si>
  <si>
    <t>Obama warned India not to stray from its constitutional commitment to allow people to freely "profess, practice and propagate" religion</t>
  </si>
  <si>
    <t>(warned/Pd.sor.&lt;f-----/en obama/Cp.s/en india/Cp.s/en ((not/Mn/en (to/Mi/en stray/P.xx.-i-----/en)) (from/T/en (its/Mp/en (constitutional/Ma/en commitment/Cc.s/en))) ((to/Mi/en allow/Pd.r.-i-----/en) ((to/Mi/en (freely/M/en profess/P.s?.-i-----/en)) people/Cc.p/en ((and/J/en practice/P!.?.-i-----/en propagate/Pd..-i-----/en) religion/Cc.s/en)))))</t>
  </si>
  <si>
    <t>bring</t>
  </si>
  <si>
    <t>Labour brings forward tuition fees pledge</t>
  </si>
  <si>
    <t>((forward/Ml/en brings/Pd.so.|f--3s-/en) labour/Cp.s/en (+/B.am/. (+/B.am/. tuition/Cc.s/en fees/Cc.p/en) pledge/Cc.s/en))</t>
  </si>
  <si>
    <t>Finland condemns 'illegal' Crimean vote</t>
  </si>
  <si>
    <t>(condemns/Pd.so.|f--3s-/en finland/Cp.s/en (illegal/Ma/en (crimean/Ma/en vote/Cc.s/en)))</t>
  </si>
  <si>
    <t>forget</t>
  </si>
  <si>
    <t>Netflix Hits Australia, Forgets Its Net Neutrality Principles</t>
  </si>
  <si>
    <t>(forgets/Pd.so.|f--3s-/en (+/B.am/. netflix/Cp.s/en (+/B.am/. hits/Cp.p/en australia/Cp.s/en)) (its/Mp/en (+/B.am/. net/Cp.s/en (+/B.am/. neutrality/Cp.s/en principles/Cp.p/en))))</t>
  </si>
  <si>
    <t>French police arrest Paris shooting suspect Abdelhakim Dekhar</t>
  </si>
  <si>
    <t>(arrest/Pd.so.|f-----/en (french/Ma/en police/Cc.p/en) (+/B.am/. (+/B.am/. (+/B.am/. paris/Cp.s/en shooting/C/en) suspect/Cc.s/en) (+/B.am/. abdelhakim/Cp.s/en dekhar/Cp.s/en)))</t>
  </si>
  <si>
    <t>Putin unhappy with launch delay, sacks official believed responsible</t>
  </si>
  <si>
    <t>(believed/Pd.sso.&lt;f-----/en ((unhappy/Ma/en with/Br.ma/en) putin/Cp.s/en (+/B.am/. launch/Cc.s/en delay/Cc.s/en)) (+/B.am/. sacks/Cc.p/en official/Cc.s/en) responsible/Ca/en)</t>
  </si>
  <si>
    <t>Russia to File Suit Against Ukraine for Nonpayment</t>
  </si>
  <si>
    <t>((to/Mi/en file/Pd.so.-i-----/en) russia/Cp.s/en (for/Br.ma/en (against/Br.ma/en suit/Cc.s/en ukraine/Cp.s/en) nonpayment/Cp.s/en))</t>
  </si>
  <si>
    <t>Security Service of Ukraine Captured Russian Spy</t>
  </si>
  <si>
    <t>(captured/Pd.so.&lt;f-----/en (of/Br.ma/en (+/B.am/. security/Cp.s/en service/Cp.s/en) ukraine/Cp.s/en) (russian/Ma/en spy/Cp.s/en))</t>
  </si>
  <si>
    <t>North Korea prepares medium-range missile for test</t>
  </si>
  <si>
    <t>(prepares/Pd.so.|f--3s-/en (+/B.am/. north/Cp.s/en korea/Cp.s/en) (for/Br.ma/en (+/B.am/. (medium/Ma/en range/Cc.s/en) missile/Cc.s/en) test/Cc.s/en))</t>
  </si>
  <si>
    <t>UK Foreign Secretary William Hague praises British-US intelligence-sharing</t>
  </si>
  <si>
    <t>(praises/Pd.so.|f--3s-/en (+/B.am/. (+/B.am/. uk/Cp.s/en (+/B.am/. foreign/Cp.s/en secretary/Cp.s/en)) (+/B.am/. william/Cp.s/en hague/Cp.s/en)) (+/B.am/. (+/B.am/. british/Cp.s/en us/Cp.s/en) (+/B.am/. intelligence/Cc.s/en sharing/Cc.s/en)))</t>
  </si>
  <si>
    <t>U.N. Security Council condemns North Korean rocket launch</t>
  </si>
  <si>
    <t>(condemns/Pd.so.|f--3s-/en (+/B.am/. u%2en%2e/Cp.s/en (+/B.am/. security/Cp.s/en council/Cp.s/en)) ((north/Ma/en korean/Ma/en) (+/B.am/. rocket/Cc.s/en launch/Cc.s/en)))</t>
  </si>
  <si>
    <t>Senior party figures in Silvio Berlusconi's fractious centre-right party have urged Italian lawmakers to defy the billionaire media tycoon and back Prime Minister Enrico Letta in a confidence motion</t>
  </si>
  <si>
    <t>((have/Mv.|f-----/en urged/Pd.sor.&lt;pf----/en) (in/Br.ma/en (senior/Ma/en (+/B.am/. party/Cc.s/en figures/Cc.p/en)) ('s/Bp.am/en (+/B.am/. silvio/Cp.s/en berlusconi/Cp.s/en) (fractious/Ma/en (+/B.am/. (right/M/en centre/Cc.s/en) party/Cc.s/en)))) (italian/Ma/en lawmakers/Cc.p/en) ((to/Mi/en defy/P.ox.-i-----/en) (and/J/en (the/Md/en (+/B.am/. billionaire/Cc.s/en (+/B.am/. media/Cc.p/en tycoon/Cc.s/en))) (+/B.am/. (back/Ma/en (+/B.am/. prime/Cp.s/en minister/Cp.s/en)) (+/B.am/. enrico/Cp.s/en letta/Cp.s/en))) (in/T/en (a/Md/en (+/B.am/. confidence/Cc.s/en motion/Cc.s/en)))))</t>
  </si>
  <si>
    <t>The Russians appear receptive</t>
  </si>
  <si>
    <t>(appear/Pd.so.|f-----/en (the/Md/en russians/Cp.p/en) receptive/Ca/en)</t>
  </si>
  <si>
    <t>Papua New Guinea's Supreme Court rules detention of asylum seekers on Manus Island is illegal</t>
  </si>
  <si>
    <t>(rules/Pd.sor.|f--3s-/en ('s/Bp.am/en (+/B.am/. papua/Cp.s/en (+/B.am/. new/Cp.s/en guinea/Cp.s/en)) (+/B.am/. supreme/Cp.s/en court/Cp.s/en)) (of/Br.ma/en detention/Cc.s/en (on/Br.ma/en (+/B.am/. asylum/Cc.s/en seekers/Cc.p/en) (+/B.am/. manus/Cp.s/en island/Cp.s/en))) (is/P.c.|f--3s-/en illegal/Ca/en))</t>
  </si>
  <si>
    <t>It will have both an emotional and a narrative intellect</t>
  </si>
  <si>
    <t>((will/Mm/en have/Pd.so.-i-----/en) it/Ci/en (+/B.mm/. both/C/en (+/B.mm/. (an/Md/en (and/Mj/en emotional/Ca/en)) (a/Md/en (narrative/Ma/en intellect/Cc.s/en)))))</t>
  </si>
  <si>
    <t>Israel announces new settlement expansion</t>
  </si>
  <si>
    <t>(announces/Pd.so.|f--3s-/en israel/Cp.s/en (new/Ma/en (+/B.am/. settlement/Cc.s/en expansion/Cc.s/en)))</t>
  </si>
  <si>
    <t>US Army restricts access to Guardian website over secrets in NSA leak stories</t>
  </si>
  <si>
    <t>(restricts/Pd.so.|f--3s-/en (+/B.am/. us/Cp.s/en army/Cp.s/en) (over/Br.ma/en (to/Br.ma/en access/Cc.s/en (+/B.am/. guardian/Cp.s/en website/Cc.s/en)) (in/Br.ma/en secrets/Cc.p/en (+/B.am/. (+/B.am/. nsa/Cp.s/en leak/Cc.s/en) stories/Cc.p/en))))</t>
  </si>
  <si>
    <t>U.N. Security Council condemns use of chemical weapons in Syria</t>
  </si>
  <si>
    <t>(condemns/Pd.so.|f--3s-/en (+/B.am/. u%2en%2e/Cp.s/en (+/B.am/. security/Cp.s/en council/Cp.s/en)) (in/Br.ma/en (of/Br.ma/en use/Cc.s/en (chemical/Ma/en weapons/Cc.p/en)) syria/Cp.s/en))</t>
  </si>
  <si>
    <t>Expats welcome Saudi Arabia's 'permanent residency' plan</t>
  </si>
  <si>
    <t>(welcome/Pd.so.|f-----/en expats/Cc.p/en ('s/Bp.am/en (+/B.am/. saudi/Cp.s/en arabia/Cp.s/en) (+/B.am/. (permanent/Ma/en residency/Cm/en) plan/Cc.s/en)))</t>
  </si>
  <si>
    <t>Abductions, lawlessness: Amnesty International slams pro-Kiev ‘vigilantes</t>
  </si>
  <si>
    <t>(slams/Pd.sso.|f--3s-/en (+/B.mm/. abductions/Cc.p/en lawlessness/Cc.s/en) (+/B.am/. amnesty/Cp.s/en international/Cp.s/en) (pro/Ma/en (-/Ma/en (kiev/Ma/en vigilantes/Cc.p/en))))</t>
  </si>
  <si>
    <t>Venezuela security forces block protesters in Caracas</t>
  </si>
  <si>
    <t>(block/Pd.so.|f-----/en (+/B.am/. venezuela/Cp.s/en (+/B.am/. security/Cc.s/en forces/Cc.p/en)) (in/Br.ma/en protesters/Cc.p/en caracas/Cp.s/en))</t>
  </si>
  <si>
    <t>Car bomb kills 30 outside Yemen police college</t>
  </si>
  <si>
    <t>(kills/Pd.soo.|f--3s-/en (+/B.am/. car/Cc.s/en bomb/Cc.s/en) (outside/Br.ma/en 30/C#/en yemen/Cp.s/en) (+/B.am/. police/Cc.s/en college/Cc.s/en))</t>
  </si>
  <si>
    <t>Israel’s Prime Minister Benjamin Netanyahu accused Hamas Sunday of having kidnapped three teenagers who went missing in the West Bank earlier this week, while US Secretary of State John Kerry pointed to the group’s potential involvement</t>
  </si>
  <si>
    <t>(accused/Pd.soxxx.&lt;f-----/en (+/B.am/. (’s/Bp.am/en israel/Cp.s/en (+/B.am/. prime/Cp.s/en minister/Cp.s/en)) (+/B.am/. benjamin/Cp.s/en netanyahu/Cp.s/en)) hamas/Cp.s/en sunday/Cp.s/en (of/Tt/en ((having/Mv.|pg----/en kidnapped/P.o?.&lt;pf----/en) (three/M#/en teenagers/Cc.p/en) (went/P.scx.&lt;f-----/en who/Cw/en (missing/Pd.x.|pg----/en (in/Mt/en (the/Md/en (+/B.am/. west/Cp.s/en bank/Cp.s/en)))) (earlier/M=/en (this/Md/en week/Cc.s/en))))) (while/T/en (pointed/Pd.sx.&lt;f-----/en (+/B.am/. (of/Br.ma/en (+/B.aa/. us/Cm/en secretary/Cm/en) state/Cp.s/en) (+/B.am/. john/Cp.s/en kerry/Cp.s/en)) (to/T/en (’s/Bp.am/en (the/Md/en group/Cc.s/en) (potential/Ma/en involvement/Cc.s/en))))))</t>
  </si>
  <si>
    <t>Serbia's Pro-EU Ruling Party Gets Landslide Win</t>
  </si>
  <si>
    <t>(gets/Pd.so.|f--3s-/en ('s/Bp.am/en serbia/Cp.s/en (pro/Ma/en (-/Ma/en (eu/Ma/en (+/B.am/. ruling/Cp.s/en party/Cp.s/en))))) (+/B.am/. landslide/Cp.s/en win/Cp.s/en))</t>
  </si>
  <si>
    <t>North Korea's behavior suggests a possible EMP strike against the U.S.</t>
  </si>
  <si>
    <t>(suggests/Pd.so.|f--3s-/en ('s/Bp.am/en (+/B.am/. north/Cp.s/en korea/Cp.s/en) behavior/Cc.s/en) (against/Br.ma/en (a/Md/en (possible/Ma/en (+/B.am/. emp/Cc.s/en strike/Cc.s/en))) (the/Md/en u%2es%2e/Cp.s/en)))</t>
  </si>
  <si>
    <t>China is building the world's first migratory ‘Bird Airport</t>
  </si>
  <si>
    <t>((is/Mv.|f--3s-/en building/Pd.so.|pg----/en) china/Cp.s/en ('s/Bp.am/en (the/Md/en world/Cc.s/en) (first/Ma/en (+/B.am/. migratory/Cm/en (+/B.am/. bird/Cp.s/en airport/Cp.s/en)))))</t>
  </si>
  <si>
    <t>Fiber-optic cable break; shuts down phones, banking in Northern Mariana Islands</t>
  </si>
  <si>
    <t>((down/Ml/en shuts/Pd.so.|f--3s-/en) ((fiber/M/en optic/M/en) (+/B.am/. cable/Cc.s/en break/Cc.s/en)) (+/B.mm/. phones/Cc.p/en (in/Br.ma/en banking/Cc.s/en (+/B.am/. northern/Cp.s/en (+/B.am/. mariana/Cp.s/en islands/Cp.p/en)))))</t>
  </si>
  <si>
    <t>Russian actions in Ukraine could cause problems for Arctic Council</t>
  </si>
  <si>
    <t>((could/Mm/en cause/Pd.so.-i-----/en) (in/Br.ma/en (russian/Ma/en actions/Cc.p/en) ukraine/Cp.s/en) (for/Br.ma/en problems/Cc.p/en (+/B.am/. arctic/Cp.s/en council/Cp.s/en)))</t>
  </si>
  <si>
    <t>700 in Singapore hold vigil for Orlando gay club shooting victims</t>
  </si>
  <si>
    <t>(hold/Pd.so.|f-----/en (in/Br.ma/en 700/C#/en singapore/Cp.s/en) (for/Br.ma/en vigil/Cc.s/en (+/B.am/. (+/B.mm/. (+/B.am/. orlando/Cp.s/en (+/B.am/. gay/Cc.s/en club/Cc.s/en)) shooting/Cc.s/en) victims/Cc.p/en)))</t>
  </si>
  <si>
    <t>Chinese diplomats face ivory trafficking probe</t>
  </si>
  <si>
    <t>(face/Pd.so.|f-----/en (chinese/Ma/en diplomats/Cc.p/en) (+/B.am/. (+/B.am/. ivory/Cc.s/en trafficking/Cc.s/en) probe/Cc.s/en))</t>
  </si>
  <si>
    <t>ISIS builds its own encrypted Android messaging app</t>
  </si>
  <si>
    <t>(builds/Pd.so.|f--3s-/en isis/Cp.s/en (its/Mp/en (own/Ma/en (encrypted/Mv.&lt;pf----/en (+/B.am/. android/Cp.s/en (+/B.am/. messaging/C/en app/Cc.s/en))))))</t>
  </si>
  <si>
    <t>grant</t>
  </si>
  <si>
    <t>Nazi hunter Beate Klarsfeld granted Israeli citizenship</t>
  </si>
  <si>
    <t>(granted/Pd.so.&lt;f-----/en (+/B.am/. (nazi/Ma/en hunter/Cc.s/en) (+/B.am/. beate/Cp.s/en klarsfeld/Cp.s/en)) (israeli/Ma/en citizenship/Cc.s/en))</t>
  </si>
  <si>
    <t>Afghan special forces raid medical aid group Médecins Sans Frontières (MSF)’s hospital</t>
  </si>
  <si>
    <t>(raid/Pd.so.|f-----/en (afghan/Ma/en (special/Ma/en forces/Cc.p/en)) (+/B.mm/. (’s/Bp.am/en (+/B.am/. (+/B.am/. (medical/Ma/en aid/Cc.s/en) group/Cc.s/en) (+/B.am/. médecins/Cp.s/en (+/B.am/. sans/Cp.p/en frontières/Cp.s/en))) msf/Cp.s/en) hospital/Cc.s/en))</t>
  </si>
  <si>
    <t>China opposes sanctions on Russia over Ukraine</t>
  </si>
  <si>
    <t>(opposes/Pd.so.|f--3s-/en china/Cp.s/en (over/Br.ma/en (on/Br.ma/en sanctions/Cc.p/en russia/Cp.s/en) ukraine/Cp.s/en))</t>
  </si>
  <si>
    <t>Giant comets may threaten Earth</t>
  </si>
  <si>
    <t>((may/Mm/en threaten/Pd.so.-i-----/en) (giant/Ma/en comets/Cc.p/en) earth/Cp.s/en)</t>
  </si>
  <si>
    <t>deport</t>
  </si>
  <si>
    <t>U.S. to deport Pakistani Mosque leader for Immigration Fraud</t>
  </si>
  <si>
    <t>((to/Mi/en deport/Pd.so.-i-----/en) u%2es%2e/Cp.s/en (for/Br.ma/en (+/B.am/. (+/B.am/. pakistani/Cp.s/en mosque/Cp.s/en) leader/Cc.s/en) (+/B.am/. immigration/Cp.s/en fraud/Cp.s/en)))</t>
  </si>
  <si>
    <t>U.S., Iran reach historic nuclear 'understanding</t>
  </si>
  <si>
    <t>(reach/Pd.sso.|f-----/en u%2es%2e/Cp.s/en iran/Cp.s/en (historic/Ma/en (nuclear/M/en understanding/Cc.s/en)))</t>
  </si>
  <si>
    <t>North Korea says US sanctions on leader "a declaration of war</t>
  </si>
  <si>
    <t>(says/Pd.so.|f--3s-/en (+/B.am/. north/Cp.s/en korea/Cp.s/en) (+/B.mm/. (+/B.am/. us/Cp.s/en sanctions/Cc.p/en) (on/Br.ma/en leader/Cc.s/en (of/Br.ma/en (a/Md/en declaration/Cc.s/en) war/Cc.s/en))))</t>
  </si>
  <si>
    <t>President of Gambia says homosexuality one of three greatest threats to humanity</t>
  </si>
  <si>
    <t>(says/Pd.so.|f--3s-/en (of/Br.ma/en president/Cp.s/en gambia/Cp.s/en) (+/B.mm/. homosexuality/Cc.s/en (of/Br.ma/en one/C#/en (to/Br.ma/en (three/M#/en (greatest/Ms/en threats/Cc.p/en)) humanity/Cc.s/en))))</t>
  </si>
  <si>
    <t>US Pushes Cyber-war Confrontation with China</t>
  </si>
  <si>
    <t>(pushes/Pd.so.|f--3s-/en us/Cp.s/en (with/Br.ma/en (+/B.am/. (+/B.am/. cyber/Cp.s/en war/Cc.s/en) confrontation/Cp.s/en) china/Cp.s/en))</t>
  </si>
  <si>
    <t>Israeli Airstrike Kills 4 Militants in Gaza</t>
  </si>
  <si>
    <t>(kills/P.so.-------/en (israeli/Ma/en airstrike/Cp.s/en) (in/Br.ma/en (4/M#/en militants/Cp.p/en) gaza/Cp.s/en))</t>
  </si>
  <si>
    <t>Wikipedia fight takes both sides</t>
  </si>
  <si>
    <t>(takes/Pd.so.|f--3s-/en (+/B.am/. wikipedia/Cp.s/en fight/Cc.s/en) (both/Md/en sides/Cc.p/en))</t>
  </si>
  <si>
    <t>Police launch criminal case over David Miranda data</t>
  </si>
  <si>
    <t>(launch/Pd.so.|f-----/en police/Cc.p/en (over/Br.ma/en (criminal/Ma/en case/Cc.s/en) (+/B.am/. (+/B.am/. david/Cp.s/en miranda/Cp.s/en) data/Cc.p/en)))</t>
  </si>
  <si>
    <t>China to build Africa's biggest university library in Tanzania</t>
  </si>
  <si>
    <t>((to/Mi/en build/Pd.so.-i-----/en) china/Cp.s/en (in/Br.ma/en ('s/Bp.am/en africa/Cp.s/en (biggest/Ms/en (+/B.am/. university/Cc.s/en library/Cc.s/en))) tanzania/Cp.s/en))</t>
  </si>
  <si>
    <t>Benelux countries sign air defence pact</t>
  </si>
  <si>
    <t>(sign/Pd.so.|f-----/en (+/B.am/. benelux/Cp.s/en countries/Cc.p/en) (+/B.am/. (+/B.am/. air/Cc.s/en defence/Cc.s/en) pact/Cc.s/en))</t>
  </si>
  <si>
    <t>pressure</t>
  </si>
  <si>
    <t>Nineteen former leaders from Latin America and Spain are pressuring Venezuela to release opposition politicians who have been detained</t>
  </si>
  <si>
    <t>((are/Mv.|f-----/en pressuring/Pd.sor.|pg----/en) (from/Br.ma/en (nineteen/M#/en (former/Ma/en leaders/Cc.p/en)) (and/J/en (+/B.am/. latin/Cp.s/en america/Cp.s/en) spain/Cp.s/en)) venezuela/Cp.s/en ((to/Mi/en release/P.o?.-i-----/en) (+/B.am/. opposition/Cc.s/en politicians/Cc.p/en) ((have/Mv.|f-----/en (been/Mv.&lt;pf----/en detained/P.p.&lt;pf----/en)) who/Cw/en)))</t>
  </si>
  <si>
    <t>list</t>
  </si>
  <si>
    <t>DPRK lists crimes of detained American</t>
  </si>
  <si>
    <t>(lists/Pd.so.|f--3s-/en dprk/Cc.s/en (of/Br.ma/en crimes/Cc.p/en (detained/Mv.&lt;pf----/en american/Cp.s/en)))</t>
  </si>
  <si>
    <t>Telegraph: Scotland Overwhelmingly Rejects Independence</t>
  </si>
  <si>
    <t>((overwhelmingly/M/en rejects/Pd.sso.|f--3s-/en) telegraph/Cc.s/en scotland/Cp.s/en independence/Cc.s/en)</t>
  </si>
  <si>
    <t>US tells Turkey not to worry about Zanjani case</t>
  </si>
  <si>
    <t>(tells/Pd.sor.|f--3s-/en us/Cp.s/en turkey/Cp.s/en ((not/Mn/en (to/Mi/en worry/P.x.-i-----/en)) (about/T/en (+/B.am/. zanjani/Cp.s/en case/Cc.s/en))))</t>
  </si>
  <si>
    <t>President Correa gives his 2015 state of the union address</t>
  </si>
  <si>
    <t>(gives/Pd.so.|f--3s-/en (+/B.am/. president/Cp.s/en correa/Cp.s/en) (of/Br.ma/en (his/Mp/en (2015/M#/en state/Cc.s/en)) (the/Md/en (+/B.am/. union/Cc.s/en address/Cc.s/en))))</t>
  </si>
  <si>
    <t>bloody</t>
  </si>
  <si>
    <t>ISIS bloodies heart of Beirut's southern suburbs</t>
  </si>
  <si>
    <t>(bloodies/Pd.so.|f--3s-/en isis/Cp.s/en (of/Br.ma/en heart/Cc.s/en ('s/Bp.am/en beirut/Cp.s/en (southern/Ma/en suburbs/Cc.p/en))))</t>
  </si>
  <si>
    <t>France's parliament passes gay marriage bill</t>
  </si>
  <si>
    <t>(passes/Pd.so.|f--3s-/en ('s/Bp.am/en france/Cp.s/en parliament/Cc.s/en) (gay/Ma/en (+/B.am/. marriage/Cc.s/en bill/Cc.s/en)))</t>
  </si>
  <si>
    <t>US expresses concern over security of Pakistan’s Nuclear weapons</t>
  </si>
  <si>
    <t>(expresses/Pd.so.|f--3s-/en us/Cp.s/en (over/Br.ma/en concern/Cc.s/en (of/Br.ma/en security/Cc.s/en (’s/Bp.am/en pakistan/Cp.s/en (nuclear/Ma/en weapons/Cc.p/en)))))</t>
  </si>
  <si>
    <t>Poor Sanitation Is Costing The World $260 Billion Every Year</t>
  </si>
  <si>
    <t>((is/Mv.|f--3s-/en costing/Pd.soo.|pg----/en) (+/B.am/. poor/Cp.s/en sanitation/Cp.s/en) (the/Md/en world/Cp.s/en) ($/M/en (260/M#/en (+/B.ma/. billion/C#/en (every/Md/en year/Cc.s/en)))))</t>
  </si>
  <si>
    <t>Philippines kills impeachment complaint against Rodrigo Duterte</t>
  </si>
  <si>
    <t>(kills/Pd.so.|f--3s-/en philippines/Cp.s/en (against/Br.ma/en (+/B.am/. impeachment/Cc.s/en complaint/Cc.s/en) (+/B.am/. rodrigo/Cp.s/en duterte/Cp.s/en)))</t>
  </si>
  <si>
    <t>loosen</t>
  </si>
  <si>
    <t>Germany loosens restrictions on monitoring radicalised teenagers</t>
  </si>
  <si>
    <t>(loosens/Pd.so.|f--3s-/en germany/Cp.s/en (on/Jr.ma/en restrictions/Cc.p/en (monitoring/P.o.|pg----/en (radicalised/Mv.&lt;pf----/en teenagers/Cc.p/en))))</t>
  </si>
  <si>
    <t>Ukraine Alleges Russian Disregard For Black Sea Fleet Agreement In Crimea</t>
  </si>
  <si>
    <t>(alleges/P.so.-------/en ukraine/Cp.s/en (for/Br.ma/en (russian/Ma/en disregard/Cp.s/en) (in/Br.ma/en (+/B.am/. (+/B.am/. black/Cp.s/en sea/Cp.s/en) (+/B.am/. fleet/Cp.s/en agreement/Cp.s/en)) crimea/Cp.s/en)))</t>
  </si>
  <si>
    <t>Worried US warns North Korea, boosts troops to South</t>
  </si>
  <si>
    <t>(warns/Pd.sor.|f--3s-/en (worried/Mv.&lt;pf----/en us/Cp.s/en) (+/B.am/. north/Cp.s/en korea/Cp.s/en) (boosts/P.ox.|f--3s-/en troops/Cc.p/en (to/T/en south/Cp.s/en)))</t>
  </si>
  <si>
    <t>Beer run stirs legal fight over Canadian trade laws</t>
  </si>
  <si>
    <t>(stirs/Pd.so.|f--3s-/en (+/B.am/. beer/Cc.s/en run/Cc.s/en) (over/Br.ma/en (legal/Ma/en fight/Cc.s/en) (canadian/Ma/en (+/B.am/. trade/Cc.s/en laws/Cc.p/en))))</t>
  </si>
  <si>
    <t>Russia hasn't signed the Ukraine deal (photo of the document in comments</t>
  </si>
  <si>
    <t>((has/Mv.|f--3s-/en (n't/Mn/en signed/Pd.so.&lt;pf----/en)) russia/Cp.s/en (+/B.mm/. (the/Md/en (+/B.am/. ukraine/Cp.s/en deal/Cc.s/en)) (of/Br.ma/en photo/Cc.s/en (in/Br.ma/en (the/Md/en document/Cc.s/en) comments/Cc.p/en))))</t>
  </si>
  <si>
    <t>Taiwan university students storms government HQ</t>
  </si>
  <si>
    <t>(storms/Pd.so.|f--3s-/en (+/B.am/. taiwan/Cp.s/en (+/B.am/. university/Cc.s/en students/Cc.p/en)) (+/B.am/. government/Cc.s/en hq/Cp.s/en))</t>
  </si>
  <si>
    <t>characterize</t>
  </si>
  <si>
    <t>Abandonment and Empty Streets Characterize Crisis in Rio</t>
  </si>
  <si>
    <t>(characterize/Pd.so.|f-----/en (+/B.am/. (and/J/en abandonment/Cm/en empty/Cp.s/en) streets/Cp.p/en) (in/Br.ma/en crisis/Cp.s/en rio/Cp.s/en))</t>
  </si>
  <si>
    <t>surpass</t>
  </si>
  <si>
    <t>Taiwanese presidential candidate Tsai Ing-wen surpasses 50% support in latest polls</t>
  </si>
  <si>
    <t>(surpasses/Pd.so.|f--3s-/en (+/B.am/. (taiwanese/Ma/en (presidential/Ma/en candidate/Cc.s/en)) (+/B.am/. tsai/Cp.s/en (+/B.am/. ing/Cp.s/en wen/Cp.s/en))) (in/Br.ma/en (+/B.am/. (50/M#/en %25/Cc.s/en) support/Cc.s/en) (latest/Ms/en polls/Cc.p/en)))</t>
  </si>
  <si>
    <t>They have trained wild monitor lizards, known locally as goannas, not to eat the toxic amphibians</t>
  </si>
  <si>
    <t>((have/Mv.|f-----/en trained/Pd.so.&lt;pf----/en) they/Ci/en (,/J/en (+/B.am/. (wild/Ma/en monitor/Cc.s/en) lizards/Cc.p/en) ((locally/M/en known/P.xr.&lt;pf----/en) (as/T/en goannas/Cc.p/en) ((not/Mn/en (to/Mi/en eat/P.o.-i-----/en)) (the/Md/en (toxic/Ma/en amphibians/Cc.p/en))))))</t>
  </si>
  <si>
    <t>His senators to support carbon tax repeal so long as the savings “by law, are transferred into lower energy costs for everyday Australians</t>
  </si>
  <si>
    <t>((to/Mi/en support/Pd.so?.-i-----/en) (his/Mp/en senators/Cc.p/en) (+/B.am/. (+/B.am/. carbon/Cc.s/en tax/Cc.s/en) repeal/Cc.s/en) (((so/M/en long/M/en) as/T/en) ((are/Mv.|f-----/en transferred/Pd.px.&lt;pf----/en) (by/Br.ma/en (the/Md/en savings/Cc.p/en) law/Cc.s/en) (into/T/en (for/Br.ma/en (lower/Mc/en (+/B.am/. energy/Cc.s/en costs/Cc.p/en)) (everyday/Ma/en australians/Cp.p/en))))))</t>
  </si>
  <si>
    <t>deploy</t>
  </si>
  <si>
    <t>Obama deploying more Special Forces &amp; Ospreys in Uganda</t>
  </si>
  <si>
    <t>(deploying/Pd.so.|pg----/en obama/Cp.s/en (in/Br.ma/en (%26/J/en (more/Mc/en (+/B.am/. special/Cp.s/en forces/Cp.p/en)) ospreys/Cp.s/en) uganda/Cp.s/en))</t>
  </si>
  <si>
    <t>China Says Its Working with Latin America for a New World Order</t>
  </si>
  <si>
    <t>(says/Pd.so.|f--3s-/en china/Cp.s/en (for/Br.ma/en (with/Br.ma/en (its/Mp/en working/Cp.s/en) (+/B.am/. latin/Cp.s/en america/Cp.s/en)) (a/Md/en (+/B.am/. (+/B.am/. new/Cp.s/en world/Cp.s/en) order/Cp.s/en))))</t>
  </si>
  <si>
    <t>rename</t>
  </si>
  <si>
    <t>Turkish Airlines renames their Istanbul Airport Lounge the July 15 Democracy Heroes Lounge</t>
  </si>
  <si>
    <t>(renames/Pd.soo.|f--3s-/en (+/B.am/. turkish/Cp.s/en airlines/Cp.p/en) (their/Mp/en (+/B.am/. istanbul/Cp.s/en (+/B.am/. airport/Cp.s/en lounge/Cp.s/en))) (the/Md/en (+/B.am/. (15/M#/en july/Cm/en) (+/B.am/. democracy/Cp.s/en (+/B.am/. heroes/Cp.p/en lounge/Cp.s/en)))))</t>
  </si>
  <si>
    <t>Protests in Turkey Threaten Erdogans Political Future</t>
  </si>
  <si>
    <t>(threaten/Pd.so.&lt;f-----/en (in/Br.ma/en protests/Cc.p/en turkey/Cp.s/en) (+/B.am/. erdogans/Cp.p/en (+/B.am/. political/Cp.s/en future/Cp.s/en)))</t>
  </si>
  <si>
    <t>Turkish F-16s shoot down Russian fighter jet near Syria border</t>
  </si>
  <si>
    <t>((down/Ml/en shoot/Pd.so.|f-----/en) (turkish/Ma/en f-16s/Cc.p/en) (near/Br.ma/en (russian/Ma/en (+/B.am/. fighter/Cc.s/en jet/Cc.s/en)) (+/B.am/. syria/Cp.s/en border/Cc.s/en)))</t>
  </si>
  <si>
    <t>Taliban attack in Afghanistan kills six policemen</t>
  </si>
  <si>
    <t>(kills/Pd.so.|f--3s-/en (in/Br.ma/en (+/B.am/. taliban/Cp.s/en attack/Cc.s/en) afghanistan/Cp.s/en) (six/M#/en policemen/Cc.p/en))</t>
  </si>
  <si>
    <t>Explosion near Syria-Turkey border crossing kills dozens</t>
  </si>
  <si>
    <t>(kills/Pd.so.|f--3s-/en (near/Br.ma/en explosion/Cc.s/en (+/B.am/. (+/B.am/. (+/B.am/. syria/Cp.s/en turkey/Cp.s/en) border/Cc.s/en) crossing/Cc.s/en)) dozens/Cc.p/en)</t>
  </si>
  <si>
    <t>U.S. tax code may allow dramatic retaliation in EU Apple case</t>
  </si>
  <si>
    <t>((may/Mm/en allow/Pd.so.-i-----/en) (+/B.am/. u%2es%2e/Cp.s/en (+/B.am/. tax/Cc.s/en code/Cc.s/en)) (in/Br.ma/en (dramatic/Ma/en retaliation/Cc.s/en) (+/B.am/. eu/Cp.s/en (+/B.am/. apple/Cp.s/en case/Cc.s/en))))</t>
  </si>
  <si>
    <t>Myanmar Parliament Chairman Says Nominees for Country's Next President, 2 Vice Presidents Will Be Revealed March 17</t>
  </si>
  <si>
    <t>(says/Pd.sor.|f--3s-/en (+/B.am/. myanmar/Cp.s/en (+/B.am/. parliament/Cp.s/en chairman/Cp.s/en)) (for/Br.ma/en nominees/Cp.s/en ('s/Bp.am/en country/Cp.s/en (+/B.am/. next/Cp.s/en president/Cp.s/en))) ((will/Mm/en (be/Mv.-i-----/en revealed/P.px.&lt;pf----/en)) (2/M#/en (+/B.am/. vice/Cp.s/en presidents/Cc.p/en)) (17/M#/en march/Cp.s/en)))</t>
  </si>
  <si>
    <t>Greece pledges swift punishment over farm shooting</t>
  </si>
  <si>
    <t>(pledges/Pd.so.|f--3s-/en greece/Cp.s/en (over/Br.ma/en (swift/Ma/en punishment/Cc.s/en) (+/B.am/. farm/Cc.s/en shooting/Cc.s/en)))</t>
  </si>
  <si>
    <t>Brazil Rejects Israel's Ambassador; Israel Threatens Relations Downgrade : NPR</t>
  </si>
  <si>
    <t>(threatens/Pd.rso?.|f--3s-/en (rejects/P.so.|f--3s-/en brazil/Cp.s/en ('s/Bp.am/en israel/Cp.s/en ambassador/Cp.s/en)) israel/Cp.s/en (+/B.am/. relations/Cp.p/en downgrade/Cp.s/en) npr/Cp.s/en)</t>
  </si>
  <si>
    <t>Incompetent" cops, regrets over his own investigation, promises to protect Sun journalists: a secret recording reveals Rupert Murdoch's real attitudes to the scandal that has engulfed his empire</t>
  </si>
  <si>
    <t>(reveals/Pd.rso.|f--3s-/en (regrets/P.sx?.|f--3s-/en (incompetent/Ma/en cops/Cc.p/en) (over/T/en (his/Mp/en (own/Ma/en investigation/Cc.s/en))) (promises/Pd.r.|f--3s-/en ((to/Mi/en protect/P.o.-i-----/en) (+/B.am/. sun/Cp.s/en journalists/Cc.p/en)))) (a/Md/en (secret/Ma/en recording/Cc.s/en)) ('s/Bp.am/en (+/B.am/. rupert/Cp.s/en murdoch/Cp.s/en) (real/Ma/en (+/B.mm/. attitudes/Cc.p/en (to/Jr.ma/en (the/Md/en scandal/Cc.s/en) ((has/Mv.|f--3s-/en engulfed/P.so.&lt;pf----/en) that/C/en (his/Mp/en empire/Cc.s/en)))))))</t>
  </si>
  <si>
    <t>North Korea Threatens 'Merciless' Strike Against US-South Korea Drill</t>
  </si>
  <si>
    <t>(threatens/Pd.so.|f--3s-/en (+/B.am/. north/Cp.s/en korea/Cp.s/en) (against/Br.ma/en (+/B.am/. merciless/Cm/en strike/Cc.s/en) (+/B.am/. (+/B.am/. us/Cp.s/en (+/B.am/. south/Cp.s/en korea/Cp.s/en)) drill/Cc.s/en)))</t>
  </si>
  <si>
    <t>Toronto mayor Rob Ford reportedly denied entry to US</t>
  </si>
  <si>
    <t>((reportedly/M/en denied/Pd.so.&lt;f-----/en) (+/B.am/. (+/B.am/. toronto/Cp.s/en mayor/Cc.s/en) (+/B.am/. rob/Cp.s/en ford/Cp.s/en)) (to/Br.ma/en entry/Cc.s/en us/Cp.s/en))</t>
  </si>
  <si>
    <t>Malaysian Prime Minister Najib Razak starts move for legal action over Wall Street Journal</t>
  </si>
  <si>
    <t>(starts/Pd.so.|f--3s-/en (+/B.am/. (malaysian/Ma/en (+/B.am/. prime/Cp.s/en minister/Cp.s/en)) (+/B.am/. najib/Cp.s/en razak/Cp.s/en)) (for/Br.ma/en move/C/en (over/Br.ma/en (legal/Ma/en action/Cc.s/en) (+/B.am/. (+/B.am/. wall/Cp.s/en street/Cp.s/en) journal/Cp.s/en))))</t>
  </si>
  <si>
    <t>Ukraine ceasefire talks 'make significant progress</t>
  </si>
  <si>
    <t>(make/Pd.so.-i-----/en (+/B.am/. (ukraine/Ma/en ceasefire/Cc.s/en) talks/Cc.p/en) (significant/Ma/en progress/Cc.s/en))</t>
  </si>
  <si>
    <t>Sri Lanka to review Tata housing project</t>
  </si>
  <si>
    <t>((to/Mi/en review/Pd.so.-i-----/en) (+/B.am/. sri/Cp.s/en lanka/Cp.s/en) (+/B.am/. tata/Cp.s/en (+/B.am/. housing/Cc.s/en project/Cc.s/en)))</t>
  </si>
  <si>
    <t>Germany is currently enjoying a boom in its global reputation</t>
  </si>
  <si>
    <t>((is/Mv.|f--3s-/en (currently/M/en enjoying/Pd.so.|pg----/en)) germany/Cp.s/en (in/Br.ma/en (a/Md/en boom/Cc.s/en) (its/Mp/en (global/Ma/en reputation/Cc.s/en))))</t>
  </si>
  <si>
    <t>Russia is considering plans for a 12,400-mile superhighway from London to Alaska</t>
  </si>
  <si>
    <t>((is/Mv.|f--3s-/en considering/Pd.so.|pg----/en) russia/Cp.s/en (for/Br.ma/en plans/Cc.p/en (to/Br.ma/en (from/Br.ma/en (a/Md/en (+/B.am/. (12,400/M#/en mile/Cc.s/en) superhighway/Cc.s/en)) london/Cp.s/en) alaska/Cp.s/en)))</t>
  </si>
  <si>
    <t>EU condemns 'arbitrary' Nemtsov funeral bans</t>
  </si>
  <si>
    <t>(condemns/Pd.so.|f--3s-/en eu/Cp.s/en (arbitrary/Ma/en (+/B.am/. (+/B.am/. nemtsov/Cp.s/en funeral/Cc.s/en) bans/C/en)))</t>
  </si>
  <si>
    <t>promote</t>
  </si>
  <si>
    <t>South African schools can no longer promote a single religion</t>
  </si>
  <si>
    <t>((can/Mm/en ((no/Mn/en longer/M/en) promote/Pd.so.-i-----/en)) ((south/Ma/en african/Ma/en) schools/Cc.p/en) (a/Md/en (single/Ma/en religion/Cc.s/en)))</t>
  </si>
  <si>
    <t>Russia showcases Syria hardware in grand Red Square military parade</t>
  </si>
  <si>
    <t>(showcases/Pd.so.|f--3s-/en russia/Cp.s/en (in/Br.ma/en (+/B.am/. syria/Cp.s/en hardware/Cc.s/en) (grand/Ma/en (+/B.am/. (+/B.aa/. red/Cm/en square/Cm/en) (military/Ma/en parade/Cc.s/en)))))</t>
  </si>
  <si>
    <t>bust</t>
  </si>
  <si>
    <t>Russian Police Bust a Criminal Cheese Ring</t>
  </si>
  <si>
    <t>(bust/Pd.so.-i-----/en (russian/Ma/en police/Cc.p/en) (a/Md/en (+/B.am/. (+/B.am/. criminal/Cp.s/en cheese/Cc.s/en) ring/Cc.s/en)))</t>
  </si>
  <si>
    <t>Egypt blocks more internet sites</t>
  </si>
  <si>
    <t>(blocks/Pd.so.|f--3s-/en egypt/Cp.s/en (more/Mc/en (+/B.am/. internet/Cc.s/en sites/Cc.p/en)))</t>
  </si>
  <si>
    <t>Endangered St. Lawrence belugas show early signs of baby boom</t>
  </si>
  <si>
    <t>(show/Pd.so.|f-----/en (+/B.am/. (+/B.am/. endangered/Cp.s/en st%2e/Cp.s/en) (+/B.am/. lawrence/Cp.s/en belugas/Cp.s/en)) (of/Br.ma/en (early/Ma/en signs/Cc.p/en) (+/B.am/. baby/Cc.s/en boom/Cc.s/en)))</t>
  </si>
  <si>
    <t>7.3 quake hits China`s Xinjiang, leaves trail of destruction</t>
  </si>
  <si>
    <t>(hits/Pd.so?.|f--3s-/en (7%2e3/M#/en quake/Cc.s/en) (+/B.am/. china`s/Cp.s/en xinjiang/Cp.s/en) (leaves/Pd.o.|f--3s-/en (of/Br.ma/en trail/Cc.s/en destruction/Cc.s/en)))</t>
  </si>
  <si>
    <t>Kurdish protesters storm the Conservative Party's campaign headquarters in London</t>
  </si>
  <si>
    <t>(storm/Pd.so.|f-----/en (kurdish/Ma/en protesters/Cc.p/en) (in/Br.ma/en ('s/Bp.am/en (the/Md/en (+/B.am/. conservative/Cp.s/en party/Cp.s/en)) (+/B.am/. campaign/Cc.s/en headquarters/Cc.p/en)) london/Cp.s/en))</t>
  </si>
  <si>
    <t>Dam bursts in Brazil, 15+ feared dead</t>
  </si>
  <si>
    <t>(feared/Pd.so.&lt;f-----/en (+/B.mm/. (+/B.mm/. (in/Br.ma/en (+/B.am/. dam/Cc.s/en bursts/Cc.p/en) brazil/Cp.s/en) 15/C#/en) +/C/en) dead/Ca/en)</t>
  </si>
  <si>
    <t>Researchers discover massive freshwater reserves beneath the oceans</t>
  </si>
  <si>
    <t>(discover/Pd.so.|f-----/en researchers/Cc.p/en (beneath/Br.ma/en (massive/Ma/en (freshwater/M/en reserves/Cc.p/en)) (the/Md/en oceans/Cc.p/en)))</t>
  </si>
  <si>
    <t>ISIS Claims Responsibility In Turkish Nightclub Attack; U.S. Man Among The Wounded</t>
  </si>
  <si>
    <t>(claims/P.so?.-------/en isis/Cp.s/en (in/Br.ma/en responsibility/Cc.s/en (turkish/Ma/en (+/B.am/. nightclub/Cp.s/en attack/Cp.s/en))) (among/Br.ma/en (+/B.am/. u%2es%2e/Cp.s/en man/Cp.s/en) (the/Md/en wounded/C/en)))</t>
  </si>
  <si>
    <t>ISIS Destroys Assyrian Churches, Holds Hostages</t>
  </si>
  <si>
    <t>(destroys/Pd.so?.|f--3s-/en isis/Cp.s/en (assyrian/Ma/en churches/Cc.p/en) (holds/Pd.o.|f--3s-/en hostages/Cc.p/en))</t>
  </si>
  <si>
    <t>Germany Seeks a New Longest Word</t>
  </si>
  <si>
    <t>(seeks/Pd.so.|f--3s-/en germany/Cp.s/en (a/Md/en (+/B.am/. new/Cp.s/en (+/B.am/. longest/Cp.s/en word/Cp.s/en))))</t>
  </si>
  <si>
    <t>The Council of Europe on Tuesday blasted Kiev for failing to properly investigate deadly violence against demonstrators in last year's Maidan protests that ended with pro -Russian president Viktor Yanukovych's downfall</t>
  </si>
  <si>
    <t>(blasted/Pd.sxox.&lt;f-----/en (of/Br.ma/en (the/Md/en council/Cp.s/en) europe/Cp.s/en) (on/Tt/en tuesday/Cp.s/en) kiev/Cp.s/en (for/Tt/en (failing/P.r?.|pg----/en ((to/Mi/en (properly/M/en investigate/P.ox.-i-----/en)) (against/Br.ma/en (deadly/Ma/en violence/Cc.s/en) demonstrators/Cc.p/en) (in/Tt/en ('s/Bp.am/en (last/Ma/en year/Cc.s/en) (+/B.am/. maidan/Cp.s/en protests/Cc.p/en)))) (ended/P.sxo.&lt;f-----/en that/C/en (with/T/en (pro/Ma/en (-/Ma/en (russian/Ma/en president/Cc.s/en)))) ('s/Bp.am/en (+/B.am/. viktor/Cp.s/en yanukovych/Cp.s/en) downfall/Cc.s/en)))))</t>
  </si>
  <si>
    <t>Kim Dotcom case threatens New Zealand Government</t>
  </si>
  <si>
    <t>(threatens/Pd.so.|f--3s-/en (+/B.am/. (+/B.am/. kim/Cp.s/en dotcom/Cp.s/en) case/Cc.s/en) (+/B.am/. (+/B.am/. new/Cp.s/en zealand/Cp.s/en) government/Cp.s/en))</t>
  </si>
  <si>
    <t>Nato accepts Afghan leader Karzai's air strikes decree</t>
  </si>
  <si>
    <t>(accepts/Pd.so.|f--3s-/en nato/Cp.s/en ('s/Bp.am/en (+/B.am/. (afghan/Ma/en leader/Cc.s/en) karzai/Cp.s/en) (+/B.am/. (+/B.am/. air/Cc.s/en strikes/Cc.p/en) decree/Cc.s/en)))</t>
  </si>
  <si>
    <t>Explosion in night market the Philippines killed 10, injured 60</t>
  </si>
  <si>
    <t>(killed/Pd.so?.&lt;f-----/en (in/Br.ma/en explosion/Cc.s/en (in/Br.ma/en (+/B.am/. night/Cc.s/en market/Cc.s/en) (the/Md/en philippines/Cp.p/en))) 10/C#/en (injured/Pd.o.&lt;f-----/en 60/C#/en))</t>
  </si>
  <si>
    <t>Beijing Steps Up Crackdown on Hong Kong Lawmakers</t>
  </si>
  <si>
    <t>((up/Ml/en steps/Pd.so.|f--3s-/en) beijing/Cp.s/en (on/Br.ma/en crackdown/Cc.s/en (+/B.am/. (+/B.am/. hong/Cp.s/en kong/Cp.s/en) lawmakers/Cc.p/en)))</t>
  </si>
  <si>
    <t>Interpol gets request for ousted Ukrainian president's arrest</t>
  </si>
  <si>
    <t>(gets/Pd.so.|f--3s-/en interpol/Cp.s/en (for/Br.ma/en request/Cc.s/en ('s/Bp.am/en (ousted/Mv.&lt;pf----/en (ukrainian/Ma/en president/Cc.s/en)) arrest/Cc.s/en)))</t>
  </si>
  <si>
    <t>U.N. Security Council to hold emergency meeting over N.K. launch</t>
  </si>
  <si>
    <t>((to/Mi/en hold/Pd.so.-i-----/en) (+/B.am/. u%2en%2e/Cp.s/en (+/B.am/. security/Cp.s/en council/Cp.s/en)) (over/Br.ma/en (+/B.am/. emergency/Cc.s/en meeting/Cc.s/en) (+/B.am/. n%2ek%2e/Cp.s/en launch/Cc.s/en)))</t>
  </si>
  <si>
    <t>The plans have sparked demonstrations and public sector strikes across the country</t>
  </si>
  <si>
    <t>((have/Mv.|f-----/en sparked/Pd.so?.&lt;pf----/en) (the/Md/en plans/Cc.p/en) (and/J/en demonstrations/Cc.p/en (public/Ma/en sector/Cc.s/en)) (strikes/Pd.x.|f--3s-/en (across/T/en (the/Md/en country/Cc.s/en))))</t>
  </si>
  <si>
    <t>stage</t>
  </si>
  <si>
    <t>Staff on London Underground to stage 48-hour strike</t>
  </si>
  <si>
    <t>((to/Mi/en stage/Pd.so.-i-----/en) (on/Br.ma/en staff/Cc.s/en (+/B.am/. london/Cp.s/en underground/Cp.s/en)) (+/B.am/. (48/M#/en hour/Cc.s/en) strike/Cc.s/en))</t>
  </si>
  <si>
    <t>Turkey's Erdogan makes Nazi jibe over Germany rally ban: "Your practices are not different from the Nazi practices of the past</t>
  </si>
  <si>
    <t>(makes/Pd.sor.|f--3s-/en ('s/Bp.am/en turkey/Cp.s/en erdogan/Cp.s/en) (over/Br.ma/en (nazi/Ma/en jibe/Cc.s/en) (+/B.am/. germany/Cp.s/en (+/B.am/. rally/Cc.s/en ban/Cc.s/en))) ((not/Mn/en are/P.sc.|f-----/en) (your/Mp/en practices/Cc.p/en) (from/Br.ma/en different/Ca/en (of/Br.ma/en (the/Md/en (nazi/Ma/en practices/Cc.p/en)) (the/Md/en past/Cc.s/en)))))</t>
  </si>
  <si>
    <t>Forensic experts reject Mexico's claim that criminals burned missing students</t>
  </si>
  <si>
    <t>(reject/Pd.so.|f-----/en (forensic/Ma/en experts/Cc.p/en) (that/Jr.ma/en ('s/Bp.am/en mexico/Cp.s/en claim/Cc.s/en) (burned/P.so.&lt;f-----/en criminals/Cc.p/en (missing/Ma/en students/Cc.p/en))))</t>
  </si>
  <si>
    <t>Prince Ali gives FIFA presidency to Sepp Blatter</t>
  </si>
  <si>
    <t>(gives/Pd.soi.|f--3s-/en (+/B.am/. prince/Cp.s/en ali/Cp.s/en) (+/B.am/. fifa/Cp.s/en presidency/Cc.s/en) (to/T/en (+/B.am/. sepp/Cp.s/en blatter/Cp.s/en)))</t>
  </si>
  <si>
    <t>Mali rebels sign initial deal, see more work for final peace accord</t>
  </si>
  <si>
    <t>(sign/Pd.so?.|f-----/en (+/B.am/. mali/Cp.s/en rebels/Cc.p/en) (initial/Ma/en deal/Cc.s/en) (see/P!.o.-i-----/en (for/Br.ma/en (more/Mc/en work/Cc.s/en) (final/Ma/en (+/B.am/. peace/Cc.s/en accord/Cc.s/en)))))</t>
  </si>
  <si>
    <t>India has 1,866 registered political parties: Election Commission</t>
  </si>
  <si>
    <t>(has/Pd.so.|f--3s-/en india/Cp.s/en (+/B.mm/. (1,866/M#/en (registered/Mv.&lt;pf----/en (political/Ma/en parties/Cc.p/en))) (+/B.am/. election/Cp.s/en commission/Cp.s/en)))</t>
  </si>
  <si>
    <t>Avramopoulos is visiting Slovenia to discuss the migrant crisis</t>
  </si>
  <si>
    <t>((is/Mv.|f--3s-/en visiting/Pd.sor.|pg----/en) avramopoulos/Cp.s/en slovenia/Cp.s/en ((to/Mi/en discuss/P.o.-i-----/en) (the/Md/en (migrant/Ma/en crisis/Cc.s/en))))</t>
  </si>
  <si>
    <t>Moscow won't see 'Eye of Sauron</t>
  </si>
  <si>
    <t>((wo/Mm/en (n't/Mn/en see/Pd.so.-i-----/en)) moscow/Cp.s/en (of/Br.ma/en eye/Cp.s/en sauron/Cp.s/en))</t>
  </si>
  <si>
    <t>India warns peacekeeping troops in DR Congo of M23 retaliatory strikes</t>
  </si>
  <si>
    <t>(warns/Pd.so.|f--3s-/en india/Cp.s/en (in/Br.ma/en (+/B.am/. peacekeeping/Cc.s/en troops/Cc.p/en) (of/Br.ma/en (+/B.am/. dr/Cp.s/en congo/Cp.s/en) (+/B.am/. m23/Cc.s/en (+/B.am/. retaliatory/Cc.s/en strikes/Cc.p/en)))))</t>
  </si>
  <si>
    <t>London Bankers Expect 44% Bonus Increase, Survey Finds</t>
  </si>
  <si>
    <t>(expect/Pd.sor.|f-----/en (+/B.am/. london/Cp.s/en bankers/Cp.p/en) (+/B.am/. (44/M#/en %25/Cc.s/en) (+/B.am/. bonus/Cp.s/en increase/Cc.s/en)) (finds/P.?.|f--3s-/en survey/Cc.s/en))</t>
  </si>
  <si>
    <t>held</t>
  </si>
  <si>
    <t>Donald Trump's son held secret talks on working with Russia to end Syria conflict</t>
  </si>
  <si>
    <t>(held/Pd.so.&lt;f-----/en ('s/Bp.am/en (+/B.am/. donald/Cp.s/en trump/Cp.s/en) son/Cc.s/en) (on/Jr.ma/en (secret/Ma/en talks/Cc.p/en) (working/P.xx.|pg----/en (with/T/en russia/Cp.s/en) ((to/Mi/en end/Pd.o.-i-----/en) (+/B.am/. syria/Cp.s/en conflict/Cc.s/en)))))</t>
  </si>
  <si>
    <t>India deploys army to stop caste-related violence in Gujarat</t>
  </si>
  <si>
    <t>(deploys/Pd.sor.|f--3s-/en india/Cp.s/en army/Cc.s/en ((to/Mi/en stop/P.ox.-i-----/en) ((caste/M/en related/Mv.&lt;pf----/en) violence/Cc.s/en) (in/T/en gujarat/Cp.s/en)))</t>
  </si>
  <si>
    <t>Zimbabwe's Robert Mugabe declares drought disaster</t>
  </si>
  <si>
    <t>(declares/Pd.so.|f--3s-/en ('s/Bp.am/en zimbabwe/Cp.s/en (+/B.am/. robert/Cp.s/en mugabe/Cp.s/en)) (+/B.am/. drought/Cc.s/en disaster/Cc.s/en))</t>
  </si>
  <si>
    <t>invent</t>
  </si>
  <si>
    <t>Australian company invents new technology, helps clinch massive offshore Windfarm Project in the Netherlands</t>
  </si>
  <si>
    <t>(invents/Pd.so?.|f--3s-/en (australian/Ma/en company/Cc.s/en) (new/Ma/en technology/Cc.s/en) ((helps/Mv.|f--3s-/en clinch/P!.o.-i-----/en) (in/Br.ma/en (massive/Ma/en (offshore/Ma/en (+/B.am/. windfarm/Cp.s/en project/Cp.s/en))) (the/Md/en netherlands/Cp.p/en))))</t>
  </si>
  <si>
    <t>Mexico opens migrant defense centers at U.S. consulates</t>
  </si>
  <si>
    <t>(opens/Pd.so.|f--3s-/en mexico/Cp.s/en (at/Br.ma/en (migrant/Ma/en (+/B.am/. defense/Cc.s/en centers/Cc.p/en)) (+/B.am/. u%2es%2e/Cp.s/en consulates/Cc.p/en)))</t>
  </si>
  <si>
    <t>Airstrikes hit Islamic State leaders</t>
  </si>
  <si>
    <t>(hit/Pd.so.&lt;f-----/en airstrikes/Cc.p/en (+/B.am/. (+/B.am/. islamic/Cp.s/en state/Cp.s/en) leaders/Cc.p/en))</t>
  </si>
  <si>
    <t>Comcast will reportedly drop its bid for Time Warner Cable</t>
  </si>
  <si>
    <t>((will/Mm/en (reportedly/M/en drop/Pd.so.-i-----/en)) comcast/Cp.s/en (for/Br.ma/en (its/Mp/en bid/Cc.s/en) (+/B.am/. time/Cp.s/en (+/B.am/. warner/Cp.s/en cable/Cp.s/en))))</t>
  </si>
  <si>
    <t>Egypt: Abla Fahita puppet ad draws terror accusations</t>
  </si>
  <si>
    <t>(draws/Pd.?so.|f--3s-/en egypt/Cp.s/en (+/B.am/. (+/B.am/. abla/Cp.s/en fahita/Cp.s/en) (+/B.am/. puppet/Cc.s/en ad/Cc.s/en)) (+/B.am/. terror/Cc.s/en accusations/Cc.p/en))</t>
  </si>
  <si>
    <t>Mexico arrests drug baron Carrillo</t>
  </si>
  <si>
    <t>(arrests/Pd.so.|f--3s-/en mexico/Cp.s/en (+/B.am/. (+/B.am/. drug/Cc.s/en baron/Cc.s/en) carrillo/Cp.s/en))</t>
  </si>
  <si>
    <t>finalise</t>
  </si>
  <si>
    <t>Indian scientists finalise 'super safe' nuke reactor</t>
  </si>
  <si>
    <t>(finalise/Pd.so.|f-----/en (indian/Ma/en scientists/Cc.p/en) ((super/M/en safe/Ma/en) (nuke/Ma/en reactor/Cc.s/en)))</t>
  </si>
  <si>
    <t>trade</t>
  </si>
  <si>
    <t>Experts trade insults over North Korea's rare earth resources</t>
  </si>
  <si>
    <t>(trade/Pd.so.|f-----/en experts/Cc.p/en (over/Br.ma/en insults/Cc.p/en ('s/Bp.am/en (+/B.am/. north/Cp.s/en korea/Cp.s/en) (rare/Ma/en (+/B.am/. earth/Cc.s/en resources/Cc.p/en)))))</t>
  </si>
  <si>
    <t>Schaeffler destroys 26 tons of counterfeit rolling bearings</t>
  </si>
  <si>
    <t>(destroys/Pd.so.|f--3s-/en schaeffler/Cp.s/en (of/Br.ma/en (26/M#/en tons/Cc.p/en) (counterfeit/Ma/en (rolling/Mv.|pg----/en bearings/Cc.p/en))))</t>
  </si>
  <si>
    <t>Budget disability benefits cut 'just a suggestion</t>
  </si>
  <si>
    <t>(cut/Pd.so.&lt;pf----/en (+/B.am/. (+/B.am/. budget/Cc.s/en disability/Cc.s/en) benefits/Cc.p/en) (just/M/en (a/Md/en suggestion/Cc.s/en)))</t>
  </si>
  <si>
    <t>lambast</t>
  </si>
  <si>
    <t>Alexis Tsipras lambasts 'absurd proposals' for Greece debt-deal failure</t>
  </si>
  <si>
    <t>(lambasts/Pd.soo.|f--3s-/en (+/B.am/. alexis/Cp.s/en tsipras/Cp.s/en) (for/Br.ma/en (absurd/Ma/en proposals/Cc.p/en) greece/Cp.s/en) (+/B.am/. (+/B.am/. debt/Cc.s/en deal/Cc.s/en) failure/Cc.s/en))</t>
  </si>
  <si>
    <t>10 yr old Girl, elderly woman carry out bombings in northeastern Nigeria</t>
  </si>
  <si>
    <t>((out/Ml/en carry/Pd.so.|f-----/en) (+/B.mm/. (((10/M#/en yr/M/en) old/Ma/en) girl/Cp.s/en) (elderly/Ma/en woman/Cc.s/en)) (in/Br.ma/en bombings/Cc.p/en (northeastern/Ma/en nigeria/Cp.s/en)))</t>
  </si>
  <si>
    <t>Germany welcomes Iran nuclear talks extension</t>
  </si>
  <si>
    <t>(welcomes/Pd.so.|f--3s-/en germany/Cp.s/en (+/B.am/. iran/Cm/en (+/B.am/. (nuclear/Ma/en talks/Cc.p/en) extension/Cc.s/en)))</t>
  </si>
  <si>
    <t>Afghans attack Indian consulate</t>
  </si>
  <si>
    <t>(attack/Pd.so.|f-----/en afghans/Cp.p/en (indian/Ma/en consulate/Cc.s/en))</t>
  </si>
  <si>
    <t>Saudi Ground Troops Enter Northern Yemen</t>
  </si>
  <si>
    <t>(enter/Pd.so.|f-----/en (+/B.am/. saudi/Cp.s/en (+/B.am/. ground/Cp.s/en troops/Cc.p/en)) (+/B.am/. northern/Ca/en yemen/Cp.s/en))</t>
  </si>
  <si>
    <t>Suspected PKK supporters attack Turkish building in Germany</t>
  </si>
  <si>
    <t>(attack/Pd.so.|f-----/en (suspected/Mv.&lt;pf----/en (+/B.am/. pkk/Cp.s/en supporters/Cc.p/en)) (in/Br.ma/en (turkish/Ma/en building/Cc.s/en) germany/Cp.s/en))</t>
  </si>
  <si>
    <t>Public broadcasters around the world are not publishing the new Charlie Hebdo cover</t>
  </si>
  <si>
    <t>((are/Mv.|f-----/en (not/Mn/en publishing/Pd.so?.|pg----/en)) (around/Br.ma/en (public/Ma/en broadcasters/Cc.p/en) (the/Md/en world/Cc.s/en)) (the/Md/en (new/Ma/en (+/B.am/. charlie/Cp.s/en hebdo/Cp.s/en))) cover/C/en)</t>
  </si>
  <si>
    <t>U.S. Suspends 'Innovative' Anti-Poverty Funding</t>
  </si>
  <si>
    <t>(suspends/Pd.so.|f--3s-/en u%2es%2e/Cp.s/en (innovative/Ma/en (+/B.am/. anti/Cp.s/en (+/B.am/. -/Cp.s/en (+/B.am/. poverty/Cp.s/en funding/Cp.s/en)))))</t>
  </si>
  <si>
    <t>Iran's Revolutionary Guard unveils new attack drone</t>
  </si>
  <si>
    <t>(unveils/Pd.so.|f--3s-/en ('s/Bp.am/en iran/Cp.s/en (+/B.am/. revolutionary/Cp.s/en guard/Cp.s/en)) (new/Ma/en (+/B.am/. attack/Cc.s/en drone/Cc.s/en)))</t>
  </si>
  <si>
    <t>Russia, U.S. to step up counter-terrorism cooperation</t>
  </si>
  <si>
    <t>((up/Ml/en (to/Mi/en step/Pd.so.-i-----/en)) (+/B.mm/. russia/Cp.s/en u%2es%2e/Cp.s/en) (counter/M/en (-/Ma/en (terrorism/Ma/en cooperation/Cc.s/en))))</t>
  </si>
  <si>
    <t>Anchor accuses management in Doha of provoking Egyptians</t>
  </si>
  <si>
    <t>(accuses/Pd.soxx.|f--3s-/en anchor/Cp.s/en management/Cc.s/en (in/T/en doha/Cp.s/en) (of/T/en (provoking/P.o.|pg----/en egyptians/Cp.p/en)))</t>
  </si>
  <si>
    <t>liken</t>
  </si>
  <si>
    <t>Former U.S. Secretary of State Hillary Clinton has likened Russian President Vladimir Putin's actions on the Crimean peninsula of Ukraine to those of Adolf Hitler in the 1930s</t>
  </si>
  <si>
    <t>((has/Mv.|f--3s-/en likened/Pd.so.&lt;pf----/en) (+/B.am/. (of/Br.ma/en (former/Ma/en (+/B.aa/. u%2es%2e/Cm/en secretary/Cm/en)) state/Cp.s/en) (+/B.am/. hillary/Cp.s/en clinton/Cp.s/en)) (to/Br.ma/en (on/Br.ma/en ('s/Bp.am/en (+/B.am/. (russian/Ma/en president/Cp.s/en) (+/B.am/. vladimir/Cp.s/en putin/Cp.s/en)) actions/Cc.p/en) (of/Br.ma/en (the/Md/en (crimean/Ma/en peninsula/Cc.s/en)) ukraine/Cp.s/en)) (in/Br.ma/en (of/Br.ma/en those/Cd/en (+/B.am/. adolf/Cp.s/en hitler/Cp.s/en)) (the/Md/en 1930s/Cc.p/en))))</t>
  </si>
  <si>
    <t>U.S. Commander Sees Key Nuclear Step by North Korea</t>
  </si>
  <si>
    <t>(sees/Pd.so.|f--3s-/en (+/B.am/. u%2es%2e/Cp.s/en commander/Cp.s/en) (by/Br.ma/en (+/B.am/. key/Ca/en (nuclear/Ma/en step/Cc.s/en)) (+/B.am/. north/Cp.s/en korea/Cp.s/en)))</t>
  </si>
  <si>
    <t>Iranian journalist seeks political asylum at nuclear talks</t>
  </si>
  <si>
    <t>(seeks/Pd.so.|f--3s-/en (iranian/Ma/en journalist/Cc.s/en) (at/Br.ma/en (political/Ma/en asylum/Cc.s/en) (nuclear/Ma/en talks/Cc.p/en)))</t>
  </si>
  <si>
    <t>Bitcoin Has Benefits As Global Currency</t>
  </si>
  <si>
    <t>(has/Pd.so.|f--3s-/en bitcoin/Cc.s/en (as/Br.ma/en benefits/Cc.p/en (+/B.am/. global/Cp.s/en currency/Cc.s/en)))</t>
  </si>
  <si>
    <t>Syrian Army’s battlefield successes speed up political settlement’ – Assad</t>
  </si>
  <si>
    <t>((up/Ml/en speed/Pd.soo.|f-----/en) (’s/Bp.am/en (syrian/Ma/en army/Cp.s/en) (battlefield/M/en successes/Cc.p/en)) (political/Ma/en settlement/Cc.s/en) assad/Cp.s/en)</t>
  </si>
  <si>
    <t>Armenia President Serge Sarkisian 'wins new term</t>
  </si>
  <si>
    <t>(wins/Pd.so.|f--3s-/en (+/B.am/. (+/B.am/. armenia/Cp.s/en president/Cp.s/en) (+/B.am/. serge/Cp.s/en sarkisian/Cp.s/en)) (new/Ma/en term/Cc.s/en))</t>
  </si>
  <si>
    <t>Pakistan rally celebrates Charlie Hebdo attackers</t>
  </si>
  <si>
    <t>(celebrates/Pd.so.|f--3s-/en (+/B.am/. pakistan/Cp.s/en rally/Cc.s/en) (+/B.am/. (+/B.am/. charlie/Cp.s/en hebdo/Cp.s/en) attackers/Cc.p/en))</t>
  </si>
  <si>
    <t>Pope begs forgiveness for church role in Rwanda genocide</t>
  </si>
  <si>
    <t>(begs/Pd.so.|f--3s-/en pope/Cp.s/en (for/Br.ma/en forgiveness/Cc.s/en (in/Br.ma/en (+/B.am/. church/Cc.s/en role/Cc.s/en) (+/B.am/. rwanda/Cp.s/en genocide/Cc.s/en))))</t>
  </si>
  <si>
    <t>Nepal scrambles to organise quake relief, many flee capital</t>
  </si>
  <si>
    <t>(flee/Pd.rso.|f-----/en (scrambles/P.sx.|f--3s-/en nepal/Cp.s/en ((to/Mi/en organise/Pd.o.-i-----/en) (+/B.am/. quake/Cc.s/en relief/Cc.s/en))) many/Ca/en capital/Cc.s/en)</t>
  </si>
  <si>
    <t>Both Islamic State group and al-Qaida affiliates have as strong presence in Aden</t>
  </si>
  <si>
    <t>(have/Pd.so.|f-----/en (and/J/en (both/Md/en (+/B.am/. (+/B.am/. islamic/Ca/en state/Cp.s/en) group/Cc.s/en)) (+/B.am/. (+/B.am/. al/Cp.s/en qaida/Cp.s/en) affiliates/Cc.p/en)) (in/Br.ma/en (as/M/en (strong/Ma/en presence/Cc.s/en)) aden/Cp.s/en))</t>
  </si>
  <si>
    <t>Kosovo Extends EULEX Mission, Creates War Crimes Court</t>
  </si>
  <si>
    <t>(creates/Pd.so.|f--3s-/en (+/B.mm/. (+/B.mm/. kosovo/Cp.s/en extends/C/en) (+/B.am/. eulex/Cp.p/en mission/Cp.s/en)) (+/B.am/. (+/B.am/. war/Cp.s/en crimes/Cp.p/en) court/Cp.s/en))</t>
  </si>
  <si>
    <t>Venezuela Provides 30 Million Free Textbooks For New School Year</t>
  </si>
  <si>
    <t>(provides/Pd.so.|f--3s-/en venezuela/Cp.s/en (for/Br.ma/en ((30/M#/en million/M#/en) (free/Ma/en textbooks/Cc.p/en)) (+/B.am/. (+/B.am/. new/Cp.s/en school/Cp.s/en) year/Cp.s/en)))</t>
  </si>
  <si>
    <t>Reza Aslan, host of CNN’s ‘Believer,’ catches grief for showcasing religious cannibals in India</t>
  </si>
  <si>
    <t>(catches/Pd.sox.|f--3s-/en (+/B.mm/. (+/B.am/. reza/Cp.s/en aslan/Cp.s/en) (of/Br.ma/en host/Cc.s/en (’s/Bp.am/en cnn/Cp.s/en believer/Cp.s/en))) grief/Cc.s/en (for/T/en (showcasing/P.ox.|pg----/en (religious/Ma/en cannibals/Cc.p/en) (in/T/en india/Cp.s/en))))</t>
  </si>
  <si>
    <t>Ukraine Crisis Could Spark Third World War, Former Communist Party Leader And President Kravchuk Warns</t>
  </si>
  <si>
    <t>((could/Mm/en spark/Pd.so.-i-----/en) (+/B.am/. ukraine/Cp.s/en crisis/Cp.s/en) (+/B.mm/. (+/B.am/. third/Cp.s/en (+/B.am/. world/Cp.s/en war/Cp.s/en)) (and/J/en (former/Ma/en (+/B.am/. (+/B.am/. communist/Cp.s/en party/Cp.s/en) leader/Cp.s/en)) (+/B.am/. president/Cp.s/en (+/B.am/. kravchuk/Cp.s/en warns/Cp.s/en)))))</t>
  </si>
  <si>
    <t>Climate change poses risk to NZ's prosperity</t>
  </si>
  <si>
    <t>(poses/Pd.so.|f--3s-/en (+/B.am/. climate/Cc.s/en change/Cc.s/en) (to/Br.ma/en risk/Cc.s/en ('s/Bp.am/en nz/Cp.s/en prosperity/Cc.s/en)))</t>
  </si>
  <si>
    <t>Kerry calls Turkish prime minister's remark about Zionism 'objectionable</t>
  </si>
  <si>
    <t>(calls/Pd.so.|f--3s-/en kerry/Cp.s/en (about/Br.ma/en ('s/Bp.am/en (turkish/Ma/en (prime/Ma/en minister/Cc.s/en)) remark/Cc.s/en) (+/B.mm/. zionism/Cp.s/en objectionable/Ca/en)))</t>
  </si>
  <si>
    <t>Support for Australian PM hits all-time low</t>
  </si>
  <si>
    <t>(hits/Pd.so.|f--3s-/en (for/Br.ma/en support/Cc.s/en (australian/Ma/en pm/Cp.s/en)) (+/B.am/. (all/Md/en time/Cc.s/en) low/Cc.s/en))</t>
  </si>
  <si>
    <t>Gunmen kill senior police officer in Egypt's restive Sinai</t>
  </si>
  <si>
    <t>(kill/Pd.so.|f-----/en gunmen/Cc.p/en (in/Br.ma/en (senior/Ma/en (+/B.am/. police/Cc.s/en officer/Cc.s/en)) ('s/Bp.am/en egypt/Cp.s/en (restive/Ma/en sinai/Cp.s/en))))</t>
  </si>
  <si>
    <t>repeat</t>
  </si>
  <si>
    <t>Terror group repeats call for attacks on France</t>
  </si>
  <si>
    <t>(repeats/Pd.so.|f--3s-/en (+/B.am/. terror/Cc.s/en group/Cc.s/en) (for/Br.ma/en call/Cc.s/en (on/Br.ma/en attacks/Cc.p/en france/Cp.s/en)))</t>
  </si>
  <si>
    <t>The alleged attack again raises the profile of sexual violence against women in India</t>
  </si>
  <si>
    <t>((again/M/en raises/Pd.so.|f--3s-/en) (the/Md/en (alleged/Ma/en attack/Cc.s/en)) (of/Br.ma/en (the/Md/en profile/Cc.s/en) (against/Br.ma/en (sexual/Ma/en violence/Cc.s/en) (in/Br.ma/en women/Cc.p/en india/Cp.s/en))))</t>
  </si>
  <si>
    <t>Sinai terrorists pledge loyalty to Islamic State</t>
  </si>
  <si>
    <t>(pledge/Pd.so.|f-----/en (+/B.am/. sinai/Cp.s/en terrorists/Cc.p/en) (to/Br.ma/en loyalty/Cc.s/en (+/B.am/. islamic/Cp.s/en state/Cp.s/en)))</t>
  </si>
  <si>
    <t>India successfully tests nuclear capable Prithvi-II missile</t>
  </si>
  <si>
    <t>((successfully/M/en tests/Pd.so.|f--3s-/en) india/Cp.s/en (nuclear/Ma/en (capable/Ma/en (+/B.am/. (+/B.am/. prithvi/Cp.s/en ii/Cp.s/en) missile/Cc.s/en))))</t>
  </si>
  <si>
    <t>Lavrov, Kerry discuss crises in Ukraine, Syria, Yemen</t>
  </si>
  <si>
    <t>(discuss/Pd.so.|f-----/en (+/B.mm/. lavrov/Cp.s/en kerry/Cp.s/en) (in/Br.ma/en crises/Cc.p/en (,/J/en ukraine/Cp.s/en (,/J/en syria/Cp.s/en yemen/Cp.s/en))))</t>
  </si>
  <si>
    <t>Golden Dawn rally in Athens provokes anti-fascist protests</t>
  </si>
  <si>
    <t>(provokes/Pd.so.|f--3s-/en (in/Br.ma/en (+/B.am/. (+/B.am/. golden/Ca/en dawn/Cp.s/en) rally/Cc.s/en) athens/Cp.s/en) (anti/Ma/en (-/Ma/en (fascist/Ma/en protests/Cc.p/en))))</t>
  </si>
  <si>
    <t>One of the main US-backed Syrian rebel groups just admitted defeat</t>
  </si>
  <si>
    <t>((just/M/en admitted/Pd.so.&lt;f-----/en) (of/Br.ma/en one/C#/en (the/Md/en (main/Ma/en ((us/Ma/en backed/Mv.&lt;pf----/en) (syrian/Ma/en (+/B.am/. rebel/Ca/en groups/Cc.p/en)))))) defeat/Cc.s/en)</t>
  </si>
  <si>
    <t>Taliban leader Mullah Omar death claim prompts Afghan government investigation</t>
  </si>
  <si>
    <t>(prompts/Pd.so.|f--3s-/en (+/B.am/. (+/B.am/. (+/B.am/. taliban/Cp.s/en leader/Cc.s/en) (+/B.am/. mullah/Cp.s/en omar/Cp.s/en)) (+/B.am/. death/Cc.s/en claim/Cc.s/en)) (afghan/Ma/en (+/B.am/. government/Cc.s/en investigation/Cc.s/en)))</t>
  </si>
  <si>
    <t>Lebanese government approves first ever civil marriage</t>
  </si>
  <si>
    <t>((first/M/en approves/Pd.so.|f--3s-/en) (lebanese/Ma/en government/Cc.s/en) (ever/M/en (civil/Ma/en marriage/Cc.s/en)))</t>
  </si>
  <si>
    <t>Nigeria's yan daudu face persecution in religious revival</t>
  </si>
  <si>
    <t>(face/Pd.so.|f-----/en ('s/Bp.am/en nigeria/Cp.s/en (yan/Ma/en daudu/Cp.s/en)) (in/Br.ma/en persecution/Cc.s/en (religious/Ma/en revival/Cc.s/en)))</t>
  </si>
  <si>
    <t>enact</t>
  </si>
  <si>
    <t>Congress could enact rollback of Dodd-Frank limits on derivatives</t>
  </si>
  <si>
    <t>((could/Mm/en enact/Pd.so.-i-----/en) congress/Cp.s/en (of/Br.ma/en rollback/Cc.s/en (on/Br.ma/en (+/B.am/. (+/B.am/. dodd/Cp.s/en frank/Cp.s/en) limits/Cc.p/en) derivatives/Cc.p/en)))</t>
  </si>
  <si>
    <t>Haiti Finally Gets an Interim President</t>
  </si>
  <si>
    <t>((finally/M/en gets/Pd.so.|f--3s-/en) haiti/Cp.s/en (an/Md/en (interim/Ma/en president/Cp.s/en)))</t>
  </si>
  <si>
    <t>Iran sending warships close to US borders</t>
  </si>
  <si>
    <t>(sending/Pd.so.|pg----/en iran/Cp.s/en ((close/Ma/en to/Br.ma/en) warships/Cc.p/en (+/B.am/. us/Cp.s/en borders/Cc.p/en)))</t>
  </si>
  <si>
    <t>God help us</t>
  </si>
  <si>
    <t>(help/Pd.so.-i-----/en god/Cp.s/en us/Ci/en)</t>
  </si>
  <si>
    <t>prosecute</t>
  </si>
  <si>
    <t>Israel prosecutes a Palestinian poet over Youtube poem</t>
  </si>
  <si>
    <t>(prosecutes/Pd.so.|f--3s-/en israel/Cp.s/en (over/Br.ma/en (a/Md/en (palestinian/Ma/en poet/Cc.s/en)) (+/B.am/. youtube/Cp.s/en poem/Cc.s/en)))</t>
  </si>
  <si>
    <t>Japanese envoy's 'secret' trip to North Korea disrupts united stance against Pyongyang, South Korea calls the 3-day visit unhelpful</t>
  </si>
  <si>
    <t>(calls/Pd.rsoo.|f--3s-/en (disrupts/P.so.|f--3s-/en (to/Br.ma/en ('s/Bp.am/en (japanese/Ma/en envoy/Cc.s/en) (secret/Ma/en trip/Cc.s/en)) (+/B.am/. north/Cp.s/en korea/Cp.s/en)) (against/Br.ma/en (united/Ma/en stance/Cc.s/en) pyongyang/Cp.s/en)) (+/B.am/. south/Cp.s/en korea/Cp.s/en) (the/Md/en (+/B.am/. (3/M#/en day/Cc.s/en) visit/Cc.s/en)) unhelpful/Ca/en)</t>
  </si>
  <si>
    <t>China ambassador Wu Jianmin's death sparks foreign policy debate</t>
  </si>
  <si>
    <t>(sparks/Pd.so.|f--3s-/en ('s/Bp.am/en (+/B.am/. (+/B.am/. china/Cp.s/en ambassador/Cc.s/en) (+/B.am/. wu/Cp.s/en jianmin/Cp.s/en)) death/Cc.s/en) (+/B.am/. (foreign/Ma/en policy/Cc.s/en) debate/Cc.s/en))</t>
  </si>
  <si>
    <t>Italian Police arrests 95 mafia members</t>
  </si>
  <si>
    <t>(arrests/Pd.so.|f--3s-/en (italian/Ma/en police/Cp.s/en) (95/M#/en (+/B.am/. mafia/Cc.s/en members/Cc.p/en)))</t>
  </si>
  <si>
    <t>generate</t>
  </si>
  <si>
    <t>A police crackdown in the northeastern Brazil city of Recife has generated support for protesters occupying land in a historic area to try to stop a high-rise development project</t>
  </si>
  <si>
    <t>((has/Mv.|f--3s-/en generated/Pd.so.&lt;pf----/en) (in/Br.ma/en (a/Md/en (+/B.am/. police/Cc.s/en crackdown/Cc.s/en)) (of/Br.ma/en (the/Md/en (northeastern/Ma/en (+/B.am/. brazil/Cp.s/en city/Cc.s/en))) recife/Cp.s/en)) (+/B.mm/. support/Cc.s/en (for/Jr.ma/en protesters/Cc.p/en (occupying/P.oxx.|pg----/en land/Cc.s/en (in/T/en (a/Md/en (historic/Ma/en area/Cc.s/en))) ((to/Mi/en try/Pd.r.-i-----/en) ((to/Mi/en stop/P.o.-i-----/en) (a/Md/en (+/B.am/. (high/Ma/en rise/Cc.s/en) (+/B.am/. development/Cc.s/en project/Cc.s/en)))))))))</t>
  </si>
  <si>
    <t>Proposed German legislation threatens broad internet censorship</t>
  </si>
  <si>
    <t>(threatens/Pd.so.|f--3s-/en (proposed/Mv.&lt;pf----/en (german/Ma/en legislation/Cc.s/en)) (broad/Ma/en (+/B.am/. internet/Cc.s/en censorship/Cc.s/en)))</t>
  </si>
  <si>
    <t>China's Xi urges Netanyahu to restart peace talks</t>
  </si>
  <si>
    <t>(urges/Pd.sor.|f--3s-/en ('s/Bp.am/en china/Cp.s/en xi/Cp.s/en) netanyahu/Cp.s/en ((to/Mi/en restart/P.o.-i-----/en) (+/B.am/. peace/Cc.s/en talks/Cc.p/en)))</t>
  </si>
  <si>
    <t>Salford woman donates kidney to NHS for saving husband's life</t>
  </si>
  <si>
    <t>(donates/Pd.soxx.|f--3s-/en (+/B.am/. salford/Cp.s/en woman/Cc.s/en) kidney/Cc.s/en (to/T/en nhs/Cp.s/en) (for/T/en (saving/P.o.|pg----/en ('s/Bp.am/en husband/Cc.s/en life/Cc.s/en))))</t>
  </si>
  <si>
    <t>Erdogan Urges Other Countries to Respect Turkish People’s Vote</t>
  </si>
  <si>
    <t>(urges/Pd.sor.|f--3s-/en erdogan/Cp.s/en (other/Ma/en countries/Cc.p/en) ((to/Mi/en respect/P.o.-i-----/en) (’s/Bp.am/en (turkish/Ma/en people/Cp.p/en) vote/Cc.s/en)))</t>
  </si>
  <si>
    <t>New party's stunning election success leaves leadership of India's capital uncertain</t>
  </si>
  <si>
    <t>(leaves/Pd.soo.|f--3s-/en ('s/Bp.am/en (new/Ma/en party/Cc.s/en) (stunning/Ma/en (+/B.am/. election/Cc.s/en success/Cc.s/en))) (of/Br.ma/en leadership/Cc.s/en ('s/Bp.am/en india/Cp.s/en capital/Cc.s/en)) uncertain/Ca/en)</t>
  </si>
  <si>
    <t>Canada willingly makes tax deals with tax havens</t>
  </si>
  <si>
    <t>((willingly/M/en makes/Pd.so.|f--3s-/en) canada/Cp.s/en (with/Br.ma/en (+/B.am/. tax/Cc.s/en deals/Cc.p/en) (+/B.am/. tax/Cc.s/en havens/Cc.p/en)))</t>
  </si>
  <si>
    <t>Pope Francis acknowledges 2,000-case backlog in sex abuse cases</t>
  </si>
  <si>
    <t>(acknowledges/Pd.so.|f--3s-/en (+/B.am/. pope/Cp.s/en francis/Cp.s/en) (in/Br.ma/en (+/B.am/. (2,000/M#/en case/Cc.s/en) backlog/Cc.s/en) (+/B.am/. (+/B.am/. sex/Cc.s/en abuse/Cc.s/en) cases/Cc.p/en)))</t>
  </si>
  <si>
    <t>India seeks UN intervention on 26/11 mastermind Zaki-ur Rehman Lakhvi's release</t>
  </si>
  <si>
    <t>(seeks/Pd.so.|f--3s-/en india/Cp.s/en (on/Br.ma/en (+/B.am/. un/Cp.s/en intervention/Cc.s/en) ('s/Bp.am/en (+/B.am/. (26%2f11/M#/en mastermind/Cc.s/en) (+/B.am/. zaki/Cp.s/en (+/B.am/. ur/Cp.s/en (+/B.am/. rehman/Cp.s/en lakhvi/Cp.s/en)))) release/Cc.s/en)))</t>
  </si>
  <si>
    <t>New Zealand will hold a Citizens Initiated Referendum over the Govts Asset Sales policy</t>
  </si>
  <si>
    <t>((will/Mm/en hold/Pd.so.-i-----/en) (+/B.am/. new/Cp.s/en zealand/Cp.s/en) (over/Br.ma/en (a/Md/en (+/B.am/. (+/B.am/. citizens/Cp.p/en initiated/C/en) referendum/Cp.s/en)) (the/Md/en (+/B.am/. (+/B.am/. govts/Cp.s/en (+/B.am/. asset/Cp.s/en sales/Cp.s/en)) policy/Cc.s/en))))</t>
  </si>
  <si>
    <t>Australian state bans possession of files for 3D printing firearms</t>
  </si>
  <si>
    <t>(bans/Pd.so.|f--3s-/en (australian/Ma/en state/Cc.s/en) (of/Br.ma/en possession/Cc.s/en (for/Br.ma/en files/Cc.p/en (3d/Ma/en (printing/Mv.|pg----/en firearms/Cc.p/en)))))</t>
  </si>
  <si>
    <t>U.S. planes strike militants near Iraq's Amreli, airdrop aid</t>
  </si>
  <si>
    <t>(strike/Pd.so.|f-----/en (+/B.am/. u%2es%2e/Cp.s/en planes/Cc.p/en) (near/Br.ma/en militants/Cc.p/en (+/B.mm/. ('s/Bp.am/en iraq/Cp.s/en amreli/Cp.s/en) (+/B.am/. airdrop/Cc.s/en aid/Cc.s/en))))</t>
  </si>
  <si>
    <t>Abe government threatens NHKs credibility</t>
  </si>
  <si>
    <t>(threatens/Pd.soo.|f--3s-/en (+/B.am/. abe/Cp.s/en government/Cc.s/en) nhks/Cp.s/en credibility/Cc.s/en)</t>
  </si>
  <si>
    <t>Tesla Motors to expand efforts in Europe with 30 new charging stations and stores</t>
  </si>
  <si>
    <t>((to/Mi/en expand/Pd.so.-i-----/en) (+/B.am/. tesla/Cp.s/en motors/Cp.p/en) (with/Br.ma/en (in/Br.ma/en efforts/Cc.p/en europe/Cp.s/en) (and/J/en (30/M#/en (new/Ma/en (+/B.am/. charging/C/en stations/Cc.p/en))) stores/Cc.p/en)))</t>
  </si>
  <si>
    <t>Russia considers maintenance of embargo against Cuba unacceptable</t>
  </si>
  <si>
    <t>(considers/Pd.so.|f--3s-/en russia/Cp.s/en (of/Br.ma/en maintenance/Cc.s/en (unacceptable/Ma/en (against/Br.ma/en embargo/Cc.s/en cuba/Cp.s/en))))</t>
  </si>
  <si>
    <t>Woman cop accuses jail superintendent of molesting her</t>
  </si>
  <si>
    <t>(accuses/Pd.so.|f--3s-/en (+/B.am/. woman/Cc.s/en cop/Cc.s/en) (of/Jr.ma/en (+/B.am/. jail/Cc.s/en superintendent/Cc.s/en) (molesting/P.o.|pg----/en her/Ci/en)))</t>
  </si>
  <si>
    <t>FTC opens inquiry into Herbalife</t>
  </si>
  <si>
    <t>(opens/Pd.so.|f--3s-/en ftc/Cp.s/en (into/Br.ma/en inquiry/Cc.s/en herbalife/Cc.s/en))</t>
  </si>
  <si>
    <t>Greece's Finance Minister Yanis Varoufakis stands down</t>
  </si>
  <si>
    <t>(stands/Pd.so.|f--3s-/en (+/B.am/. ('s/Bp.am/en greece/Cp.s/en (+/B.am/. finance/Cp.s/en minister/Cp.s/en)) (+/B.am/. yanis/Cp.s/en varoufakis/Cp.s/en)) down/C/en)</t>
  </si>
  <si>
    <t>disarm</t>
  </si>
  <si>
    <t>No president can disarm Hezbollah: Lebanese MP</t>
  </si>
  <si>
    <t>((can/Mm/en disarm/Pd.so.-i-----/en) (no/Md/en president/Cc.s/en) (+/B.am/. hezbollah/Cm/en (lebanese/Ma/en mp/Cp.s/en)))</t>
  </si>
  <si>
    <t>DNA test ends a mystery of Argentina's 'dirty war</t>
  </si>
  <si>
    <t>(ends/Pd.so.|f--3s-/en (+/B.am/. dna/Cc.s/en test/Cc.s/en) (of/Br.ma/en (a/Md/en mystery/Cc.s/en) ('s/Bp.am/en argentina/Cp.s/en (dirty/Ma/en war/Cc.s/en))))</t>
  </si>
  <si>
    <t>Egypt journalist unionists get two years' jail for harbouring colleagues</t>
  </si>
  <si>
    <t>(get/Pd.sox.|f-----/en (+/B.am/. (+/B.am/. egypt/Cp.s/en journalist/Cc.s/en) unionists/Cc.p/en) ('/Bp.am/en (two/M#/en years/Cc.p/en) jail/Cc.s/en) (for/T/en (harbouring/P.o.|pg----/en colleagues/Cc.p/en)))</t>
  </si>
  <si>
    <t>South Korea mulls ban on bosses messaging employees at home</t>
  </si>
  <si>
    <t>(mulls/Pd.so.|f--3s-/en (+/B.am/. south/Cp.s/en korea/Cp.s/en) (+/B.mm/. ban/Cc.s/en (on/Jr.ma/en bosses/Cc.p/en (messaging/P.ox.|pg----/en employees/Cc.p/en (at/T/en home/Cc.s/en)))))</t>
  </si>
  <si>
    <t>was Putin testing our response time</t>
  </si>
  <si>
    <t>((was/Mv.&lt;f-----/en testing/Pd.so.|pg----/en) putin/Cp.s/en (our/Mp/en (+/B.am/. response/Cc.s/en time/Cc.s/en)))</t>
  </si>
  <si>
    <t>David Cameron tells Labour leader Jeremy Corbyn to step down 'for heaven's sake</t>
  </si>
  <si>
    <t>(tells/Pd.sor.|f--3s-/en (+/B.am/. david/Cp.s/en cameron/Cp.s/en) (+/B.am/. (+/B.am/. labour/Cp.s/en leader/Cc.s/en) (+/B.am/. jeremy/Cp.s/en corbyn/Cp.s/en)) ((down/Ml/en (to/Mi/en step/P.x.-i-----/en)) (for/T/en ('s/Bp.am/en heaven/Cp.s/en sake/Cc.s/en))))</t>
  </si>
  <si>
    <t>Australia raids Islamic centre, arrests two for terror links</t>
  </si>
  <si>
    <t>(raids/Pd.so?.|f--3s-/en australia/Cp.s/en (islamic/Ma/en centre/Cc.s/en) (arrests/Pd.?.|f--3s-/en (for/Br.ma/en two/C#/en (+/B.am/. terror/Cc.s/en links/Cc.p/en))))</t>
  </si>
  <si>
    <t>President Barack Obama pledged U.S. support for the democratically elected government of Turkey</t>
  </si>
  <si>
    <t>(pledged/Pd.so.&lt;f-----/en (+/B.am/. president/Cp.s/en (+/B.am/. barack/Cp.s/en obama/Cp.s/en)) (for/Br.ma/en (+/B.am/. u%2es%2e/Cp.s/en support/Cc.s/en) (of/Br.ma/en (the/Md/en ((democratically/M/en elected/Mv.&lt;pf----/en) government/Cc.s/en)) turkey/Cp.s/en)))</t>
  </si>
  <si>
    <t>survive</t>
  </si>
  <si>
    <t>Egypt's former Grand Mufti survives assassination attempt</t>
  </si>
  <si>
    <t>(survives/Pd.so.|f--3s-/en ('s/Bp.am/en egypt/Cp.s/en (former/Ma/en (+/B.am/. grand/Cp.s/en mufti/Cp.s/en))) (+/B.am/. assassination/Cc.s/en attempt/Cc.s/en))</t>
  </si>
  <si>
    <t>Somalia's Shabaab confirm leader's killing in U.S. airstrike, name new head</t>
  </si>
  <si>
    <t>(confirm/Pd.so?.|f-----/en ('s/Bp.am/en somalia/Cp.s/en shabaab/Cp.s/en) (in/Br.ma/en ('s/Bp.am/en leader/Cc.s/en killing/Cc.s/en) (+/B.am/. u%2es%2e/Cp.s/en airstrike/Cc.s/en)) (name/P!.o.|f-----/en (new/Ma/en head/Cc.s/en)))</t>
  </si>
  <si>
    <t>Campaign raises $170,000 for family of heroic Polish truck driver</t>
  </si>
  <si>
    <t>(raises/Pd.so.|f--3s-/en campaign/Cc.s/en (for/Br.ma/en ($/M/en 170,000/C#/en) (of/Br.ma/en family/Cc.s/en (heroic/Ma/en (polish/Ma/en (+/B.am/. truck/Cc.s/en driver/Cc.s/en))))))</t>
  </si>
  <si>
    <t>China's highest court has issued new rulings on online content publication that would further limit what individuals and organisations in the country can say and do on the Internet</t>
  </si>
  <si>
    <t>((has/Mv.|f--3s-/en issued/Pd.so.&lt;pf----/en) ('s/Bp.am/en china/Cp.s/en (highest/Ms/en court/Cc.s/en)) (new/Ma/en (+/B.mm/. rulings/Cc.p/en (on/Jr.ma/en (+/B.am/. (online/Ma/en content/Cc.s/en) publication/Cc.s/en) ((would/Mm/en (further/M/en limit/P.sr.-i-----/en)) that/C/en (and/J/en ((can/Mm/en say/P.s.-i-----/en) (in/Br.ma/en (and/J/en (what/M/en individuals/Cc.p/en) organisations/Cc.p/en) (the/Md/en country/Cc.s/en))) (do/P!.x.-i-----/en (on/T/en (the/Md/en internet/Cc.s/en)))))))))</t>
  </si>
  <si>
    <t>extend</t>
  </si>
  <si>
    <t>Turkey extends troop deployment in Lebanon's UN force</t>
  </si>
  <si>
    <t>(extends/Pd.so.|f--3s-/en turkey/Cp.s/en (in/Br.ma/en (+/B.am/. troop/Cc.s/en deployment/Cc.s/en) ('s/Bp.am/en lebanon/Cp.s/en (+/B.am/. un/Cp.s/en force/Cc.s/en))))</t>
  </si>
  <si>
    <t>transfer</t>
  </si>
  <si>
    <t>Pentagon 'to transfer 17 Guantanamo Bay prisoners'</t>
  </si>
  <si>
    <t>((to/Mi/en transfer/Pd.so.-i-----/en) pentagon/Cp.s/en (17/M#/en (+/B.mm/. (+/B.am/. (+/B.am/. guantanamo/Cp.s/en bay/Cp.s/en) prisoners/Cc.p/en) '/C/en)))</t>
  </si>
  <si>
    <t>Jamaican Gov’t Sees IMF Successes but No Benefits for the Poor</t>
  </si>
  <si>
    <t>(sees/Pd.so.|f--3s-/en (+/B.am/. jamaican/Cp.s/en gov’t/Cp.s/en) (but/J/en (+/B.am/. imf/Cp.s/en successes/Cc.p/en) (for/Br.ma/en (no/Md/en benefits/Cc.p/en) (the/Md/en poor/Cp.s/en))))</t>
  </si>
  <si>
    <t>Inventor of World Wide Web seeks digital bill of rights</t>
  </si>
  <si>
    <t>(seeks/Pd.so.|f--3s-/en (of/Br.ma/en inventor/Cp.s/en (+/B.am/. (+/B.am/. world/Cp.s/en wide/Cp.s/en) web/Cc.s/en)) (of/Br.ma/en (digital/Ma/en bill/Cc.s/en) rights/Cc.p/en))</t>
  </si>
  <si>
    <t>Asylum seekers in Europe reach two-decade high</t>
  </si>
  <si>
    <t>(reach/Pd.so.|f-----/en (in/Br.ma/en (+/B.am/. asylum/Cc.s/en seekers/Cc.p/en) europe/Cp.s/en) (+/B.am/. (two/M#/en decade/Cc.s/en) high/Cc.s/en))</t>
  </si>
  <si>
    <t>move</t>
  </si>
  <si>
    <t>Russian Hackers Moved Ruble Rate</t>
  </si>
  <si>
    <t>(moved/Pd.so.&lt;f-----/en (russian/Ma/en hackers/Cc.p/en) (+/B.am/. ruble/Cc.s/en rate/Cc.s/en))</t>
  </si>
  <si>
    <t>UN accuses Vatican of adopting policies that allowed priests to rape children</t>
  </si>
  <si>
    <t>(accuses/Pd.sox.|f--3s-/en un/Cp.s/en vatican/Cp.s/en (of/T/en (adopting/P.o?.|pg----/en policies/Cc.p/en (allowed/P.sr.&lt;f-----/en that/C/en ((to/Mi/en rape/P.so.-i-----/en) priests/Cc.p/en children/Cc.p/en)))))</t>
  </si>
  <si>
    <t>spell</t>
  </si>
  <si>
    <t>Italy’s Referendum Could Spell Disaster for the EU</t>
  </si>
  <si>
    <t>((could/Mm/en spell/Pd.so.-i-----/en) (’s/Bp.am/en italy/Cp.s/en referendum/Cc.s/en) (for/Br.ma/en disaster/Cc.s/en (the/Md/en eu/Cp.s/en)))</t>
  </si>
  <si>
    <t>Award winning surgeon found guilty of sex assaults against female patients</t>
  </si>
  <si>
    <t>(found/Pd.so.&lt;f-----/en (+/B.am/. award/Cc.s/en (winning/Mv.|pg----/en surgeon/Cc.s/en)) (of/Br.ma/en guilty/Ca/en (against/Br.ma/en (+/B.am/. sex/Cc.s/en assaults/Cc.p/en) (female/Ma/en patients/Cc.p/en))))</t>
  </si>
  <si>
    <t>NASA's Chandra X-ray Observatory has just found the universe's largest particle accelerator</t>
  </si>
  <si>
    <t>((has/Mv.|f--3s-/en (just/M/en found/Pd.so.&lt;pf----/en)) ('s/Bp.am/en nasa/Cp.s/en (+/B.am/. chandra/Cp.s/en (+/B.am/. x/Cp.s/en (+/B.am/. -/Cc.s/en (+/B.am/. ray/Cc.s/en observatory/Cp.s/en))))) ('s/Bp.am/en (the/Md/en universe/Cc.s/en) (largest/Ms/en (+/B.am/. particle/Cc.s/en accelerator/Cc.s/en))))</t>
  </si>
  <si>
    <t>Kenya to deny entry to Ebola states</t>
  </si>
  <si>
    <t>((to/Mi/en deny/Pd.so.-i-----/en) kenya/Cp.s/en (to/Br.ma/en entry/Cc.s/en (+/B.am/. ebola/Cp.s/en states/Cc.p/en)))</t>
  </si>
  <si>
    <t>Syria using 34 Blue Coat servers to spy on internet users</t>
  </si>
  <si>
    <t>(using/Pd.sor.|pg----/en syria/Cp.s/en (34/M#/en (+/B.am/. (+/B.am/. blue/Cp.s/en coat/Cp.s/en) servers/Cc.p/en)) ((to/Mi/en spy/P.x.-i-----/en) (on/T/en (+/B.am/. internet/Cc.s/en users/Cc.p/en))))</t>
  </si>
  <si>
    <t>salute</t>
  </si>
  <si>
    <t>Hamas salutes 'positive' Abbas speech</t>
  </si>
  <si>
    <t>(salutes/Pd.so.|f--3s-/en hamas/Cp.s/en (positive/Ma/en (+/B.am/. abbas/Cp.s/en speech/Cc.s/en)))</t>
  </si>
  <si>
    <t>Thai woman faces jail for receiving Facebook message allegedly criticising King</t>
  </si>
  <si>
    <t>(faces/Pd.sox.|f--3s-/en (thai/Ma/en woman/Cc.s/en) jail/Cc.s/en (for/T/en (receiving/P.o?.|pg----/en (+/B.am/. facebook/Cp.s/en message/Cc.s/en) ((allegedly/M/en criticising/P.o.|pg----/en) king/Cp.s/en))))</t>
  </si>
  <si>
    <t>NATO and partners hold land, sea exercises in eastern Europe</t>
  </si>
  <si>
    <t>(hold/Pd.so.|f-----/en (and/J/en nato/Cp.s/en partners/Cc.p/en) (+/B.mm/. land/Cc.s/en (in/Br.ma/en (+/B.am/. sea/Cc.s/en exercises/Cc.p/en) (eastern/Ma/en europe/Cp.s/en))))</t>
  </si>
  <si>
    <t>India, the world's second largest beef exporter, is banning the sale of slaughtered cattle</t>
  </si>
  <si>
    <t>((is/Mv.|f--3s-/en banning/Pd.so.|pg----/en) (+/B.mm/. india/Cp.s/en (+/B.mm/. ('s/M/en (the/Md/en world/Cc.s/en)) ((second/M/en largest/Ms/en) (+/B.am/. beef/Cc.s/en exporter/Cc.s/en)))) (of/Br.ma/en (the/Md/en sale/Cc.s/en) (slaughtered/Mv.&lt;pf----/en cattle/Cc.p/en)))</t>
  </si>
  <si>
    <t>Russian media propaganda paints Putin as a strong and loved leader: Sample form a national news</t>
  </si>
  <si>
    <t>(form/Pd.rso.-i-----/en (paints/P.sox.|f--3s-/en (russian/Ma/en (+/B.am/. media/Cc.p/en propaganda/Cc.s/en)) putin/Cp.s/en (as/T/en (a/Md/en (+/B.am/. ((strong/Ma/en and/Mj/en) loved/Ca/en) leader/Cc.s/en)))) sample/Cc.s/en (a/Md/en (national/Ma/en news/Cc.s/en)))</t>
  </si>
  <si>
    <t>South Yemen is splitting from the North, Banished Aden governor forms independent "South Yemen council</t>
  </si>
  <si>
    <t>(forms/Pd.rso.|f--3s-/en ((is/Mv.|f--3s-/en splitting/P.sx.|pg----/en) (+/B.am/. south/Cp.s/en yemen/Cp.s/en) (from/T/en (the/Md/en north/Cp.s/en))) (banished/Mv.&lt;pf----/en (+/B.am/. aden/Cp.s/en governor/Cc.s/en)) (independent/Ma/en (+/B.am/. (+/B.aa/. south/Cm/en yemen/Cm/en) council/Cc.s/en)))</t>
  </si>
  <si>
    <t>Indian Prime Minister seeks Japan's help for 'inclusive vision' on first big trip</t>
  </si>
  <si>
    <t>(seeks/Pd.so.|f--3s-/en (indian/Ma/en (+/B.am/. prime/Cp.s/en minister/Cp.s/en)) (on/Br.ma/en (for/Br.ma/en ('s/Bp.am/en japan/Cp.s/en help/Cc.s/en) (inclusive/Ma/en vision/Cc.s/en)) (first/Ma/en (big/Ma/en trip/Cc.s/en))))</t>
  </si>
  <si>
    <t>Kerry accuses Syria of using chemical agents; US preparing to release evidence</t>
  </si>
  <si>
    <t>(accuses/Pd.soxx.|f--3s-/en kerry/Cp.s/en syria/Cp.s/en (of/T/en (using/P.o.|pg----/en (chemical/Ma/en agents/Cc.p/en))) (preparing/Pd.sr.|pg----/en us/Cp.s/en ((to/Mi/en release/P.o.-i-----/en) evidence/Cc.s/en)))</t>
  </si>
  <si>
    <t>Syria Islamist rebels take control of historic Christian town Maaloula</t>
  </si>
  <si>
    <t>(take/Pd.so.|f-----/en (+/B.am/. syria/Cm/en (islamist/Ma/en rebels/Cc.p/en)) (of/Br.ma/en control/Cc.s/en (of/Br.ma/en (historic/Ma/en (christian/Ma/en town/Cc.s/en)) maaloula/Cp.s/en)))</t>
  </si>
  <si>
    <t>Heavy clashes in Libya undermine UN peace talks</t>
  </si>
  <si>
    <t>(undermine/Pd.so.|f-----/en (in/Br.ma/en (heavy/Ma/en clashes/Cc.p/en) libya/Cp.s/en) (+/B.am/. un/Cp.s/en (+/B.am/. peace/Cc.s/en talks/Cc.p/en)))</t>
  </si>
  <si>
    <t>Somali forces arrest American fighting with Islamic rebels</t>
  </si>
  <si>
    <t>(arrest/Pd.so.|f-----/en (somali/Ma/en forces/Cc.p/en) (with/Br.ma/en (american/Ma/en fighting/Cc.s/en) (islamic/Ma/en rebels/Cc.p/en)))</t>
  </si>
  <si>
    <t>Iranian court sentences Washington Post reporter Rezaian to prison</t>
  </si>
  <si>
    <t>(sentences/Pd.so.|f--3s-/en (iranian/Ma/en court/Cc.s/en) (to/Br.ma/en (+/B.am/. (+/B.am/. (+/B.am/. washington/Cp.s/en post/Cp.s/en) reporter/Cc.s/en) rezaian/Cp.s/en) prison/Cc.s/en))</t>
  </si>
  <si>
    <t>China faces diplomatic 'crisis' over missing Hong Kong booksellers</t>
  </si>
  <si>
    <t>(faces/Pd.sox.|f--3s-/en china/Cp.s/en (diplomatic/Ma/en crisis/Cc.s/en) (over/T/en (missing/P.o.|pg----/en (+/B.am/. (+/B.am/. hong/Cp.s/en kong/Cp.s/en) booksellers/Cc.p/en))))</t>
  </si>
  <si>
    <t>Guinea bans bikini pageants</t>
  </si>
  <si>
    <t>(bans/Pd.so.|f--3s-/en guinea/Cp.s/en (+/B.am/. bikini/Cc.s/en pageants/Cc.p/en))</t>
  </si>
  <si>
    <t>Iran reportedly sent military advisers, head of Quds Force to Iraq</t>
  </si>
  <si>
    <t>((reportedly/M/en sent/Pd.soi.&lt;f-----/en) iran/Cp.s/en (+/B.mm/. (military/Ma/en advisers/Cc.p/en) (of/Br.ma/en head/Cc.s/en (+/B.am/. quds/Cp.s/en force/Cp.s/en))) (to/T/en iraq/Cp.s/en))</t>
  </si>
  <si>
    <t>try</t>
  </si>
  <si>
    <t>China to try former senior planning official for corruption</t>
  </si>
  <si>
    <t>((to/Mi/en try/Pd.so.-i-----/en) china/Cp.s/en (for/Br.ma/en (former/Ma/en (senior/Ma/en (+/B.am/. planning/Cc.s/en official/Cc.s/en))) corruption/Cc.s/en))</t>
  </si>
  <si>
    <t>sadden</t>
  </si>
  <si>
    <t>But it saddens me</t>
  </si>
  <si>
    <t>((but/Mj/en saddens/Pd.so.|f--3s-/en) it/Ci/en me/Ci/en)</t>
  </si>
  <si>
    <t>Syria declares its chemical weapons arsenal, first step in US-Russian deal</t>
  </si>
  <si>
    <t>(declares/Pd.so.|f--3s-/en syria/Cp.s/en (+/B.mm/. (its/Mp/en (chemical/Ma/en (+/B.am/. weapons/Cc.p/en arsenal/Cc.s/en))) (in/Br.ma/en (first/Ma/en step/Cc.s/en) ((us/Ma/en russian/Ma/en) deal/Cc.s/en))))</t>
  </si>
  <si>
    <t>Sweden asks EU to stop American lobster invasion</t>
  </si>
  <si>
    <t>(asks/Pd.sor.|f--3s-/en sweden/Cp.s/en eu/Cp.s/en ((to/Mi/en stop/P.o.-i-----/en) (american/Ma/en (+/B.am/. lobster/Cc.s/en invasion/Cc.s/en))))</t>
  </si>
  <si>
    <t>Austria boy found guilty of Vienna terror plot</t>
  </si>
  <si>
    <t>(found/Pd.so.&lt;f-----/en (+/B.am/. austria/Ca/en boy/Cc.s/en) (of/Br.ma/en guilty/Ca/en (+/B.am/. vienna/Cp.s/en (+/B.am/. terror/Cc.s/en plot/Cc.s/en))))</t>
  </si>
  <si>
    <t>Vatican calls Irish referendum a defeat for humanity</t>
  </si>
  <si>
    <t>(calls/Pd.soo.|f--3s-/en vatican/Cp.s/en (irish/Ma/en referendum/Cc.s/en) (for/Br.ma/en (a/Md/en defeat/Cc.s/en) humanity/Cc.s/en))</t>
  </si>
  <si>
    <t>Serbia's ties with Russia must not undermine EU bid</t>
  </si>
  <si>
    <t>((must/Mm/en (not/Mn/en undermine/Pd.so.-i-----/en)) (with/Br.ma/en ('s/Bp.am/en serbia/Cp.s/en ties/Cc.p/en) russia/Cp.s/en) (+/B.am/. eu/Cp.s/en bid/Cc.s/en))</t>
  </si>
  <si>
    <t>Polish employers to get subsidies for hiring under 30</t>
  </si>
  <si>
    <t>((to/Mi/en get/Pd.so.-i-----/en) (polish/Ma/en employers/Cc.p/en) (for/Jr.ma/en subsidies/Cc.p/en (hiring/P.x.|pg----/en (under/Tt/en 30/C#/en))))</t>
  </si>
  <si>
    <t>Separatist Hong Kong Lawmakers Draw Fears of Intervention by China</t>
  </si>
  <si>
    <t>(draw/Pd.so.|f-----/en (separatist/Ma/en (+/B.am/. (+/B.am/. hong/Cp.s/en kong/Cp.s/en) lawmakers/Cc.p/en)) (of/Br.ma/en fears/Cc.p/en (by/Br.ma/en intervention/Cp.s/en china/Cp.s/en)))</t>
  </si>
  <si>
    <t>China's Xi tells Hong Kong he seeks 'far-reaching future' for its autonomy</t>
  </si>
  <si>
    <t>(tells/Pd.sor.|f--3s-/en ('s/Bp.am/en china/Cp.s/en xi/Cp.s/en) (+/B.am/. hong/Cp.s/en kong/Cp.s/en) (seeks/P.so.|f--3s-/en he/Ci/en (for/Br.ma/en ((far/M/en reaching/Mv.|pg----/en) future/Cc.s/en) (its/Mp/en autonomy/Cc.s/en))))</t>
  </si>
  <si>
    <t>reinterpret</t>
  </si>
  <si>
    <t>Saudi mother reinterprets Islamic law</t>
  </si>
  <si>
    <t>(reinterprets/Pd.so.|f--3s-/en (saudi/Ma/en mother/Cc.s/en) (islamic/Ma/en law/Cc.s/en))</t>
  </si>
  <si>
    <t>Sri Lanka accuses Canada of holding Commonwealth 'to ransom</t>
  </si>
  <si>
    <t>(accuses/Pd.sox.|f--3s-/en (+/B.am/. sri/Cp.s/en lanka/Cp.s/en) canada/Cp.s/en (of/T/en (holding/P.ox.|pg----/en commonwealth/Cp.s/en (to/T/en ransom/Cc.s/en))))</t>
  </si>
  <si>
    <t>Parents lose appeal over access to dead girl's Facebook account</t>
  </si>
  <si>
    <t>(lose/Pd.so.|f-----/en parents/Cc.p/en (over/Br.ma/en appeal/Cc.s/en (to/Br.ma/en access/Cc.s/en ('s/Bp.am/en (dead/Ma/en girl/Cc.s/en) (+/B.am/. facebook/Cp.s/en account/Cc.s/en)))))</t>
  </si>
  <si>
    <t>South Africans Divers Find Man Alive in Sunken Tugboat</t>
  </si>
  <si>
    <t>(find/Pd.sor.|f-----/en (+/B.am/. (+/B.am/. south/Cp.s/en africans/Cp.p/en) divers/Cc.p/en) man/Cp.s/en (in/Br.ma/en alive/Cp.s/en (+/B.am/. sunken/Cp.s/en tugboat/Cp.s/en)))</t>
  </si>
  <si>
    <t>One-in-five graduates from worst UK universities left jobless</t>
  </si>
  <si>
    <t>(left/Pd.so.&lt;f-----/en (from/Br.ma/en ((one/M#/en in/Br.ma/en) five/C#/en graduates/Cc.p/en) (worst/Ms/en (+/B.am/. uk/Cp.s/en universities/Cc.p/en))) jobless/Ca/en)</t>
  </si>
  <si>
    <t>Sweden reports Russian bombers, fighters over Baltic Sea</t>
  </si>
  <si>
    <t>(reports/Pd.so.|f--3s-/en sweden/Cp.s/en (+/B.mm/. (russian/Ma/en bombers/Cc.p/en) (over/Br.ma/en fighters/Cc.p/en (+/B.am/. baltic/Cp.s/en sea/Cp.s/en))))</t>
  </si>
  <si>
    <t>Islamic State alternative to Facebook gets bumpy start</t>
  </si>
  <si>
    <t>(gets/Pd.so.|f--3s-/en (to/Br.ma/en (+/B.am/. (islamic/Ma/en state/Cp.s/en) alternative/Cc.s/en) facebook/Cp.s/en) (bumpy/Ma/en start/Cc.s/en))</t>
  </si>
  <si>
    <t>Iraq demands compensation for devastating airstrike on Mosul</t>
  </si>
  <si>
    <t>(demands/Pd.so.|f--3s-/en iraq/Cp.s/en (for/Br.ma/en compensation/Cc.s/en (on/Br.ma/en (devastating/Ma/en airstrike/Cc.s/en) mosul/Cp.s/en)))</t>
  </si>
  <si>
    <t>execute</t>
  </si>
  <si>
    <t>Israeli Police Execute Palestinian Youth, Settlers Attack his Dead Body</t>
  </si>
  <si>
    <t>(execute/Pd.so?.-i-----/en (israeli/Ma/en police/Cc.p/en) (palestinian/Ma/en youth/Cp.s/en) (attack/Pd.so.-i-----/en settlers/Cp.p/en (his/Mp/en (+/B.am/. dead/Ca/en body/Cc.s/en))))</t>
  </si>
  <si>
    <t>BBC- Russia Tests ICBM</t>
  </si>
  <si>
    <t>(tests/Pd.so.|f--3s-/en (+/B.am/. bbc-/Cp.s/en russia/Cp.s/en) icbm/Cc.s/en)</t>
  </si>
  <si>
    <t>Banned leftist group in Turkey takes prosecutor hostage</t>
  </si>
  <si>
    <t>(takes/Pd.so.|f--3s-/en (in/Br.ma/en (banned/Mv.&lt;pf----/en (leftist/Ma/en group/Cc.s/en)) turkey/Cp.s/en) (+/B.am/. prosecutor/Cc.s/en hostage/Cc.s/en))</t>
  </si>
  <si>
    <t>Hungary builds border fence to control migrant numbers</t>
  </si>
  <si>
    <t>(builds/Pd.sor.|f--3s-/en hungary/Cp.s/en (+/B.am/. border/Cc.s/en fence/Cc.s/en) ((to/Mi/en control/P.o.-i-----/en) (migrant/Ma/en numbers/Cc.p/en)))</t>
  </si>
  <si>
    <t>Germany change prostitution law to ban "flat-rate brothels" and gang-bang parties</t>
  </si>
  <si>
    <t>((to/Mi/en ban/Pd.so.-i-----/en) (+/B.am/. germany/Cp.s/en (+/B.am/. change/Cc.s/en (+/B.am/. prostitution/Cc.s/en law/Cc.s/en))) (and/J/en (+/B.am/. (flat/Ma/en rate/Cc.s/en) brothels/Cc.p/en) (+/B.am/. (+/B.am/. gang/Cc.s/en bang/Cc.s/en) parties/Cc.p/en)))</t>
  </si>
  <si>
    <t>G7 says no sanctions on Russia over Syria</t>
  </si>
  <si>
    <t>(says/Pd.so.|f--3s-/en g7/Cp.s/en (over/Br.ma/en (on/Br.ma/en (no/Md/en sanctions/Cc.p/en) russia/Cp.s/en) syria/Cp.s/en))</t>
  </si>
  <si>
    <t>Angela Merkel's party suffers big losses in Berlin</t>
  </si>
  <si>
    <t>(suffers/Pd.so.|f--3s-/en ('s/Bp.am/en (+/B.am/. angela/Cp.s/en merkel/Cp.s/en) party/Cc.s/en) (in/Br.ma/en (big/Ma/en losses/Cc.p/en) berlin/Cp.s/en))</t>
  </si>
  <si>
    <t>Roadside bomb kills police officer, soldier in Egypt</t>
  </si>
  <si>
    <t>(kills/Pd.so.|f--3s-/en (roadside/Ma/en bomb/Cc.s/en) (+/B.mm/. (+/B.am/. police/Cc.s/en officer/Cc.s/en) (in/Br.ma/en soldier/Cc.s/en egypt/Cp.s/en)))</t>
  </si>
  <si>
    <t>Whistleblower Reveals Prince Bandar’s Secret Meetings with Israelis in Geneva</t>
  </si>
  <si>
    <t>(reveals/Pd.so.|f--3s-/en whistleblower/Cc.s/en (in/Br.ma/en (with/Br.ma/en (’s/Bp.am/en (+/B.am/. prince/Cp.s/en bandar/Cp.s/en) (secret/Ma/en meetings/Cc.p/en)) israelis/Cp.p/en) geneva/Cp.s/en))</t>
  </si>
  <si>
    <t>Wikileaks Cancels Highly Anticipated Tuesday Announcement Due to ‘Security Concerns</t>
  </si>
  <si>
    <t>(cancels/Pd.so.|f--3s-/en wikileaks/Cp.s/en (due/Br.ma/en ((highly/M/en anticipated/Ma/en) (+/B.am/. tuesday/Cp.s/en announcement/Cc.s/en)) (+/B.mm/. to/C/en (+/B.am/. security/Cp.s/en concerns/Cp.p/en))))</t>
  </si>
  <si>
    <t>soften</t>
  </si>
  <si>
    <t>U.S. military softens claims on drop in Islamic State's foreign fighters</t>
  </si>
  <si>
    <t>(softens/Pd.so.|f--3s-/en (+/B.am/. u%2es%2e/Cp.s/en military/Cc.s/en) (on/Br.ma/en claims/Cc.p/en (in/Br.ma/en drop/Cc.s/en ('s/Bp.am/en (+/B.am/. islamic/Cp.s/en state/Cp.s/en) (foreign/Ma/en fighters/Cc.p/en)))))</t>
  </si>
  <si>
    <t>Canadian warplanes conduct first airstrikes against ISIS in Syria</t>
  </si>
  <si>
    <t>(conduct/Pd.so.|f-----/en (canadian/Ma/en warplanes/Cc.p/en) (in/Br.ma/en (against/Br.ma/en (first/Ma/en airstrikes/Cc.p/en) isis/Cp.s/en) syria/Cp.s/en))</t>
  </si>
  <si>
    <t>German Catholic and Protestant Churches Sell Off Church Buildings</t>
  </si>
  <si>
    <t>(sell/Pd.so.|f-----/en (+/B.am/. (((german/Ma/en catholic/Ma/en) and/Mj/en) protestant/Ca/en) churches/Cc.p/en) (+/B.am/. off/Cp.s/en (+/B.am/. church/Cp.s/en buildings/Cc.p/en)))</t>
  </si>
  <si>
    <t>Bangkok police claim reward in Erawan Shrine bomber hunt</t>
  </si>
  <si>
    <t>(claim/Pd.so.|f-----/en (+/B.am/. bangkok/Cp.s/en police/Cc.p/en) (in/Br.ma/en reward/Cc.s/en (+/B.am/. (+/B.am/. erawan/Cp.s/en shrine/Cp.s/en) (+/B.am/. bomber/Cc.s/en hunt/Cc.s/en))))</t>
  </si>
  <si>
    <t>Blocking Muslim refugees supports terrorism</t>
  </si>
  <si>
    <t>(supports/Pd.so.|f--3s-/en (blocking/Mv.|pg----/en (muslim/Ma/en refugees/Cc.p/en)) terrorism/Cc.s/en)</t>
  </si>
  <si>
    <t>Cult of the Super Lawyer: Zimmerman's lawyers raise profile</t>
  </si>
  <si>
    <t>(raise/Pd.sso.|f-----/en (of/Br.ma/en cult/Cc.s/en (the/Md/en (+/B.am/. super/Cp.s/en lawyer/Cp.s/en))) ('s/Bp.am/en zimmerman/Cp.s/en lawyers/Cc.p/en) profile/Cc.s/en)</t>
  </si>
  <si>
    <t>The Latest: G-7 ministers consider sanctions on Russians</t>
  </si>
  <si>
    <t>(consider/Pd.?so.|f-----/en (the/Md/en latest/Ca/en) (g-7/Ma/en ministers/Cc.p/en) (on/Br.ma/en sanctions/Cc.p/en russians/Cp.p/en))</t>
  </si>
  <si>
    <t>Xi warns Obama against threatening China’s sovereignty &amp; national interests</t>
  </si>
  <si>
    <t>(warns/Pd.sox.|f--3s-/en xi/Cp.s/en obama/Cp.s/en (against/T/en (threatening/P.o.|pg----/en (%26/J/en (’s/Bp.am/en china/Cp.s/en sovereignty/Cc.s/en) (national/Ma/en interests/Cc.p/en)))))</t>
  </si>
  <si>
    <t>Haley warns N. Korea: ‘Don’t give us a reason’ to ‘fight</t>
  </si>
  <si>
    <t>(warns/Pd.sor.|f--3s-/en haley/Cp.s/en (+/B.am/. n%2e/Cp.s/en korea/Cp.s/en) ((do/Mv.|f-----/en (n’t/Mn/en give/P.io.-i-----/en)) us/Ci/en ((to/Mi/en fight/P.o.-i-----/en) (a/Md/en reason/Cc.s/en))))</t>
  </si>
  <si>
    <t>Indian floods: Government intensifies rescue operations in Uttarakhand, Google uses its Person Finder to assist in locating missing persons</t>
  </si>
  <si>
    <t>(uses/Pd.rsor.|f--3s-/en (intensifies/P.xsox.|f--3s-/en (indian/Ma/en floods/Cc.p/en) government/Cc.s/en (+/B.am/. rescue/Cc.s/en operations/Cc.p/en) (in/T/en uttarakhand/Cp.s/en)) google/Cp.s/en (its/Mp/en (+/B.am/. person/Cp.s/en finder/Cp.s/en)) ((to/Mi/en assist/P.x.-i-----/en) (in/T/en (locating/P.o.|pg----/en (missing/Mv.|pg----/en persons/Cc.p/en)))))</t>
  </si>
  <si>
    <t>Report accuses Mexican president of law school plagiarism</t>
  </si>
  <si>
    <t>(accuses/Pd.so.|f--3s-/en report/Cc.s/en (of/Br.ma/en (mexican/Ma/en president/Cc.s/en) (+/B.am/. (+/B.am/. law/Cc.s/en school/Cc.s/en) plagiarism/Cc.s/en)))</t>
  </si>
  <si>
    <t>Apple CEO to open new Israel headquarters</t>
  </si>
  <si>
    <t>((to/Mi/en open/Pd.so.-i-----/en) (+/B.am/. apple/Cp.s/en ceo/Cp.s/en) (new/Ma/en (+/B.am/. israel/Cp.s/en headquarters/Cc.s/en)))</t>
  </si>
  <si>
    <t>untangle</t>
  </si>
  <si>
    <t>Iraq slowly untangles Islamic State's bureaucratic legacy</t>
  </si>
  <si>
    <t>((slowly/M/en untangles/Pd.so.|f--3s-/en) iraq/Cp.s/en ('s/Bp.am/en (+/B.am/. islamic/Cp.s/en state/Cp.s/en) (bureaucratic/Ma/en legacy/Cc.s/en)))</t>
  </si>
  <si>
    <t>Friend of 'Lotto gran' found guilty of selling her intimate photos in revenge porn attack</t>
  </si>
  <si>
    <t>(found/Pd.so.&lt;f-----/en (of/Br.ma/en friend/Cc.s/en (+/B.am/. lotto/Cp.s/en gran/Cc.s/en)) (of/Jr.ma/en guilty/Ca/en (selling/P.o.|pg----/en (in/Br.ma/en (her/Mp/en (intimate/Ma/en photos/Cc.p/en)) (+/B.am/. revenge/Cc.s/en (+/B.am/. porn/Cc.s/en attack/Cc.s/en))))))</t>
  </si>
  <si>
    <t>Kenyan troops fighting 'one or two' gunmen in Nairobi's mall; 2 Americans among attackers</t>
  </si>
  <si>
    <t>(fighting/Pd.soo.|pg----/en (kenyan/Ma/en troops/Cc.p/en) (in/Br.ma/en (+/B.am/. ((one/M#/en or/Mj/en) two/C#/en) gunmen/Cc.p/en) ('s/Bp.am/en nairobi/Cp.s/en mall/Cc.s/en)) (among/Br.ma/en (2/M#/en americans/Cp.p/en) attackers/Cc.p/en))</t>
  </si>
  <si>
    <t>Singapore named the world's most expensive city</t>
  </si>
  <si>
    <t>(named/Pd.so.&lt;f-----/en singapore/Cp.s/en (+/B.mm/. ('s/M/en (the/Md/en world/Cc.s/en)) ((most/M^/en expensive/Ma/en) city/Cc.s/en)))</t>
  </si>
  <si>
    <t>pursue</t>
  </si>
  <si>
    <t>Iran Pursuing Release of Sailors Abducted by Somalian Pirates</t>
  </si>
  <si>
    <t>(pursuing/Pd.so.|pg----/en iran/Cp.s/en (+/B.mm/. release/Cp.s/en (of/Jr.ma/en sailors/Cc.p/en (abducted/P.a.&lt;pf----/en (by/T/en (somalian/Ma/en pirates/Cp.p/en))))))</t>
  </si>
  <si>
    <t>Dutch king reveals double life as an airline pilot for KLM</t>
  </si>
  <si>
    <t>(reveals/Pd.so.|f--3s-/en (dutch/Ma/en king/Cc.s/en) (as/Br.ma/en (double/Ma/en life/Cc.s/en) (for/Br.ma/en (an/Md/en (+/B.am/. airline/Cc.s/en pilot/Cc.s/en)) klm/Cp.s/en)))</t>
  </si>
  <si>
    <t>Walmart shuts 269 stores worldwide</t>
  </si>
  <si>
    <t>((worldwide/M/en shuts/Pd.so.|f--3s-/en) walmart/Cp.s/en (269/M#/en stores/Cc.p/en))</t>
  </si>
  <si>
    <t>bypass</t>
  </si>
  <si>
    <t>How Multilateral Free Trade Agreements Are Bypassing Democratic Decision-Making Around The World: One of the most worrying aspects ACTA</t>
  </si>
  <si>
    <t>((how/M/en (are/Mv.|f-----/en bypassing/Pd.so?.|pg----/en)) (+/B.am/. multilateral/Cp.s/en (+/B.am/. (+/B.am/. free/Cp.s/en trade/Cp.s/en) agreements/Cc.p/en)) (around/Br.ma/en (democratic/Ma/en (+/B.am/. decision/Cc.s/en making/Cc.s/en)) (the/Md/en world/Cc.s/en)) (of/Br.ma/en one/C#/en (of/Br.ma/en (the/Md/en ((most/M^/en worrying/Ma/en) aspects/Cc.p/en)) acta/Cp.s/en)))</t>
  </si>
  <si>
    <t>Palestinian landowners win wildcat settlement payout</t>
  </si>
  <si>
    <t>(win/Pd.so.|f-----/en (palestinian/Ma/en landowners/Cc.p/en) (+/B.am/. (+/B.am/. wildcat/Cc.s/en settlement/Cp.s/en) payout/Cc.s/en))</t>
  </si>
  <si>
    <t>hang</t>
  </si>
  <si>
    <t>Japan hangs three death row inmates</t>
  </si>
  <si>
    <t>(hangs/Pd.so.|f--3s-/en japan/Cp.s/en (three/M#/en (+/B.am/. (+/B.am/. death/Cc.s/en row/Cc.s/en) inmates/Cc.p/en)))</t>
  </si>
  <si>
    <t>ISIS Renaming Mosul Neighborhoods and Mosques After Killed Jihadis</t>
  </si>
  <si>
    <t>(killed/Pd.s?o.&lt;f-----/en (and/J/en (+/B.am/. (+/B.am/. isis/Cp.s/en (+/B.am/. renaming/Cp.s/en mosul/Cp.s/en)) neighborhoods/Cp.p/en) mosques/Cp.p/en) after/C/en jihadis/Cp.s/en)</t>
  </si>
  <si>
    <t>Greek court suspends media closure</t>
  </si>
  <si>
    <t>(suspends/Pd.so.|f--3s-/en (greek/Ma/en court/Cc.s/en) (+/B.am/. media/Cc.p/en closure/Cc.s/en))</t>
  </si>
  <si>
    <t>Thai coup protesters have adopted the Hunger Games’ three-fingered salute</t>
  </si>
  <si>
    <t>((have/Mv.|f-----/en adopted/Pd.so.&lt;pf----/en) (thai/Ma/en (+/B.am/. coup/Cc.s/en protesters/Cc.p/en)) (’/Bp.am/en (the/Md/en (+/B.am/. hunger/Cp.s/en games/Cp.p/en)) ((three/M#/en fingered/Mv.&lt;pf----/en) salute/Cc.s/en)))</t>
  </si>
  <si>
    <t>brand</t>
  </si>
  <si>
    <t>The French prime minister has branded Syrian president Assad 'a war criminal</t>
  </si>
  <si>
    <t>((has/Mv.|f--3s-/en branded/Pd.so.&lt;pf----/en) (the/Md/en (french/Ma/en (+/B.am/. prime/Ca/en minister/Cc.s/en))) (+/B.mm/. (+/B.mm/. (+/B.am/. (syrian/Ma/en president/Cc.s/en) assad/Cp.s/en) '/Cp.s/en) (a/Md/en (+/B.am/. war/Cc.s/en criminal/Cc.s/en))))</t>
  </si>
  <si>
    <t>Taliban claim Kabul attack</t>
  </si>
  <si>
    <t>(claim/Pd.so.|f-----/en taliban/Cp.s/en (+/B.am/. kabul/Cp.s/en attack/Cc.s/en))</t>
  </si>
  <si>
    <t>African Union to boost Central African Republic force</t>
  </si>
  <si>
    <t>((to/Mi/en boost/Pd.so.-i-----/en) (+/B.am/. african/Cp.s/en union/Cp.s/en) (+/B.am/. (+/B.am/. central/Cp.s/en (+/B.am/. african/Cp.s/en republic/Cp.s/en)) force/Cc.s/en))</t>
  </si>
  <si>
    <t>quit</t>
  </si>
  <si>
    <t>Icelandic MP and sentanced criminal (for stealing public money) quits politics</t>
  </si>
  <si>
    <t>(quits/Pd.so.|f--3s-/en (for/Jr.ma/en (and/J/en (icelandic/Ma/en mp/Cp.s/en) (sentanced/Ma/en criminal/Cc.s/en)) (stealing/P.o.|pg----/en (public/Ma/en money/Cc.s/en))) politics/Cc.p/en)</t>
  </si>
  <si>
    <t>Malaysia dispatches missile corvette to monitor China Coast Guard 'intrusion</t>
  </si>
  <si>
    <t>((to/Mi/en monitor/Pd.so.-i-----/en) (+/B.am/. (+/B.am/. malaysia/Cp.s/en dispatches/Cc.p/en) (+/B.am/. missile/Cc.s/en corvette/Cc.p/en)) (+/B.mm/. (+/B.mm/. (+/B.am/. china/Cp.s/en (+/B.am/. coast/Cp.s/en guard/Cp.s/en)) '/C/en) intrusion/Cc.s/en))</t>
  </si>
  <si>
    <t>Denmark claims north pole</t>
  </si>
  <si>
    <t>(claims/Pd.so.|f--3s-/en denmark/Cp.s/en (+/B.am/. north/Cc.s/en pole/Cc.s/en))</t>
  </si>
  <si>
    <t>Iran condemns deadly Takfiri bombing of bus convoy in Syria’s Aleppo</t>
  </si>
  <si>
    <t>(condemns/Pd.so.|f--3s-/en iran/Cp.s/en (in/Br.ma/en (of/Br.ma/en (deadly/Ma/en (+/B.am/. takfiri/Cp.s/en bombing/Cc.s/en)) (+/B.am/. bus/Cc.s/en convoy/Cc.s/en)) (’s/Bp.am/en syria/Cp.s/en aleppo/Cp.s/en)))</t>
  </si>
  <si>
    <t>Australian PM Julia Gillard asks Human Rights Commission to investigate discrimination against working mothers</t>
  </si>
  <si>
    <t>(asks/Pd.sor.|f--3s-/en (+/B.am/. (australian/Ma/en pm/Cp.s/en) (+/B.am/. julia/Cp.s/en gillard/Cp.s/en)) (+/B.am/. (+/B.am/. human/Cp.s/en rights/Cp.p/en) commission/Cp.s/en) ((to/Mi/en investigate/P.o.-i-----/en) (against/Br.ma/en discrimination/Cc.s/en (working/Mv.|pg----/en mothers/Cc.p/en))))</t>
  </si>
  <si>
    <t>Edward Snowden rejects German plans for meeting in Moscow</t>
  </si>
  <si>
    <t>(rejects/Pd.so.|f--3s-/en (+/B.am/. edward/Cp.s/en snowden/Cp.s/en) (for/Br.ma/en (german/Ma/en plans/Cc.p/en) (in/Br.ma/en meeting/Cc.s/en moscow/Cp.s/en)))</t>
  </si>
  <si>
    <t>Election observers have criticized the lack of choice for voters in Kazakhstan's early presidential election</t>
  </si>
  <si>
    <t>((have/Mv.|f-----/en criticized/Pd.so.&lt;pf----/en) (+/B.am/. election/Cc.s/en observers/Cc.p/en) (for/Br.ma/en (of/Br.ma/en (the/Md/en lack/Cc.s/en) choice/Cc.s/en) (in/Br.ma/en voters/Cc.p/en ('s/Bp.am/en kazakhstan/Cp.s/en (early/Ma/en (presidential/Ma/en election/Cc.s/en))))))</t>
  </si>
  <si>
    <t>Hamas praises deadly West Bank shooting</t>
  </si>
  <si>
    <t>(praises/Pd.so.|f--3s-/en hamas/Cp.s/en (deadly/Ma/en (+/B.am/. (+/B.am/. west/Cp.s/en bank/Cp.s/en) shooting/Cc.s/en)))</t>
  </si>
  <si>
    <t>Venezuela: Use of military courts against civilians undermines rule of law</t>
  </si>
  <si>
    <t>(undermines/Pd.sso.|f--3s-/en venezuela/Cp.s/en (of/Br.ma/en use/Cc.s/en (against/Br.ma/en (military/Ma/en courts/Cc.p/en) civilians/Cc.p/en)) (of/Br.ma/en rule/Cc.s/en law/Cc.s/en))</t>
  </si>
  <si>
    <t>Kurdish forces expand airstrip in northeast Syria</t>
  </si>
  <si>
    <t>(expand/Pd.so.|f-----/en (kurdish/Ma/en forces/Cc.p/en) (in/Br.ma/en airstrip/Cc.s/en (northeast/Ma/en syria/Cp.s/en)))</t>
  </si>
  <si>
    <t>Iran-backed rebels in Yemen seize US intelligence files</t>
  </si>
  <si>
    <t>(seize/Pd.so.|f-----/en (in/Br.ma/en ((iran/Ma/en backed/Mv.&lt;pf----/en) rebels/Cc.p/en) yemen/Cp.s/en) (+/B.am/. us/Cp.s/en (+/B.am/. intelligence/Cc.s/en files/Cc.p/en)))</t>
  </si>
  <si>
    <t>bomb</t>
  </si>
  <si>
    <t>Syrian jets bomb rebels near Lebanon's Arsal</t>
  </si>
  <si>
    <t>(bomb/Pd.so.|f-----/en (syrian/Ma/en jets/Cc.p/en) (near/Br.ma/en rebels/Cc.p/en ('s/Bp.am/en lebanon/Cp.s/en arsal/Cc.s/en)))</t>
  </si>
  <si>
    <t>South Africa's government has ordered sculptors to remove a bronze rabbit they hid in the ear of a Nelson Mandela statue</t>
  </si>
  <si>
    <t>((has/Mv.|f--3s-/en ordered/Pd.sor.&lt;pf----/en) ('s/Bp.am/en (+/B.am/. south/Cp.s/en africa/Cp.s/en) government/Cc.s/en) sculptors/Cc.p/en ((to/Mi/en remove/P.o?.-i-----/en) (a/Md/en (+/B.am/. bronze/Cc.s/en rabbit/Cc.s/en)) (hid/P.sx.&lt;f-----/en they/Ci/en (in/T/en (of/Br.ma/en (the/Md/en ear/Cc.s/en) (a/Md/en (+/B.am/. (+/B.am/. nelson/Cp.s/en mandela/Cp.s/en) statue/Cc.s/en)))))))</t>
  </si>
  <si>
    <t>Philippines' Duterte offers no apology for attacks on media</t>
  </si>
  <si>
    <t>(offers/Pd.so.|f--3s-/en ('/Bp.am/en philippines/Cp.p/en duterte/Cp.s/en) (for/Br.ma/en (no/Md/en apology/Cc.s/en) (on/Br.ma/en attacks/Cc.p/en media/Cc.p/en)))</t>
  </si>
  <si>
    <t>Gold Fix Study Shows Signs of Decade Bank Manipulation</t>
  </si>
  <si>
    <t>(shows/Pd.so.|f--3s-/en (+/B.am/. (+/B.am/. gold/Cc.s/en fix/Cp.s/en) study/Cc.s/en) (of/Br.ma/en signs/Cc.p/en (+/B.mm/. (of/Br.ma/en decade/Cm/en bank/Cp.s/en) manipulation/Cp.s/en)))</t>
  </si>
  <si>
    <t>South Korea's Lotte Duty Free says China cyber attacks crashed website</t>
  </si>
  <si>
    <t>(says/Pd.sor.|f--3s-/en ('s/Bp.am/en (+/B.am/. south/Cp.s/en korea/Cp.s/en) (+/B.am/. lotte/Cp.s/en (+/B.am/. duty/Cp.s/en free/Cp.s/en))) china/Cp.s/en (crashed/P.so.&lt;f-----/en (+/B.am/. cyber/Ca/en attacks/Cc.p/en) website/Cc.s/en))</t>
  </si>
  <si>
    <t>heighten</t>
  </si>
  <si>
    <t>German refugee murder arrest in Freiburg heightens tensions</t>
  </si>
  <si>
    <t>(heightens/Pd.so.|f--3s-/en (in/Br.ma/en (german/Ma/en (+/B.am/. refugee/Cc.s/en (+/B.am/. murder/Cc.s/en arrest/Cc.s/en))) freiburg/Cp.s/en) tensions/Cc.p/en)</t>
  </si>
  <si>
    <t>U.N. urges Israeli to exercise restraint in hunt for teens, also warns the Security Council that violence in the region could escalate</t>
  </si>
  <si>
    <t>(urges/Pd.sor?.|f--3s-/en u%2en%2e/Cp.s/en israeli/Ca/en ((to/Mi/en exercise/P.o.-i-----/en) (for/Br.ma/en (in/Br.ma/en restraint/Cc.s/en hunt/Cc.s/en) teens/Cc.p/en)) ((also/M/en warns/Pd.or.|f--3s-/en) (the/Md/en (+/B.am/. security/Cp.s/en council/Cp.s/en)) ((could/Mm/en escalate/P.?s.-i-----/en) that/C/en (in/Br.ma/en violence/Cc.s/en (the/Md/en region/Cc.s/en)))))</t>
  </si>
  <si>
    <t>India, Russia to sign Rs 39,000 cr deal for S-400 air defence missile systems</t>
  </si>
  <si>
    <t>((to/Mi/en sign/Pd.so.-i-----/en) (+/B.mm/. india/Cp.s/en russia/Cp.s/en) (for/Br.ma/en (+/B.am/. (39,000/M#/en rs/Cp.s/en) (+/B.am/. cr/Cp.s/en deal/Cc.s/en)) (+/B.am/. (+/B.am/. s-400/Cp.s/en (+/B.am/. (+/B.am/. air/Cc.s/en defence/Cc.s/en) missile/Cc.s/en)) systems/Cc.p/en)))</t>
  </si>
  <si>
    <t>Iraq PM declares victory in 'liberated' Mosul</t>
  </si>
  <si>
    <t>(declares/Pd.so.|f--3s-/en (+/B.am/. iraq/Cp.s/en pm/Cp.s/en) (+/B.mm/. victory/Cc.s/en (in/Br.ma/en liberated/C/en mosul/Cp.s/en)))</t>
  </si>
  <si>
    <t>Germany slams Erdogan’s ‘unacceptable’ Nazi comments</t>
  </si>
  <si>
    <t>(slams/Pd.so.|f--3s-/en germany/Cp.s/en (’s/Bp.am/en erdogan/Cp.s/en (unacceptable/Ma/en (nazi/Ma/en comments/Cc.p/en))))</t>
  </si>
  <si>
    <t>Israeli forces cut down 100 olive trees in Jenin village</t>
  </si>
  <si>
    <t>((down/Ml/en cut/Pd.so.&lt;f-----/en) (israeli/Ma/en forces/Cc.p/en) (in/Br.ma/en (100/M#/en (+/B.am/. olive/Cc.s/en trees/Cc.p/en)) (+/B.am/. jenin/Cp.s/en village/Cc.s/en)))</t>
  </si>
  <si>
    <t>Iraq unearths ancient gold coins</t>
  </si>
  <si>
    <t>(unearths/Pd.so.|f--3s-/en iraq/Cp.s/en (ancient/Ma/en (+/B.am/. gold/Cc.s/en coins/Cc.p/en)))</t>
  </si>
  <si>
    <t>ISIS executes ‘dozens’ of captured Syrian soldiers: activists</t>
  </si>
  <si>
    <t>(executes/Pd.soo.|f--3s-/en isis/Cp.s/en (of/Br.ma/en dozens/Cc.p/en (captured/Mv.&lt;pf----/en (syrian/Ma/en soldiers/Cc.p/en))) activists/Cc.p/en)</t>
  </si>
  <si>
    <t>Pakistan holds Taliban peace talks</t>
  </si>
  <si>
    <t>(holds/Pd.so.|f--3s-/en pakistan/Cp.s/en (+/B.am/. taliban/Cp.s/en (+/B.am/. peace/Cc.s/en talks/Cc.p/en)))</t>
  </si>
  <si>
    <t>French Court Rules Twitter Must Reveal Identities of Anti-Semitic Tweeters</t>
  </si>
  <si>
    <t>((must/Mm/en reveal/Pd.so.-i-----/en) (+/B.am/. (+/B.am/. (+/B.am/. french/Cp.s/en court/Cp.s/en) rules/Cc.p/en) twitter/Cp.s/en) (of/Br.ma/en identities/Cc.p/en (anti/Ma/en (-/Ma/en (semitic/Ma/en tweeters/Cp.p/en)))))</t>
  </si>
  <si>
    <t>Snowdens New Leaked Document Outlines U.S. Spending on Intelligence Agencies</t>
  </si>
  <si>
    <t>(outlines/Pd.so.|f--3s-/en (+/B.am/. snowdens/Cm/en (+/B.am/. (+/B.am/. new/Cp.s/en leaked/Cp.s/en) document/Cp.s/en)) (on/Br.ma/en (+/B.am/. u%2es%2e/Cp.s/en spending/Cc.s/en) (+/B.am/. intelligence/Cp.s/en agencies/Cp.p/en)))</t>
  </si>
  <si>
    <t>overpower</t>
  </si>
  <si>
    <t>Russian Vice-Consul to Brazil overpowered two armed assailants in Rio with jiujitsu, shot one to death</t>
  </si>
  <si>
    <t>(overpowered/Pd.ssso?.&lt;f-----/en (russian/Ma/en vice/Cp.s/en) -/Cp.s/en (to/Br.ma/en consul/Cp.s/en brazil/Cp.s/en) (in/Br.ma/en (two/M#/en (armed/Ma/en assailants/Cc.p/en)) (with/Br.ma/en rio/Cp.s/en jiujitsu/Cp.s/en)) (shot/Pd.ox.&lt;f-----/en one/C#/en (to/T/en death/Cc.s/en)))</t>
  </si>
  <si>
    <t>Hamas Agrees with Netanyahu: 'We want an Islamic State</t>
  </si>
  <si>
    <t>(want/Pd.rso.|f-----/en (agrees/P.?x.|f--3s-/en hamas/Cp.s/en (with/T/en netanyahu/Cp.s/en)) we/Ci/en (an/Md/en (+/B.am/. islamic/Cp.s/en state/Cp.s/en)))</t>
  </si>
  <si>
    <t>Paris attacks a reaction to US actions in Syria, Iraq: Indian Minister</t>
  </si>
  <si>
    <t>(attacks/Pd.so.|f--3s-/en paris/Cp.s/en (+/B.mm/. (+/B.mm/. (to/Br.ma/en (a/Md/en reaction/Cc.s/en) (in/Br.ma/en (+/B.am/. us/Cp.s/en actions/Cc.p/en) (,/Mj/en syria/Cp.s/en))) iraq/Cp.s/en) (indian/Ma/en minister/Cp.s/en)))</t>
  </si>
  <si>
    <t>Islamic State releases recruitment song in Mandarin Chinese</t>
  </si>
  <si>
    <t>(releases/Pd.so.|f--3s-/en (+/B.am/. islamic/Cp.s/en state/Cp.s/en) (in/Br.ma/en (+/B.am/. recruitment/Cc.s/en song/Cc.s/en) (+/B.am/. mandarin/Cp.s/en chinese/Cp.p/en)))</t>
  </si>
  <si>
    <t>Pope Urges Drastic Cut in Fossil Fuels to Protect Climate</t>
  </si>
  <si>
    <t>(urges/Pd.sor.|f--3s-/en pope/Cp.s/en (in/Br.ma/en (drastic/Ma/en cut/Cc.s/en) (+/B.am/. fossil/Cp.s/en fuels/Cp.p/en)) ((to/Mi/en protect/P.o.-i-----/en) climate/Cp.s/en))</t>
  </si>
  <si>
    <t>China promises humane, lawful treatment of detained Canadian</t>
  </si>
  <si>
    <t>(promises/Pd.so.|f--3s-/en china/Cp.s/en (of/Br.ma/en (humane/Ma/en (lawful/Ma/en treatment/Cc.s/en)) (detained/Mv.&lt;pf----/en canadian/Ca/en)))</t>
  </si>
  <si>
    <t>Ex-Greek finance minister Varoufakis supports France labour protests</t>
  </si>
  <si>
    <t>(supports/Pd.so.|f--3s-/en (+/B.am/. (ex/Ma/en (-/Ma/en (greek/Ma/en (+/B.am/. finance/Cc.s/en minister/Cc.s/en)))) varoufakis/Cp.s/en) (+/B.am/. france/Cp.s/en (+/B.am/. labour/Cc.s/en protests/Cc.p/en)))</t>
  </si>
  <si>
    <t>Changing perceptions between countries at war, Israel treats thousands of wounded Syrians</t>
  </si>
  <si>
    <t>(treats/Pd.?so.|f--3s-/en (between/Br.ma/en (changing/Mv.|pg----/en perceptions/Cc.p/en) (at/Br.ma/en countries/Cc.p/en war/Cc.s/en)) israel/Cp.s/en (of/Br.ma/en thousands/Cc.p/en (wounded/Mv.&lt;pf----/en syrians/Cp.p/en)))</t>
  </si>
  <si>
    <t>Suicide bombings in Lebanese Shiite suburb leaves 43 dead</t>
  </si>
  <si>
    <t>(leaves/Pd.soo.|f--3s-/en (in/Br.ma/en (+/B.am/. suicide/Cc.s/en bombings/Cc.p/en) (lebanese/Ma/en (shiite/Ma/en suburb/Cc.s/en))) 43/C#/en dead/Ca/en)</t>
  </si>
  <si>
    <t>violate</t>
  </si>
  <si>
    <t>Israel violated rules of war in strikes on Gaza homes</t>
  </si>
  <si>
    <t>(violated/Pd.so.&lt;f-----/en israel/Cp.s/en (in/Br.ma/en (of/Br.ma/en rules/Cc.p/en war/Cc.s/en) (on/Br.ma/en strikes/Cc.p/en (+/B.am/. gaza/Cp.s/en homes/Cc.p/en))))</t>
  </si>
  <si>
    <t>Central African Republic lynch mob seeks sectarian revenge</t>
  </si>
  <si>
    <t>(seeks/Pd.so.|f--3s-/en (+/B.am/. (+/B.am/. central/Ca/en (+/B.am/. african/Cp.s/en republic/Cp.s/en)) (+/B.am/. lynch/Cc.s/en mob/Cc.s/en)) (sectarian/Ma/en revenge/Cc.s/en))</t>
  </si>
  <si>
    <t>Suspected Islamists kill dozens in northeast Nigeria</t>
  </si>
  <si>
    <t>(kill/Pd.so.|f-----/en (suspected/Mv.&lt;pf----/en islamists/Cp.p/en) (in/Br.ma/en dozens/Cc.p/en (northeast/Ma/en nigeria/Cp.s/en)))</t>
  </si>
  <si>
    <t>Pakistani PM Approves Air Strikes on Militant Hideouts</t>
  </si>
  <si>
    <t>(approves/Pd.so.|f--3s-/en (pakistani/Ma/en pm/Cc.s/en) (on/Br.ma/en (+/B.am/. air/Cc.s/en strikes/Cc.p/en) (+/B.am/. militant/Cp.s/en hideouts/Cc.p/en)))</t>
  </si>
  <si>
    <t>UKIP Wins First Commons District With Conservative Defector</t>
  </si>
  <si>
    <t>(wins/Pd.so.|f--3s-/en ukip/Cp.s/en (with/Br.ma/en (+/B.am/. (+/B.am/. first/Cp.s/en commons/Cp.s/en) district/Cp.s/en) (conservative/Ma/en defector/Cc.s/en)))</t>
  </si>
  <si>
    <t>U.S. urges China's Xi to extend non-militarization pledge to all of South China Sea</t>
  </si>
  <si>
    <t>(urges/Pd.sor.|f--3s-/en u%2es%2e/Cp.s/en ('s/Bp.am/en china/Cp.s/en xi/Cp.s/en) ((to/Mi/en extend/P.ox.-i-----/en) (non/Ma/en (-/Ma/en (militarization/Ma/en pledge/Cc.s/en))) (to/T/en (of/Br.ma/en all/Cd/en (+/B.am/. (+/B.am/. south/Cp.s/en china/Cp.s/en) sea/Cp.s/en)))))</t>
  </si>
  <si>
    <t>The German government has asked its intelligence agencies to investigate whether Russia is conducting a propaganda campaign in Germany</t>
  </si>
  <si>
    <t>((has/Mv.|f--3s-/en asked/Pd.sor.&lt;pf----/en) (the/Md/en (german/Ma/en government/Cc.s/en)) (its/Mp/en (+/B.am/. intelligence/Cc.s/en agencies/Cc.p/en)) ((to/Mi/en investigate/P.r.-i-----/en) (whether/T/en ((is/Mv.|f--3s-/en conducting/P.so.|pg----/en) russia/Cp.s/en (in/Br.ma/en (a/Md/en (+/B.am/. propaganda/Cc.s/en campaign/Cc.s/en)) germany/Cp.s/en)))))</t>
  </si>
  <si>
    <t>introduce</t>
  </si>
  <si>
    <t>Nigeria's Immigration Service Introduce Visa-On-Arrival Online Applications</t>
  </si>
  <si>
    <t>(introduce/Pd.so.|f-----/en ('s/Bp.am/en nigeria/Cp.s/en (+/B.am/. immigration/Cp.s/en service/Cp.s/en)) (+/B.am/. (on/Br.ma/en visa/Cm/en arrival/Cp.s/en) (+/B.am/. online/Cp.s/en applications/Cp.p/en)))</t>
  </si>
  <si>
    <t>Myanmar jails tourist for unplugging speakers relaying sermon</t>
  </si>
  <si>
    <t>(jails/Pd.sox.|f--3s-/en myanmar/Cp.s/en tourist/Cc.s/en (for/T/en (unplugging/P.or.|pg----/en speakers/Cc.p/en (relaying/P.o.|pg----/en sermon/Cp.s/en))))</t>
  </si>
  <si>
    <t>Former U.S. diplomats hold unofficial "Track 2" talks with North Korean officials in Malaysia</t>
  </si>
  <si>
    <t>(hold/Pd.so.|f-----/en (former/Ma/en (+/B.am/. u%2es%2e/Cp.s/en diplomats/Cc.p/en)) (in/Br.ma/en (with/Br.ma/en (unofficial/Ma/en (+/B.am/. (2/M#/en track/Cm/en) talks/Cc.p/en)) ((north/Ma/en korean/Ma/en) officials/Cc.p/en)) malaysia/Cp.s/en))</t>
  </si>
  <si>
    <t>veer</t>
  </si>
  <si>
    <t>Duterte veered off speech, launched tirade on US killings in front of Obama</t>
  </si>
  <si>
    <t>((off/Ml/en veered/Pd.so?.&lt;f-----/en) duterte/Cp.s/en speech/Cc.s/en (launched/Pd.ox.&lt;f-----/en tirade/Cc.s/en (on/T/en (in/Br.ma/en (+/B.am/. us/Cp.s/en killings/Cc.p/en) (of/Br.ma/en front/Cc.s/en obama/Cp.s/en)))))</t>
  </si>
  <si>
    <t>16-year-old Malala Yousafzai wins Sakharov Prize for Freedom of Thought</t>
  </si>
  <si>
    <t>(wins/Pd.so.|f--3s-/en (((16/M#/en year/M/en) old/Ma/en) (+/B.am/. malala/Cp.s/en yousafzai/Cp.s/en)) (for/Br.ma/en (+/B.am/. sakharov/Cp.s/en prize/Cp.s/en) (of/Br.ma/en freedom/Cp.s/en thought/Cp.s/en)))</t>
  </si>
  <si>
    <t>near</t>
  </si>
  <si>
    <t>Radioactive Japanese wave nears US</t>
  </si>
  <si>
    <t>(nears/Pd.so.|f--3s-/en (radioactive/Ma/en (japanese/Ma/en wave/Cc.s/en)) us/Cp.s/en)</t>
  </si>
  <si>
    <t>frustrate</t>
  </si>
  <si>
    <t>Cost of rescuing 'over-refreshed' floating Americans frustrates Sarnia mayor</t>
  </si>
  <si>
    <t>(frustrates/Pd.so.|f--3s-/en (of/Jr.ma/en cost/Cc.s/en (rescuing/P.o.|pg----/en ((over/M/en refreshed/Mv.&lt;pf----/en) (floating/Mv.|pg----/en americans/Cp.p/en)))) (+/B.am/. sarnia/Cp.s/en mayor/Cc.s/en))</t>
  </si>
  <si>
    <t>Iraqi forces enter western Mosul, take airport from ISIS</t>
  </si>
  <si>
    <t>(enter/Pd.so?.|f-----/en (iraqi/Ma/en forces/Cc.p/en) (western/Ma/en mosul/Cp.s/en) (take/P!.ox.-i-----/en airport/Cc.s/en (from/T/en isis/Cp.s/en)))</t>
  </si>
  <si>
    <t>label</t>
  </si>
  <si>
    <t>Al-Shabaab labels Turkey 'enemy of Somalia</t>
  </si>
  <si>
    <t>(labels/Pd.so.|f--3s-/en (+/B.am/. al/Cp.s/en shabaab/Cp.s/en) (of/Br.ma/en ('/Bp.am/en turkey/Cp.s/en enemy/Cc.s/en) somalia/Cp.s/en))</t>
  </si>
  <si>
    <t>Canada sending 6 CF-18s for NATO operation in Eastern Europe</t>
  </si>
  <si>
    <t>(sending/Pd.so.|pg----/en canada/Cp.s/en (for/Br.ma/en (6/M#/en cf-18s/Cp.s/en) (in/Br.ma/en (+/B.am/. nato/Cp.s/en operation/Cc.s/en) (+/B.am/. eastern/Cp.s/en europe/Cp.s/en))))</t>
  </si>
  <si>
    <t>Iraq's Sadr pulls out forces from Baghdad districts hit by bombs</t>
  </si>
  <si>
    <t>((out/Ml/en pulls/Pd.so.|f--3s-/en) ('s/Bp.am/en iraq/Cp.s/en sadr/Cp.s/en) (+/B.mm/. forces/Cc.p/en (from/Jr.ma/en (+/B.am/. baghdad/Cp.s/en districts/Cc.p/en) (hit/P.a.&lt;pf----/en (by/T/en bombs/Cc.p/en)))))</t>
  </si>
  <si>
    <t>Questions about ‘60 Minutes’ Benghazi story go beyond Dylan Davies interview; CBS conducting ‘journalistic review</t>
  </si>
  <si>
    <t>(conducting/Pd.rso.|pg----/en (go/P.sx.|f-----/en (about/Br.ma/en questions/Cc.p/en (+/B.mm/. (60/M#/en minutes/Cp.p/en) (+/B.am/. benghazi/Cp.s/en story/Cc.s/en))) (beyond/T/en (+/B.am/. (+/B.am/. dylan/Cp.s/en davies/Cp.s/en) interview/Cc.s/en))) cbs/Cp.s/en (journalistic/Ma/en review/Cc.s/en))</t>
  </si>
  <si>
    <t>Advertisers now using inaudible high-frequency sounds to track a person's online behaviour across a range of devices including phones, TVs, tablets, and computers</t>
  </si>
  <si>
    <t>((now/M/en using/Pd.sor.|pg----/en) advertisers/Cc.p/en (inaudible/Ma/en (+/B.am/. (high/Ma/en frequency/Cc.s/en) sounds/Cc.p/en)) ((to/Mi/en track/P.ox.-i-----/en) ('s/Bp.am/en (a/Md/en person/Cc.s/en) (online/Ma/en behaviour/Cc.s/en)) (across/T/en (of/Br.ma/en (a/Md/en range/Cc.s/en) (+/B.mm/. devices/Cc.p/en (+/B.mm/. including/C/en (,/J/en phones/Cc.p/en (,/J/en tvs/Cc.p/en (and/J/en tablets/Cc.p/en computers/Cc.p/en)))))))))</t>
  </si>
  <si>
    <t>need</t>
  </si>
  <si>
    <t>Splintered Nigeria needs a shared vision</t>
  </si>
  <si>
    <t>(needs/Pd.so.|f--3s-/en (splintered/Mv.&lt;pf----/en nigeria/Cp.s/en) (a/Md/en (shared/Mv.&lt;pf----/en vision/Cc.s/en)))</t>
  </si>
  <si>
    <t>Free train services in Egypt on Thursday to mark new Suez Canal</t>
  </si>
  <si>
    <t>((to/Mi/en mark/Pd.so.-i-----/en) (on/Br.ma/en (in/Br.ma/en (free/Ma/en (+/B.am/. train/Cc.s/en services/Cc.p/en)) egypt/Cp.s/en) thursday/Cp.s/en) (new/Ma/en (+/B.am/. suez/Cp.s/en canal/Cp.s/en)))</t>
  </si>
  <si>
    <t>Wave of dead sea creatures hits Chile's beaches, experts blame El Nino, fish farming</t>
  </si>
  <si>
    <t>(blame/Pd.rsoo.|f-----/en (hits/P.so.|f--3s-/en (of/Br.ma/en wave/Cc.s/en (dead/Ma/en (+/B.am/. sea/Cc.s/en creatures/Cc.p/en))) ('s/Bp.am/en chile/Cp.s/en beaches/Cc.p/en)) experts/Cc.p/en (+/B.am/. el/Cp.s/en nino/Cp.s/en) (+/B.am/. fish/Cc.s/en farming/Cc.s/en))</t>
  </si>
  <si>
    <t>Russia, U.S. to discuss 1987 arms accord: Interfax</t>
  </si>
  <si>
    <t>((to/Mi/en discuss/Pd.so.-i-----/en) (+/B.mm/. russia/Cp.s/en u%2es%2e/Cp.s/en) (+/B.mm/. (1987/M#/en (+/B.am/. arms/Cc.p/en accord/Cc.s/en)) interfax/Cc.s/en))</t>
  </si>
  <si>
    <t>UK defense minister denies report of divisions in PM May's team</t>
  </si>
  <si>
    <t>(denies/Pd.soo.|f--3s-/en (+/B.am/. uk/Cp.s/en (+/B.am/. defense/Cc.s/en minister/Cc.s/en)) (of/Br.ma/en report/Cc.s/en (in/Br.ma/en divisions/Cc.p/en pm/Cp.s/en)) ('s/Bp.am/en may/Cp.s/en team/Cc.s/en))</t>
  </si>
  <si>
    <t>With 4 Days Left, Sir Tim Berners-Lee, Larry Lessig, And Barbara Van Schewick Beg Europe To Close Net Neutrality Loopholes</t>
  </si>
  <si>
    <t>((to/Mi/en close/Pd.so.-i-----/en) (+/B.mm/. (and/J/en (with/Br.ma/en (+/B.am/. (4/M#/en days/Cc.p/en) left/Ca/en) (+/B.am/. sir/Cp.s/en (+/B.am/. tim/Cp.s/en (+/B.am/. berners/Cp.s/en lee/Cp.s/en)))) (+/B.am/. larry/Cp.s/en lessig/Cp.s/en)) (+/B.am/. (+/B.am/. barbara/Cp.s/en van/Cp.s/en) (+/B.am/. schewick/Cp.s/en (+/B.am/. beg/Cp.s/en europe/Cp.s/en)))) (+/B.am/. net/Cp.s/en (+/B.am/. neutrality/Cp.s/en loopholes/Cc.p/en)))</t>
  </si>
  <si>
    <t>Sex abuse victims to face Cardinal George Pell in Rome</t>
  </si>
  <si>
    <t>((to/Mi/en face/Pd.so.-i-----/en) (+/B.am/. sex/Cc.s/en (+/B.am/. abuse/Cc.s/en victims/Cc.p/en)) (in/Br.ma/en (+/B.am/. cardinal/Cp.s/en (+/B.am/. george/Cp.s/en pell/Cp.s/en)) rome/Cp.s/en))</t>
  </si>
  <si>
    <t>install</t>
  </si>
  <si>
    <t>Canada installs first ever crack-pipe vending machines</t>
  </si>
  <si>
    <t>(installs/Pd.so.|f--3s-/en canada/Cp.s/en (first/M/en (ever/M/en (+/B.am/. (+/B.am/. (+/B.am/. crack/Cc.s/en pipe/Cc.s/en) vending/Cc.s/en) machines/Cc.p/en))))</t>
  </si>
  <si>
    <t>chant</t>
  </si>
  <si>
    <t>Baloch activists in Germany chant pro-India, anti- Pakistan slogans</t>
  </si>
  <si>
    <t>(chant/Pd.sooo.|f-----/en (in/Br.ma/en (+/B.am/. baloch/Cp.s/en activists/Cc.p/en) germany/Cp.s/en) pro/Ca/en -/Ca/en (india/Ma/en (anti/Ma/en (-/Ma/en (pakistan/Ma/en slogans/Cc.p/en)))))</t>
  </si>
  <si>
    <t>applaud</t>
  </si>
  <si>
    <t>Politicians and scientists around the world applauded China's agreement to a 2030 emissions peak</t>
  </si>
  <si>
    <t>(applauded/Pd.so.&lt;f-----/en (and/J/en politicians/Cc.p/en (around/Br.ma/en scientists/Cc.p/en (the/Md/en world/Cc.s/en))) (to/Br.ma/en ('s/Bp.am/en china/Cp.s/en agreement/Cc.s/en) (a/Md/en (2030/M#/en (+/B.am/. emissions/Cc.p/en peak/Cc.s/en)))))</t>
  </si>
  <si>
    <t>deepen</t>
  </si>
  <si>
    <t>Pope's climate-change stand deepens conservatives' distrust</t>
  </si>
  <si>
    <t>(deepens/Pd.so.|f--3s-/en ('s/Bp.am/en pope/Cp.s/en (+/B.am/. (+/B.am/. climate/Cc.s/en change/Cc.s/en) stand/Cc.s/en)) ('/Bp.am/en conservatives/Cc.p/en distrust/Cc.s/en))</t>
  </si>
  <si>
    <t>Chinese President Xi Jinping tells army to learn from 'uncorrupt past' of the 'revolutionary forebears'</t>
  </si>
  <si>
    <t>(tells/Pd.sor.|f--3s-/en (+/B.am/. (chinese/Ma/en president/Cp.s/en) (+/B.am/. xi/Cp.s/en jinping/Cp.s/en)) army/Cc.s/en ((to/Mi/en learn/P.x.-i-----/en) (from/T/en (of/Br.ma/en (uncorrupt/Ma/en past/Cc.s/en) (the/Md/en (revolutionary/Ma/en (+/B.mm/. forebears/Cc.p/en '/C/en)))))))</t>
  </si>
  <si>
    <t>The government's opposition and various refugee organizations have harshly criticized the reforms</t>
  </si>
  <si>
    <t>((have/Mv.|f-----/en (harshly/M/en criticized/Pd.so.&lt;pf----/en)) (and/J/en ('s/Bp.am/en (the/Md/en government/Cc.s/en) opposition/Cc.s/en) (various/Ma/en (+/B.am/. refugee/Cc.s/en organizations/Cc.p/en))) (the/Md/en reforms/Cc.p/en))</t>
  </si>
  <si>
    <t>debate</t>
  </si>
  <si>
    <t>Israel's Civil Administration to debate possible demolition of West Bank village Susya</t>
  </si>
  <si>
    <t>((to/Mi/en debate/Pd.so.-i-----/en) ('s/Bp.am/en israel/Cp.s/en (+/B.am/. civil/Cp.s/en administration/Cp.s/en)) (of/Br.ma/en (possible/Ma/en demolition/Cc.s/en) (of/Br.ma/en (+/B.am/. (+/B.am/. west/Cp.s/en bank/Cp.s/en) village/Cc.s/en) susya/Cp.s/en)))</t>
  </si>
  <si>
    <t>Nigeria military shuts cattle market 'financing' Boko Haram</t>
  </si>
  <si>
    <t>(shuts/Pd.soo.|f--3s-/en (+/B.am/. nigeria/Cp.s/en military/Cc.s/en) (+/B.am/. (+/B.aa/. cattle/Cc.p/en market/Cm/en) financing/Cc.s/en) (+/B.am/. boko/Cp.s/en haram/Cp.s/en))</t>
  </si>
  <si>
    <t>Crackdowns Make Fleeing North Korea Harder (/r/Asia x-post</t>
  </si>
  <si>
    <t>(make/Pd.sr??o.|f-----/en crackdowns/Cc.s/en (+/B.mm/. (+/B.am/. fleeing/C/en (+/B.am/. (+/B.am/. north/Cp.s/en korea/Cp.s/en) harder/Cp.s/en)) (+/B.am/. %2fr/Cm/en asia/Cp.s/en)) x/Cc.s/en -/Cc.s/en post/Cc.s/en)</t>
  </si>
  <si>
    <t>Facebook loses a million South African users</t>
  </si>
  <si>
    <t>(loses/Pd.so.|f--3s-/en facebook/Cp.s/en (a/Md/en (million/M#/en ((south/Ma/en african/Ma/en) users/Cc.p/en))))</t>
  </si>
  <si>
    <t>assist</t>
  </si>
  <si>
    <t>US Tech Giants Assist Global Terrorism</t>
  </si>
  <si>
    <t>(assist/Pd.so.|f-----/en (+/B.am/. us/Cp.s/en (+/B.am/. tech/Cp.s/en giants/Cp.p/en)) (+/B.am/. global/Cp.s/en terrorism/Cp.s/en))</t>
  </si>
  <si>
    <t>Activists use Pokemon GO to tell the world about Syria's children</t>
  </si>
  <si>
    <t>(use/Pd.sor.|f-----/en activists/Cc.p/en (+/B.am/. pokemon/Cp.s/en go/Cp.s/en) ((to/Mi/en tell/P.ox.-i-----/en) (the/Md/en world/Cc.s/en) (about/T/en ('s/Bp.am/en syria/Cp.s/en children/Cc.p/en))))</t>
  </si>
  <si>
    <t>New Zealand gets 'ATM for mood deposits</t>
  </si>
  <si>
    <t>(gets/Pd.so.|f--3s-/en (+/B.am/. new/Cp.s/en zealand/Cp.s/en) (for/Br.ma/en atm/Cc.s/en (+/B.am/. mood/Cc.s/en deposits/Cc.p/en)))</t>
  </si>
  <si>
    <t>Kuwait says stateless to be offered Comoros citizenship</t>
  </si>
  <si>
    <t>(says/Pd.sor.|f--3s-/en kuwait/Cp.s/en stateless/Ca/en ((to/Mi/en (be/Mv.-i-----/en offered/P.io.&lt;pf----/en)) comoros/Cp.s/en citizenship/Cc.s/en))</t>
  </si>
  <si>
    <t>Italy arrests Pakistani accused of bloody 2009 Peshawar bombing</t>
  </si>
  <si>
    <t>(arrests/Pd.so?.|f--3s-/en italy/Cp.s/en pakistani/Cp.s/en (accused/P.x.&lt;pf----/en (of/Tt/en (bloody/Ma/en (+/B.am/. 2009/C#/en (+/B.am/. peshawar/Cp.s/en bombing/Cc.s/en))))))</t>
  </si>
  <si>
    <t>Israel calls up reservists, deploys missile defenses against Syria</t>
  </si>
  <si>
    <t>((up/Ml/en calls/Pd.so?.|f--3s-/en) israel/Cp.s/en reservists/Cc.p/en (deploys/Pd.o.|f--3s-/en (against/Br.ma/en (+/B.am/. missile/Cc.s/en defenses/Cc.p/en) syria/Cp.s/en)))</t>
  </si>
  <si>
    <t>Iran gives "Argo" Oscar a thumbs-down</t>
  </si>
  <si>
    <t>(gives/Pd.sio.|f--3s-/en iran/Cp.s/en (+/B.am/. argo/Cm/en oscar/Cp.s/en) (a/Md/en (+/B.am/. thumbs/Cc.s/en down/Cc.s/en)))</t>
  </si>
  <si>
    <t>clear</t>
  </si>
  <si>
    <t>Guantánamo parole board clears Yemeni detainee</t>
  </si>
  <si>
    <t>(clears/Pd.so.|f--3s-/en (+/B.am/. guantánamo/Cp.s/en (+/B.am/. parole/Cc.s/en board/Cc.s/en)) (yemeni/Ma/en detainee/Cc.s/en))</t>
  </si>
  <si>
    <t>UN condemns 'devastating' abuse against Rohingya by Myanmar forces</t>
  </si>
  <si>
    <t>(condemns/Pd.so.|f--3s-/en un/Cp.s/en (by/Br.ma/en (against/Br.ma/en (devastating/Ma/en abuse/Cc.s/en) rohingya/Cp.s/en) (+/B.am/. myanmar/Cp.s/en forces/Cc.p/en)))</t>
  </si>
  <si>
    <t>Donald Trump accuses China of 'stealing' US Navy drone in international waters</t>
  </si>
  <si>
    <t>(accuses/Pd.sox.|f--3s-/en (+/B.am/. donald/Cp.s/en trump/Cp.s/en) china/Cp.s/en (of/T/en (in/Jr.ma/en (stealing/P.o.|pg----/en (+/B.am/. (+/B.am/. us/Cp.s/en navy/Cp.s/en) drone/Cc.s/en)) (international/Ma/en waters/Cc.p/en))))</t>
  </si>
  <si>
    <t>enhance</t>
  </si>
  <si>
    <t>Pak, Russia to enhance defence cooperation</t>
  </si>
  <si>
    <t>((to/Mi/en enhance/Pd.so.-i-----/en) (+/B.mm/. pak/Cp.s/en russia/Cp.s/en) (+/B.am/. defence/Cc.s/en cooperation/Cc.s/en))</t>
  </si>
  <si>
    <t>trend</t>
  </si>
  <si>
    <t>Ahmed Mohamed Clock is Trending Worldwide on Social Media Sites</t>
  </si>
  <si>
    <t>((is/Mv.|f--3s-/en trending/Pd.so.|pg----/en) (+/B.am/. ahmed/Cp.s/en (+/B.am/. mohamed/Cp.s/en clock/Cp.s/en)) (on/Br.ma/en worldwide/Cp.s/en (+/B.am/. (+/B.am/. social/Cp.s/en media/Cp.s/en) sites/Cc.p/en)))</t>
  </si>
  <si>
    <t>nominate</t>
  </si>
  <si>
    <t>Oscar nominated actress Martha Hyer dies at age 89</t>
  </si>
  <si>
    <t>(nominated/Pd.sor.&lt;f-----/en oscar/Cp.s/en (+/B.mm/. actress/Cc.s/en (+/B.am/. martha/Cp.s/en hyer/Cp.s/en)) (dies/P.x.|f--3s-/en (at/Tt/en (+/B.ma/. age/Cc.s/en 89/C#/en))))</t>
  </si>
  <si>
    <t>Turkey frees cabinet ministers' sons</t>
  </si>
  <si>
    <t>(frees/Pd.so.|f--3s-/en turkey/Cp.s/en ('/Bp.am/en (+/B.am/. cabinet/Cc.s/en ministers/Cc.p/en) sons/Cc.p/en))</t>
  </si>
  <si>
    <t>Kiev plans Soviet 'occupation of Ukraine' museum</t>
  </si>
  <si>
    <t>(plans/Pd.so.|f--3s-/en kiev/Cp.s/en (of/Br.ma/en ('/Bp.am/en soviet/Ca/en occupation/Cc.s/en) ('/Bp.am/en ukraine/Cp.s/en museum/Cc.s/en)))</t>
  </si>
  <si>
    <t>The Delhi Gang Rape Accused: Vinay Sharma, a Quiet and Simple' Boy</t>
  </si>
  <si>
    <t>(accused/Pd.so.&lt;pf----/en (the/Md/en (+/B.am/. (+/B.am/. delhi/Cp.s/en gang/Cc.s/en) rape/Cc.s/en)) (+/B.mm/. (+/B.am/. vinay/Cp.s/en sharma/Cp.s/en) (a/Md/en (+/B.am/. ((quiet/Ma/en and/Mj/en) simple/Ca/en) boy/Cc.s/en))))</t>
  </si>
  <si>
    <t>Dulwich Hamlet set up charity friendly for refugees against FC Assyria</t>
  </si>
  <si>
    <t>((up/Ml/en set/Pd.so.&lt;f-----/en) (+/B.am/. dulwich/Cp.s/en hamlet/Cp.s/en) ((friendly/Ma/en for/Br.ma/en) charity/Cc.s/en (against/Br.ma/en refugees/Cc.p/en (+/B.am/. fc/Cp.s/en assyria/Cp.s/en))))</t>
  </si>
  <si>
    <t>Suicide attack on Syria wedding kills 34</t>
  </si>
  <si>
    <t>(kills/Pd.so.|f--3s-/en (on/Br.ma/en (+/B.am/. suicide/Cc.s/en attack/Cc.s/en) (+/B.am/. syria/Cp.s/en wedding/Cc.s/en)) 34/C#/en)</t>
  </si>
  <si>
    <t>Ireland passes EU's first tobacco plain packaging law</t>
  </si>
  <si>
    <t>(passes/Pd.so.|f--3s-/en ireland/Cp.s/en ('s/Bp.am/en eu/Cp.s/en (first/Ma/en (+/B.am/. (+/B.am/. tobacco/Cm/en (plain/Ma/en packaging/Cc.s/en)) law/Cc.s/en))))</t>
  </si>
  <si>
    <t>Leader of Egypt's Brotherhood suffers heart attack in jail</t>
  </si>
  <si>
    <t>(suffers/Pd.so.|f--3s-/en (of/Br.ma/en leader/Cp.s/en ('s/Bp.am/en egypt/Cp.s/en brotherhood/Cp.s/en)) (in/Br.ma/en (+/B.am/. heart/Cc.s/en attack/Cc.s/en) jail/Cc.s/en))</t>
  </si>
  <si>
    <t>Thai court to deliver verdict in people smuggling case</t>
  </si>
  <si>
    <t>((to/Mi/en deliver/Pd.so.-i-----/en) (thai/Ma/en court/Cc.s/en) (in/Br.ma/en verdict/Cc.s/en (+/B.am/. people/Cc.p/en (+/B.am/. smuggling/Cc.s/en case/Cc.s/en))))</t>
  </si>
  <si>
    <t>hear</t>
  </si>
  <si>
    <t>South Africa court to hear DA case against Zuma</t>
  </si>
  <si>
    <t>((to/Mi/en hear/Pd.so.-i-----/en) (+/B.am/. (+/B.am/. south/Cp.s/en africa/Cp.s/en) court/Cc.s/en) (against/Br.ma/en (+/B.am/. da/Cp.s/en case/Cc.s/en) zuma/Cp.s/en))</t>
  </si>
  <si>
    <t>Iraq: ISIS Escapees Describe Systematic Rape</t>
  </si>
  <si>
    <t>(describe/Pd.?so.-i-----/en iraq/Cp.s/en (+/B.am/. isis/Cp.s/en escapees/Cc.p/en) (+/B.am/. systematic/Cp.s/en rape/Cc.s/en))</t>
  </si>
  <si>
    <t>Russian airstrikes reportedly target Turkish aid convoy in Syria</t>
  </si>
  <si>
    <t>((reportedly/M/en target/Pd.so.|f-----/en) (russian/Ma/en airstrikes/Cc.p/en) (in/Br.ma/en (turkish/Ma/en (+/B.am/. aid/Cc.s/en convoy/Cc.s/en)) syria/Cp.s/en))</t>
  </si>
  <si>
    <t>Haitians demand lower fuel prices in mass protests</t>
  </si>
  <si>
    <t>(demand/Pd.so.|f-----/en haitians/Cp.p/en (in/Br.ma/en (lower/Mc/en (+/B.am/. fuel/Cc.s/en prices/Cc.p/en)) (mass/Ma/en protests/Cc.p/en)))</t>
  </si>
  <si>
    <t>Glenn Greenwald's partner, David Miranda, threatens to take legal action after he was detained and searched at Heathrow airport by the British government; Authorities seized his laptop, phone, USB sticks and other materials</t>
  </si>
  <si>
    <t>(seized/Pd.rso.&lt;f-----/en (threatens/P.sr.|f--3s-/en (+/B.mm/. ('s/Bp.am/en (+/B.am/. glenn/Cp.s/en greenwald/Cp.s/en) partner/Cc.s/en) (+/B.am/. david/Cp.s/en miranda/Cp.s/en)) ((to/Mi/en take/P.ox.-i-----/en) (legal/Ma/en action/Cc.s/en) (and/J/en (after/T/en ((was/Mv.&lt;f-----/en detained/Pd.p.&lt;pf----/en) he/Ci/en)) (searched/Pd.xa.&lt;pf----/en (at/T/en (+/B.am/. heathrow/Cp.s/en airport/Cc.s/en)) (by/T/en (the/Md/en (british/Ma/en government/Cc.s/en))))))) authorities/Cc.p/en (his/Mp/en (+/B.mm/. laptop/Cc.s/en (,/J/en phone/Cc.s/en (and/J/en (+/B.am/. usb/Cc.s/en sticks/Cc.p/en) (other/Ma/en materials/Cc.p/en))))))</t>
  </si>
  <si>
    <t>Brazilian President Dilma Rousseff Faces Impeachment Vote</t>
  </si>
  <si>
    <t>(faces/Pd.so.|f--3s-/en (+/B.am/. (brazilian/Ma/en president/Cp.s/en) (+/B.am/. dilma/Cp.s/en rousseff/Cp.s/en)) (+/B.am/. impeachment/Cp.s/en vote/Cc.s/en))</t>
  </si>
  <si>
    <t>Syria and Russia oppose unilateral US strikes against ISIL in Syria</t>
  </si>
  <si>
    <t>(oppose/Pd.so.|f-----/en (and/J/en syria/Cp.s/en russia/Cp.s/en) (against/Br.ma/en (unilateral/Ma/en (+/B.am/. us/Cp.s/en strikes/Cc.p/en)) (in/Br.ma/en isil/Cp.s/en syria/Cp.s/en)))</t>
  </si>
  <si>
    <t>fly</t>
  </si>
  <si>
    <t>Yes, Jordan's King Abdullah IS personally flying planes against ISIS</t>
  </si>
  <si>
    <t>((is/Mv.|f--3s-/en (personally/M/en flying/Pd.jso.|pg----/en)) yes/C/en ('s/Bp.am/en jordan/Cp.s/en (+/B.am/. king/Cp.s/en abdullah/Cp.s/en)) (against/Br.ma/en planes/Cc.p/en isis/Cp.s/en))</t>
  </si>
  <si>
    <t>British ISIS fighter 'Al-Britani' threatens executions in Trafalgar Square</t>
  </si>
  <si>
    <t>(threatens/Pd.so.|f--3s-/en (+/B.am/. (+/B.am/. (british/Ma/en isis/Cp.s/en) fighter/Cc.s/en) (+/B.am/. al/Cp.s/en britani/Cp.s/en)) (in/Br.ma/en executions/Cc.p/en (+/B.am/. trafalgar/Cp.s/en square/Cp.s/en)))</t>
  </si>
  <si>
    <t>2012 Delhi gang rape verdict: ‘Devilish, diabolical’, SC upholds death sentence</t>
  </si>
  <si>
    <t>(upholds/Pd.sso.|f--3s-/en (2012/M#/en (+/B.ma/. (+/B.am/. delhi/Cp.s/en (+/B.am/. (+/B.am/. gang/Cc.s/en rape/Cc.s/en) verdict/Cc.s/en)) (devilish/Ma/en (,/Mj/en diabolical/Ca/en)))) sc/Cp.s/en (+/B.am/. death/Cc.s/en sentence/Cc.s/en))</t>
  </si>
  <si>
    <t>GSK faces bribery claims in Syria</t>
  </si>
  <si>
    <t>(faces/Pd.so.|f--3s-/en gsk/Cp.s/en (in/Br.ma/en (+/B.am/. bribery/Cc.s/en claims/Cc.p/en) syria/Cp.s/en))</t>
  </si>
  <si>
    <t>become</t>
  </si>
  <si>
    <t>Southern Europe Is Becoming One Big Surveillance State</t>
  </si>
  <si>
    <t>((is/Mv.|f--3s-/en becoming/Pd.so.|pg----/en) (+/B.am/. southern/Cp.s/en europe/Cp.s/en) (one/M#/en (+/B.am/. big/Cp.s/en (+/B.am/. surveillance/Cp.s/en state/Cp.s/en))))</t>
  </si>
  <si>
    <t>How one racy condom ad may threaten gains female sex education in Pakistan</t>
  </si>
  <si>
    <t>((how/M/en (may/Mm/en threaten/Pd.so.-i-----/en)) (one/M#/en (racy/Ma/en (+/B.am/. condom/Cc.s/en ad/Cc.s/en))) (in/Br.ma/en (in/Br.ma/en gains/Cc.p/en (female/Ma/en (+/B.am/. sex/Cc.s/en education/Cc.s/en))) pakistan/Cp.s/en))</t>
  </si>
  <si>
    <t>cover</t>
  </si>
  <si>
    <t>Giant Arch, a Feat of Engineering, Now Covers Chernobyl Site in Ukraine</t>
  </si>
  <si>
    <t>(covers/Pd.so.|f--3s-/en (now/M/en (+/B.mm/. (+/B.am/. giant/Cp.s/en arch/Cp.s/en) (of/Br.ma/en (a/Md/en feat/Cp.s/en) engineering/Cp.s/en))) (in/Br.ma/en (+/B.am/. chernobyl/Cp.s/en site/Cp.s/en) ukraine/Cp.s/en))</t>
  </si>
  <si>
    <t>World's biggest coal port joins fossil fuel divestment push</t>
  </si>
  <si>
    <t>(joins/Pd.so.|f--3s-/en ('s/Bp.am/en world/Cp.s/en (biggest/Ms/en (+/B.am/. coal/Cc.s/en port/Cc.s/en))) (+/B.am/. (+/B.am/. (+/B.am/. fossil/Ca/en fuel/Cc.s/en) divestment/Cc.s/en) push/Cc.s/en))</t>
  </si>
  <si>
    <t>Afghan intelligence alleges Pak involvement in Kabul attacks</t>
  </si>
  <si>
    <t>(alleges/Pd.sor.|f--3s-/en (afghan/Ma/en intelligence/Cc.s/en) (in/Br.ma/en (+/B.am/. pak/Cp.s/en involvement/Cc.s/en) kabul/Cp.s/en) attacks/Cc.p/en)</t>
  </si>
  <si>
    <t>UN approves peacekeepers for Central African Republic</t>
  </si>
  <si>
    <t>(approves/Pd.so.|f--3s-/en un/Cp.s/en (for/Br.ma/en peacekeepers/Cc.p/en (+/B.am/. central/Cp.s/en (+/B.am/. african/Cp.s/en republic/Cp.s/en))))</t>
  </si>
  <si>
    <t>ravage</t>
  </si>
  <si>
    <t>Deadly cyclone ravages Somalia's Puntland</t>
  </si>
  <si>
    <t>(ravages/Pd.so.|f--3s-/en (deadly/Ma/en cyclone/Cc.s/en) ('s/Bp.am/en somalia/Cp.s/en puntland/Cp.s/en))</t>
  </si>
  <si>
    <t>Venezuelan president likens harassment of government officials to Nazis treatment of Jews</t>
  </si>
  <si>
    <t>(likens/Pd.so.|f--3s-/en (venezuelan/Ma/en president/Cc.s/en) (to/Br.ma/en (of/Br.ma/en harassment/Cc.s/en (+/B.am/. government/Cc.s/en officials/Cc.p/en)) (of/Br.ma/en (+/B.am/. nazis/Cp.p/en treatment/Cc.s/en) jews/Cp.p/en)))</t>
  </si>
  <si>
    <t>Nigeria army 'frees Chibok girls'</t>
  </si>
  <si>
    <t>(frees/Pd.so.|f--3s-/en (+/B.am/. nigeria/Cp.s/en army/Cp.s/en) (+/B.mm/. (+/B.am/. chibok/Cp.s/en girls/Cc.p/en) '/C/en))</t>
  </si>
  <si>
    <t>China calls Snowden's stealth jet hack accusations 'groundless</t>
  </si>
  <si>
    <t>(calls/Pd.soo.|f--3s-/en china/Cp.s/en ('s/Bp.am/en snowden/Cp.s/en (stealth/Ma/en (+/B.am/. (+/B.am/. jet/Cc.s/en hack/Cc.s/en) accusations/Cc.p/en))) groundless/Ca/en)</t>
  </si>
  <si>
    <t>Hugo Chávez has 'severe' respiratory infection</t>
  </si>
  <si>
    <t>(has/Pd.so.|f--3s-/en (+/B.am/. hugo/Cp.s/en chávez/Cp.s/en) (severe/Ma/en (respiratory/Ma/en infection/Cc.s/en)))</t>
  </si>
  <si>
    <t>Lizard traffickers use loopholes to trade at world's biggest fair</t>
  </si>
  <si>
    <t>(use/Pd.sor.|f-----/en (+/B.am/. lizard/Cc.s/en traffickers/Cc.p/en) loopholes/Cc.p/en ((to/Mi/en trade/P.x.-i-----/en) (at/T/en ('s/Bp.am/en world/Cc.s/en (biggest/Ms/en fair/Cc.s/en)))))</t>
  </si>
  <si>
    <t>Renault-Nissan considers hidden bonus plan</t>
  </si>
  <si>
    <t>(considers/Pd.so.|f--3s-/en (+/B.am/. renault/Cp.s/en nissan/Cp.s/en) (hidden/Ma/en (+/B.am/. bonus/Cc.s/en plan/Cc.s/en)))</t>
  </si>
  <si>
    <t>S. Korea accepts North's Sunday talks proposal, calls for Panmunjom meeting</t>
  </si>
  <si>
    <t>(accepts/Pd.sor.|f--3s-/en (+/B.am/. s%2e/Cp.s/en korea/Cp.s/en) ('s/Bp.am/en north/Cp.s/en (+/B.am/. sunday/Cp.s/en (+/B.am/. talks/Cc.p/en proposal/Cc.s/en))) (calls/P.x.|f--3s-/en (for/T/en (+/B.am/. panmunjom/Cp.s/en meeting/Cc.s/en))))</t>
  </si>
  <si>
    <t>Possible terrorist attack in Sarajevo Bosnia 2 soldiers shot dead</t>
  </si>
  <si>
    <t>(shot/Pd.sso.&lt;f-----/en (in/Br.ma/en (possible/Ma/en (terrorist/Ma/en attack/Cc.s/en)) (+/B.am/. sarajevo/Cp.s/en bosnia/Cp.s/en)) (2/M#/en soldiers/Cc.p/en) dead/Ca/en)</t>
  </si>
  <si>
    <t>Sudan Darfur donor conference raises $3.6bn</t>
  </si>
  <si>
    <t>(raises/Pd.so.|f--3s-/en (+/B.am/. sudan/Cp.s/en (+/B.am/. darfur/Cp.s/en (+/B.am/. donor/Cc.s/en conference/Cc.s/en))) ($/M/en 3%2e6bn/C#/en))</t>
  </si>
  <si>
    <t>Transfer of 5 Guantanamo detainees brings 'great happiness': Taliban</t>
  </si>
  <si>
    <t>(brings/Pd.so?.|f--3s-/en (of/Br.ma/en transfer/Cc.s/en (+/B.am/. 5/C#/en (+/B.am/. guantanamo/Cp.s/en detainees/Cc.p/en))) (great/Ma/en happiness/Cc.s/en) taliban/Cp.s/en)</t>
  </si>
  <si>
    <t>Iran denies allegations of organizing spy cell in Nigeria</t>
  </si>
  <si>
    <t>(denies/Pd.so.|f--3s-/en iran/Cp.s/en (of/Jr.ma/en allegations/Cc.p/en (organizing/P.o.|pg----/en (in/Br.ma/en (+/B.am/. spy/Cc.s/en cell/Cc.s/en) nigeria/Cp.s/en))))</t>
  </si>
  <si>
    <t>Australia targets alleged tax avoidance by multinationals</t>
  </si>
  <si>
    <t>(targets/Pd.so.|f--3s-/en australia/Cp.s/en (by/Br.ma/en (alleged/Mv.&lt;pf----/en (+/B.am/. tax/Cc.s/en avoidance/Cc.s/en)) multinationals/Cc.p/en))</t>
  </si>
  <si>
    <t>North Korea vows 'physical response' to South's new missile defence system</t>
  </si>
  <si>
    <t>(vows/Pd.so.|f--3s-/en (+/B.am/. north/Cp.s/en korea/Cp.s/en) (to/Br.ma/en (physical/Ma/en response/Cc.s/en) ('s/Bp.am/en south/Cp.s/en (new/Ma/en (+/B.am/. (+/B.am/. missile/Cc.s/en defence/Cc.s/en) system/Cc.s/en)))))</t>
  </si>
  <si>
    <t>APC warns Nigerians of fake consultants over federal appointments</t>
  </si>
  <si>
    <t>(warns/Pd.so.|f--3s-/en apc/Cp.s/en (of/Br.ma/en nigerians/Cp.p/en (over/Br.ma/en (fake/Ma/en consultants/Cc.p/en) (federal/Ma/en appointments/Cc.p/en))))</t>
  </si>
  <si>
    <t>earn</t>
  </si>
  <si>
    <t>Dramatic Taliban hostage rescue earns Navy SEAL the Medal of Honor</t>
  </si>
  <si>
    <t>(earns/Pd.so.|f--3s-/en (dramatic/Ma/en (+/B.am/. taliban/Cp.s/en (+/B.am/. hostage/Cc.s/en rescue/Cc.s/en))) (+/B.mm/. (+/B.am/. navy/Cp.s/en seal/Cp.s/en) (of/Br.ma/en (the/Md/en medal/Cp.s/en) honor/Cp.s/en)))</t>
  </si>
  <si>
    <t>Russia denies knowledge of arrest ISIS leader Baghdadi</t>
  </si>
  <si>
    <t>(denies/Pd.so.|f--3s-/en russia/Cp.s/en (of/Br.ma/en knowledge/Cc.s/en (of/Br.ma/en arrest/Cc.s/en (+/B.am/. (+/B.am/. isis/Cp.s/en leader/Cc.s/en) baghdadi/Cp.s/en))))</t>
  </si>
  <si>
    <t>EU parliament blocks websites 'to protect' staff</t>
  </si>
  <si>
    <t>(blocks/Pd.sor.|f--3s-/en (+/B.am/. eu/Cp.s/en parliament/Cc.s/en) websites/Cc.p/en ((to/Mi/en protect/P.o.-i-----/en) staff/Cc.s/en))</t>
  </si>
  <si>
    <t>Fires in Chile destroy over 500 homes, leave 3,000 people homeless (PHOTOS, VIDEOS</t>
  </si>
  <si>
    <t>(destroy/Pd.so?.-i-----/en (in/Br.ma/en fires/Cc.p/en chile/Cp.s/en) ((over/M/en 500/M#/en) homes/Cc.p/en) (leave/P!.o.|f-----/en (+/B.mm/. (3,000/M#/en people/Cc.p/en) (,/J/en (homeless/Ma/en photos/Cp.s/en) videos/Cp.s/en))))</t>
  </si>
  <si>
    <t>Fallout From Syria Conflict Takes Rising Toll on Mideast</t>
  </si>
  <si>
    <t>(takes/Pd.so.|f--3s-/en (from/Br.ma/en fallout/Cc.s/en (+/B.am/. syria/Cp.s/en conflict/Cc.s/en)) (on/Br.ma/en (rising/Mv.|pg----/en toll/Cc.s/en) mideast/Cp.s/en))</t>
  </si>
  <si>
    <t>rescue</t>
  </si>
  <si>
    <t>Chad’s troops rescue 43 Boko Haram child soldiers in Nigeria</t>
  </si>
  <si>
    <t>(rescue/Pd.so.|f-----/en (’s/Bp.am/en chad/Cp.s/en troops/Cc.p/en) (in/Br.ma/en (43/M#/en (+/B.am/. (+/B.am/. boko/Cp.s/en haram/Cp.s/en) (+/B.am/. child/Cc.s/en soldiers/Cc.p/en))) nigeria/Cp.s/en))</t>
  </si>
  <si>
    <t>obtain</t>
  </si>
  <si>
    <t>Haaretz obtains full document of EU-proposed sanctions against Israel</t>
  </si>
  <si>
    <t>(obtains/Pd.so.|f--3s-/en haaretz/Cp.s/en (of/Br.ma/en (full/Ma/en document/Cc.s/en) (against/Br.ma/en ((eu/Ma/en proposed/Mv.&lt;pf----/en) sanctions/Cc.p/en) israel/Cp.s/en)))</t>
  </si>
  <si>
    <t>Chinese National Gets 12 Years for Pirated Software</t>
  </si>
  <si>
    <t>(gets/Pd.so.|f--3s-/en (chinese/Ma/en national/Cp.s/en) (for/Br.ma/en (12/M#/en years/Cc.p/en) (pirated/Ma/en software/Cp.s/en)))</t>
  </si>
  <si>
    <t>Shipwreck company finds $36M of silver in WWII wreck on seafloor</t>
  </si>
  <si>
    <t>(finds/Pd.so.|f--3s-/en (+/B.am/. shipwreck/Cp.s/en company/Cc.s/en) (on/Br.ma/en (in/Br.ma/en (of/Br.ma/en (+/B.am/. $/Cm/en (+/B.am/. 36/C#/en m/Cc.s/en)) silver/Cc.s/en) (+/B.am/. wwii/Cp.s/en wreck/Cc.s/en)) seafloor/Cc.s/en))</t>
  </si>
  <si>
    <t>Russia unveils export-oriented APR-3ME anti- submarine torpedo</t>
  </si>
  <si>
    <t>(unveils/Pd.so.|f--3s-/en russia/Cp.s/en (+/B.am/. ((export/M/en oriented/Mv.&lt;pf----/en) apr-3me/Cm/en) (anti/Ma/en (-/Ma/en (submarine/Ma/en torpedo/Cc.s/en)))))</t>
  </si>
  <si>
    <t>Russia has told the US that Western sanctions over the Crimea dispute are unacceptable, and has threatened consequences</t>
  </si>
  <si>
    <t>((has/Mv.|f--3s-/en told/Pd.sor.&lt;pf----/en) russia/Cp.s/en (the/Md/en us/Cp.s/en) (and/J/en (that/T/en (are/P.sc.|f-----/en (over/Br.ma/en (western/Ma/en sanctions/Cc.p/en) (the/Md/en (+/B.am/. crimea/Cp.s/en dispute/Cc.s/en))) unacceptable/Ca/en)) ((has/Mv.|f--3s-/en threatened/Pd.o.&lt;pf----/en) consequences/Cc.p/en)))</t>
  </si>
  <si>
    <t>UK offshore wind ‘will lower energy bills’ more than nuclear</t>
  </si>
  <si>
    <t>((will/Mm/en lower/Pd.so.-i-----/en) (+/B.am/. uk/Cm/en (offshore/Ma/en wind/Cc.s/en)) ((more/Mc/en than/Br.ma/en) (+/B.am/. energy/Cc.s/en bills/Cc.p/en) nuclear/Ca/en))</t>
  </si>
  <si>
    <t>Boris Johnson lifts ban on UK embassies flying the LGBT rainbow flag overseas during gay pride events</t>
  </si>
  <si>
    <t>(lifts/Pd.so.|f--3s-/en (+/B.am/. boris/Cp.s/en johnson/Cp.s/en) (+/B.mm/. ban/Cc.s/en (on/Jr.ma/en (+/B.am/. uk/Cp.s/en embassies/Cc.p/en) (flying/P.ox.|pg----/en (overseas/M/en (the/Md/en (+/B.am/. (+/B.am/. lgbt/Cp.s/en rainbow/Cc.s/en) flag/Cc.s/en))) (during/T/en (+/B.am/. (+/B.am/. gay/Ca/en pride/Cc.s/en) events/Cc.p/en))))))</t>
  </si>
  <si>
    <t>plunder</t>
  </si>
  <si>
    <t>Radioactive boars in Fukushima, Japan, plunder crops, rampage through homes — and occasionally attack humans</t>
  </si>
  <si>
    <t>(plunder/Pd.so?.-i-----/en (in/Br.ma/en (radioactive/Ma/en boars/Cc.p/en) (,/J/en fukushima/Cp.s/en japan/Cp.s/en)) crops/Cc.p/en (and/J/en (rampage/P!.x.-i-----/en (through/T/en homes/Cc.p/en)) ((occasionally/M/en attack/P!.o.-i-----/en) humans/Cc.p/en)))</t>
  </si>
  <si>
    <t>Chile is carrying out a feasibility study for the construction of a permanent pier at one its bases in Antarctica</t>
  </si>
  <si>
    <t>((out/Ml/en (is/Mv.|f--3s-/en carrying/Pd.so.|pg----/en)) chile/Cp.s/en (for/Br.ma/en (a/Md/en (+/B.am/. feasibility/Cc.s/en study/Cc.s/en)) (of/Br.ma/en (the/Md/en construction/Cc.s/en) (at/Br.ma/en (a/Md/en (permanent/Ma/en pier/Cc.s/en)) (of/Br.ma/en one/C#/en (in/Br.ma/en (its/Mp/en bases/Cc.p/en) antarctica/Cp.s/en))))))</t>
  </si>
  <si>
    <t>Fake threats strike fear for Sochi Olympic Security</t>
  </si>
  <si>
    <t>(strike/Pd.so.-i-----/en (fake/Ma/en threats/Cc.p/en) (for/Br.ma/en fear/Cc.s/en (+/B.am/. sochi/Cp.s/en (+/B.am/. olympic/Cp.s/en security/Cp.s/en))))</t>
  </si>
  <si>
    <t>stoke</t>
  </si>
  <si>
    <t>India Mars launch stokes Asian space race with China</t>
  </si>
  <si>
    <t>(stokes/Pd.so.|f--3s-/en (+/B.am/. india/Cp.s/en (+/B.am/. mars/Cp.s/en launch/Cc.s/en)) (with/Br.ma/en (asian/Ma/en (+/B.am/. space/Cc.s/en race/Cc.s/en)) china/Cp.s/en))</t>
  </si>
  <si>
    <t>Turkish FM denies investigation claims on German firms</t>
  </si>
  <si>
    <t>(denies/Pd.so.|f--3s-/en (turkish/Ma/en fm/Cp.s/en) (on/Br.ma/en (+/B.am/. investigation/Cc.s/en claims/Cc.p/en) (german/Ma/en firms/Cc.p/en)))</t>
  </si>
  <si>
    <t>Turkey reportedly wants an extra 2 billion euros from EU for refugee aid</t>
  </si>
  <si>
    <t>((reportedly/M/en wants/Pd.so.|f--3s-/en) turkey/Cp.s/en (for/Br.ma/en (from/Br.ma/en (an/Md/en (extra/Ma/en ((2/M#/en billion/M#/en) euros/Cc.p/en))) eu/Cp.s/en) (+/B.am/. refugee/Cc.s/en aid/Cc.s/en)))</t>
  </si>
  <si>
    <t>Russia Denies Any Role in Deadly Convoy Attack Syria</t>
  </si>
  <si>
    <t>(denies/Pd.so.|f--3s-/en russia/Cp.s/en (in/Br.ma/en (any/Md/en role/Cc.s/en) (in/Br.ma/en (deadly/Ma/en (+/B.am/. convoy/Cp.s/en attack/Cc.s/en)) syria/Cp.s/en)))</t>
  </si>
  <si>
    <t>press</t>
  </si>
  <si>
    <t>U.S. presses China to stop growing trade secret theft</t>
  </si>
  <si>
    <t>(presses/Pd.sor.|f--3s-/en u%2es%2e/Cp.s/en china/Cp.s/en ((to/Mi/en stop/P.r.-i-----/en) (growing/P.o.|pg----/en ((trade/M/en secret/Ma/en) theft/Cc.s/en))))</t>
  </si>
  <si>
    <t>Kenyan teachers call off 5-week strike</t>
  </si>
  <si>
    <t>((off/Ml/en call/Pd.so.|f-----/en) (kenyan/Ma/en teachers/Cc.p/en) (+/B.am/. (5/M#/en week/Cc.s/en) strike/Cc.s/en))</t>
  </si>
  <si>
    <t>Kurdish special forces rescue teenage Swedish girl from Islamic State</t>
  </si>
  <si>
    <t>(rescue/Pd.so.|f-----/en (kurdish/Ma/en (special/Ma/en forces/Cc.p/en)) (from/Br.ma/en (teenage/Ma/en (swedish/Ma/en girl/Cc.s/en)) (+/B.am/. islamic/Cp.s/en state/Cp.s/en)))</t>
  </si>
  <si>
    <t>Earthquake Hits New Guinea</t>
  </si>
  <si>
    <t>(hits/Pd.so.|f--3s-/en earthquake/Cc.s/en (+/B.am/. new/Cp.s/en guinea/Cp.s/en))</t>
  </si>
  <si>
    <t>The Democratic Republic of Congo has banned a film about Congolese surgeon Denis Mukwege, who has treated thousands of women raped during conflict</t>
  </si>
  <si>
    <t>((has/Mv.|f--3s-/en banned/Pd.so.&lt;pf----/en) (of/Br.ma/en (the/Md/en (+/B.am/. democratic/Cp.s/en republic/Cp.s/en)) congo/Cp.s/en) (a/Md/en (+/B.mm/. film/Cc.s/en (about/Jr.ma/en (+/B.am/. (congolese/Ma/en surgeon/Cc.s/en) (+/B.am/. denis/Cp.s/en mukwege/Cp.s/en)) ((has/Mv.|f--3s-/en treated/P.so.&lt;pf----/en) who/Cw/en (+/B.mm/. thousands/Cc.p/en (of/Jr.ma/en women/Cc.p/en (raped/P.x.&lt;pf----/en (during/T/en conflict/Cc.s/en)))))))))</t>
  </si>
  <si>
    <t>Bishops face sack for mishandling abuse under papal plans</t>
  </si>
  <si>
    <t>(face/Pd.so.|f-----/en bishops/Cc.p/en (for/Jr.ma/en sack/Cc.s/en (under/Jr.ma/en (mishandling/P.o.|pg----/en abuse/Cc.s/en) (papal/Ma/en plans/Cc.p/en))))</t>
  </si>
  <si>
    <t>Egypt court upholds jailing of leading pro-democracy activists</t>
  </si>
  <si>
    <t>(upholds/Pd.so.|f--3s-/en (+/B.am/. egypt/Cp.s/en court/Cc.s/en) (of/Br.ma/en jailing/Cc.s/en (leading/Mv.|pg----/en (pro/Ma/en (-/Ma/en (democracy/Ma/en activists/Cc.p/en))))))</t>
  </si>
  <si>
    <t>Hezbollah chief warns Hassan Shateri Dead: Iran Vows Revenge On Israel For Killing Of Guard Commander In Syria</t>
  </si>
  <si>
    <t>(warns/Pd.sor.|f--3s-/en (+/B.am/. hezbollah/Cp.s/en chief/Cc.s/en) (+/B.am/. hassan/Cp.s/en (+/B.am/. shateri/Cp.s/en dead/Cp.s/en)) (vows/P.soxx.|f--3s-/en iran/Cp.s/en (on/Br.ma/en revenge/Cp.s/en israel/Cp.s/en) (for/T/en (of/Br.ma/en killing/Cp.s/en (+/B.am/. guard/Cp.s/en commander/Cp.s/en))) (in/T/en syria/Cp.s/en)))</t>
  </si>
  <si>
    <t>State Duma ratifies free trade zone agreement between EAEU and Vietnam</t>
  </si>
  <si>
    <t>(ratifies/Pd.so.|f--3s-/en (+/B.am/. state/Cp.s/en duma/Cp.s/en) (between/Br.ma/en (+/B.am/. (free/Ma/en (+/B.am/. trade/Cc.s/en zone/Cc.s/en)) agreement/Cc.s/en) (and/J/en eaeu/Cp.s/en vietnam/Cp.s/en)))</t>
  </si>
  <si>
    <t>Austria tells Kosovars not to waste time seeking asylum</t>
  </si>
  <si>
    <t>(tells/Pd.sor.|f--3s-/en austria/Cp.s/en kosovars/Cp.s/en ((not/Mn/en (to/Mi/en waste/P.ox.-i-----/en)) time/Cc.s/en (seeking/Pd.o.|pg----/en asylum/Cc.s/en)))</t>
  </si>
  <si>
    <t>Police Use of Drones May Threaten Human Rights: UN Expert</t>
  </si>
  <si>
    <t>((may/Mm/en threaten/Pd.so.-i-----/en) (of/Br.ma/en (+/B.am/. police/Cc.p/en use/Cc.s/en) drones/Cc.p/en) (+/B.mm/. (+/B.am/. human/Cp.s/en rights/Cp.p/en) (+/B.am/. un/Cp.s/en expert/Cp.s/en)))</t>
  </si>
  <si>
    <t>thank</t>
  </si>
  <si>
    <t>Syrian refugee's website thanks Israel</t>
  </si>
  <si>
    <t>(thanks/Pd.so.&lt;f-----/en ('s/Bp.am/en (syrian/Ma/en refugee/Cc.s/en) website/Cc.s/en) israel/Cp.s/en)</t>
  </si>
  <si>
    <t>Syrian regime is blocking aid from entering eastern Aleppo, claims UN</t>
  </si>
  <si>
    <t>((is/Mv.|f--3s-/en blocking/Pd.so?.|pg----/en) (syrian/Ma/en regime/Cc.s/en) (from/Jr.ma/en aid/Cc.s/en (entering/P.o.|pg----/en (eastern/Ma/en aleppo/Cp.s/en))) (claims/Pd.o.|f--3s-/en un/Cp.s/en))</t>
  </si>
  <si>
    <t>repel</t>
  </si>
  <si>
    <t>Big Mouth Billy Bass repels a Burglar</t>
  </si>
  <si>
    <t>(repels/Pd.so.|f--3s-/en (+/B.am/. (big/Ma/en mouth/Cp.s/en) (+/B.am/. billy/Cp.s/en bass/Cp.s/en)) (a/Md/en burglar/Cp.s/en))</t>
  </si>
  <si>
    <t>US Finally Blames China's Government and Military of Cyberespionage</t>
  </si>
  <si>
    <t>((finally/M/en blames/Pd.so.|f--3s-/en) us/Cp.s/en (of/Br.ma/en (and/J/en ('s/Bp.am/en china/Cp.s/en government/Cp.s/en) military/Cp.s/en) cyberespionage/Cp.s/en))</t>
  </si>
  <si>
    <t>Private firms in UK 'are using detained immigrants as cheap labour</t>
  </si>
  <si>
    <t>((are/Mv.|f-----/en using/Pd.so.|pg----/en) (in/Br.ma/en (private/Ma/en firms/Cc.p/en) uk/Cp.s/en) (as/Br.ma/en (detained/Mv.&lt;pf----/en immigrants/Cc.p/en) (cheap/Ma/en labour/Cc.s/en)))</t>
  </si>
  <si>
    <t>Russia "categorically rejects" accusations of war crimes over Syria hospital bombings</t>
  </si>
  <si>
    <t>((categorically/M/en rejects/Pd.so.|f--3s-/en) russia/Cp.s/en (of/Br.ma/en accusations/Cc.p/en (over/Br.ma/en (+/B.am/. war/Cc.s/en crimes/Cc.p/en) (+/B.am/. syria/Cp.s/en (+/B.am/. hospital/Cc.s/en bombings/Cc.p/en)))))</t>
  </si>
  <si>
    <t>Angela Merkel tells Turkey to stop calling German authorities Nazis in row over pro-Erdogan rallies</t>
  </si>
  <si>
    <t>(tells/Pd.sor.|f--3s-/en (+/B.am/. angela/Cp.s/en merkel/Cp.s/en) turkey/Cp.s/en ((to/Mi/en stop/P.r.-i-----/en) (calling/P.oox.|pg----/en (german/Ma/en authorities/Cc.p/en) nazis/Cp.p/en (in/T/en (over/Br.ma/en row/Cc.s/en (pro/Ma/en (-/Ma/en (erdogan/Ma/en rallies/Cc.p/en))))))))</t>
  </si>
  <si>
    <t>NASA storyteller and media consultant has vision about leaving the States and working in a bookstore in Scotland</t>
  </si>
  <si>
    <t>(has/Pd.so.|f--3s-/en (+/B.am/. (and/J/en (+/B.aa/. nasa/Cp.s/en storyteller/Cm/en) media/Cc.p/en) consultant/Cc.s/en) (about/Jr.ma/en vision/Cc.s/en (and/J/en (leaving/P.o.|pg----/en (the/Md/en states/Cp.s/en)) (working/Pd.xx.|pg----/en (in/T/en (a/Md/en bookstore/Cc.s/en)) (in/T/en scotland/Cp.s/en)))))</t>
  </si>
  <si>
    <t>Russia demands changes to Ukraine-EU trade deal</t>
  </si>
  <si>
    <t>(demands/Pd.so.|f--3s-/en russia/Cp.s/en (to/Br.ma/en changes/Cc.p/en (+/B.am/. (ukraine/Ma/en eu/Cp.s/en) (+/B.am/. trade/Cc.s/en deal/Cc.s/en))))</t>
  </si>
  <si>
    <t>Obama warned Cameron he could destroy the 'special relationship</t>
  </si>
  <si>
    <t>(warned/Pd.sor.&lt;f-----/en obama/Cp.s/en cameron/Cp.s/en ((could/Mm/en destroy/P.so.-i-----/en) he/Ci/en (the/Md/en (special/Ma/en relationship/Cc.s/en))))</t>
  </si>
  <si>
    <t>WikiLeaks' Julian Assange Claims Vindication in UN Ruling</t>
  </si>
  <si>
    <t>(claims/Pd.so.|f--3s-/en ('/Bp.am/en wikileaks/Cp.s/en (+/B.am/. julian/Cp.s/en assange/Cp.s/en)) (in/Br.ma/en vindication/Cc.s/en (+/B.am/. un/Cp.s/en ruling/Cc.s/en)))</t>
  </si>
  <si>
    <t>North Korea threatens pre-emptive nuke strike against U.S. &amp; S. Korea</t>
  </si>
  <si>
    <t>(threatens/Pd.so.|f--3s-/en (+/B.am/. north/Cp.s/en korea/Cp.s/en) (against/Br.ma/en (pre/Ma/en (-/Ma/en (emptive/Ma/en (nuke/Ma/en strike/Cc.s/en)))) (%26/J/en u%2es%2e/Cp.s/en (+/B.am/. s%2e/Cp.s/en korea/Cp.s/en))))</t>
  </si>
  <si>
    <t>spew</t>
  </si>
  <si>
    <t>Japan volcano spews ash and lava</t>
  </si>
  <si>
    <t>(spews/Pd.so.|f--3s-/en (+/B.am/. japan/Cp.s/en volcano/Cc.s/en) (and/J/en ash/Cc.s/en lava/Cc.s/en))</t>
  </si>
  <si>
    <t>Philippine President Duterte is using rumors of a sex tape to smear the most outspoken critic of his war on drugs</t>
  </si>
  <si>
    <t>((is/Mv.|f--3s-/en using/Pd.sor.|pg----/en) (+/B.am/. (philippine/Ma/en president/Cp.s/en) duterte/Cp.s/en) (of/Br.ma/en rumors/Cc.p/en (a/Md/en (+/B.am/. sex/Cc.s/en tape/Cc.s/en))) ((to/Mi/en smear/P.o.-i-----/en) (of/Br.ma/en (the/Md/en ((most/M^/en outspoken/Ma/en) critic/Cc.s/en)) (on/Br.ma/en (his/Mp/en war/Cc.s/en) drugs/Cc.p/en))))</t>
  </si>
  <si>
    <t>US and Russia discuss ceasefire in Syria</t>
  </si>
  <si>
    <t>(discuss/Pd.so.|f-----/en (and/J/en us/Cp.s/en russia/Cp.s/en) (in/Br.ma/en ceasefire/Cc.s/en syria/Cp.s/en))</t>
  </si>
  <si>
    <t>Venezuelan President Nicolas Maduro praises US rejection of sanctions</t>
  </si>
  <si>
    <t>(praises/Pd.so.|f--3s-/en (+/B.am/. (venezuelan/Ma/en president/Cp.s/en) (+/B.am/. nicolas/Cp.s/en maduro/Cp.s/en)) (of/Br.ma/en (+/B.am/. us/Cp.s/en rejection/Cc.s/en) sanctions/Cc.p/en))</t>
  </si>
  <si>
    <t>Egyptian president Sisi seeks resolution to jailed Al Jazeera journalists' case</t>
  </si>
  <si>
    <t>(seeks/Pd.so.|f--3s-/en (+/B.am/. (egyptian/Ma/en president/Cc.s/en) sisi/Cp.s/en) (to/Br.ma/en resolution/Cc.s/en ('/Bp.am/en (jailed/Mv.&lt;pf----/en (+/B.am/. (+/B.am/. al/Cp.s/en jazeera/Cp.s/en) journalists/Cc.p/en)) case/Cc.s/en)))</t>
  </si>
  <si>
    <t>China's per capita carbon emissions overtake EU's</t>
  </si>
  <si>
    <t>(overtake/Pd.so.|f-----/en ('s/Bp.am/en china/Cp.s/en (per/Br.ma/en capita/C/en (+/B.am/. carbon/Cc.s/en emissions/Cc.p/en))) (+/B.mm/. eu/Cp.s/en 's/C/en))</t>
  </si>
  <si>
    <t>UK strikes first ISIS targets</t>
  </si>
  <si>
    <t>(strikes/Pd.so.|f--3s-/en uk/Cp.s/en (first/Ma/en (+/B.am/. isis/Cp.s/en targets/Cc.p/en)))</t>
  </si>
  <si>
    <t>ruin</t>
  </si>
  <si>
    <t>Labour politician Simon Parkes 'fathered child with alien and extra terrestrial sex is ruining his marriage</t>
  </si>
  <si>
    <t>((is/Mv.|f--3s-/en ruining/Pd.sso.|pg----/en) (+/B.am/. (labour/Ma/en politician/Cc.s/en) (+/B.am/. simon/Cp.s/en parkes/Cp.s/en)) (with/Br.ma/en (fathered/Mv.&lt;pf----/en child/Cc.s/en) (+/B.am/. ((alien/Ma/en and/Mj/en) extra/Ca/en) (terrestrial/Ma/en sex/Cc.s/en))) (his/Mp/en marriage/Cc.s/en))</t>
  </si>
  <si>
    <t>Australian officials seize 'record haul of ephedrine</t>
  </si>
  <si>
    <t>(seize/Pd.so.|f-----/en (australian/Ma/en officials/Cc.p/en) (of/Br.ma/en (record/Ma/en haul/Cc.s/en) ephedrine/Cc.s/en))</t>
  </si>
  <si>
    <t>depict</t>
  </si>
  <si>
    <t>Iranian Animation Depicts Battle With U.S. Forces in Gulf</t>
  </si>
  <si>
    <t>(depicts/Pd.so.|f--3s-/en (iranian/Ma/en animation/Cp.s/en) (with/Br.ma/en battle/Cc.s/en (in/Br.ma/en (+/B.am/. u%2es%2e/Cp.s/en forces/Cp.p/en) gulf/Cp.s/en)))</t>
  </si>
  <si>
    <t>Europe's open-border policy Schengen may be nearing its end</t>
  </si>
  <si>
    <t>((may/Mm/en (be/Mv.-i-----/en nearing/Pd.so.|pg----/en)) (+/B.mm/. ('s/Bp.am/en europe/Cp.s/en (+/B.am/. (open/Ma/en border/Cc.s/en) policy/Cc.s/en)) schengen/Cp.s/en) (its/Mp/en end/Cc.s/en))</t>
  </si>
  <si>
    <t>National Intelligence Grid (Natgrid) Project Of India Would Violate Privacy</t>
  </si>
  <si>
    <t>((would/Mm/en violate/Pd.so.-i-----/en) (of/Br.ma/en (+/B.am/. (+/B.am/. (+/B.aa/. national/Cp.s/en (+/B.aa/. intelligence/Cp.s/en grid/Cm/en)) natgrid/Cp.s/en) project/Cp.s/en) india/Cp.s/en) privacy/Cc.s/en)</t>
  </si>
  <si>
    <t>Grass fires leave 15 people dead in Khakassia</t>
  </si>
  <si>
    <t>(leave/Pd.so.|f-----/en (+/B.am/. grass/Cc.s/en fires/Cc.p/en) ((dead/Ma/en in/Br.ma/en) (15/M#/en people/Cc.p/en) khakassia/Cp.s/en))</t>
  </si>
  <si>
    <t>Countries urge UN to send Syria to ICC</t>
  </si>
  <si>
    <t>(urge/Pd.sor.|f-----/en countries/Cc.p/en un/Cp.s/en ((to/Mi/en send/P.ox.-i-----/en) syria/Cp.s/en (to/T/en icc/Cp.s/en)))</t>
  </si>
  <si>
    <t>kick</t>
  </si>
  <si>
    <t>Gay reporter James Kirchick kicked off Russia’s RT news network for protesting anti-gay laws</t>
  </si>
  <si>
    <t>((off/Ml/en kicked/Pd.sox.&lt;f-----/en) (+/B.am/. (+/B.am/. gay/Cc.s/en reporter/Cc.s/en) (+/B.am/. james/Cp.s/en kirchick/Cp.s/en)) (’s/Bp.am/en russia/Cp.s/en (+/B.am/. rt/Cp.s/en (+/B.am/. news/Cc.s/en network/Cc.s/en))) (for/T/en (protesting/P.o.|pg----/en (anti/Ma/en (-/Ma/en (gay/Ma/en laws/Cc.p/en))))))</t>
  </si>
  <si>
    <t>South Sudan rivals trade blame over broken truce: Both government forces and rebel groups accuse each other of starting clashes, destroying a fragile ceasefire</t>
  </si>
  <si>
    <t>(accuse/Pd.rsoxx.|f-----/en (rivals/P.so.|f--3s-/en (+/B.am/. south/Cp.s/en sudan/Cp.s/en) (over/Br.ma/en (+/B.am/. trade/Cc.s/en blame/Cc.s/en) (broken/Ma/en truce/Cc.s/en))) (and/J/en (both/Md/en (+/B.am/. government/Cc.s/en forces/Cc.p/en)) (rebel/Ma/en groups/Cc.p/en)) (each/Md/en other/Ca/en) (of/T/en (starting/P.o.|pg----/en clashes/Cc.p/en)) (destroying/Pd.o.|pg----/en (a/Md/en (fragile/Ma/en ceasefire/Cc.s/en))))</t>
  </si>
  <si>
    <t>Israel to destroy homes of Palestinian Jerusalem car attackers</t>
  </si>
  <si>
    <t>((to/Mi/en destroy/Pd.so.-i-----/en) israel/Cp.s/en (of/Br.ma/en homes/Cc.p/en (+/B.am/. (palestinian/Ma/en jerusalem/Cp.s/en) (+/B.am/. car/Cc.s/en attackers/Cc.p/en))))</t>
  </si>
  <si>
    <t>Protest against Ontario's new sex-ed curriculum leaves Toronto elementary school almost empty</t>
  </si>
  <si>
    <t>(leaves/Pd.soo.|f--3s-/en (against/Br.ma/en protest/Cc.s/en ('s/Bp.am/en ontario/Cp.s/en (new/Ma/en (+/B.am/. (+/B.am/. sex/Cc.s/en ed/Cc.s/en) curriculum/Cc.s/en)))) (+/B.am/. toronto/Cm/en (+/B.am/. elementary/Ca/en school/Cc.s/en)) (almost/M/en empty/Ca/en))</t>
  </si>
  <si>
    <t>Wild party takes over vacant Gold Coast mansion</t>
  </si>
  <si>
    <t>((over/Ml/en takes/Pd.so.|f--3s-/en) (wild/Ma/en party/Cc.s/en) (vacant/Ma/en (+/B.am/. (+/B.am/. gold/Cp.s/en coast/Cp.s/en) mansion/Cc.s/en)))</t>
  </si>
  <si>
    <t>South African officials are investigating claims ex-Libyan leader Muammar Gaddafi and his family stashed $1bn (£600m in assets in the country</t>
  </si>
  <si>
    <t>((are/Mv.|f-----/en investigating/Pd.so?.|pg----/en) ((south/Ma/en african/Ma/en) officials/Cc.p/en) claims/Cc.p/en (stashed/Pd.sox.&lt;f-----/en (and/J/en (+/B.am/. (ex/Ma/en (-/Ma/en (libyan/Ma/en leader/Cc.s/en))) (+/B.am/. muammar/Cp.s/en gaddafi/Cp.s/en)) (his/Mp/en family/Cc.s/en)) (+/B.mm/. (+/B.ma/. (+/B.am/. $/Cm/en 1bn/Cp.s/en) (£/M/en 600/C#/en)) m/C#/en) (in/T/en (in/Br.ma/en assets/Cc.p/en (the/Md/en country/Cc.s/en)))))</t>
  </si>
  <si>
    <t>Malaysia finds human-trafficking mass graves near Thai border</t>
  </si>
  <si>
    <t>(finds/Pd.so.|f--3s-/en malaysia/Cp.s/en (near/Br.ma/en ((human/M/en trafficking/Mv.|pg----/en) (+/B.am/. mass/Cc.s/en graves/Cc.p/en)) (+/B.am/. thai/Cp.s/en border/Cc.s/en)))</t>
  </si>
  <si>
    <t>China urges caution on Syria</t>
  </si>
  <si>
    <t>(urges/Pd.so.|f--3s-/en china/Cp.s/en (on/Br.ma/en caution/Cc.s/en syria/Cp.s/en))</t>
  </si>
  <si>
    <t>Israeli scientists make breakthrough in HIV research --- Researchers at Ben-Gurion University of the Negev discover similarities between virus and leukemia</t>
  </si>
  <si>
    <t>(discover/Pd.rso.|f-----/en (make/P.so.|f-----/en (israeli/Ma/en scientists/Cc.p/en) (in/Br.ma/en breakthrough/Cc.s/en (+/B.am/. hiv/Cp.s/en research/Cc.s/en))) (at/Br.ma/en researchers/Cc.p/en (of/Br.ma/en (+/B.am/. ben/Cp.s/en (+/B.am/. gurion/Cp.s/en university/Cp.s/en)) (the/Md/en negev/Cp.s/en))) (between/Br.ma/en similarities/Cc.p/en (and/J/en virus/Cc.s/en leukemia/Cc.s/en)))</t>
  </si>
  <si>
    <t>Spain's Madrid mayor joins American Jewish Committee initiative against anti-Semitism</t>
  </si>
  <si>
    <t>(joins/Pd.so.|f--3s-/en ('s/Bp.am/en spain/Cp.s/en (+/B.am/. madrid/Cp.s/en mayor/Cc.s/en)) (american/Ma/en (+/B.mm/. (+/B.am/. (+/B.am/. jewish/Cp.s/en committee/Cp.s/en) initiative/Cc.s/en) (+/B.mm/. (against/Br.ma/en anti/Ca/en -/Ca/en) semitism/Ca/en))))</t>
  </si>
  <si>
    <t>ISIS claims responsibility for Eilat rockets</t>
  </si>
  <si>
    <t>(claims/Pd.so.|f--3s-/en isis/Cp.s/en (for/Br.ma/en responsibility/Cc.s/en (+/B.am/. eilat/Cp.s/en rockets/Cc.p/en)))</t>
  </si>
  <si>
    <t>China denies Hong Kong visit request by U.S. carrier group: Pentagon</t>
  </si>
  <si>
    <t>(denies/Pd.soo.|f--3s-/en china/Cp.s/en (by/Br.ma/en (+/B.am/. (+/B.am/. hong/Cp.s/en kong/Cp.s/en) (+/B.am/. visit/Cc.s/en request/Cc.s/en)) (+/B.am/. (+/B.am/. u%2es%2e/Cp.s/en carrier/Cc.s/en) group/Cc.s/en)) pentagon/Cp.s/en)</t>
  </si>
  <si>
    <t>Lithuanian President calls Russia ’terrorist state</t>
  </si>
  <si>
    <t>(calls/Pd.so.|f--3s-/en (lithuanian/Ma/en president/Cp.s/en) (+/B.am/. russia/Cm/en (terrorist/Ma/en state/Cc.s/en)))</t>
  </si>
  <si>
    <t>Jihadist gunmen launch grenade and shooting rampage in hotel and take 170 guests and staff hostage in Mali</t>
  </si>
  <si>
    <t>(launch/Pd.so?.|f-----/en (jihadist/Ma/en gunmen/Cc.p/en) (and/Mj/en grenade/Cc.s/en) (and/J/en (shooting/Pd.o.|pg----/en (in/Br.ma/en rampage/Cc.s/en hotel/Cc.s/en)) (take/P!.ox.-i-----/en (and/J/en (170/M#/en guests/Cc.p/en) (+/B.am/. staff/Cc.s/en hostage/Cc.s/en)) (in/T/en mali/Cp.s/en))))</t>
  </si>
  <si>
    <t>Very hot drinks 'probably' cause cancer: UN agency</t>
  </si>
  <si>
    <t>((probably/M/en cause/Pd.so?.-i-----/en) ((very/M/en hot/Ma/en) drinks/Cc.p/en) cancer/Cc.s/en (+/B.am/. un/Cp.s/en agency/Cc.s/en))</t>
  </si>
  <si>
    <t>Disappearance of Activist Priest in Syria Stirs Fears He Is Dead</t>
  </si>
  <si>
    <t>(stirs/Pd.sor.&lt;f-----/en (of/Br.ma/en disappearance/Cc.s/en (in/Br.ma/en (+/B.am/. activist/Cp.s/en priest/Cp.s/en) syria/Cp.s/en)) fears/Cc.p/en (is/P.sc.|f--3s-/en he/Ci/en dead/Ca/en))</t>
  </si>
  <si>
    <t>The US and Cuba reopen their embassies</t>
  </si>
  <si>
    <t>(reopen/Pd.so.|f-----/en (and/J/en (the/Md/en us/Cp.s/en) cuba/Cp.s/en) (their/Mp/en embassies/Cc.p/en))</t>
  </si>
  <si>
    <t>Melbourne Archbishop Denis Hart supports calls for inquiry into leak against Cardinal George Pell</t>
  </si>
  <si>
    <t>(supports/Pd.so.|f--3s-/en (+/B.am/. (+/B.am/. melbourne/Cp.s/en archbishop/Cp.s/en) (+/B.am/. denis/Cp.s/en hart/Cp.s/en)) (for/Br.ma/en calls/Cc.p/en (against/Br.ma/en (into/Br.ma/en inquiry/Cc.s/en leak/Cc.s/en) (+/B.am/. cardinal/Cp.s/en (+/B.am/. george/Cp.s/en pell/Cp.s/en)))))</t>
  </si>
  <si>
    <t>Billboard Charting Musician serving 13 years for weed</t>
  </si>
  <si>
    <t>(serving/Pd.so.|pg----/en (+/B.am/. billboard/Cp.s/en (+/B.am/. charting/Cp.s/en musician/Cp.s/en)) (for/Br.ma/en (13/M#/en years/Cc.p/en) weed/Cc.s/en))</t>
  </si>
  <si>
    <t>India bans Zakir Naik's NGO Islamic Research Foundation</t>
  </si>
  <si>
    <t>(bans/Pd.so.|f--3s-/en india/Cp.s/en ('s/Bp.am/en (+/B.am/. zakir/Cp.s/en naik/Cp.s/en) (+/B.am/. ngo/Cp.s/en (+/B.am/. islamic/Cp.s/en (+/B.am/. research/Cp.s/en foundation/Cp.s/en)))))</t>
  </si>
  <si>
    <t>Syria Says Israel Attacked Military Airport</t>
  </si>
  <si>
    <t>(says/Pd.so.|f--3s-/en syria/Cp.s/en (+/B.am/. israel/Cp.s/en (+/B.am/. attacked/Cp.s/en (+/B.am/. military/Cp.s/en airport/Cp.s/en))))</t>
  </si>
  <si>
    <t>May the schwartz be with you: New Bavarian police ‘force’ gear draws smiles</t>
  </si>
  <si>
    <t>(draws/Pd.rso.|f--3s-/en ((may/Mm/en be/P.sx.-i-----/en) (the/Md/en schwartz/Cc.s/en) (with/T/en you/Ci/en)) ((new/Ma/en bavarian/Ma/en) (+/B.am/. police/Cm/en (+/B.am/. force/Cm/en gear/Cc.s/en))) smiles/Cc.p/en)</t>
  </si>
  <si>
    <t>'ve</t>
  </si>
  <si>
    <t>We've no doubt we’re seeing an anti-vampire ritual</t>
  </si>
  <si>
    <t>('ve/Pd.sor.|f-----/en we/Ci/en (no/Md/en doubt/Cc.s/en) ((’re/Mv.|f-----/en seeing/P.so.|pg----/en) we/Ci/en (an/Md/en (anti/Ma/en (-/Ma/en (vampire/Ma/en ritual/Cc.s/en))))))</t>
  </si>
  <si>
    <t>Leading privacy expert Caspar Bowden has warned Europeans using US cloud services that their data could be snooped on</t>
  </si>
  <si>
    <t>((has/Mv.|f--3s-/en warned/Pd.sor.&lt;pf----/en) (+/B.am/. (leading/Mv.|pg----/en (+/B.am/. privacy/Cc.s/en expert/Cc.s/en)) (+/B.am/. caspar/Cp.s/en bowden/Cp.s/en)) europeans/Cp.p/en (using/P.or.|pg----/en (+/B.am/. us/Cp.s/en (+/B.am/. cloud/Cc.s/en services/Cc.p/en)) ((that/Mw/en on/T/en) ((could/Mm/en (be/Mv.-i-----/en snooped/P.p.&lt;pf----/en)) (their/Mp/en data/Cc.p/en)))))</t>
  </si>
  <si>
    <t>US company signs billion-dollar energy deal with Iran</t>
  </si>
  <si>
    <t>(signs/Pd.so.|f--3s-/en (+/B.am/. us/Cp.s/en company/Cc.s/en) (with/Br.ma/en (+/B.am/. (billion/M#/en dollar/Cc.s/en) (+/B.am/. energy/Cc.s/en deal/Cc.s/en)) iran/Cp.s/en))</t>
  </si>
  <si>
    <t>Morocco bans VoIP</t>
  </si>
  <si>
    <t>(bans/Pd.so.|f--3s-/en morocco/Cp.s/en voip/Cc.s/en)</t>
  </si>
  <si>
    <t>Police in China have detained six executives of a meat supply company that supplied long-expired meat to foreign fast food chains McDonald’s and KFC-parent Yum Brands Inc, among many others</t>
  </si>
  <si>
    <t>((have/Mv.|f-----/en detained/Pd.so.&lt;pf----/en) (in/Br.ma/en police/Cc.p/en china/Cp.s/en) (six/M#/en (+/B.mm/. executives/Cc.p/en (of/Jr.ma/en (a/Md/en (+/B.am/. (+/B.am/. meat/Cc.s/en supply/Cc.s/en) company/Cc.s/en)) (supplied/P.sox.&lt;f-----/en that/C/en (to/Br.ma/en ((long/M/en expired/Mv.&lt;pf----/en) meat/Cc.s/en) (+/B.mm/. (and/J/en (+/B.am/. (foreign/Ma/en (+/B.am/. (fast/Ma/en food/Cc.s/en) chains/Cc.p/en)) mcdonald/Cp.s/en) ’s/Bp/en) (+/B.am/. (+/B.am/. kfc/Cp.s/en parent/Cc.s/en) (+/B.am/. yum/Cp.s/en (+/B.am/. brands/Cp.s/en inc/Cp.s/en))))) (among/T/en (many/Ma/en others/Cc.p/en)))))))</t>
  </si>
  <si>
    <t>Zimbabwe Calls Veterans' Statement on Mugabe Traitorous</t>
  </si>
  <si>
    <t>(calls/Pd.so.|f--3s-/en zimbabwe/Cp.s/en (on/Br.ma/en ('/Bp.am/en veterans/Cp.p/en statement/Cp.s/en) (+/B.am/. mugabe/Cp.s/en traitorous/Cp.s/en)))</t>
  </si>
  <si>
    <t>India's government asks Supreme Court to review decision to reinstate law that criminalizes homosexuality</t>
  </si>
  <si>
    <t>(asks/Pd.sor.|f--3s-/en ('s/Bp.am/en india/Cp.s/en government/Cc.s/en) (+/B.am/. supreme/Cp.s/en court/Cp.s/en) ((to/Mi/en review/P.o?.-i-----/en) decision/Cc.s/en ((to/Mi/en reinstate/P.o?.-i-----/en) law/Cc.s/en (criminalizes/P.so.|f--3s-/en that/C/en homosexuality/Cc.s/en))))</t>
  </si>
  <si>
    <t>Iraqis end demonstration in Baghdad's Green Zone</t>
  </si>
  <si>
    <t>(end/Pd.so.|f-----/en iraqis/Cp.p/en (in/Br.ma/en demonstration/Cc.s/en ('s/Bp.am/en baghdad/Cp.s/en (+/B.am/. green/Cp.s/en zone/Cp.s/en))))</t>
  </si>
  <si>
    <t>Red Crescent to make ‘halal’ drugs with Turkish blood</t>
  </si>
  <si>
    <t>((to/Mi/en make/Pd.so.-i-----/en) (+/B.am/. red/Cp.s/en crescent/Cp.s/en) (with/Br.ma/en (+/B.am/. halal/Cm/en drugs/Cc.p/en) (turkish/Ma/en blood/Cc.s/en)))</t>
  </si>
  <si>
    <t>North Korean Ship Tests the Waters Near America's Shores</t>
  </si>
  <si>
    <t>(tests/Pd.so.|f--3s-/en (+/B.am/. (north/Ma/en korean/Cp.s/en) ship/Cp.s/en) (+/B.mm/. (the/Md/en waters/Cp.p/en) ('s/Bp.am/en (+/B.am/. near/Cp.s/en america/Cp.s/en) shores/Cp.p/en)))</t>
  </si>
  <si>
    <t>UAE health authorities report 12 fresh cases</t>
  </si>
  <si>
    <t>(report/Pd.so.|f-----/en (+/B.am/. uae/Cp.s/en (+/B.am/. health/Cc.s/en authorities/Cc.p/en)) (12/M#/en (fresh/Ma/en cases/Cc.p/en)))</t>
  </si>
  <si>
    <t>Shocked mother watches surfer son Mick Fanning fight huge shark</t>
  </si>
  <si>
    <t>(watches/Pd.so?.|f--3s-/en (shocked/Mv.&lt;pf----/en mother/Cc.s/en) (+/B.am/. (+/B.am/. surfer/Cp.s/en son/Cc.s/en) (+/B.am/. mick/Cp.s/en fanning/Cp.s/en)) (fight/P!.o.|f-----/en (huge/Ma/en shark/Cc.s/en)))</t>
  </si>
  <si>
    <t>New law in Japan would force overachievers to take more vacation</t>
  </si>
  <si>
    <t>((would/Mm/en force/Pd.sor.-i-----/en) (in/Br.ma/en (new/Ma/en law/Cc.s/en) japan/Cp.s/en) overachievers/Cc.p/en ((to/Mi/en take/P.o.-i-----/en) (more/Mc/en vacation/Cc.s/en)))</t>
  </si>
  <si>
    <t>steal</t>
  </si>
  <si>
    <t>Grave robbers and war steal Syria's history</t>
  </si>
  <si>
    <t>(steal/Pd.so.|f-----/en (and/J/en (grave/Ma/en robbers/Cc.p/en) war/Cc.s/en) ('s/Bp.am/en syria/Cp.s/en history/Cc.s/en))</t>
  </si>
  <si>
    <t>James Hansen: Fossil fuel addiction could trigger runaway global warming</t>
  </si>
  <si>
    <t>((could/Mm/en trigger/Pd.sso.-i-----/en) (+/B.am/. james/Cp.s/en hansen/Cp.s/en) (+/B.am/. (+/B.am/. fossil/Ca/en fuel/Cc.s/en) addiction/Cc.s/en) (runaway/Ma/en (global/Ma/en warming/Cc.s/en)))</t>
  </si>
  <si>
    <t>Ken Clarke tells constituents: 'EU referendum is not binding</t>
  </si>
  <si>
    <t>(tells/Pd.sor.|f--3s-/en (+/B.am/. ken/Cp.s/en clarke/Cp.s/en) constituents/Cc.p/en ((not/Mn/en binding/Pd.r.|pg----/en) (is/P.s.|f--3s-/en (+/B.am/. eu/Cp.s/en referendum/Cc.s/en))))</t>
  </si>
  <si>
    <t>Prime Minister allegedly told her 17-seat majority would not be enough during Brexit negotiations</t>
  </si>
  <si>
    <t>((allegedly/M/en told/Pd.sor.&lt;f-----/en) (+/B.am/. prime/Cp.s/en minister/Cp.s/en) (her/Mp/en (+/B.am/. (17/M#/en seat/Cc.s/en) majority/Cc.s/en)) ((would/Mm/en (not/Mn/en be/P.cx.-i-----/en)) enough/Ca/en (during/T/en (+/B.am/. brexit/Cp.s/en negotiations/Cc.p/en))))</t>
  </si>
  <si>
    <t>Asylum seekers threaten hunger strike</t>
  </si>
  <si>
    <t>(threaten/Pd.so.|f-----/en (+/B.am/. asylum/Cc.s/en seekers/Cc.p/en) (+/B.am/. hunger/Cc.s/en strike/Cc.s/en))</t>
  </si>
  <si>
    <t>The Culling of Australia's Dingoes Is Having a Strange Effect on Plant Life</t>
  </si>
  <si>
    <t>((is/Mv.|f--3s-/en having/Pd.so.|pg----/en) (of/Br.ma/en (the/Md/en culling/Cc.s/en) ('s/Bp.am/en australia/Cp.s/en dingoes/Cc.p/en)) (on/Br.ma/en (a/Md/en (strange/Ma/en effect/Cc.s/en)) (+/B.am/. plant/Cp.s/en life/Cc.s/en)))</t>
  </si>
  <si>
    <t>The Vatican has categorically denied a report in an Italian newspaper that Pope Francis might have a small, yet curable brain tumor</t>
  </si>
  <si>
    <t>((has/Mv.|f--3s-/en (categorically/M/en denied/Pd.so.&lt;pf----/en)) (the/Md/en vatican/Cp.s/en) (a/Md/en (+/B.mm/. report/Cc.s/en (in/Jr.ma/en (an/Md/en (italian/Ma/en newspaper/Cc.s/en)) ((might/Mm/en have/P.?so.-i-----/en) that/C/en (+/B.am/. pope/Cp.s/en francis/Cp.s/en) (a/Md/en (+/B.am/. ((small/Ma/en yet/Mj/en) curable/Ca/en) (+/B.am/. brain/Cc.s/en tumor/Cc.s/en))))))))</t>
  </si>
  <si>
    <t>Pope Calls Armenian Slaughter '1st Genocide of 20th Century</t>
  </si>
  <si>
    <t>(calls/Pd.so.|f--3s-/en pope/Cp.s/en (of/Br.ma/en (armenian/Ma/en ('/Bp.am/en slaughter/Cp.s/en (1st/Ma/en genocide/Cc.s/en))) (20th/Ma/en century/Cp.s/en)))</t>
  </si>
  <si>
    <t>Venezuela's President Demands Europe Pay Reparations over 'African Holocaust</t>
  </si>
  <si>
    <t>(demands/Pd.soo.|f--3s-/en ('s/Bp.am/en venezuela/Cp.s/en president/Cp.s/en) europe/Cp.s/en (over/Br.ma/en (+/B.am/. pay/Cp.s/en reparations/Cp.p/en) (+/B.am/. african/Ca/en holocaust/Cp.s/en)))</t>
  </si>
  <si>
    <t>Theresa May rules out Brexit vote for MPs</t>
  </si>
  <si>
    <t>((out/Ml/en (may/Ma/en rules/Pd.so.|f--3s-/en)) theresa/Cp.s/en (for/Br.ma/en (+/B.am/. brexit/Cp.s/en vote/Cc.s/en) mps/Cc.p/en))</t>
  </si>
  <si>
    <t>Pope Francis faces backlash over pro-spanking comments</t>
  </si>
  <si>
    <t>(faces/Pd.so.|f--3s-/en (+/B.am/. pope/Cp.s/en francis/Cp.s/en) (over/Br.ma/en backlash/Cc.s/en (pro/Ma/en (-/Ma/en (spanking/Ma/en comments/Cc.p/en)))))</t>
  </si>
  <si>
    <t>begin</t>
  </si>
  <si>
    <t>EU politicos begin inquiry into VW scandal</t>
  </si>
  <si>
    <t>(begin/Pd.so.|f-----/en (+/B.am/. eu/Cp.s/en politicos/Cc.p/en) (into/Br.ma/en inquiry/Cc.s/en (+/B.am/. vw/Cp.s/en scandal/Cc.s/en)))</t>
  </si>
  <si>
    <t>Chinese hackers have stolen US advanced weapons blueprints: "more than two dozen major weapons systems", including missile defences and combat aircraft</t>
  </si>
  <si>
    <t>((have/Mv.|f-----/en stolen/Pd.so.&lt;pf----/en) (chinese/Ma/en hackers/Cc.p/en) (+/B.mm/. (,/J/en (+/B.am/. us/Cm/en (advanced/Ma/en (+/B.am/. weapons/Cc.p/en blueprints/Cc.p/en))) (((more/Mc/en (than/M/en two/M#/en)) dozen/M/en) (major/Ma/en (+/B.am/. weapons/Cc.p/en systems/Cc.p/en)))) (+/B.mm/. including/C/en (and/J/en (+/B.am/. missile/Cc.s/en defences/Cc.p/en) (+/B.am/. combat/Cc.s/en aircraft/Cc.s/en)))))</t>
  </si>
  <si>
    <t>staff</t>
  </si>
  <si>
    <t>his ex-officers staff the Islamic State</t>
  </si>
  <si>
    <t>(staff/Pd.?ssso.|f-----/en his/C/en ex/Cc.p/en -/Cc.p/en officers/Cc.p/en (the/Md/en (+/B.am/. islamic/Cp.s/en state/Cp.s/en)))</t>
  </si>
  <si>
    <t>Discovery of 'Hybrid' Star Confirms 40-Year-Old Theory</t>
  </si>
  <si>
    <t>(confirms/Pd.so.|f--3s-/en (of/Br.ma/en discovery/Cp.s/en (+/B.mm/. hybrid/Cc.s/en star/Cp.s/en)) (+/B.am/. (+/B.am/. (40/M#/en year/Cc.s/en) old/Cp.s/en) theory/Cp.s/en))</t>
  </si>
  <si>
    <t>Ukraine forces resume massive shelling in Slavyansk region</t>
  </si>
  <si>
    <t>(resume/Pd.so.|f-----/en (ukraine/Ma/en forces/Cc.p/en) (in/Br.ma/en (massive/Ma/en shelling/Cc.s/en) (slavyansk/Ma/en region/Cc.s/en)))</t>
  </si>
  <si>
    <t>appreciate</t>
  </si>
  <si>
    <t>British defence secretary appreciates army’s role in Zarb-e Azb</t>
  </si>
  <si>
    <t>(appreciates/Pd.so.|f--3s-/en (british/Ma/en (+/B.am/. defence/Cc.s/en secretary/Cc.s/en)) (in/Br.ma/en (’s/Bp.am/en army/Cc.s/en role/Cc.s/en) (+/B.mm/. (+/B.mm/. zarb/Cp.s/en e/Cc.s/en) azb/Cp.s/en)))</t>
  </si>
  <si>
    <t>unleash</t>
  </si>
  <si>
    <t>Egypt unleashes Islamic morality police force</t>
  </si>
  <si>
    <t>(unleashes/Pd.so.|f--3s-/en egypt/Cp.s/en (islamic/Ma/en (+/B.am/. (+/B.am/. morality/Cc.s/en police/Cc.s/en) force/Cc.s/en)))</t>
  </si>
  <si>
    <t>Russian air strikes kill over 1,000 civilians in Syria</t>
  </si>
  <si>
    <t>(kill/Pd.so.|f-----/en (russian/Ma/en (+/B.am/. air/Cc.s/en strikes/Cc.p/en)) (in/Br.ma/en ((over/M/en 1,000/M#/en) civilians/Cc.p/en) syria/Cp.s/en))</t>
  </si>
  <si>
    <t>Russian hackers leak Rio athletes' files</t>
  </si>
  <si>
    <t>(leak/Pd.so.|f-----/en (russian/Ma/en hackers/Cc.p/en) ('/Bp.am/en (+/B.am/. rio/Cp.s/en athletes/Cc.p/en) files/Cc.p/en))</t>
  </si>
  <si>
    <t>China's top diplomat holds talks with Trump on N. Korea</t>
  </si>
  <si>
    <t>(holds/Pd.so.|f--3s-/en ('s/Bp.am/en china/Cp.s/en (top/Ma/en diplomat/Cc.s/en)) (on/Br.ma/en (with/Br.ma/en talks/Cc.p/en trump/Cp.s/en) (+/B.am/. n%2e/Cp.s/en korea/Cp.s/en)))</t>
  </si>
  <si>
    <t>We eurozoners must create a United State of Europe</t>
  </si>
  <si>
    <t>((must/Mm/en create/Pd.so.-i-----/en) (+/B.mm/. we/Ci/en eurozoners/Cp.s/en) (of/Br.ma/en (a/Md/en (+/B.am/. united/Cp.s/en state/Cp.s/en)) europe/Cp.s/en))</t>
  </si>
  <si>
    <t>U.S. approves $700 million sale of Hellfire missiles to Iraq</t>
  </si>
  <si>
    <t>(approves/Pd.so.|f--3s-/en u%2es%2e/Cp.s/en (to/Br.ma/en (of/Br.ma/en (($/M/en (700/M#/en million/M#/en)) sale/Cc.s/en) (+/B.am/. hellfire/Cp.s/en missiles/Cc.p/en)) iraq/Cp.s/en))</t>
  </si>
  <si>
    <t>host</t>
  </si>
  <si>
    <t>Egypt to host Gaza talks between Palestinian factions</t>
  </si>
  <si>
    <t>((to/Mi/en host/Pd.so.-i-----/en) egypt/Cp.s/en (between/Br.ma/en (+/B.am/. gaza/Cp.s/en talks/Cc.p/en) (palestinian/Ma/en factions/Cc.p/en)))</t>
  </si>
  <si>
    <t>Deal Raises Reverse Engineering Issue</t>
  </si>
  <si>
    <t>(raises/Pd.so.|f--3s-/en deal/Cc.s/en (+/B.am/. (+/B.am/. reverse/Cp.s/en engineering/Cp.s/en) issue/Cc.s/en))</t>
  </si>
  <si>
    <t>Karzai's brother plans independent run in Afghan election</t>
  </si>
  <si>
    <t>(plans/Pd.so.|f--3s-/en ('s/Bp.am/en karzai/Cp.s/en brother/Cc.s/en) (in/Br.ma/en (independent/Ma/en run/Cc.s/en) (afghan/Ma/en election/Cc.s/en)))</t>
  </si>
  <si>
    <t>China just blocked thousands of websites</t>
  </si>
  <si>
    <t>((just/M/en blocked/Pd.so.&lt;f-----/en) china/Cp.s/en (of/Br.ma/en thousands/Cc.p/en websites/Cc.p/en))</t>
  </si>
  <si>
    <t>North Korea Successfully Conducts Hydrogen Bomb Test</t>
  </si>
  <si>
    <t>(conducts/Pd.s?o.|f--3s-/en (+/B.am/. north/Cp.s/en korea/Cp.s/en) successfully/Cp.s/en (+/B.am/. (+/B.am/. hydrogen/Cp.s/en bomb/Cp.s/en) test/Cp.s/en))</t>
  </si>
  <si>
    <t>Kyiv Accuses Russia of Deploying 9,000 Troops in Ukraine</t>
  </si>
  <si>
    <t>(accuses/Pd.sox.|f--3s-/en kyiv/Cp.s/en russia/Cp.s/en (of/T/en (deploying/P.o.|pg----/en (in/Br.ma/en (9,000/M#/en troops/Cc.p/en) ukraine/Cp.s/en))))</t>
  </si>
  <si>
    <t>12 Asian countries to have protected areas partnership</t>
  </si>
  <si>
    <t>((to/Mi/en (have/Mv.-i-----/en protected/Pd.so.&lt;pf----/en)) (12/M#/en (asian/Ma/en countries/Cc.p/en)) (+/B.am/. areas/Cc.p/en partnership/Cc.s/en))</t>
  </si>
  <si>
    <t>Taiwan promotes its island claim in South China Sea</t>
  </si>
  <si>
    <t>(promotes/Pd.so.|f--3s-/en taiwan/Cp.s/en (in/Br.ma/en (its/Mp/en (+/B.am/. island/Cc.s/en claim/Cc.s/en)) (+/B.am/. (+/B.am/. south/Cp.s/en china/Cp.s/en) sea/Cp.s/en)))</t>
  </si>
  <si>
    <t>Investigation has uncovered match fixing in 680 professional football (soccer) matches including 2 Champions League matches and world/european cup qualifiers</t>
  </si>
  <si>
    <t>((has/Mv.|f--3s-/en uncovered/Pd.so.&lt;pf----/en) investigation/Cc.s/en (in/Br.ma/en (+/B.am/. match/Cc.s/en fixing/C/en) (+/B.mm/. (+/B.am/. (+/B.am/. (680/M#/en (professional/Ma/en football/Cm/en)) soccer/Cc.s/en) matches/Cc.p/en) (+/B.mm/. including/C/en (and/J/en (+/B.am/. 2/C#/en (+/B.am/. (+/B.am/. champions/Cp.p/en league/Cp.s/en) matches/Cc.p/en)) (+/B.am/. (+/B.am/. (+/B.am/. world/Cm/en european/Cp.s/en) cup/Cp.s/en) qualifiers/Cc.p/en))))))</t>
  </si>
  <si>
    <t>Dennis Rodman and three Harlem Globetrotters are visiting North Korea</t>
  </si>
  <si>
    <t>((are/Mv.|f-----/en visiting/Pd.so.|pg----/en) (and/J/en (+/B.am/. dennis/Cp.s/en rodman/Cp.s/en) (three/M#/en (+/B.am/. harlem/Cp.s/en globetrotters/Cp.p/en))) (+/B.am/. north/Cp.s/en korea/Cp.s/en))</t>
  </si>
  <si>
    <t>US agents have obtained documents on Paul Manafort in eastern Europe inquiry</t>
  </si>
  <si>
    <t>((have/Mv.|f-----/en obtained/Pd.so.&lt;pf----/en) (+/B.am/. us/Cp.s/en agents/Cc.p/en) (on/Br.ma/en documents/Cc.p/en (in/Br.ma/en (+/B.am/. paul/Cp.s/en manafort/Cp.s/en) (+/B.am/. (+/B.am/. eastern/Cp.s/en europe/Cp.s/en) inquiry/Cc.s/en))))</t>
  </si>
  <si>
    <t>India has second-highest number of shadow entrepreneurs in the world</t>
  </si>
  <si>
    <t>(has/Pd.so.|f--3s-/en india/Cp.s/en (of/Br.ma/en ((second/M/en highest/Ms/en) number/Cc.s/en) (in/Br.ma/en (+/B.am/. shadow/Cc.s/en entrepreneurs/Cc.p/en) (the/Md/en world/Cc.s/en))))</t>
  </si>
  <si>
    <t>search</t>
  </si>
  <si>
    <t>Spain Searches UK Diplomatic Bags</t>
  </si>
  <si>
    <t>(searches/Pd.so.|f--3s-/en spain/Cp.s/en (+/B.am/. uk/Cm/en (+/B.am/. diplomatic/Cp.s/en bags/Cc.p/en)))</t>
  </si>
  <si>
    <t>Mexico passes new online surveillance law</t>
  </si>
  <si>
    <t>(passes/Pd.so.|f--3s-/en mexico/Cp.s/en (new/Ma/en (online/Ma/en (+/B.am/. surveillance/Cc.s/en law/Cc.s/en))))</t>
  </si>
  <si>
    <t>North Korea first lady Ri Sol Ju makes rare public appearance</t>
  </si>
  <si>
    <t>(makes/Pd.so.|f--3s-/en (+/B.am/. (+/B.am/. north/Cp.s/en korea/Cp.s/en) (+/B.am/. (first/Ma/en lady/Cc.s/en) (+/B.am/. ri/Cp.s/en (+/B.am/. sol/Cp.s/en ju/Cp.s/en)))) (rare/Ma/en (public/Ma/en appearance/Cc.s/en)))</t>
  </si>
  <si>
    <t>The Syrian Army seizes strategic area outside Damascus</t>
  </si>
  <si>
    <t>(seizes/Pd.so.|f--3s-/en (the/Md/en (syrian/Ma/en army/Cp.s/en)) (outside/Br.ma/en (strategic/Ma/en area/Cc.s/en) damascus/Cp.s/en))</t>
  </si>
  <si>
    <t>Canadian Prime Minister Justin Trudeau to Appoint Gender-Equal Cabinet</t>
  </si>
  <si>
    <t>((to/Mi/en appoint/Pd.so.-i-----/en) (+/B.am/. (canadian/Ma/en (+/B.am/. prime/Cp.s/en minister/Cp.s/en)) (+/B.am/. justin/Cp.s/en trudeau/Cp.s/en)) (+/B.am/. (+/B.am/. gender/Cp.s/en equal/Cp.s/en) cabinet/Cp.s/en))</t>
  </si>
  <si>
    <t>Israel's cabinet approves controversial nationality bill</t>
  </si>
  <si>
    <t>(approves/Pd.so.|f--3s-/en ('s/Bp.am/en israel/Cp.s/en cabinet/Cc.s/en) (controversial/Ma/en (+/B.am/. nationality/Cc.s/en bill/Cc.s/en)))</t>
  </si>
  <si>
    <t>Iran's ayatollah publishes 416-page guide to destroying Israel and rails against the 'American Great Satan</t>
  </si>
  <si>
    <t>(publishes/Pd.so.|f--3s-/en ('s/Bp.am/en iran/Cp.s/en ayatollah/Cp.s/en) (to/Jr.ma/en (+/B.am/. (416/M#/en page/Cc.s/en) guide/Cc.s/en) (and/J/en (destroying/P.o.|pg----/en israel/Cp.s/en) (against/Br.ma/en rails/Cc.p/en (the/Md/en (american/Ma/en (+/B.am/. great/Cp.s/en satan/Cp.s/en)))))))</t>
  </si>
  <si>
    <t>Italy police find 800 Belgium-bound shotguns</t>
  </si>
  <si>
    <t>(find/Pd.so.|f-----/en (+/B.am/. italy/Cp.s/en police/Cc.p/en) (800/M#/en ((belgium/Ma/en bound/Mv.&lt;pf----/en) shotguns/Cc.p/en)))</t>
  </si>
  <si>
    <t>crack</t>
  </si>
  <si>
    <t>Hackers crack PrivatBank system for sponsoring military campaign in Ukraine</t>
  </si>
  <si>
    <t>(crack/Pd.sox.|f-----/en hackers/Cc.p/en (+/B.am/. privatbank/Cp.s/en system/Cc.s/en) (for/T/en (sponsoring/P.o.|pg----/en (in/Br.ma/en (military/Ma/en campaign/Cc.s/en) ukraine/Cp.s/en))))</t>
  </si>
  <si>
    <t>Poroshenko's Rating Rocks Bottom, Pre-Maidan Yanukovych Had More Support</t>
  </si>
  <si>
    <t>(had/Pd.so.&lt;f-----/en (+/B.mm/. ('s/Bp.am/en poroshenko/Cp.s/en (rating/Ma/en (+/B.am/. rocks/Cp.p/en bottom/Cp.s/en))) (+/B.am/. pre/Cp.s/en (+/B.am/. -/Cp.s/en (+/B.am/. maidan/Cp.s/en yanukovych/Cp.s/en)))) (more/Mc/en support/Cc.s/en))</t>
  </si>
  <si>
    <t>Amnesty report blasts UN, governments for not doing protective duty</t>
  </si>
  <si>
    <t>(blasts/Pd.so?.|f--3s-/en (+/B.am/. amnesty/Cp.s/en report/Cc.s/en) un/Cp.s/en (for/Jr.ma/en governments/Cc.p/en ((not/Mn/en doing/P.o.|pg----/en) (protective/Ma/en duty/Cc.s/en))))</t>
  </si>
  <si>
    <t>U.S. Reveals Unusual Amount of Detail on Syria Intelligence</t>
  </si>
  <si>
    <t>(reveals/Pd.so.|f--3s-/en u%2es%2e/Cp.s/en (of/Br.ma/en (unusual/Ma/en amount/Cc.s/en) (on/Br.ma/en detail/Cp.s/en (+/B.am/. syria/Cp.s/en intelligence/Cp.s/en))))</t>
  </si>
  <si>
    <t>MEPs revoke Marine Le Pen's immunity over violent Isis images</t>
  </si>
  <si>
    <t>(revoke/Pd.so.-i-----/en meps/Cc.p/en (over/Br.ma/en ('s/Bp.am/en (+/B.am/. marine/Cp.s/en (+/B.am/. le/Cp.s/en pen/Cp.s/en)) immunity/Cc.s/en) (violent/Ma/en (+/B.am/. isis/Cp.s/en images/Cc.p/en))))</t>
  </si>
  <si>
    <t>Syrians accuse Greece of 'pushing back' migrant boats</t>
  </si>
  <si>
    <t>(accuse/Pd.sox.|f-----/en syrians/Cp.p/en greece/Cp.s/en (of/T/en ((back/M/en pushing/P.o.|pg----/en) (migrant/M/en boats/Cc.p/en))))</t>
  </si>
  <si>
    <t>BP shareholders rebel to reject CEO Dudley's $20 mln pay</t>
  </si>
  <si>
    <t>((to/Mi/en reject/Pd.so.-i-----/en) (+/B.am/. (+/B.am/. bp/Cp.s/en shareholders/Cc.p/en) rebel/Cc.s/en) ('s/Bp.am/en (+/B.am/. ceo/Cp.s/en dudley/Cp.s/en) (($/M/en 20/M#/en) (mln/Ma/en pay/Cc.s/en))))</t>
  </si>
  <si>
    <t>Iraqi Army strikes 3 Islamic State strongholds</t>
  </si>
  <si>
    <t>(strikes/Pd.so.|f--3s-/en (iraqi/Ma/en army/Cp.s/en) (3/M#/en (+/B.am/. (+/B.am/. islamic/Cp.s/en state/Cp.s/en) strongholds/Cc.p/en)))</t>
  </si>
  <si>
    <t>Hotel collapse in southern India kills at least 12</t>
  </si>
  <si>
    <t>(kills/Pd.so.|f--3s-/en (in/Br.ma/en (+/B.am/. hotel/Cc.s/en collapse/Cc.s/en) (southern/Ma/en india/Cp.s/en)) ((at/M/en least/M^/en) 12/C#/en))</t>
  </si>
  <si>
    <t>Pope Francis criticises 'fundamentalist' Catholics</t>
  </si>
  <si>
    <t>(criticises/Pd.so.|f--3s-/en (+/B.am/. pope/Cp.s/en francis/Cp.s/en) (+/B.am/. fundamentalist/Cc.s/en catholics/Cp.p/en))</t>
  </si>
  <si>
    <t>The move by Chinese scientists could spark a biomedical duel between China and the United States</t>
  </si>
  <si>
    <t>((could/Mm/en spark/Pd.so.-i-----/en) (by/Br.ma/en (the/Md/en move/Cc.s/en) (chinese/Ma/en scientists/Cc.p/en)) (between/Br.ma/en (a/Md/en (biomedical/Ma/en duel/Cc.s/en)) (and/J/en china/Cp.s/en (the/Md/en (+/B.am/. united/Cp.s/en states/Cp.s/en)))))</t>
  </si>
  <si>
    <t>Bill would prevent LGBT discrimination at religious schools</t>
  </si>
  <si>
    <t>((would/Mm/en prevent/Pd.so.-i-----/en) bill/Cp.s/en (at/Br.ma/en (+/B.am/. lgbt/Ca/en discrimination/Cc.s/en) (religious/Ma/en schools/Cc.p/en)))</t>
  </si>
  <si>
    <t>those would give them de facto control” of the maritime territory they claim, Admiral Samuel Locklear, head of the U.S. Pacific Command</t>
  </si>
  <si>
    <t>((would/Mm/en give/Pd.sio.-i-----/en) those/Cd/en them/Ci/en (+/B.mm/. ((de/M/en facto/M/en) (+/B.mm/. control/Cc.s/en (of/Jr.ma/en (the/Md/en (maritime/Ma/en territory/Cc.s/en)) (claim/P.s.|f-----/en they/Ci/en)))) (+/B.mm/. (+/B.am/. admiral/Cp.s/en (+/B.am/. samuel/Cp.s/en locklear/Cp.s/en)) (of/Br.ma/en head/Cc.s/en (the/Md/en (+/B.am/. u%2es%2e/Cp.s/en (+/B.am/. pacific/Cp.s/en command/Cp.s/en)))))))</t>
  </si>
  <si>
    <t>sicken</t>
  </si>
  <si>
    <t>Norovirus outbreak at Auckland University sickens 168</t>
  </si>
  <si>
    <t>(sickens/Pd.so.|f--3s-/en (at/Br.ma/en (+/B.am/. norovirus/Cp.s/en outbreak/Cc.s/en) (+/B.am/. auckland/Cp.s/en university/Cp.s/en)) 168/C#/en)</t>
  </si>
  <si>
    <t>Member of Russian female punk group Pussy Riot loses her appeal for parole after nearly a year in prison for performing a protest song against President Putin in a Moscow cathedral</t>
  </si>
  <si>
    <t>(loses/Pd.soxx.|f--3s-/en (+/B.am/. (of/Br.ma/en member/Cm/en (russian/Ma/en (+/B.am/. (female/Ma/en punk/Cc.s/en) group/Cc.s/en))) (+/B.am/. pussy/Cc.s/en riot/Cc.s/en)) (for/Br.ma/en (her/Mp/en appeal/Cc.s/en) parole/Cc.s/en) (after/Tt/en (in/Br.ma/en ((nearly/M/en a/Md/en) year/Cc.s/en) prison/Cc.s/en)) (for/T/en (performing/P.ox.|pg----/en (against/Br.ma/en (a/Md/en (+/B.am/. protest/Cc.s/en song/Cc.s/en)) (+/B.am/. president/Cp.s/en putin/Cp.s/en)) (in/T/en (a/Md/en (+/B.am/. moscow/Cp.s/en cathedral/Cc.s/en))))))</t>
  </si>
  <si>
    <t>US to send rations, medical supplies to Syrian rebels but not weapons</t>
  </si>
  <si>
    <t>((to/Mi/en send/Pd.soo.-i-----/en) us/Cp.s/en rations/Cc.p/en (but/J/en (to/Br.ma/en (medical/Ma/en supplies/Cc.p/en) (syrian/Ma/en rebels/Cc.p/en)) (not/Mn/en weapons/Cc.p/en)))</t>
  </si>
  <si>
    <t>Jordan’s desert patrol force sets up security cordon around Syrian refugee camp</t>
  </si>
  <si>
    <t>((up/Ml/en sets/Pd.so.|f--3s-/en) (’s/Bp.am/en jordan/Cp.s/en (+/B.am/. desert/Cc.s/en (+/B.am/. patrol/Cc.s/en force/Cc.s/en))) (around/Br.ma/en (+/B.am/. security/Cc.s/en cordon/Cc.s/en) (syrian/Ma/en (+/B.am/. refugee/Cc.s/en camp/Cc.s/en))))</t>
  </si>
  <si>
    <t>Your son has killed two kafirs</t>
  </si>
  <si>
    <t>((has/Mv.|f--3s-/en killed/Pd.so.&lt;pf----/en) (your/Mp/en son/Cc.s/en) (two/M#/en kafirs/Cc.p/en))</t>
  </si>
  <si>
    <t>gun</t>
  </si>
  <si>
    <t>Sarawak PKR activist Bill Kayong gunned down</t>
  </si>
  <si>
    <t>(gunned/Pd.so.&lt;f-----/en (+/B.am/. (+/B.am/. (+/B.am/. sarawak/Cp.s/en pkr/Cp.s/en) activist/Cc.s/en) (+/B.am/. bill/Cp.s/en kayong/Cp.s/en)) down/C/en)</t>
  </si>
  <si>
    <t>detail</t>
  </si>
  <si>
    <t>Officials detail Russian meddling in 2016 election to Congress</t>
  </si>
  <si>
    <t>(detail/Pd.so.|f-----/en officials/Cc.p/en (in/Br.ma/en (russian/Ma/en meddling/Cc.s/en) (to/Br.ma/en (2016/M#/en election/Cc.s/en) congress/Cp.s/en)))</t>
  </si>
  <si>
    <t>Accountant Kills 14 Members Of His Family</t>
  </si>
  <si>
    <t>(kills/P.so.-------/en accountant/Cp.s/en (of/Br.ma/en (14/M#/en members/Cc.p/en) (his/Mp/en family/Cc.s/en)))</t>
  </si>
  <si>
    <t>divide</t>
  </si>
  <si>
    <t>China tests the Waters: Titanic canal project divides Nicaragua</t>
  </si>
  <si>
    <t>(divides/Pd.rso.|f--3s-/en (tests/P.so.|f--3s-/en china/Cp.s/en (the/Md/en waters/Cc.p/en)) (+/B.am/. (+/B.am/. titanic/Cp.s/en canal/Cc.s/en) project/Cc.s/en) nicaragua/Cp.s/en)</t>
  </si>
  <si>
    <t>Syrian Army strikes back in Deir Ezzor: Tal Barouk captured (Report + Video</t>
  </si>
  <si>
    <t>(captured/Pd.rso.&lt;f-----/en ((back/M/en strikes/P.sx.|f--3s-/en) (syrian/Ma/en army/Cp.s/en) (in/T/en (+/B.am/. deir/Cp.s/en ezzor/Cp.s/en))) (+/B.am/. tal/Cp.s/en barouk/Cp.s/en) (+/B.mm/. (+/B.mm/. report/Cp.s/en +/Cc.s/en) video/Cp.s/en))</t>
  </si>
  <si>
    <t>Experts: Iran's arrest of U.S. sailors broke international law</t>
  </si>
  <si>
    <t>(broke/Pd.sso.&lt;f-----/en experts/Cc.p/en (of/Br.ma/en ('s/Bp.am/en iran/Cp.s/en arrest/Cc.s/en) (+/B.am/. u%2es%2e/Cp.s/en sailors/Cc.p/en)) (international/Ma/en law/Cc.s/en))</t>
  </si>
  <si>
    <t>Security Council reportedly starting talks on lifting Iran sanctions</t>
  </si>
  <si>
    <t>((reportedly/M/en starting/Pd.so.|pg----/en) (+/B.am/. security/Cp.s/en council/Cp.s/en) (on/Jr.ma/en talks/Cc.p/en (lifting/P.o.|pg----/en (+/B.am/. iran/Cp.s/en sanctions/Cc.p/en))))</t>
  </si>
  <si>
    <t>Samoan PM Tuilaepa Sailele bans villages from NZ's Pacific seasonal workers scheme</t>
  </si>
  <si>
    <t>(bans/Pd.?so.|f--3s-/en (+/B.am/. samoan/Cp.s/en pm/Cp.s/en) (+/B.am/. tuilaepa/Cp.s/en sailele/Cp.s/en) (from/Br.ma/en villages/Cc.p/en ('s/Bp.am/en nz/Cp.s/en (+/B.am/. (pacific/Ma/en (seasonal/Ma/en workers/Cc.p/en)) scheme/Cc.s/en))))</t>
  </si>
  <si>
    <t>Google removes unofficial Congestion Charge payment adverts</t>
  </si>
  <si>
    <t>(removes/Pd.so.|f--3s-/en google/Cp.s/en (unofficial/Ma/en (+/B.am/. (+/B.am/. (+/B.am/. congestion/Cc.s/en charge/Cp.s/en) payment/Cc.s/en) adverts/Cc.p/en)))</t>
  </si>
  <si>
    <t>Gunmen seize part of Iraq town, historic Baghdad market burns</t>
  </si>
  <si>
    <t>(seize/Pd.soo.|f-----/en gunmen/Cc.p/en (of/Br.ma/en part/Cc.s/en (+/B.am/. iraq/Cp.s/en town/Cc.s/en)) (+/B.am/. (historic/Ma/en (+/B.am/. baghdad/Cp.s/en market/Cc.s/en)) burns/Cc.p/en))</t>
  </si>
  <si>
    <t>Sting operation uncovers two prominent climate sceptics available for hire by the hour to write reports on the benefits of rising CO2 levels and coal</t>
  </si>
  <si>
    <t>(uncovers/Pd.so?.|f--3s-/en (+/B.am/. sting/Cc.s/en operation/Cc.s/en) (two/M#/en (prominent/Ma/en (+/B.ma/. (+/B.am/. climate/Cc.s/en sceptics/Cc.p/en) ((available/Ma/en for/Jr.ma/en) (by/Br.ma/en hire/Cc.s/en (the/Md/en hour/Cc.s/en)) ((to/Mi/en write/Pd.o.-i-----/en) (on/Br.ma/en reports/Cc.p/en (of/Br.ma/en (the/Md/en benefits/Cc.p/en) (and/Mj/en (rising/Mv.|pg----/en (+/B.am/. co2/Cc.s/en levels/Cc.p/en)))))))))) coal/Cc.s/en)</t>
  </si>
  <si>
    <t>Fire in London has caused mass evacuations of buildings</t>
  </si>
  <si>
    <t>((has/Mv.|f--3s-/en caused/Pd.so.&lt;pf----/en) (in/Br.ma/en fire/Cc.s/en london/Cp.s/en) (of/Br.ma/en (mass/Ma/en evacuations/Cc.p/en) buildings/Cc.p/en))</t>
  </si>
  <si>
    <t>Myanmar ethnic groups attend government peace talks</t>
  </si>
  <si>
    <t>(attend/Pd.so.|f-----/en (+/B.am/. myanmar/Cm/en (ethnic/Ma/en groups/Cc.p/en)) (+/B.am/. government/Cc.s/en (+/B.am/. peace/Cc.s/en talks/Cc.p/en)))</t>
  </si>
  <si>
    <t>Vladimir Putin: A man like Trump does not need advice</t>
  </si>
  <si>
    <t>((does/Mv.|f--3s-/en (not/Mn/en need/Pd.sso.-i-----/en)) (+/B.am/. vladimir/Cp.s/en putin/Cp.s/en) (like/Br.ma/en (a/Md/en man/Cc.s/en) trump/Cp.s/en) advice/Cc.s/en)</t>
  </si>
  <si>
    <t>Topless Femen Protesters Disrupt Next Top Model Finale in Germany</t>
  </si>
  <si>
    <t>(disrupt/Pd.so.|f-----/en (+/B.am/. (+/B.am/. topless/Cp.s/en femen/Cp.s/en) protesters/Cc.p/en) (in/Br.ma/en (+/B.am/. next/Cp.s/en (+/B.am/. (+/B.am/. top/Cp.s/en model/Cp.s/en) finale/Cp.s/en)) germany/Cp.s/en))</t>
  </si>
  <si>
    <t>Mexico announces launch of cap-and- trade pilot program</t>
  </si>
  <si>
    <t>(announces/Pd.so.|f--3s-/en mexico/Cp.s/en (of/Br.ma/en launch/Cc.s/en (+/B.am/. (-/B/en (and/Mj/en cap/Cm/en) trade/Cc.s/en) (+/B.am/. pilot/Cc.s/en program/Cc.s/en))))</t>
  </si>
  <si>
    <t>Iran conducts 'provocative' live rocket tests near US ships</t>
  </si>
  <si>
    <t>(conducts/Pd.so.|f--3s-/en iran/Cp.s/en (near/Br.ma/en (provocative/Ma/en (live/Ma/en (+/B.am/. rocket/Cc.s/en tests/Cc.p/en))) (+/B.am/. us/Cp.s/en ships/Cc.p/en)))</t>
  </si>
  <si>
    <t>Li Keqiang named Chinese premier, nation's second most powerful post</t>
  </si>
  <si>
    <t>(named/Pd.so.&lt;f-----/en (+/B.am/. li/Cp.s/en keqiang/Cp.s/en) (,/J/en (chinese/Ma/en premier/Cc.s/en) ('s/Bp.am/en nation/Cc.s/en (second/Ma/en ((most/M^/en powerful/Ma/en) post/Cc.s/en)))))</t>
  </si>
  <si>
    <t>Magnitude-5.5 Yunnan, China earthquake injures 20, damages 2500 homes</t>
  </si>
  <si>
    <t>(injures/Pd.?so?.|f--3s-/en (+/B.am/. magnitude-5%2e5/Cp.s/en yunnan/Cp.s/en) (+/B.am/. china/Cp.s/en earthquake/Cc.s/en) 20/C#/en (damages/Pd.o.|f--3s-/en (2500/M#/en homes/Cc.p/en)))</t>
  </si>
  <si>
    <t>Iraq's OPEC revolt shows Saudi-Iran oil deal fragility</t>
  </si>
  <si>
    <t>(shows/Pd.so.|f--3s-/en ('s/Bp.am/en iraq/Cp.s/en (+/B.am/. opec/Cp.s/en revolt/Cc.s/en)) (+/B.am/. (+/B.am/. (+/B.am/. saudi/Cp.s/en iran/Cp.s/en) (+/B.am/. oil/Cc.s/en deal/Cc.s/en)) fragility/Cc.s/en))</t>
  </si>
  <si>
    <t>Hindus welcome raising of Ásatrú temple</t>
  </si>
  <si>
    <t>(welcome/Pd.so.|f-----/en hindus/Cc.p/en (of/Br.ma/en raising/Cc.s/en (+/B.am/. ásatrú/Cp.s/en temple/Cc.s/en)))</t>
  </si>
  <si>
    <t>UKIP defends 'Hitler speech' MEP</t>
  </si>
  <si>
    <t>(defends/Pd.so.|f--3s-/en ukip/Cp.s/en (+/B.am/. (+/B.aa/. hitler/Cp.s/en speech/Cm/en) mep/Cp.s/en))</t>
  </si>
  <si>
    <t>Castaway tells ‘incredible’ tale of being adrift 13 months on the Pacific: Jose Salvador Alvarenga washed ashore on the tiny atoll of Ebon in the Pacific Ocean last week</t>
  </si>
  <si>
    <t>(tells/Pd.sor.|f--3s-/en castaway/Cp.s/en (of/Jr.ma/en (incredible/Ma/en tale/Cc.s/en) (being/P.c.|pg----/en (on/Br.ma/en (+/B.ma/. adrift/Ca/en (13/M#/en months/Cc.p/en)) (the/Md/en pacific/Cp.s/en)))) ((ashore/M/en washed/P.sxx.&lt;f-----/en) (+/B.am/. (+/B.am/. jose/Cp.s/en salvador/Cp.s/en) alvarenga/Cp.s/en) (on/T/en (of/Br.ma/en (the/Md/en (tiny/Ma/en atoll/Cc.s/en)) (in/Br.ma/en ebon/Cp.s/en (the/Md/en (+/B.am/. pacific/Cp.s/en ocean/Cp.s/en))))) (last/Ma/en week/Cc.s/en)))</t>
  </si>
  <si>
    <t>Amnesty International has accused major oil companies, including Shell, of failing to report the true picture of oil spills in Nigeria</t>
  </si>
  <si>
    <t>((has/Mv.|f--3s-/en accused/Pd.sox.&lt;pf----/en) (+/B.am/. amnesty/Cp.s/en international/Cp.s/en) (,/J/en (major/Ma/en (+/B.am/. oil/Cc.s/en companies/Cc.p/en)) (including/Pd.o.|pg----/en shell/Cp.s/en)) (of/T/en (failing/P.r.|pg----/en ((to/Mi/en report/P.o.-i-----/en) (of/Br.ma/en (the/Md/en (true/Ma/en picture/Cc.s/en)) (in/Br.ma/en (+/B.am/. oil/Cc.s/en spills/Cc.p/en) nigeria/Cp.s/en))))))</t>
  </si>
  <si>
    <t>Netanyahu's office: Israel is not holding direct or indirect talks with Hamas</t>
  </si>
  <si>
    <t>((is/Mv.|f--3s-/en (not/Mn/en holding/Pd.sso.|pg----/en)) ('s/Bp.am/en netanyahu/Cp.s/en office/Cc.s/en) israel/Cp.s/en (with/Br.ma/en (+/B.am/. ((direct/Ma/en or/Mj/en) indirect/Ca/en) talks/Cc.p/en) hamas/Cp.s/en))</t>
  </si>
  <si>
    <t>UN to pursue further inquiry into death of Dag Hammarskjöld</t>
  </si>
  <si>
    <t>((to/Mi/en pursue/Pd.so.-i-----/en) un/Cp.s/en (into/Br.ma/en (further/Ma/en inquiry/Cc.s/en) (of/Br.ma/en death/Cc.s/en (+/B.am/. dag/Cp.s/en hammarskjöld/Cp.s/en))))</t>
  </si>
  <si>
    <t>Israel Warns Gaza Targets by Phone and Leaflet</t>
  </si>
  <si>
    <t>(warns/Pd.so.|f--3s-/en israel/Cp.s/en (by/Br.ma/en (+/B.am/. gaza/Cp.s/en targets/Cc.p/en) (and/J/en phone/Cp.s/en leaflet/Cp.s/en)))</t>
  </si>
  <si>
    <t>Lower House committee approves security bills</t>
  </si>
  <si>
    <t>(approves/Pd.so.|f--3s-/en (+/B.am/. (+/B.am/. lower/Cp.s/en house/Cp.s/en) committee/Cc.s/en) (+/B.am/. security/Cc.s/en bills/Cc.p/en))</t>
  </si>
  <si>
    <t>Bainimarama says NZ easing of sanctions 'insincere</t>
  </si>
  <si>
    <t>(says/Pd.so.|f--3s-/en bainimarama/Cp.s/en (of/Br.ma/en (+/B.am/. nz/Cp.s/en easing/Cc.s/en) (insincere/Ma/en sanctions/Cc.p/en)))</t>
  </si>
  <si>
    <t>Israeli defense officials: Assad still has chemical weapons</t>
  </si>
  <si>
    <t>((still/M/en has/Pd.sso.|f--3s-/en) (israeli/Ma/en (+/B.am/. defense/Cc.s/en officials/Cc.p/en)) assad/Cp.s/en (chemical/Ma/en weapons/Cc.p/en))</t>
  </si>
  <si>
    <t>Police 'used terror powers to spy on officers blowing whistle on racism</t>
  </si>
  <si>
    <t>(used/Pd.sor.&lt;f-----/en police/Cc.p/en (+/B.am/. terror/Cc.s/en powers/Cc.p/en) ((to/Mi/en spy/P.x?.-i-----/en) (on/T/en officers/Cc.p/en) (blowing/P.ox.|pg----/en whistle/Cc.s/en (on/T/en racism/Cc.s/en))))</t>
  </si>
  <si>
    <t>Gunmen kill soldier in Egypt's Sinai: police official</t>
  </si>
  <si>
    <t>(kill/Pd.soo.|f-----/en gunmen/Cc.p/en (in/Br.ma/en soldier/Cc.s/en ('s/Bp.am/en egypt/Cp.s/en sinai/Cp.s/en)) (+/B.am/. police/Cc.s/en official/Cc.s/en))</t>
  </si>
  <si>
    <t>Israel plans 2,500 new settlement homes in occupied West Bank</t>
  </si>
  <si>
    <t>(plans/Pd.so.|f--3s-/en israel/Cp.s/en (in/Br.ma/en (2,500/M#/en (new/Ma/en (+/B.am/. settlement/Cc.s/en homes/Cc.p/en))) (occupied/Mv.&lt;pf----/en (+/B.am/. west/Cp.s/en bank/Cp.s/en))))</t>
  </si>
  <si>
    <t>New Zealand housing crisis forces hundreds to live in tents and garages</t>
  </si>
  <si>
    <t>(forces/Pd.sor.|f--3s-/en (+/B.am/. (+/B.am/. new/Cp.s/en zealand/Cp.s/en) (+/B.am/. housing/Cc.s/en crisis/Cc.s/en)) hundreds/Cc.p/en ((to/Mi/en live/P.x.-i-----/en) (in/T/en (and/J/en tents/Cc.p/en garages/Cc.p/en))))</t>
  </si>
  <si>
    <t>Germany recognizes the Armenian Genocide</t>
  </si>
  <si>
    <t>(recognizes/Pd.so.|f--3s-/en germany/Cp.s/en (the/Md/en (armenian/Ma/en genocide/Cc.s/en)))</t>
  </si>
  <si>
    <t>Moldova’s Breakaway Region Asks Putin to Recognize Sovereignty</t>
  </si>
  <si>
    <t>(asks/Pd.sor.|f--3s-/en (’s/Bp.am/en moldova/Cp.s/en (+/B.am/. breakaway/Cp.s/en region/Cp.s/en)) putin/Cp.s/en ((to/Mi/en recognize/P.o.-i-----/en) sovereignty/Cc.s/en))</t>
  </si>
  <si>
    <t>National Sleep Foundation Updates Recommendations For How Much Sleep You Really Need</t>
  </si>
  <si>
    <t>(updates/Pd.so.|f--3s-/en (+/B.am/. national/Cp.s/en (+/B.am/. sleep/Cp.s/en foundation/Cp.s/en)) (for/Jr.ma/en recommendations/Cc.p/en ((really/M/en need/P.?s.|f-----/en) ((how/M/en much/Ma/en) sleep/Cc.s/en) you/Ci/en)))</t>
  </si>
  <si>
    <t>unlock</t>
  </si>
  <si>
    <t>Biologists unlock 51.7-million-year-old genetic secret to landmark Darwin theory</t>
  </si>
  <si>
    <t>(unlock/Pd.soo.|f-----/en biologists/Cc.p/en (+/B.am/. (old/Ma/en (year/M/en (million/M#/en 51%2e7/C#/en))) (genetic/Ma/en secret/Cc.s/en)) (+/B.am/. (to/Mi/en landmark/C/en) (+/B.am/. darwin/Cp.s/en theory/Cc.s/en)))</t>
  </si>
  <si>
    <t>Anti-Racist protests cancel anti- racism arts show</t>
  </si>
  <si>
    <t>(cancel/Pd.so.|f-----/en (anti/Ma/en (-/Ma/en (racist/Ma/en protests/Cc.p/en))) (+/B.am/. (anti/Ma/en (-/Ma/en (racism/Ma/en arts/Cc.p/en))) show/Cc.s/en))</t>
  </si>
  <si>
    <t>Morocco orders 84 international staffers of UN peacekeeping mission in Western Sahara to leave after a diplomatic spat over Ban Ki-moon’s comments</t>
  </si>
  <si>
    <t>(orders/Pd.sor.|f--3s-/en morocco/Cp.s/en (of/Br.ma/en (84/M#/en (international/Ma/en staffers/Cc.p/en)) (in/Br.ma/en (+/B.am/. un/Cp.s/en (+/B.am/. peacekeeping/Cc.s/en mission/Cc.s/en)) (+/B.am/. western/Cp.s/en sahara/Cp.s/en))) ((to/Mi/en leave/P.x.-i-----/en) (after/T/en (over/Br.ma/en (a/Md/en (diplomatic/Ma/en spat/Cc.s/en)) (’s/Bp.am/en (+/B.am/. ban/Cp.s/en (+/B.am/. ki/Cp.s/en moon/Cp.s/en)) comments/Cc.p/en)))))</t>
  </si>
  <si>
    <t>mean</t>
  </si>
  <si>
    <t>MH370 relatives: 'One piece of wreckage does not mean anything</t>
  </si>
  <si>
    <t>((does/Mv.|f--3s-/en (not/Mn/en mean/Pd.sso.-i-----/en)) (+/B.am/. mh370/Cp.s/en relatives/Cc.p/en) (of/Br.ma/en (one/M#/en piece/Cc.s/en) wreckage/Cc.s/en) anything/Cc.s/en)</t>
  </si>
  <si>
    <t>Italy ex-PM Matteo Renzi wins Democratic Party election</t>
  </si>
  <si>
    <t>(wins/Pd.so.|f--3s-/en (+/B.am/. italy/Cp.s/en (+/B.am/. ex/Cp.s/en (+/B.am/. -/Cp.s/en (+/B.am/. pm/Cc.s/en (+/B.am/. matteo/Cp.s/en renzi/Cp.s/en))))) (+/B.am/. (+/B.am/. democratic/Cp.s/en party/Cp.s/en) election/Cc.s/en))</t>
  </si>
  <si>
    <t>Kremlin to start evacuation of Russians from Syria</t>
  </si>
  <si>
    <t>((to/Mi/en start/Pd.so.-i-----/en) kremlin/Cp.s/en (from/Br.ma/en (of/Br.ma/en evacuation/Cc.s/en russians/Cp.p/en) syria/Cp.s/en))</t>
  </si>
  <si>
    <t>Islamic State has 'Special Plans' for India : ex-ISIS youth tells investigators</t>
  </si>
  <si>
    <t>(has/Pd.so?.|f--3s-/en (+/B.am/. islamic/Cp.s/en state/Cp.s/en) (for/Br.ma/en (+/B.am/. special/Cp.s/en plans/Cp.p/en) india/Cp.s/en) (tells/Pd.so.|f--3s-/en (ex/Ma/en (-/Ma/en (isis/Ma/en youth/Cc.s/en))) investigators/Cc.p/en))</t>
  </si>
  <si>
    <t>Prince Harry Condemns 'Harassment' of Girlfriend</t>
  </si>
  <si>
    <t>(condemns/Pd.so.|f--3s-/en (+/B.am/. prince/Cp.s/en harry/Cp.s/en) (of/Br.ma/en harassment/Cc.s/en girlfriend/Cc.s/en))</t>
  </si>
  <si>
    <t>Muslim mob attacks Mosque in Pakistan</t>
  </si>
  <si>
    <t>(attacks/Pd.so.|f--3s-/en (muslim/Ma/en mob/Cc.s/en) (in/Br.ma/en mosque/Cp.s/en pakistan/Cp.s/en))</t>
  </si>
  <si>
    <t>UN Human Rights Commission to Investigate Suspected Israeli War Crimes</t>
  </si>
  <si>
    <t>((to/Mi/en investigate/Pd.so.-i-----/en) (+/B.am/. un/Cp.s/en (+/B.am/. (+/B.am/. human/Cp.s/en rights/Cp.p/en) commission/Cp.s/en)) (suspected/Ma/en (israeli/Ma/en (+/B.am/. war/Cp.s/en crimes/Cp.p/en))))</t>
  </si>
  <si>
    <t>ISIS attack on Syria's Kobani kills 146: activists</t>
  </si>
  <si>
    <t>(kills/Pd.soo.|f--3s-/en (on/Br.ma/en (+/B.am/. isis/Ca/en attack/Cc.s/en) ('s/Bp.am/en syria/Cp.s/en kobani/Cp.s/en)) 146/C#/en activists/Cc.p/en)</t>
  </si>
  <si>
    <t>Cool Video From Space Shows Global Free Trade</t>
  </si>
  <si>
    <t>(shows/Pd.so.|f--3s-/en (from/Br.ma/en (+/B.am/. cool/Cp.s/en video/Cp.s/en) space/Cc.s/en) (+/B.am/. global/Cp.s/en (+/B.am/. free/Cp.s/en trade/Cp.s/en)))</t>
  </si>
  <si>
    <t>Did he mean Alaska</t>
  </si>
  <si>
    <t>((did/Mv.&lt;f-----/en mean/Pd.so.-i-----/en) he/Ci/en alaska/Cp.s/en)</t>
  </si>
  <si>
    <t>approach</t>
  </si>
  <si>
    <t>Malian army approaches rebel-held northern town of Kidal</t>
  </si>
  <si>
    <t>(approaches/Pd.so.|f--3s-/en (malian/Ma/en army/Cc.s/en) (of/Br.ma/en ((rebel/M/en held/Mv.&lt;pf----/en) (northern/Ma/en town/Cc.s/en)) kidal/Cp.s/en))</t>
  </si>
  <si>
    <t>remember</t>
  </si>
  <si>
    <t>D-Day veteran: 'Remember Germans too</t>
  </si>
  <si>
    <t>((too/M/en remember/Pd.so.-i-----/en) (+/B.am/. d/Ca/en (+/B.am/. day/Cc.s/en veteran/Cc.s/en)) germans/Cp.p/en)</t>
  </si>
  <si>
    <t>BBC publishes list of links removed from Google search results (list in article</t>
  </si>
  <si>
    <t>(publishes/Pd.sot.|f--3s-/en bbc/Cp.s/en (+/B.mm/. list/Cc.s/en (of/Jr.ma/en links/Cc.p/en (removed/P.x.&lt;pf----/en (from/T/en (+/B.am/. google/Cp.s/en (+/B.am/. search/Cc.s/en results/Cc.p/en)))))) (list/P!.x.-i-----/en (in/T/en article/Cc.s/en)))</t>
  </si>
  <si>
    <t>hunt</t>
  </si>
  <si>
    <t>Chinese police hunt 10 relatives of Xinjiang train station bomber</t>
  </si>
  <si>
    <t>(hunt/Pd.so.|f-----/en (chinese/Ma/en police/Cc.p/en) (of/Br.ma/en (10/M#/en relatives/Cc.p/en) (+/B.am/. (+/B.am/. xinjiang/Cp.s/en (+/B.am/. train/Cc.s/en station/Cc.s/en)) bomber/Cc.s/en)))</t>
  </si>
  <si>
    <t>Six German Nationals Face Charges Over Suspected Ties with al Shabab</t>
  </si>
  <si>
    <t>(face/Pd.so.|f-----/en (six/M#/en (german/Ma/en nationals/Cp.p/en)) (over/Br.ma/en charges/Cc.p/en (with/Br.ma/en (suspected/Ma/en ties/Cc.p/en) (+/B.am/. al/Cp.s/en shabab/Cp.s/en))))</t>
  </si>
  <si>
    <t>North Korea tells South Korean firms to pullout from Kaesong Joint Industrial Zone by April 10</t>
  </si>
  <si>
    <t>(tells/Pd.sor.|f--3s-/en (+/B.am/. north/Cp.s/en korea/Cp.s/en) ((south/Ma/en korean/Ma/en) firms/Cc.p/en) ((to/Mi/en pullout/P.xx.-i-----/en) (from/T/en (+/B.am/. kaesong/Cp.s/en (+/B.am/. joint/Cp.s/en (+/B.am/. industrial/Cp.s/en zone/Cp.s/en)))) (by/Tt/en (10/M#/en april/Cp.s/en))))</t>
  </si>
  <si>
    <t>identify</t>
  </si>
  <si>
    <t>Indonesian and Chinese police identify victims of cyber crime</t>
  </si>
  <si>
    <t>(identify/Pd.so.|f-----/en (+/B.am/. ((indonesian/Ma/en and/Mj/en) chinese/Ca/en) police/Cc.p/en) (of/Br.ma/en victims/Cc.p/en (cyber/Ma/en crime/Cc.s/en)))</t>
  </si>
  <si>
    <t>fall</t>
  </si>
  <si>
    <t>China’s Solar Prices Can Fall 38%, Become Competitive With Coal</t>
  </si>
  <si>
    <t>((can/Mm/en fall/Pd.so?.-i-----/en) (’s/Bp.am/en china/Cp.s/en (+/B.am/. solar/Cp.s/en prices/Cc.p/en)) (38/M#/en %25/Cc.s/en) (become/Pd.cx.-i-----/en competitive/Ca/en (with/T/en coal/Cc.s/en)))</t>
  </si>
  <si>
    <t>jar</t>
  </si>
  <si>
    <t>The Atma camp jars the senses of any visitor</t>
  </si>
  <si>
    <t>(jars/Pd.so.|f--3s-/en (the/Md/en (+/B.am/. atma/Cp.s/en camp/Cc.s/en)) (of/Br.ma/en (the/Md/en senses/Cc.p/en) (any/Md/en visitor/Cc.s/en)))</t>
  </si>
  <si>
    <t>Floods Kill 78</t>
  </si>
  <si>
    <t>(kill/Pd.so.|f-----/en floods/Cc.p/en 78/C#/en)</t>
  </si>
  <si>
    <t>Russia urges Germany, France to safeguard peace in Ukraine</t>
  </si>
  <si>
    <t>(urges/Pd.sor.|f--3s-/en russia/Cp.s/en (,/J/en germany/Cp.s/en france/Cp.s/en) ((to/Mi/en safeguard/P.o.-i-----/en) (in/Br.ma/en peace/Cc.s/en ukraine/Cp.s/en)))</t>
  </si>
  <si>
    <t>Air raids on Syrian city of Raqqa kill 39</t>
  </si>
  <si>
    <t>(kill/Pd.so.|f-----/en (on/Br.ma/en (+/B.am/. air/Cc.s/en raids/Cc.p/en) (of/Br.ma/en (syrian/Ma/en city/Cc.s/en) raqqa/Cp.s/en)) 39/C#/en)</t>
  </si>
  <si>
    <t>return</t>
  </si>
  <si>
    <t>Paddy Power sponsors Dennis Rodman return trip to North Korea</t>
  </si>
  <si>
    <t>(return/Pd.so.-i-----/en (+/B.mm/. (+/B.am/. (+/B.am/. paddy/Cp.s/en power/Cp.s/en) sponsors/Cc.p/en) (+/B.am/. dennis/Cp.s/en rodman/Cp.s/en)) (to/Br.ma/en trip/Cc.s/en (+/B.am/. north/Cp.s/en korea/Cp.s/en)))</t>
  </si>
  <si>
    <t>OSCE Secretary General to visit Ukrainian refugee camp in Russia’s Rostov region</t>
  </si>
  <si>
    <t>((to/Mi/en visit/Pd.so.-i-----/en) (+/B.am/. osce/Cp.s/en (+/B.am/. secretary/Cp.s/en general/Cp.s/en)) (in/Br.ma/en (ukrainian/Ma/en (+/B.am/. refugee/Cc.s/en camp/Cc.s/en)) (’s/Bp.am/en russia/Cp.s/en (+/B.am/. rostov/Cp.s/en region/Cc.s/en))))</t>
  </si>
  <si>
    <t>Russian governor ban the use of the word ‘crisis’ in public</t>
  </si>
  <si>
    <t>(ban/Pd.so.-i-----/en (russian/Ma/en governor/Cc.s/en) (of/Br.ma/en (the/Md/en use/Cc.s/en) (in/Br.ma/en (the/Md/en (+/B.am/. word/Cm/en crisis/Cc.s/en)) public/Cc.s/en)))</t>
  </si>
  <si>
    <t>Pakistan asks Afghanistan to hand over 76 'most-wanted' terrorists</t>
  </si>
  <si>
    <t>(asks/Pd.sor.|f--3s-/en pakistan/Cp.s/en afghanistan/Cp.s/en ((over/Ml/en (to/Mi/en hand/P.o.-i-----/en)) (76/M#/en ((most/M^/en wanted/Mv.&lt;pf----/en) terrorists/Cc.p/en))))</t>
  </si>
  <si>
    <t>UN Condemns North Korea Rocket Launch</t>
  </si>
  <si>
    <t>(condemns/Pd.so.|f--3s-/en un/Cp.s/en (+/B.am/. (+/B.am/. north/Cp.s/en korea/Cp.s/en) (+/B.am/. rocket/Cp.s/en launch/Cp.s/en)))</t>
  </si>
  <si>
    <t>Japanese porn industry takes first step toward recognizing it has a problem</t>
  </si>
  <si>
    <t>(takes/Pd.so.|f--3s-/en (japanese/Ma/en (+/B.am/. porn/Cc.s/en industry/Cc.s/en)) (toward/Jr.ma/en (first/Ma/en step/Cc.s/en) (recognizing/P.r.|pg----/en (has/P.so.|f--3s-/en it/Ci/en (a/Md/en problem/Cc.s/en)))))</t>
  </si>
  <si>
    <t>De Lima Admission of affair boosts drug charges</t>
  </si>
  <si>
    <t>(boosts/Pd.so.|f--3s-/en (of/Br.ma/en (+/B.am/. de/Cp.s/en (+/B.am/. lima/Cp.s/en admission/Cp.s/en)) affair/Cc.s/en) (+/B.am/. drug/Cc.s/en charges/Cc.p/en))</t>
  </si>
  <si>
    <t>Miffed with the alleged comments of Snapchat CEO Evan Spiegel, Indian Hackers leak data of 1.7 million app users</t>
  </si>
  <si>
    <t>(leak/Pd.sso.|f-----/en (with/Br.ma/en miffed/Cp.s/en (of/Br.ma/en (the/Md/en (alleged/Mv.&lt;pf----/en comments/Cc.p/en)) (+/B.am/. (+/B.am/. snapchat/Cp.s/en ceo/Cp.s/en) (+/B.am/. evan/Cp.s/en spiegel/Cp.s/en)))) (indian/Ma/en hackers/Cc.p/en) (of/Br.ma/en data/Cc.p/en ((1%2e7/M#/en million/M#/en) (+/B.am/. app/Cc.s/en users/Cc.p/en))))</t>
  </si>
  <si>
    <t>Jamaica: The Ministries of Education and Science, Technology, Energy and Mining (STEM) sealed an $800 million deal on Tuesday for 37 learning institutions to be equipped with tablet computers for the upcoming academic year</t>
  </si>
  <si>
    <t>(sealed/Pd.?soxx.&lt;f-----/en jamaica/Cp.s/en (+/B.mm/. (of/Br.ma/en (the/Md/en ministries/Cp.p/en) (and/J/en education/Cp.s/en (,/J/en science/Cp.s/en (,/J/en technology/Cp.s/en (and/J/en energy/Cp.s/en mining/Cp.s/en))))) stem/Cp.s/en) (an/Md/en (($/M/en (800/M#/en million/M#/en)) deal/Cc.s/en)) (on/Tt/en tuesday/Cp.s/en) (for/Tt/en ((to/Mi/en (be/Mv.-i-----/en equipped/Pd.pxx.&lt;pf----/en)) (37/M#/en (learning/Mv.|pg----/en institutions/Cc.p/en)) (with/T/en (+/B.am/. tablet/Cc.s/en computers/Cc.p/en)) (for/Tt/en (the/Md/en (upcoming/Ma/en (academic/Ma/en year/Cc.s/en)))))))</t>
  </si>
  <si>
    <t>Coup against democracy’: Bolivia, Venezuela &amp; Ecuador recall ambassadors over Rousseff impeachment</t>
  </si>
  <si>
    <t>(recall/Pd.?so.|f-----/en (coup/P!.x.-i-----/en (against/T/en democracy/Cc.s/en)) (+/B.mm/. bolivia/Cp.s/en (%26/J/en venezuela/Cp.s/en ecuador/Cp.s/en)) (over/Br.ma/en ambassadors/Cc.p/en (+/B.am/. rousseff/Cp.s/en impeachment/Cc.s/en)))</t>
  </si>
  <si>
    <t>regret</t>
  </si>
  <si>
    <t>Israel will 'regret' attacks on Syria</t>
  </si>
  <si>
    <t>((will/Mm/en regret/Pd.so.-i-----/en) israel/Cp.s/en (on/Br.ma/en attacks/Cc.p/en syria/Cp.s/en))</t>
  </si>
  <si>
    <t>Hezbollah leader Nasrallah defends intervention in Syrian war</t>
  </si>
  <si>
    <t>(defends/Pd.so.|f--3s-/en (+/B.am/. (+/B.am/. hezbollah/Cp.s/en leader/Cc.s/en) nasrallah/Cp.s/en) (in/Br.ma/en intervention/Cc.s/en (syrian/Ma/en war/Cc.s/en)))</t>
  </si>
  <si>
    <t>UK lawmakers approve marriage equality</t>
  </si>
  <si>
    <t>(approve/Pd.so.|f-----/en (+/B.am/. uk/Cp.s/en lawmakers/Cc.p/en) (+/B.am/. marriage/Cc.s/en equality/Cc.s/en))</t>
  </si>
  <si>
    <t>War U.N. finds sarin used in Syria chemical weapons attack</t>
  </si>
  <si>
    <t>((war/Ma/en finds/Pd.sro.|f--3s-/en) u%2en%2e/Cp.s/en (used/P.sx.&lt;pf----/en sarin/Cc.s/en (in/T/en syria/Cp.s/en)) (+/B.am/. (chemical/Ma/en weapons/Cc.p/en) attack/Cc.s/en))</t>
  </si>
  <si>
    <t>Pope Francis in Turkey to promote religious tolerance</t>
  </si>
  <si>
    <t>((to/Mi/en promote/Pd.so.-i-----/en) (in/Br.ma/en (+/B.am/. pope/Cp.s/en francis/Cp.s/en) turkey/Cp.s/en) (religious/Ma/en tolerance/Cc.s/en))</t>
  </si>
  <si>
    <t>More people have access to mobile phones than toilets</t>
  </si>
  <si>
    <t>(have/Pd.so.|f-----/en (more/Mc/en people/Cc.p/en) (to/Br.ma/en access/Cc.s/en (than/Br.ma/en (mobile/Ma/en phones/Cc.p/en) toilets/Cc.p/en)))</t>
  </si>
  <si>
    <t>France's parliament begins long debate on gay marriage</t>
  </si>
  <si>
    <t>(begins/Pd.so.|f--3s-/en ('s/Bp.am/en france/Cp.s/en parliament/Cc.s/en) (on/Br.ma/en (long/Ma/en debate/Cc.s/en) (gay/Ma/en marriage/Cc.s/en)))</t>
  </si>
  <si>
    <t>Israel completes trial of David's Sling missile defense system</t>
  </si>
  <si>
    <t>(completes/Pd.so.|f--3s-/en israel/Cp.s/en (of/Br.ma/en trial/Cc.s/en ('s/Bp.am/en david/Cp.s/en (+/B.am/. sling/Cc.s/en (+/B.am/. (+/B.am/. missile/Cc.s/en defense/Cc.s/en) system/Cc.s/en)))))</t>
  </si>
  <si>
    <t>Israeli military shoots teen who posed no threat, fails to inform parents of his whereabouts, shackles him in hospital</t>
  </si>
  <si>
    <t>(shoots/Pd.sor??.|f--3s-/en (israeli/Ma/en military/Cc.s/en) teen/Cc.s/en (posed/P.so.&lt;f-----/en who/Cw/en (no/Md/en threat/Cc.s/en)) (fails/Pd.r.|f--3s-/en ((to/Mi/en inform/P.o.-i-----/en) (of/Br.ma/en parents/Cc.p/en (his/Mp/en whereabouts/Cc.p/en)))) (shackles/Pd.ox.|f--3s-/en him/Ci/en (in/T/en hospital/Cc.s/en)))</t>
  </si>
  <si>
    <t>Nuclear Test Could Open Window on North Korea</t>
  </si>
  <si>
    <t>((could/Mm/en open/Pd.so.-i-----/en) (nuclear/Ma/en test/Cc.s/en) (on/Br.ma/en window/Cp.s/en (+/B.am/. north/Cp.s/en korea/Cp.s/en)))</t>
  </si>
  <si>
    <t>renounce</t>
  </si>
  <si>
    <t>Increasing number of Israelis renouncing their citizenship</t>
  </si>
  <si>
    <t>(renouncing/Pd.so.|pg----/en (of/Br.ma/en (increasing/Mv.|pg----/en number/Cc.s/en) israelis/Cp.p/en) (their/Mp/en citizenship/Cc.s/en))</t>
  </si>
  <si>
    <t>Withdrawal of foreign troops from Afghanistan threatens rollback of women's gains</t>
  </si>
  <si>
    <t>(threatens/Pd.so.|f--3s-/en (from/Br.ma/en (of/Br.ma/en withdrawal/Cc.s/en (foreign/Ma/en troops/Cc.p/en)) afghanistan/Cp.s/en) (of/Br.ma/en rollback/Cc.s/en ('s/Bp.am/en women/Cc.p/en gains/Cc.p/en)))</t>
  </si>
  <si>
    <t>Graphic Execution Video Shows ISIS Drowning, Immolating Prisoners</t>
  </si>
  <si>
    <t>(shows/Pd.soo.|f--3s-/en (+/B.am/. graphic/Cp.s/en (+/B.am/. execution/Cc.s/en video/Cp.s/en)) (+/B.am/. isis/Cp.s/en drowning/Cc.s/en) (+/B.am/. immolating/Cp.s/en prisoners/Cc.p/en))</t>
  </si>
  <si>
    <t>Netanyahu Gives Pope A Book About Spanish Inquisition</t>
  </si>
  <si>
    <t>(gives/Pd.sio.|f--3s-/en netanyahu/Cp.s/en pope/Cp.s/en (about/Br.ma/en (+/B.aa/. a/Cp.s/en book/Cm/en) (+/B.am/. spanish/Ca/en inquisition/Cp.s/en)))</t>
  </si>
  <si>
    <t>Chinese Software Tycoon Builds New Headquarters That Looks Like Star Trek's USS Enterprise</t>
  </si>
  <si>
    <t>(builds/Pd.sor.|f--3s-/en (chinese/Ma/en (+/B.am/. software/Cp.s/en tycoon/Cp.s/en)) (+/B.am/. new/Cp.s/en headquarters/Cp.p/en) (looks/P.sx.|f--3s-/en that/C/en (like/T/en ('s/Bp.am/en (+/B.am/. star/Cp.s/en trek/Cp.s/en) (+/B.am/. uss/Cp.s/en enterprise/Cp.s/en)))))</t>
  </si>
  <si>
    <t>KKK, NAACP Leaders In Wyoming Have Historic Meeting</t>
  </si>
  <si>
    <t>(have/Pd.so.|f-----/en (+/B.mm/. kkk/Cp.s/en (in/Br.ma/en (+/B.am/. naacp/Cp.s/en leaders/Cp.p/en) wyoming/Cp.s/en)) (+/B.am/. historic/Cp.s/en meeting/Cp.s/en))</t>
  </si>
  <si>
    <t>Lack of mosque in Athens stokes fears of radicalism</t>
  </si>
  <si>
    <t>(stokes/P.so.-------/en (in/Br.ma/en (of/Br.ma/en lack/Cc.s/en mosque/Cc.s/en) athens/Cp.s/en) (of/Br.ma/en fears/Cc.p/en radicalism/Cc.s/en))</t>
  </si>
  <si>
    <t>Theresa May reportedly has no intention of resigning despite Conservatives losing majority</t>
  </si>
  <si>
    <t>((reportedly/M/en has/Pd.sso.|f--3s-/en) theresa/Cp.s/en may/Cp.s/en (of/Jr.ma/en (no/Md/en intention/Cc.s/en) (resigning/P.x?.|pg----/en (despite/T/en conservatives/Cp.p/en) (losing/P.o.|pg----/en majority/Cc.s/en))))</t>
  </si>
  <si>
    <t>follow</t>
  </si>
  <si>
    <t>The move follows North Korea's repeated tests in recent months of mid-range ballistic missiles</t>
  </si>
  <si>
    <t>(follows/Pd.so.|f--3s-/en (the/Md/en move/Cc.s/en) (in/Br.ma/en ('s/Bp.am/en (+/B.am/. north/Cp.s/en korea/Cp.s/en) (repeated/Mv.&lt;pf----/en tests/Cc.p/en)) (of/Br.ma/en (recent/Ma/en months/Cc.p/en) (mid/Ma/en (-/Ma/en (range/Ma/en (ballistic/Ma/en missiles/Cc.p/en)))))))</t>
  </si>
  <si>
    <t>U.S. military has made no decision on new Afghanistan troop levels</t>
  </si>
  <si>
    <t>((has/Mv.|f--3s-/en made/Pd.so.&lt;pf----/en) (+/B.am/. u%2es%2e/Cp.s/en military/Cc.s/en) (on/Br.ma/en (no/Md/en decision/Cc.s/en) (new/Ma/en (+/B.am/. afghanistan/Cp.s/en (+/B.am/. troop/Cc.s/en levels/Cc.p/en)))))</t>
  </si>
  <si>
    <t>Bahrainis urge release of photographer</t>
  </si>
  <si>
    <t>(urge/Pd.so.|f-----/en bahrainis/Cp.s/en (of/Br.ma/en release/Cc.s/en photographer/Cc.s/en))</t>
  </si>
  <si>
    <t>Kremlin arrests its own Orthodox Church secret agent for espionage</t>
  </si>
  <si>
    <t>(arrests/Pd.so.|f--3s-/en kremlin/Cp.s/en (for/Br.ma/en (its/Mp/en (own/Ma/en (+/B.am/. (+/B.aa/. orthodox/Cm/en church/Cm/en) (secret/Ma/en agent/Cc.s/en)))) espionage/Cc.s/en))</t>
  </si>
  <si>
    <t>Charlie Gard granted US citizenship by Congress 'to fly to America for treatment</t>
  </si>
  <si>
    <t>(granted/Pd.soar.&lt;f-----/en (+/B.am/. charlie/Cp.s/en gard/Cp.s/en) (+/B.am/. us/Cp.s/en citizenship/Cc.s/en) (by/T/en congress/Cp.s/en) ((to/Mi/en fly/P.xx.-i-----/en) (to/T/en america/Cp.s/en) (for/T/en treatment/Cc.s/en)))</t>
  </si>
  <si>
    <t>Formula 1 boss Bernie Ecclestone 'may have pulled off Britain’s biggest ever tax dodge</t>
  </si>
  <si>
    <t>((off/Ml/en (may/Mm/en (have/Mv.-i-----/en pulled/Pd.so.&lt;pf----/en))) (+/B.am/. (+/B.am/. formula/Cm/en (1/M#/en boss/Cc.s/en)) (+/B.am/. bernie/Cp.s/en ecclestone/Cp.s/en)) (’s/Bp.am/en britain/Cp.s/en (biggest/Ms/en (ever/M/en (+/B.am/. tax/Cc.s/en dodge/Cp.s/en)))))</t>
  </si>
  <si>
    <t>fold</t>
  </si>
  <si>
    <t>Big Oil Anticipates 10-Fold Surge in Carbon Emission Cost</t>
  </si>
  <si>
    <t>(fold/Pd.s?o.-i-----/en (big/Ma/en (+/B.am/. oil/Cp.s/en anticipates/Cp.s/en)) 10/C#/en (in/Br.ma/en surge/Cp.s/en (+/B.am/. (+/B.am/. carbon/Cp.s/en emission/Cp.s/en) cost/Cp.s/en)))</t>
  </si>
  <si>
    <t>Iran rejects sanctions extension beyond 10 years</t>
  </si>
  <si>
    <t>(rejects/Pd.so.|f--3s-/en iran/Cp.s/en (beyond/Br.ma/en (+/B.am/. sanctions/Cc.p/en extension/Cc.s/en) (10/M#/en years/Cc.p/en)))</t>
  </si>
  <si>
    <t>Samsung is facing a fresh accusation that one of its China suppliers hired children to meet production targets during a period of high demand</t>
  </si>
  <si>
    <t>((is/Mv.|f--3s-/en facing/Pd.so.|pg----/en) samsung/Cp.s/en (that/Jr.ma/en (a/Md/en (fresh/Ma/en accusation/Cc.s/en)) (hired/P.sor.&lt;f-----/en (of/Br.ma/en one/C#/en (its/Mp/en (+/B.am/. china/Cp.s/en suppliers/Cc.p/en))) children/Cc.p/en ((to/Mi/en meet/P.ox.-i-----/en) (+/B.am/. production/Cc.s/en targets/Cc.p/en) (during/T/en (of/Br.ma/en (a/Md/en period/Cc.s/en) (high/Ma/en demand/Cc.s/en)))))))</t>
  </si>
  <si>
    <t>Berlin bans Hell's Angels logo</t>
  </si>
  <si>
    <t>(bans/Pd.so.|f--3s-/en berlin/Cp.s/en ('s/Bp.am/en hell/Cp.s/en (+/B.am/. angels/Cp.p/en logo/Cc.s/en)))</t>
  </si>
  <si>
    <t>signal</t>
  </si>
  <si>
    <t>Militant attack in Tunisia may signal further spread of Islamic State</t>
  </si>
  <si>
    <t>((may/Mm/en signal/Pd.so.-i-----/en) (in/Br.ma/en (militant/Ma/en attack/Cc.s/en) tunisia/Cp.s/en) (of/Br.ma/en (further/Ma/en spread/Cc.s/en) (+/B.am/. islamic/Cp.s/en state/Cp.s/en)))</t>
  </si>
  <si>
    <t>Leaders of Russia, Iran, Azerbaijan Discuss Closer Ties</t>
  </si>
  <si>
    <t>(discuss/Pd.so.|f-----/en (+/B.mm/. (of/Br.ma/en leaders/Cc.p/en (,/J/en russia/Cp.s/en (,/Mj/en iran/Cp.s/en))) azerbaijan/Cp.s/en) (closer/Mc/en ties/Cc.p/en))</t>
  </si>
  <si>
    <t>photo</t>
  </si>
  <si>
    <t>Topless Canadian PM accidentally photo bombs wedding</t>
  </si>
  <si>
    <t>((accidentally/M/en photo/Pd.sor.|f-----/en) ((topless/Ma/en canadian/Ma/en) pm/Cp.s/en) bombs/Cc.p/en wedding/Cc.s/en)</t>
  </si>
  <si>
    <t>Russia Suffers Its First Casualty In Syria</t>
  </si>
  <si>
    <t>(suffers/Pd.so.|f--3s-/en russia/Cp.s/en (in/Br.ma/en (its/Mp/en (+/B.am/. first/Cp.s/en casualty/Cp.s/en)) syria/Cp.s/en))</t>
  </si>
  <si>
    <t>debunk</t>
  </si>
  <si>
    <t>Sweden’s official Twitter account debunks Donald Trump claims line by line</t>
  </si>
  <si>
    <t>(debunks/Pd.so.|f--3s-/en (’s/Bp.am/en sweden/Cp.s/en (official/Ma/en (+/B.am/. twitter/Cp.s/en account/Cc.s/en))) (by/Br.ma/en (+/B.am/. (+/B.am/. donald/Cp.s/en trump/Cp.s/en) (+/B.am/. claims/C/en line/Cc.s/en)) line/Cc.s/en))</t>
  </si>
  <si>
    <t>Number of Ebola infections in west Africa passes 16,000</t>
  </si>
  <si>
    <t>(passes/Pd.so.|f--3s-/en (of/Br.ma/en number/Cc.s/en (in/Br.ma/en (+/B.am/. ebola/Cp.s/en infections/Cc.p/en) (+/B.am/. west/Cp.s/en africa/Cp.s/en))) 16,000/C#/en)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</si>
</sst>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4"/>
  <sheetViews>
    <sheetView tabSelected="1" topLeftCell="A1978" workbookViewId="0">
      <selection activeCell="G2009" sqref="G2009"/>
    </sheetView>
  </sheetViews>
  <sheetFormatPr baseColWidth="10" defaultColWidth="14.5" defaultRowHeight="15" customHeight="1" x14ac:dyDescent="0.2"/>
  <cols>
    <col min="1" max="2" width="8.6640625" customWidth="1"/>
    <col min="3" max="3" width="44.5" customWidth="1"/>
    <col min="4" max="26" width="8.6640625" customWidth="1"/>
  </cols>
  <sheetData>
    <row r="1" spans="1:9" x14ac:dyDescent="0.2">
      <c r="A1" s="1" t="s">
        <v>0</v>
      </c>
    </row>
    <row r="2" spans="1:9" x14ac:dyDescent="0.2">
      <c r="A2" s="1" t="s">
        <v>1</v>
      </c>
    </row>
    <row r="4" spans="1:9" x14ac:dyDescent="0.2">
      <c r="A4" s="2" t="s">
        <v>2</v>
      </c>
      <c r="B4" s="2" t="s">
        <v>3</v>
      </c>
      <c r="C4" s="2" t="s">
        <v>4</v>
      </c>
      <c r="D4" s="2" t="s">
        <v>5</v>
      </c>
      <c r="E4" s="2" t="s">
        <v>6</v>
      </c>
      <c r="F4" s="2" t="s">
        <v>7</v>
      </c>
      <c r="G4" s="1" t="s">
        <v>8</v>
      </c>
      <c r="H4" s="1" t="s">
        <v>9</v>
      </c>
      <c r="I4" s="1" t="s">
        <v>10</v>
      </c>
    </row>
    <row r="5" spans="1:9" x14ac:dyDescent="0.2">
      <c r="A5" s="1">
        <v>35699</v>
      </c>
      <c r="B5" s="1" t="s">
        <v>11</v>
      </c>
      <c r="C5" s="1" t="s">
        <v>12</v>
      </c>
      <c r="D5" s="1" t="str">
        <f t="shared" ref="D5:D259" si="0">IF(SUM(G5:I5)=0, "", IF(COUNTIF(G5:I5, "1") &gt; 0, IF(COUNTIF(G5:I5, "2") &gt; 0, "3", "1"),IF(COUNTIF(G5:I5, "2") &gt; 0, "2", "")))</f>
        <v>2</v>
      </c>
      <c r="E5" s="1" t="s">
        <v>13</v>
      </c>
      <c r="G5" s="1">
        <f t="array" ref="G5">IF(ISNUMBER(MATCH(35699,Camille!$A:$A,0)), IF(OR(INDEX(Camille!$D:$D,MATCH(35699,Camille!$A:$A,0))=1, INDEX(Camille!$D:$D,MATCH(35699,Camille!$A:$A,0))=2), INDEX(Camille!$D:$D,MATCH(35699,Camille!$A:$A,0)), 0), 0)</f>
        <v>2</v>
      </c>
      <c r="H5" s="1">
        <f t="array" ref="H5">IF(ISNUMBER(MATCH(35699,Telmo!$A:$A,0)), IF(OR(INDEX(Telmo!$D:$D,MATCH(35699,Telmo!$A:$A,0))=1, INDEX(Telmo!$D:$D,MATCH(35699,Telmo!$A:$A,0))=2), INDEX(Telmo!$D:$D,MATCH(35699,Telmo!$A:$A,0)), 0), 0)</f>
        <v>0</v>
      </c>
      <c r="I5" s="1">
        <f t="array" ref="I5">IF(ISNUMBER(MATCH(35699,Max!$A:$A,0)), IF(OR(INDEX(Max!$D:$D,MATCH(35699,Max!$A:$A,0))=1, INDEX(Max!$D:$D,MATCH(35699,Max!$A:$A,0))=2), INDEX(Max!$D:$D,MATCH(35699,Max!$A:$A,0)), 0), 0)</f>
        <v>0</v>
      </c>
    </row>
    <row r="6" spans="1:9" x14ac:dyDescent="0.2">
      <c r="A6" s="1">
        <v>55584</v>
      </c>
      <c r="B6" s="1" t="s">
        <v>14</v>
      </c>
      <c r="C6" s="1" t="s">
        <v>15</v>
      </c>
      <c r="D6" s="1" t="str">
        <f t="shared" si="0"/>
        <v>2</v>
      </c>
      <c r="E6" s="1" t="s">
        <v>16</v>
      </c>
      <c r="G6" s="1">
        <f t="array" ref="G6">IF(ISNUMBER(MATCH(55584,Camille!$A:$A,0)), IF(OR(INDEX(Camille!$D:$D,MATCH(55584,Camille!$A:$A,0))=1, INDEX(Camille!$D:$D,MATCH(55584,Camille!$A:$A,0))=2), INDEX(Camille!$D:$D,MATCH(55584,Camille!$A:$A,0)), 0), 0)</f>
        <v>2</v>
      </c>
      <c r="H6" s="1">
        <f t="array" ref="H6">IF(ISNUMBER(MATCH(55584,Telmo!$A:$A,0)), IF(OR(INDEX(Telmo!$D:$D,MATCH(55584,Telmo!$A:$A,0))=1, INDEX(Telmo!$D:$D,MATCH(55584,Telmo!$A:$A,0))=2), INDEX(Telmo!$D:$D,MATCH(55584,Telmo!$A:$A,0)), 0), 0)</f>
        <v>0</v>
      </c>
      <c r="I6" s="1">
        <f t="array" ref="I6">IF(ISNUMBER(MATCH(55584,Max!$A:$A,0)), IF(OR(INDEX(Max!$D:$D,MATCH(55584,Max!$A:$A,0))=1, INDEX(Max!$D:$D,MATCH(55584,Max!$A:$A,0))=2), INDEX(Max!$D:$D,MATCH(55584,Max!$A:$A,0)), 0), 0)</f>
        <v>0</v>
      </c>
    </row>
    <row r="7" spans="1:9" x14ac:dyDescent="0.2">
      <c r="A7" s="1">
        <v>25412</v>
      </c>
      <c r="B7" s="1" t="s">
        <v>17</v>
      </c>
      <c r="C7" s="1" t="s">
        <v>18</v>
      </c>
      <c r="D7" s="1" t="str">
        <f t="shared" si="0"/>
        <v>2</v>
      </c>
      <c r="E7" s="1" t="s">
        <v>19</v>
      </c>
      <c r="G7" s="1">
        <f t="array" ref="G7">IF(ISNUMBER(MATCH(25412,Camille!$A:$A,0)), IF(OR(INDEX(Camille!$D:$D,MATCH(25412,Camille!$A:$A,0))=1, INDEX(Camille!$D:$D,MATCH(25412,Camille!$A:$A,0))=2), INDEX(Camille!$D:$D,MATCH(25412,Camille!$A:$A,0)), 0), 0)</f>
        <v>2</v>
      </c>
      <c r="H7" s="1">
        <f t="array" ref="H7">IF(ISNUMBER(MATCH(25412,Telmo!$A:$A,0)), IF(OR(INDEX(Telmo!$D:$D,MATCH(25412,Telmo!$A:$A,0))=1, INDEX(Telmo!$D:$D,MATCH(25412,Telmo!$A:$A,0))=2), INDEX(Telmo!$D:$D,MATCH(25412,Telmo!$A:$A,0)), 0), 0)</f>
        <v>0</v>
      </c>
      <c r="I7" s="1">
        <f t="array" ref="I7">IF(ISNUMBER(MATCH(25412,Max!$A:$A,0)), IF(OR(INDEX(Max!$D:$D,MATCH(25412,Max!$A:$A,0))=1, INDEX(Max!$D:$D,MATCH(25412,Max!$A:$A,0))=2), INDEX(Max!$D:$D,MATCH(25412,Max!$A:$A,0)), 0), 0)</f>
        <v>0</v>
      </c>
    </row>
    <row r="8" spans="1:9" x14ac:dyDescent="0.2">
      <c r="A8" s="1">
        <v>68767</v>
      </c>
      <c r="B8" s="1" t="s">
        <v>20</v>
      </c>
      <c r="C8" s="1" t="s">
        <v>21</v>
      </c>
      <c r="D8" s="1" t="str">
        <f t="shared" si="0"/>
        <v>2</v>
      </c>
      <c r="E8" s="1" t="s">
        <v>22</v>
      </c>
      <c r="G8" s="1">
        <f t="array" ref="G8">IF(ISNUMBER(MATCH(68767,Camille!$A:$A,0)), IF(OR(INDEX(Camille!$D:$D,MATCH(68767,Camille!$A:$A,0))=1, INDEX(Camille!$D:$D,MATCH(68767,Camille!$A:$A,0))=2), INDEX(Camille!$D:$D,MATCH(68767,Camille!$A:$A,0)), 0), 0)</f>
        <v>2</v>
      </c>
      <c r="H8" s="1">
        <f t="array" ref="H8">IF(ISNUMBER(MATCH(68767,Telmo!$A:$A,0)), IF(OR(INDEX(Telmo!$D:$D,MATCH(68767,Telmo!$A:$A,0))=1, INDEX(Telmo!$D:$D,MATCH(68767,Telmo!$A:$A,0))=2), INDEX(Telmo!$D:$D,MATCH(68767,Telmo!$A:$A,0)), 0), 0)</f>
        <v>0</v>
      </c>
      <c r="I8" s="1">
        <f t="array" ref="I8">IF(ISNUMBER(MATCH(68767,Max!$A:$A,0)), IF(OR(INDEX(Max!$D:$D,MATCH(68767,Max!$A:$A,0))=1, INDEX(Max!$D:$D,MATCH(68767,Max!$A:$A,0))=2), INDEX(Max!$D:$D,MATCH(68767,Max!$A:$A,0)), 0), 0)</f>
        <v>0</v>
      </c>
    </row>
    <row r="9" spans="1:9" x14ac:dyDescent="0.2">
      <c r="A9" s="1">
        <v>26817</v>
      </c>
      <c r="B9" s="1" t="s">
        <v>23</v>
      </c>
      <c r="C9" s="1" t="s">
        <v>24</v>
      </c>
      <c r="D9" s="1" t="str">
        <f t="shared" si="0"/>
        <v>2</v>
      </c>
      <c r="E9" s="1" t="s">
        <v>25</v>
      </c>
      <c r="G9" s="1">
        <f t="array" ref="G9">IF(ISNUMBER(MATCH(26817,Camille!$A:$A,0)), IF(OR(INDEX(Camille!$D:$D,MATCH(26817,Camille!$A:$A,0))=1, INDEX(Camille!$D:$D,MATCH(26817,Camille!$A:$A,0))=2), INDEX(Camille!$D:$D,MATCH(26817,Camille!$A:$A,0)), 0), 0)</f>
        <v>2</v>
      </c>
      <c r="H9" s="1">
        <f t="array" ref="H9">IF(ISNUMBER(MATCH(26817,Telmo!$A:$A,0)), IF(OR(INDEX(Telmo!$D:$D,MATCH(26817,Telmo!$A:$A,0))=1, INDEX(Telmo!$D:$D,MATCH(26817,Telmo!$A:$A,0))=2), INDEX(Telmo!$D:$D,MATCH(26817,Telmo!$A:$A,0)), 0), 0)</f>
        <v>0</v>
      </c>
      <c r="I9" s="1">
        <f t="array" ref="I9">IF(ISNUMBER(MATCH(26817,Max!$A:$A,0)), IF(OR(INDEX(Max!$D:$D,MATCH(26817,Max!$A:$A,0))=1, INDEX(Max!$D:$D,MATCH(26817,Max!$A:$A,0))=2), INDEX(Max!$D:$D,MATCH(26817,Max!$A:$A,0)), 0), 0)</f>
        <v>0</v>
      </c>
    </row>
    <row r="10" spans="1:9" x14ac:dyDescent="0.2">
      <c r="A10" s="1">
        <v>10477</v>
      </c>
      <c r="B10" s="1" t="s">
        <v>26</v>
      </c>
      <c r="C10" s="1" t="s">
        <v>27</v>
      </c>
      <c r="D10" s="1" t="str">
        <f t="shared" si="0"/>
        <v>1</v>
      </c>
      <c r="E10" s="1" t="s">
        <v>28</v>
      </c>
      <c r="G10" s="1">
        <f t="array" ref="G10">IF(ISNUMBER(MATCH(10477,Camille!$A:$A,0)), IF(OR(INDEX(Camille!$D:$D,MATCH(10477,Camille!$A:$A,0))=1, INDEX(Camille!$D:$D,MATCH(10477,Camille!$A:$A,0))=2), INDEX(Camille!$D:$D,MATCH(10477,Camille!$A:$A,0)), 0), 0)</f>
        <v>1</v>
      </c>
      <c r="H10" s="1">
        <f t="array" ref="H10">IF(ISNUMBER(MATCH(10477,Telmo!$A:$A,0)), IF(OR(INDEX(Telmo!$D:$D,MATCH(10477,Telmo!$A:$A,0))=1, INDEX(Telmo!$D:$D,MATCH(10477,Telmo!$A:$A,0))=2), INDEX(Telmo!$D:$D,MATCH(10477,Telmo!$A:$A,0)), 0), 0)</f>
        <v>0</v>
      </c>
      <c r="I10" s="1">
        <f t="array" ref="I10">IF(ISNUMBER(MATCH(10477,Max!$A:$A,0)), IF(OR(INDEX(Max!$D:$D,MATCH(10477,Max!$A:$A,0))=1, INDEX(Max!$D:$D,MATCH(10477,Max!$A:$A,0))=2), INDEX(Max!$D:$D,MATCH(10477,Max!$A:$A,0)), 0), 0)</f>
        <v>0</v>
      </c>
    </row>
    <row r="11" spans="1:9" x14ac:dyDescent="0.2">
      <c r="A11" s="1">
        <v>13866</v>
      </c>
      <c r="B11" s="1" t="s">
        <v>29</v>
      </c>
      <c r="C11" s="1" t="s">
        <v>30</v>
      </c>
      <c r="D11" s="1" t="str">
        <f t="shared" si="0"/>
        <v>2</v>
      </c>
      <c r="E11" s="1" t="s">
        <v>31</v>
      </c>
      <c r="G11" s="1">
        <f t="array" ref="G11">IF(ISNUMBER(MATCH(13866,Camille!$A:$A,0)), IF(OR(INDEX(Camille!$D:$D,MATCH(13866,Camille!$A:$A,0))=1, INDEX(Camille!$D:$D,MATCH(13866,Camille!$A:$A,0))=2), INDEX(Camille!$D:$D,MATCH(13866,Camille!$A:$A,0)), 0), 0)</f>
        <v>2</v>
      </c>
      <c r="H11" s="1">
        <f t="array" ref="H11">IF(ISNUMBER(MATCH(13866,Telmo!$A:$A,0)), IF(OR(INDEX(Telmo!$D:$D,MATCH(13866,Telmo!$A:$A,0))=1, INDEX(Telmo!$D:$D,MATCH(13866,Telmo!$A:$A,0))=2), INDEX(Telmo!$D:$D,MATCH(13866,Telmo!$A:$A,0)), 0), 0)</f>
        <v>0</v>
      </c>
      <c r="I11" s="1">
        <f t="array" ref="I11">IF(ISNUMBER(MATCH(13866,Max!$A:$A,0)), IF(OR(INDEX(Max!$D:$D,MATCH(13866,Max!$A:$A,0))=1, INDEX(Max!$D:$D,MATCH(13866,Max!$A:$A,0))=2), INDEX(Max!$D:$D,MATCH(13866,Max!$A:$A,0)), 0), 0)</f>
        <v>0</v>
      </c>
    </row>
    <row r="12" spans="1:9" x14ac:dyDescent="0.2">
      <c r="A12" s="1">
        <v>3631</v>
      </c>
      <c r="B12" s="1" t="s">
        <v>32</v>
      </c>
      <c r="C12" s="1" t="s">
        <v>33</v>
      </c>
      <c r="D12" s="1" t="str">
        <f t="shared" si="0"/>
        <v>2</v>
      </c>
      <c r="E12" s="1" t="s">
        <v>34</v>
      </c>
      <c r="G12" s="1">
        <f t="array" ref="G12">IF(ISNUMBER(MATCH(3631,Camille!$A:$A,0)), IF(OR(INDEX(Camille!$D:$D,MATCH(3631,Camille!$A:$A,0))=1, INDEX(Camille!$D:$D,MATCH(3631,Camille!$A:$A,0))=2), INDEX(Camille!$D:$D,MATCH(3631,Camille!$A:$A,0)), 0), 0)</f>
        <v>2</v>
      </c>
      <c r="H12" s="1">
        <f t="array" ref="H12">IF(ISNUMBER(MATCH(3631,Telmo!$A:$A,0)), IF(OR(INDEX(Telmo!$D:$D,MATCH(3631,Telmo!$A:$A,0))=1, INDEX(Telmo!$D:$D,MATCH(3631,Telmo!$A:$A,0))=2), INDEX(Telmo!$D:$D,MATCH(3631,Telmo!$A:$A,0)), 0), 0)</f>
        <v>0</v>
      </c>
      <c r="I12" s="1">
        <f t="array" ref="I12">IF(ISNUMBER(MATCH(3631,Max!$A:$A,0)), IF(OR(INDEX(Max!$D:$D,MATCH(3631,Max!$A:$A,0))=1, INDEX(Max!$D:$D,MATCH(3631,Max!$A:$A,0))=2), INDEX(Max!$D:$D,MATCH(3631,Max!$A:$A,0)), 0), 0)</f>
        <v>0</v>
      </c>
    </row>
    <row r="13" spans="1:9" x14ac:dyDescent="0.2">
      <c r="A13" s="1">
        <v>49909</v>
      </c>
      <c r="B13" s="1" t="s">
        <v>35</v>
      </c>
      <c r="C13" s="1" t="s">
        <v>36</v>
      </c>
      <c r="D13" s="1" t="str">
        <f t="shared" si="0"/>
        <v>2</v>
      </c>
      <c r="E13" s="1" t="s">
        <v>37</v>
      </c>
      <c r="G13" s="1">
        <f t="array" ref="G13">IF(ISNUMBER(MATCH(49909,Camille!$A:$A,0)), IF(OR(INDEX(Camille!$D:$D,MATCH(49909,Camille!$A:$A,0))=1, INDEX(Camille!$D:$D,MATCH(49909,Camille!$A:$A,0))=2), INDEX(Camille!$D:$D,MATCH(49909,Camille!$A:$A,0)), 0), 0)</f>
        <v>2</v>
      </c>
      <c r="H13" s="1">
        <f t="array" ref="H13">IF(ISNUMBER(MATCH(49909,Telmo!$A:$A,0)), IF(OR(INDEX(Telmo!$D:$D,MATCH(49909,Telmo!$A:$A,0))=1, INDEX(Telmo!$D:$D,MATCH(49909,Telmo!$A:$A,0))=2), INDEX(Telmo!$D:$D,MATCH(49909,Telmo!$A:$A,0)), 0), 0)</f>
        <v>0</v>
      </c>
      <c r="I13" s="1">
        <f t="array" ref="I13">IF(ISNUMBER(MATCH(49909,Max!$A:$A,0)), IF(OR(INDEX(Max!$D:$D,MATCH(49909,Max!$A:$A,0))=1, INDEX(Max!$D:$D,MATCH(49909,Max!$A:$A,0))=2), INDEX(Max!$D:$D,MATCH(49909,Max!$A:$A,0)), 0), 0)</f>
        <v>0</v>
      </c>
    </row>
    <row r="14" spans="1:9" x14ac:dyDescent="0.2">
      <c r="A14" s="1">
        <v>40040</v>
      </c>
      <c r="B14" s="1" t="s">
        <v>38</v>
      </c>
      <c r="C14" s="1" t="s">
        <v>39</v>
      </c>
      <c r="D14" s="1" t="str">
        <f t="shared" si="0"/>
        <v>2</v>
      </c>
      <c r="E14" s="1" t="s">
        <v>40</v>
      </c>
      <c r="G14" s="1">
        <f t="array" ref="G14">IF(ISNUMBER(MATCH(40040,Camille!$A:$A,0)), IF(OR(INDEX(Camille!$D:$D,MATCH(40040,Camille!$A:$A,0))=1, INDEX(Camille!$D:$D,MATCH(40040,Camille!$A:$A,0))=2), INDEX(Camille!$D:$D,MATCH(40040,Camille!$A:$A,0)), 0), 0)</f>
        <v>2</v>
      </c>
      <c r="H14" s="1">
        <f t="array" ref="H14">IF(ISNUMBER(MATCH(40040,Telmo!$A:$A,0)), IF(OR(INDEX(Telmo!$D:$D,MATCH(40040,Telmo!$A:$A,0))=1, INDEX(Telmo!$D:$D,MATCH(40040,Telmo!$A:$A,0))=2), INDEX(Telmo!$D:$D,MATCH(40040,Telmo!$A:$A,0)), 0), 0)</f>
        <v>0</v>
      </c>
      <c r="I14" s="1">
        <f t="array" ref="I14">IF(ISNUMBER(MATCH(40040,Max!$A:$A,0)), IF(OR(INDEX(Max!$D:$D,MATCH(40040,Max!$A:$A,0))=1, INDEX(Max!$D:$D,MATCH(40040,Max!$A:$A,0))=2), INDEX(Max!$D:$D,MATCH(40040,Max!$A:$A,0)), 0), 0)</f>
        <v>0</v>
      </c>
    </row>
    <row r="15" spans="1:9" x14ac:dyDescent="0.2">
      <c r="A15" s="1">
        <v>48368</v>
      </c>
      <c r="B15" s="1" t="s">
        <v>41</v>
      </c>
      <c r="C15" s="1" t="s">
        <v>42</v>
      </c>
      <c r="D15" s="1" t="str">
        <f t="shared" si="0"/>
        <v>2</v>
      </c>
      <c r="E15" s="1" t="s">
        <v>43</v>
      </c>
      <c r="G15" s="1">
        <f t="array" ref="G15">IF(ISNUMBER(MATCH(48368,Camille!$A:$A,0)), IF(OR(INDEX(Camille!$D:$D,MATCH(48368,Camille!$A:$A,0))=1, INDEX(Camille!$D:$D,MATCH(48368,Camille!$A:$A,0))=2), INDEX(Camille!$D:$D,MATCH(48368,Camille!$A:$A,0)), 0), 0)</f>
        <v>2</v>
      </c>
      <c r="H15" s="1">
        <f t="array" ref="H15">IF(ISNUMBER(MATCH(48368,Telmo!$A:$A,0)), IF(OR(INDEX(Telmo!$D:$D,MATCH(48368,Telmo!$A:$A,0))=1, INDEX(Telmo!$D:$D,MATCH(48368,Telmo!$A:$A,0))=2), INDEX(Telmo!$D:$D,MATCH(48368,Telmo!$A:$A,0)), 0), 0)</f>
        <v>0</v>
      </c>
      <c r="I15" s="1">
        <f t="array" ref="I15">IF(ISNUMBER(MATCH(48368,Max!$A:$A,0)), IF(OR(INDEX(Max!$D:$D,MATCH(48368,Max!$A:$A,0))=1, INDEX(Max!$D:$D,MATCH(48368,Max!$A:$A,0))=2), INDEX(Max!$D:$D,MATCH(48368,Max!$A:$A,0)), 0), 0)</f>
        <v>0</v>
      </c>
    </row>
    <row r="16" spans="1:9" x14ac:dyDescent="0.2">
      <c r="A16" s="1">
        <v>22937</v>
      </c>
      <c r="B16" s="1" t="s">
        <v>44</v>
      </c>
      <c r="C16" s="1" t="s">
        <v>45</v>
      </c>
      <c r="D16" s="1" t="str">
        <f t="shared" si="0"/>
        <v>2</v>
      </c>
      <c r="E16" s="1" t="s">
        <v>46</v>
      </c>
      <c r="G16" s="1">
        <f t="array" ref="G16">IF(ISNUMBER(MATCH(22937,Camille!$A:$A,0)), IF(OR(INDEX(Camille!$D:$D,MATCH(22937,Camille!$A:$A,0))=1, INDEX(Camille!$D:$D,MATCH(22937,Camille!$A:$A,0))=2), INDEX(Camille!$D:$D,MATCH(22937,Camille!$A:$A,0)), 0), 0)</f>
        <v>2</v>
      </c>
      <c r="H16" s="1">
        <f t="array" ref="H16">IF(ISNUMBER(MATCH(22937,Telmo!$A:$A,0)), IF(OR(INDEX(Telmo!$D:$D,MATCH(22937,Telmo!$A:$A,0))=1, INDEX(Telmo!$D:$D,MATCH(22937,Telmo!$A:$A,0))=2), INDEX(Telmo!$D:$D,MATCH(22937,Telmo!$A:$A,0)), 0), 0)</f>
        <v>0</v>
      </c>
      <c r="I16" s="1">
        <f t="array" ref="I16">IF(ISNUMBER(MATCH(22937,Max!$A:$A,0)), IF(OR(INDEX(Max!$D:$D,MATCH(22937,Max!$A:$A,0))=1, INDEX(Max!$D:$D,MATCH(22937,Max!$A:$A,0))=2), INDEX(Max!$D:$D,MATCH(22937,Max!$A:$A,0)), 0), 0)</f>
        <v>0</v>
      </c>
    </row>
    <row r="17" spans="1:9" x14ac:dyDescent="0.2">
      <c r="A17" s="1">
        <v>2788</v>
      </c>
      <c r="B17" s="1" t="s">
        <v>47</v>
      </c>
      <c r="C17" s="1" t="s">
        <v>48</v>
      </c>
      <c r="D17" s="1" t="str">
        <f t="shared" si="0"/>
        <v>2</v>
      </c>
      <c r="E17" s="1" t="s">
        <v>49</v>
      </c>
      <c r="G17" s="1">
        <f t="array" ref="G17">IF(ISNUMBER(MATCH(2788,Camille!$A:$A,0)), IF(OR(INDEX(Camille!$D:$D,MATCH(2788,Camille!$A:$A,0))=1, INDEX(Camille!$D:$D,MATCH(2788,Camille!$A:$A,0))=2), INDEX(Camille!$D:$D,MATCH(2788,Camille!$A:$A,0)), 0), 0)</f>
        <v>2</v>
      </c>
      <c r="H17" s="1">
        <f t="array" ref="H17">IF(ISNUMBER(MATCH(2788,Telmo!$A:$A,0)), IF(OR(INDEX(Telmo!$D:$D,MATCH(2788,Telmo!$A:$A,0))=1, INDEX(Telmo!$D:$D,MATCH(2788,Telmo!$A:$A,0))=2), INDEX(Telmo!$D:$D,MATCH(2788,Telmo!$A:$A,0)), 0), 0)</f>
        <v>0</v>
      </c>
      <c r="I17" s="1">
        <f t="array" ref="I17">IF(ISNUMBER(MATCH(2788,Max!$A:$A,0)), IF(OR(INDEX(Max!$D:$D,MATCH(2788,Max!$A:$A,0))=1, INDEX(Max!$D:$D,MATCH(2788,Max!$A:$A,0))=2), INDEX(Max!$D:$D,MATCH(2788,Max!$A:$A,0)), 0), 0)</f>
        <v>0</v>
      </c>
    </row>
    <row r="18" spans="1:9" x14ac:dyDescent="0.2">
      <c r="A18" s="1">
        <v>49178</v>
      </c>
      <c r="B18" s="1" t="s">
        <v>50</v>
      </c>
      <c r="C18" s="1" t="s">
        <v>51</v>
      </c>
      <c r="D18" s="1" t="str">
        <f t="shared" si="0"/>
        <v>1</v>
      </c>
      <c r="E18" s="1" t="s">
        <v>52</v>
      </c>
      <c r="G18" s="1">
        <f t="array" ref="G18">IF(ISNUMBER(MATCH(49178,Camille!$A:$A,0)), IF(OR(INDEX(Camille!$D:$D,MATCH(49178,Camille!$A:$A,0))=1, INDEX(Camille!$D:$D,MATCH(49178,Camille!$A:$A,0))=2), INDEX(Camille!$D:$D,MATCH(49178,Camille!$A:$A,0)), 0), 0)</f>
        <v>1</v>
      </c>
      <c r="H18" s="1">
        <f t="array" ref="H18">IF(ISNUMBER(MATCH(49178,Telmo!$A:$A,0)), IF(OR(INDEX(Telmo!$D:$D,MATCH(49178,Telmo!$A:$A,0))=1, INDEX(Telmo!$D:$D,MATCH(49178,Telmo!$A:$A,0))=2), INDEX(Telmo!$D:$D,MATCH(49178,Telmo!$A:$A,0)), 0), 0)</f>
        <v>0</v>
      </c>
      <c r="I18" s="1">
        <f t="array" ref="I18">IF(ISNUMBER(MATCH(49178,Max!$A:$A,0)), IF(OR(INDEX(Max!$D:$D,MATCH(49178,Max!$A:$A,0))=1, INDEX(Max!$D:$D,MATCH(49178,Max!$A:$A,0))=2), INDEX(Max!$D:$D,MATCH(49178,Max!$A:$A,0)), 0), 0)</f>
        <v>0</v>
      </c>
    </row>
    <row r="19" spans="1:9" x14ac:dyDescent="0.2">
      <c r="A19" s="1">
        <v>51698</v>
      </c>
      <c r="B19" s="1" t="s">
        <v>53</v>
      </c>
      <c r="C19" s="1" t="s">
        <v>54</v>
      </c>
      <c r="D19" s="1" t="str">
        <f t="shared" si="0"/>
        <v>2</v>
      </c>
      <c r="E19" s="1" t="s">
        <v>55</v>
      </c>
      <c r="G19" s="1">
        <f t="array" ref="G19">IF(ISNUMBER(MATCH(51698,Camille!$A:$A,0)), IF(OR(INDEX(Camille!$D:$D,MATCH(51698,Camille!$A:$A,0))=1, INDEX(Camille!$D:$D,MATCH(51698,Camille!$A:$A,0))=2), INDEX(Camille!$D:$D,MATCH(51698,Camille!$A:$A,0)), 0), 0)</f>
        <v>2</v>
      </c>
      <c r="H19" s="1">
        <f t="array" ref="H19">IF(ISNUMBER(MATCH(51698,Telmo!$A:$A,0)), IF(OR(INDEX(Telmo!$D:$D,MATCH(51698,Telmo!$A:$A,0))=1, INDEX(Telmo!$D:$D,MATCH(51698,Telmo!$A:$A,0))=2), INDEX(Telmo!$D:$D,MATCH(51698,Telmo!$A:$A,0)), 0), 0)</f>
        <v>0</v>
      </c>
      <c r="I19" s="1">
        <f t="array" ref="I19">IF(ISNUMBER(MATCH(51698,Max!$A:$A,0)), IF(OR(INDEX(Max!$D:$D,MATCH(51698,Max!$A:$A,0))=1, INDEX(Max!$D:$D,MATCH(51698,Max!$A:$A,0))=2), INDEX(Max!$D:$D,MATCH(51698,Max!$A:$A,0)), 0), 0)</f>
        <v>0</v>
      </c>
    </row>
    <row r="20" spans="1:9" x14ac:dyDescent="0.2">
      <c r="A20" s="1">
        <v>26502</v>
      </c>
      <c r="B20" s="1" t="s">
        <v>56</v>
      </c>
      <c r="C20" s="1" t="s">
        <v>57</v>
      </c>
      <c r="D20" s="1" t="str">
        <f t="shared" si="0"/>
        <v>2</v>
      </c>
      <c r="E20" s="1" t="s">
        <v>58</v>
      </c>
      <c r="G20" s="1">
        <f t="array" ref="G20">IF(ISNUMBER(MATCH(26502,Camille!$A:$A,0)), IF(OR(INDEX(Camille!$D:$D,MATCH(26502,Camille!$A:$A,0))=1, INDEX(Camille!$D:$D,MATCH(26502,Camille!$A:$A,0))=2), INDEX(Camille!$D:$D,MATCH(26502,Camille!$A:$A,0)), 0), 0)</f>
        <v>2</v>
      </c>
      <c r="H20" s="1">
        <f t="array" ref="H20">IF(ISNUMBER(MATCH(26502,Telmo!$A:$A,0)), IF(OR(INDEX(Telmo!$D:$D,MATCH(26502,Telmo!$A:$A,0))=1, INDEX(Telmo!$D:$D,MATCH(26502,Telmo!$A:$A,0))=2), INDEX(Telmo!$D:$D,MATCH(26502,Telmo!$A:$A,0)), 0), 0)</f>
        <v>0</v>
      </c>
      <c r="I20" s="1">
        <f t="array" ref="I20">IF(ISNUMBER(MATCH(26502,Max!$A:$A,0)), IF(OR(INDEX(Max!$D:$D,MATCH(26502,Max!$A:$A,0))=1, INDEX(Max!$D:$D,MATCH(26502,Max!$A:$A,0))=2), INDEX(Max!$D:$D,MATCH(26502,Max!$A:$A,0)), 0), 0)</f>
        <v>0</v>
      </c>
    </row>
    <row r="21" spans="1:9" ht="15.75" customHeight="1" x14ac:dyDescent="0.2">
      <c r="A21" s="1">
        <v>8231</v>
      </c>
      <c r="B21" s="1" t="s">
        <v>26</v>
      </c>
      <c r="C21" s="1" t="s">
        <v>59</v>
      </c>
      <c r="D21" s="1" t="str">
        <f t="shared" si="0"/>
        <v>2</v>
      </c>
      <c r="E21" s="1" t="s">
        <v>60</v>
      </c>
      <c r="G21" s="1">
        <f t="array" ref="G21">IF(ISNUMBER(MATCH(8231,Camille!$A:$A,0)), IF(OR(INDEX(Camille!$D:$D,MATCH(8231,Camille!$A:$A,0))=1, INDEX(Camille!$D:$D,MATCH(8231,Camille!$A:$A,0))=2), INDEX(Camille!$D:$D,MATCH(8231,Camille!$A:$A,0)), 0), 0)</f>
        <v>2</v>
      </c>
      <c r="H21" s="1">
        <f t="array" ref="H21">IF(ISNUMBER(MATCH(8231,Telmo!$A:$A,0)), IF(OR(INDEX(Telmo!$D:$D,MATCH(8231,Telmo!$A:$A,0))=1, INDEX(Telmo!$D:$D,MATCH(8231,Telmo!$A:$A,0))=2), INDEX(Telmo!$D:$D,MATCH(8231,Telmo!$A:$A,0)), 0), 0)</f>
        <v>0</v>
      </c>
      <c r="I21" s="1">
        <f t="array" ref="I21">IF(ISNUMBER(MATCH(8231,Max!$A:$A,0)), IF(OR(INDEX(Max!$D:$D,MATCH(8231,Max!$A:$A,0))=1, INDEX(Max!$D:$D,MATCH(8231,Max!$A:$A,0))=2), INDEX(Max!$D:$D,MATCH(8231,Max!$A:$A,0)), 0), 0)</f>
        <v>0</v>
      </c>
    </row>
    <row r="22" spans="1:9" ht="15.75" customHeight="1" x14ac:dyDescent="0.2">
      <c r="A22" s="1">
        <v>25299</v>
      </c>
      <c r="B22" s="1" t="s">
        <v>61</v>
      </c>
      <c r="C22" s="1" t="s">
        <v>62</v>
      </c>
      <c r="D22" s="1" t="str">
        <f t="shared" si="0"/>
        <v>2</v>
      </c>
      <c r="E22" s="1" t="s">
        <v>63</v>
      </c>
      <c r="G22" s="1">
        <f t="array" ref="G22">IF(ISNUMBER(MATCH(25299,Camille!$A:$A,0)), IF(OR(INDEX(Camille!$D:$D,MATCH(25299,Camille!$A:$A,0))=1, INDEX(Camille!$D:$D,MATCH(25299,Camille!$A:$A,0))=2), INDEX(Camille!$D:$D,MATCH(25299,Camille!$A:$A,0)), 0), 0)</f>
        <v>2</v>
      </c>
      <c r="H22" s="1">
        <f t="array" ref="H22">IF(ISNUMBER(MATCH(25299,Telmo!$A:$A,0)), IF(OR(INDEX(Telmo!$D:$D,MATCH(25299,Telmo!$A:$A,0))=1, INDEX(Telmo!$D:$D,MATCH(25299,Telmo!$A:$A,0))=2), INDEX(Telmo!$D:$D,MATCH(25299,Telmo!$A:$A,0)), 0), 0)</f>
        <v>0</v>
      </c>
      <c r="I22" s="1">
        <f t="array" ref="I22">IF(ISNUMBER(MATCH(25299,Max!$A:$A,0)), IF(OR(INDEX(Max!$D:$D,MATCH(25299,Max!$A:$A,0))=1, INDEX(Max!$D:$D,MATCH(25299,Max!$A:$A,0))=2), INDEX(Max!$D:$D,MATCH(25299,Max!$A:$A,0)), 0), 0)</f>
        <v>0</v>
      </c>
    </row>
    <row r="23" spans="1:9" ht="15.75" customHeight="1" x14ac:dyDescent="0.2">
      <c r="A23" s="1">
        <v>1952</v>
      </c>
      <c r="B23" s="1" t="s">
        <v>64</v>
      </c>
      <c r="C23" s="1" t="s">
        <v>65</v>
      </c>
      <c r="D23" s="1" t="str">
        <f t="shared" si="0"/>
        <v>1</v>
      </c>
      <c r="E23" s="1" t="s">
        <v>66</v>
      </c>
      <c r="G23" s="1">
        <f t="array" ref="G23">IF(ISNUMBER(MATCH(1952,Camille!$A:$A,0)), IF(OR(INDEX(Camille!$D:$D,MATCH(1952,Camille!$A:$A,0))=1, INDEX(Camille!$D:$D,MATCH(1952,Camille!$A:$A,0))=2), INDEX(Camille!$D:$D,MATCH(1952,Camille!$A:$A,0)), 0), 0)</f>
        <v>1</v>
      </c>
      <c r="H23" s="1">
        <f t="array" ref="H23">IF(ISNUMBER(MATCH(1952,Telmo!$A:$A,0)), IF(OR(INDEX(Telmo!$D:$D,MATCH(1952,Telmo!$A:$A,0))=1, INDEX(Telmo!$D:$D,MATCH(1952,Telmo!$A:$A,0))=2), INDEX(Telmo!$D:$D,MATCH(1952,Telmo!$A:$A,0)), 0), 0)</f>
        <v>0</v>
      </c>
      <c r="I23" s="1">
        <f t="array" ref="I23">IF(ISNUMBER(MATCH(1952,Max!$A:$A,0)), IF(OR(INDEX(Max!$D:$D,MATCH(1952,Max!$A:$A,0))=1, INDEX(Max!$D:$D,MATCH(1952,Max!$A:$A,0))=2), INDEX(Max!$D:$D,MATCH(1952,Max!$A:$A,0)), 0), 0)</f>
        <v>0</v>
      </c>
    </row>
    <row r="24" spans="1:9" ht="15.75" customHeight="1" x14ac:dyDescent="0.2">
      <c r="A24" s="1">
        <v>55985</v>
      </c>
      <c r="B24" s="1" t="s">
        <v>67</v>
      </c>
      <c r="C24" s="1" t="s">
        <v>68</v>
      </c>
      <c r="D24" s="1" t="str">
        <f t="shared" si="0"/>
        <v>2</v>
      </c>
      <c r="E24" s="1" t="s">
        <v>69</v>
      </c>
      <c r="G24" s="1">
        <f t="array" ref="G24">IF(ISNUMBER(MATCH(55985,Camille!$A:$A,0)), IF(OR(INDEX(Camille!$D:$D,MATCH(55985,Camille!$A:$A,0))=1, INDEX(Camille!$D:$D,MATCH(55985,Camille!$A:$A,0))=2), INDEX(Camille!$D:$D,MATCH(55985,Camille!$A:$A,0)), 0), 0)</f>
        <v>2</v>
      </c>
      <c r="H24" s="1">
        <f t="array" ref="H24">IF(ISNUMBER(MATCH(55985,Telmo!$A:$A,0)), IF(OR(INDEX(Telmo!$D:$D,MATCH(55985,Telmo!$A:$A,0))=1, INDEX(Telmo!$D:$D,MATCH(55985,Telmo!$A:$A,0))=2), INDEX(Telmo!$D:$D,MATCH(55985,Telmo!$A:$A,0)), 0), 0)</f>
        <v>0</v>
      </c>
      <c r="I24" s="1">
        <f t="array" ref="I24">IF(ISNUMBER(MATCH(55985,Max!$A:$A,0)), IF(OR(INDEX(Max!$D:$D,MATCH(55985,Max!$A:$A,0))=1, INDEX(Max!$D:$D,MATCH(55985,Max!$A:$A,0))=2), INDEX(Max!$D:$D,MATCH(55985,Max!$A:$A,0)), 0), 0)</f>
        <v>0</v>
      </c>
    </row>
    <row r="25" spans="1:9" ht="15.75" customHeight="1" x14ac:dyDescent="0.2">
      <c r="A25" s="1">
        <v>3073</v>
      </c>
      <c r="B25" s="1" t="s">
        <v>70</v>
      </c>
      <c r="C25" s="1" t="s">
        <v>71</v>
      </c>
      <c r="D25" s="1" t="str">
        <f t="shared" si="0"/>
        <v>2</v>
      </c>
      <c r="E25" s="1" t="s">
        <v>72</v>
      </c>
      <c r="G25" s="1">
        <f t="array" ref="G25">IF(ISNUMBER(MATCH(3073,Camille!$A:$A,0)), IF(OR(INDEX(Camille!$D:$D,MATCH(3073,Camille!$A:$A,0))=1, INDEX(Camille!$D:$D,MATCH(3073,Camille!$A:$A,0))=2), INDEX(Camille!$D:$D,MATCH(3073,Camille!$A:$A,0)), 0), 0)</f>
        <v>2</v>
      </c>
      <c r="H25" s="1">
        <f t="array" ref="H25">IF(ISNUMBER(MATCH(3073,Telmo!$A:$A,0)), IF(OR(INDEX(Telmo!$D:$D,MATCH(3073,Telmo!$A:$A,0))=1, INDEX(Telmo!$D:$D,MATCH(3073,Telmo!$A:$A,0))=2), INDEX(Telmo!$D:$D,MATCH(3073,Telmo!$A:$A,0)), 0), 0)</f>
        <v>0</v>
      </c>
      <c r="I25" s="1">
        <f t="array" ref="I25">IF(ISNUMBER(MATCH(3073,Max!$A:$A,0)), IF(OR(INDEX(Max!$D:$D,MATCH(3073,Max!$A:$A,0))=1, INDEX(Max!$D:$D,MATCH(3073,Max!$A:$A,0))=2), INDEX(Max!$D:$D,MATCH(3073,Max!$A:$A,0)), 0), 0)</f>
        <v>0</v>
      </c>
    </row>
    <row r="26" spans="1:9" ht="15.75" customHeight="1" x14ac:dyDescent="0.2">
      <c r="A26" s="1">
        <v>39927</v>
      </c>
      <c r="B26" s="1" t="s">
        <v>38</v>
      </c>
      <c r="C26" s="1" t="s">
        <v>73</v>
      </c>
      <c r="D26" s="1" t="str">
        <f t="shared" si="0"/>
        <v>2</v>
      </c>
      <c r="E26" s="1" t="s">
        <v>74</v>
      </c>
      <c r="G26" s="1">
        <f t="array" ref="G26">IF(ISNUMBER(MATCH(39927,Camille!$A:$A,0)), IF(OR(INDEX(Camille!$D:$D,MATCH(39927,Camille!$A:$A,0))=1, INDEX(Camille!$D:$D,MATCH(39927,Camille!$A:$A,0))=2), INDEX(Camille!$D:$D,MATCH(39927,Camille!$A:$A,0)), 0), 0)</f>
        <v>2</v>
      </c>
      <c r="H26" s="1">
        <f t="array" ref="H26">IF(ISNUMBER(MATCH(39927,Telmo!$A:$A,0)), IF(OR(INDEX(Telmo!$D:$D,MATCH(39927,Telmo!$A:$A,0))=1, INDEX(Telmo!$D:$D,MATCH(39927,Telmo!$A:$A,0))=2), INDEX(Telmo!$D:$D,MATCH(39927,Telmo!$A:$A,0)), 0), 0)</f>
        <v>0</v>
      </c>
      <c r="I26" s="1">
        <f t="array" ref="I26">IF(ISNUMBER(MATCH(39927,Max!$A:$A,0)), IF(OR(INDEX(Max!$D:$D,MATCH(39927,Max!$A:$A,0))=1, INDEX(Max!$D:$D,MATCH(39927,Max!$A:$A,0))=2), INDEX(Max!$D:$D,MATCH(39927,Max!$A:$A,0)), 0), 0)</f>
        <v>0</v>
      </c>
    </row>
    <row r="27" spans="1:9" ht="15.75" customHeight="1" x14ac:dyDescent="0.2">
      <c r="A27" s="1">
        <v>58087</v>
      </c>
      <c r="B27" s="1" t="s">
        <v>75</v>
      </c>
      <c r="C27" s="1" t="s">
        <v>76</v>
      </c>
      <c r="D27" s="1" t="str">
        <f t="shared" si="0"/>
        <v>2</v>
      </c>
      <c r="E27" s="1" t="s">
        <v>77</v>
      </c>
      <c r="G27" s="1">
        <f t="array" ref="G27">IF(ISNUMBER(MATCH(58087,Camille!$A:$A,0)), IF(OR(INDEX(Camille!$D:$D,MATCH(58087,Camille!$A:$A,0))=1, INDEX(Camille!$D:$D,MATCH(58087,Camille!$A:$A,0))=2), INDEX(Camille!$D:$D,MATCH(58087,Camille!$A:$A,0)), 0), 0)</f>
        <v>2</v>
      </c>
      <c r="H27" s="1">
        <f t="array" ref="H27">IF(ISNUMBER(MATCH(58087,Telmo!$A:$A,0)), IF(OR(INDEX(Telmo!$D:$D,MATCH(58087,Telmo!$A:$A,0))=1, INDEX(Telmo!$D:$D,MATCH(58087,Telmo!$A:$A,0))=2), INDEX(Telmo!$D:$D,MATCH(58087,Telmo!$A:$A,0)), 0), 0)</f>
        <v>0</v>
      </c>
      <c r="I27" s="1">
        <f t="array" ref="I27">IF(ISNUMBER(MATCH(58087,Max!$A:$A,0)), IF(OR(INDEX(Max!$D:$D,MATCH(58087,Max!$A:$A,0))=1, INDEX(Max!$D:$D,MATCH(58087,Max!$A:$A,0))=2), INDEX(Max!$D:$D,MATCH(58087,Max!$A:$A,0)), 0), 0)</f>
        <v>0</v>
      </c>
    </row>
    <row r="28" spans="1:9" ht="15.75" customHeight="1" x14ac:dyDescent="0.2">
      <c r="A28" s="1">
        <v>57775</v>
      </c>
      <c r="B28" s="1" t="s">
        <v>78</v>
      </c>
      <c r="C28" s="1" t="s">
        <v>79</v>
      </c>
      <c r="D28" s="1" t="str">
        <f t="shared" si="0"/>
        <v>2</v>
      </c>
      <c r="E28" s="1" t="s">
        <v>80</v>
      </c>
      <c r="G28" s="1">
        <f t="array" ref="G28">IF(ISNUMBER(MATCH(57775,Camille!$A:$A,0)), IF(OR(INDEX(Camille!$D:$D,MATCH(57775,Camille!$A:$A,0))=1, INDEX(Camille!$D:$D,MATCH(57775,Camille!$A:$A,0))=2), INDEX(Camille!$D:$D,MATCH(57775,Camille!$A:$A,0)), 0), 0)</f>
        <v>2</v>
      </c>
      <c r="H28" s="1">
        <f t="array" ref="H28">IF(ISNUMBER(MATCH(57775,Telmo!$A:$A,0)), IF(OR(INDEX(Telmo!$D:$D,MATCH(57775,Telmo!$A:$A,0))=1, INDEX(Telmo!$D:$D,MATCH(57775,Telmo!$A:$A,0))=2), INDEX(Telmo!$D:$D,MATCH(57775,Telmo!$A:$A,0)), 0), 0)</f>
        <v>0</v>
      </c>
      <c r="I28" s="1">
        <f t="array" ref="I28">IF(ISNUMBER(MATCH(57775,Max!$A:$A,0)), IF(OR(INDEX(Max!$D:$D,MATCH(57775,Max!$A:$A,0))=1, INDEX(Max!$D:$D,MATCH(57775,Max!$A:$A,0))=2), INDEX(Max!$D:$D,MATCH(57775,Max!$A:$A,0)), 0), 0)</f>
        <v>0</v>
      </c>
    </row>
    <row r="29" spans="1:9" ht="15.75" customHeight="1" x14ac:dyDescent="0.2">
      <c r="A29" s="1">
        <v>59763</v>
      </c>
      <c r="B29" s="1" t="s">
        <v>81</v>
      </c>
      <c r="C29" s="1" t="s">
        <v>82</v>
      </c>
      <c r="D29" s="1" t="str">
        <f t="shared" si="0"/>
        <v>2</v>
      </c>
      <c r="E29" s="1" t="s">
        <v>83</v>
      </c>
      <c r="G29" s="1">
        <f t="array" ref="G29">IF(ISNUMBER(MATCH(59763,Camille!$A:$A,0)), IF(OR(INDEX(Camille!$D:$D,MATCH(59763,Camille!$A:$A,0))=1, INDEX(Camille!$D:$D,MATCH(59763,Camille!$A:$A,0))=2), INDEX(Camille!$D:$D,MATCH(59763,Camille!$A:$A,0)), 0), 0)</f>
        <v>2</v>
      </c>
      <c r="H29" s="1">
        <f t="array" ref="H29">IF(ISNUMBER(MATCH(59763,Telmo!$A:$A,0)), IF(OR(INDEX(Telmo!$D:$D,MATCH(59763,Telmo!$A:$A,0))=1, INDEX(Telmo!$D:$D,MATCH(59763,Telmo!$A:$A,0))=2), INDEX(Telmo!$D:$D,MATCH(59763,Telmo!$A:$A,0)), 0), 0)</f>
        <v>0</v>
      </c>
      <c r="I29" s="1">
        <f t="array" ref="I29">IF(ISNUMBER(MATCH(59763,Max!$A:$A,0)), IF(OR(INDEX(Max!$D:$D,MATCH(59763,Max!$A:$A,0))=1, INDEX(Max!$D:$D,MATCH(59763,Max!$A:$A,0))=2), INDEX(Max!$D:$D,MATCH(59763,Max!$A:$A,0)), 0), 0)</f>
        <v>0</v>
      </c>
    </row>
    <row r="30" spans="1:9" ht="15.75" customHeight="1" x14ac:dyDescent="0.2">
      <c r="A30" s="1">
        <v>21615</v>
      </c>
      <c r="B30" s="1" t="s">
        <v>84</v>
      </c>
      <c r="C30" s="1" t="s">
        <v>85</v>
      </c>
      <c r="D30" s="1" t="str">
        <f t="shared" si="0"/>
        <v>1</v>
      </c>
      <c r="E30" s="1" t="s">
        <v>86</v>
      </c>
      <c r="G30" s="1">
        <f t="array" ref="G30">IF(ISNUMBER(MATCH(21615,Camille!$A:$A,0)), IF(OR(INDEX(Camille!$D:$D,MATCH(21615,Camille!$A:$A,0))=1, INDEX(Camille!$D:$D,MATCH(21615,Camille!$A:$A,0))=2), INDEX(Camille!$D:$D,MATCH(21615,Camille!$A:$A,0)), 0), 0)</f>
        <v>1</v>
      </c>
      <c r="H30" s="1">
        <f t="array" ref="H30">IF(ISNUMBER(MATCH(21615,Telmo!$A:$A,0)), IF(OR(INDEX(Telmo!$D:$D,MATCH(21615,Telmo!$A:$A,0))=1, INDEX(Telmo!$D:$D,MATCH(21615,Telmo!$A:$A,0))=2), INDEX(Telmo!$D:$D,MATCH(21615,Telmo!$A:$A,0)), 0), 0)</f>
        <v>0</v>
      </c>
      <c r="I30" s="1">
        <f t="array" ref="I30">IF(ISNUMBER(MATCH(21615,Max!$A:$A,0)), IF(OR(INDEX(Max!$D:$D,MATCH(21615,Max!$A:$A,0))=1, INDEX(Max!$D:$D,MATCH(21615,Max!$A:$A,0))=2), INDEX(Max!$D:$D,MATCH(21615,Max!$A:$A,0)), 0), 0)</f>
        <v>0</v>
      </c>
    </row>
    <row r="31" spans="1:9" ht="15.75" customHeight="1" x14ac:dyDescent="0.2">
      <c r="A31" s="1">
        <v>25371</v>
      </c>
      <c r="B31" s="1" t="s">
        <v>87</v>
      </c>
      <c r="C31" s="1" t="s">
        <v>88</v>
      </c>
      <c r="D31" s="1" t="str">
        <f t="shared" si="0"/>
        <v>2</v>
      </c>
      <c r="E31" s="1" t="s">
        <v>89</v>
      </c>
      <c r="G31" s="1">
        <f t="array" ref="G31">IF(ISNUMBER(MATCH(25371,Camille!$A:$A,0)), IF(OR(INDEX(Camille!$D:$D,MATCH(25371,Camille!$A:$A,0))=1, INDEX(Camille!$D:$D,MATCH(25371,Camille!$A:$A,0))=2), INDEX(Camille!$D:$D,MATCH(25371,Camille!$A:$A,0)), 0), 0)</f>
        <v>2</v>
      </c>
      <c r="H31" s="1">
        <f t="array" ref="H31">IF(ISNUMBER(MATCH(25371,Telmo!$A:$A,0)), IF(OR(INDEX(Telmo!$D:$D,MATCH(25371,Telmo!$A:$A,0))=1, INDEX(Telmo!$D:$D,MATCH(25371,Telmo!$A:$A,0))=2), INDEX(Telmo!$D:$D,MATCH(25371,Telmo!$A:$A,0)), 0), 0)</f>
        <v>0</v>
      </c>
      <c r="I31" s="1">
        <f t="array" ref="I31">IF(ISNUMBER(MATCH(25371,Max!$A:$A,0)), IF(OR(INDEX(Max!$D:$D,MATCH(25371,Max!$A:$A,0))=1, INDEX(Max!$D:$D,MATCH(25371,Max!$A:$A,0))=2), INDEX(Max!$D:$D,MATCH(25371,Max!$A:$A,0)), 0), 0)</f>
        <v>0</v>
      </c>
    </row>
    <row r="32" spans="1:9" ht="15.75" customHeight="1" x14ac:dyDescent="0.2">
      <c r="A32" s="1">
        <v>15836</v>
      </c>
      <c r="B32" s="1" t="s">
        <v>90</v>
      </c>
      <c r="C32" s="1" t="s">
        <v>91</v>
      </c>
      <c r="D32" s="1" t="str">
        <f t="shared" si="0"/>
        <v>2</v>
      </c>
      <c r="E32" s="1" t="s">
        <v>92</v>
      </c>
      <c r="G32" s="1">
        <f t="array" ref="G32">IF(ISNUMBER(MATCH(15836,Camille!$A:$A,0)), IF(OR(INDEX(Camille!$D:$D,MATCH(15836,Camille!$A:$A,0))=1, INDEX(Camille!$D:$D,MATCH(15836,Camille!$A:$A,0))=2), INDEX(Camille!$D:$D,MATCH(15836,Camille!$A:$A,0)), 0), 0)</f>
        <v>2</v>
      </c>
      <c r="H32" s="1">
        <f t="array" ref="H32">IF(ISNUMBER(MATCH(15836,Telmo!$A:$A,0)), IF(OR(INDEX(Telmo!$D:$D,MATCH(15836,Telmo!$A:$A,0))=1, INDEX(Telmo!$D:$D,MATCH(15836,Telmo!$A:$A,0))=2), INDEX(Telmo!$D:$D,MATCH(15836,Telmo!$A:$A,0)), 0), 0)</f>
        <v>0</v>
      </c>
      <c r="I32" s="1">
        <f t="array" ref="I32">IF(ISNUMBER(MATCH(15836,Max!$A:$A,0)), IF(OR(INDEX(Max!$D:$D,MATCH(15836,Max!$A:$A,0))=1, INDEX(Max!$D:$D,MATCH(15836,Max!$A:$A,0))=2), INDEX(Max!$D:$D,MATCH(15836,Max!$A:$A,0)), 0), 0)</f>
        <v>0</v>
      </c>
    </row>
    <row r="33" spans="1:9" ht="15.75" customHeight="1" x14ac:dyDescent="0.2">
      <c r="A33" s="1">
        <v>29302</v>
      </c>
      <c r="B33" s="1" t="s">
        <v>41</v>
      </c>
      <c r="C33" s="1" t="s">
        <v>93</v>
      </c>
      <c r="D33" s="1" t="str">
        <f t="shared" si="0"/>
        <v>2</v>
      </c>
      <c r="E33" s="1" t="s">
        <v>94</v>
      </c>
      <c r="G33" s="1">
        <f t="array" ref="G33">IF(ISNUMBER(MATCH(29302,Camille!$A:$A,0)), IF(OR(INDEX(Camille!$D:$D,MATCH(29302,Camille!$A:$A,0))=1, INDEX(Camille!$D:$D,MATCH(29302,Camille!$A:$A,0))=2), INDEX(Camille!$D:$D,MATCH(29302,Camille!$A:$A,0)), 0), 0)</f>
        <v>2</v>
      </c>
      <c r="H33" s="1">
        <f t="array" ref="H33">IF(ISNUMBER(MATCH(29302,Telmo!$A:$A,0)), IF(OR(INDEX(Telmo!$D:$D,MATCH(29302,Telmo!$A:$A,0))=1, INDEX(Telmo!$D:$D,MATCH(29302,Telmo!$A:$A,0))=2), INDEX(Telmo!$D:$D,MATCH(29302,Telmo!$A:$A,0)), 0), 0)</f>
        <v>0</v>
      </c>
      <c r="I33" s="1">
        <f t="array" ref="I33">IF(ISNUMBER(MATCH(29302,Max!$A:$A,0)), IF(OR(INDEX(Max!$D:$D,MATCH(29302,Max!$A:$A,0))=1, INDEX(Max!$D:$D,MATCH(29302,Max!$A:$A,0))=2), INDEX(Max!$D:$D,MATCH(29302,Max!$A:$A,0)), 0), 0)</f>
        <v>0</v>
      </c>
    </row>
    <row r="34" spans="1:9" ht="15.75" customHeight="1" x14ac:dyDescent="0.2">
      <c r="A34" s="1">
        <v>53284</v>
      </c>
      <c r="B34" s="1" t="s">
        <v>95</v>
      </c>
      <c r="C34" s="1" t="s">
        <v>96</v>
      </c>
      <c r="D34" s="1" t="str">
        <f t="shared" si="0"/>
        <v>2</v>
      </c>
      <c r="E34" s="1" t="s">
        <v>97</v>
      </c>
      <c r="G34" s="1">
        <f t="array" ref="G34">IF(ISNUMBER(MATCH(53284,Camille!$A:$A,0)), IF(OR(INDEX(Camille!$D:$D,MATCH(53284,Camille!$A:$A,0))=1, INDEX(Camille!$D:$D,MATCH(53284,Camille!$A:$A,0))=2), INDEX(Camille!$D:$D,MATCH(53284,Camille!$A:$A,0)), 0), 0)</f>
        <v>2</v>
      </c>
      <c r="H34" s="1">
        <f t="array" ref="H34">IF(ISNUMBER(MATCH(53284,Telmo!$A:$A,0)), IF(OR(INDEX(Telmo!$D:$D,MATCH(53284,Telmo!$A:$A,0))=1, INDEX(Telmo!$D:$D,MATCH(53284,Telmo!$A:$A,0))=2), INDEX(Telmo!$D:$D,MATCH(53284,Telmo!$A:$A,0)), 0), 0)</f>
        <v>0</v>
      </c>
      <c r="I34" s="1">
        <f t="array" ref="I34">IF(ISNUMBER(MATCH(53284,Max!$A:$A,0)), IF(OR(INDEX(Max!$D:$D,MATCH(53284,Max!$A:$A,0))=1, INDEX(Max!$D:$D,MATCH(53284,Max!$A:$A,0))=2), INDEX(Max!$D:$D,MATCH(53284,Max!$A:$A,0)), 0), 0)</f>
        <v>0</v>
      </c>
    </row>
    <row r="35" spans="1:9" ht="15.75" customHeight="1" x14ac:dyDescent="0.2">
      <c r="A35" s="1">
        <v>58177</v>
      </c>
      <c r="B35" s="1" t="s">
        <v>32</v>
      </c>
      <c r="C35" s="1" t="s">
        <v>98</v>
      </c>
      <c r="D35" s="1" t="str">
        <f t="shared" si="0"/>
        <v>2</v>
      </c>
      <c r="E35" s="1" t="s">
        <v>99</v>
      </c>
      <c r="G35" s="1">
        <f t="array" ref="G35">IF(ISNUMBER(MATCH(58177,Camille!$A:$A,0)), IF(OR(INDEX(Camille!$D:$D,MATCH(58177,Camille!$A:$A,0))=1, INDEX(Camille!$D:$D,MATCH(58177,Camille!$A:$A,0))=2), INDEX(Camille!$D:$D,MATCH(58177,Camille!$A:$A,0)), 0), 0)</f>
        <v>2</v>
      </c>
      <c r="H35" s="1">
        <f t="array" ref="H35">IF(ISNUMBER(MATCH(58177,Telmo!$A:$A,0)), IF(OR(INDEX(Telmo!$D:$D,MATCH(58177,Telmo!$A:$A,0))=1, INDEX(Telmo!$D:$D,MATCH(58177,Telmo!$A:$A,0))=2), INDEX(Telmo!$D:$D,MATCH(58177,Telmo!$A:$A,0)), 0), 0)</f>
        <v>0</v>
      </c>
      <c r="I35" s="1">
        <f t="array" ref="I35">IF(ISNUMBER(MATCH(58177,Max!$A:$A,0)), IF(OR(INDEX(Max!$D:$D,MATCH(58177,Max!$A:$A,0))=1, INDEX(Max!$D:$D,MATCH(58177,Max!$A:$A,0))=2), INDEX(Max!$D:$D,MATCH(58177,Max!$A:$A,0)), 0), 0)</f>
        <v>0</v>
      </c>
    </row>
    <row r="36" spans="1:9" ht="15.75" customHeight="1" x14ac:dyDescent="0.2">
      <c r="A36" s="1">
        <v>66237</v>
      </c>
      <c r="B36" s="1" t="s">
        <v>100</v>
      </c>
      <c r="C36" s="1" t="s">
        <v>101</v>
      </c>
      <c r="D36" s="1" t="str">
        <f t="shared" si="0"/>
        <v>2</v>
      </c>
      <c r="E36" s="1" t="s">
        <v>102</v>
      </c>
      <c r="G36" s="1">
        <f t="array" ref="G36">IF(ISNUMBER(MATCH(66237,Camille!$A:$A,0)), IF(OR(INDEX(Camille!$D:$D,MATCH(66237,Camille!$A:$A,0))=1, INDEX(Camille!$D:$D,MATCH(66237,Camille!$A:$A,0))=2), INDEX(Camille!$D:$D,MATCH(66237,Camille!$A:$A,0)), 0), 0)</f>
        <v>2</v>
      </c>
      <c r="H36" s="1">
        <f t="array" ref="H36">IF(ISNUMBER(MATCH(66237,Telmo!$A:$A,0)), IF(OR(INDEX(Telmo!$D:$D,MATCH(66237,Telmo!$A:$A,0))=1, INDEX(Telmo!$D:$D,MATCH(66237,Telmo!$A:$A,0))=2), INDEX(Telmo!$D:$D,MATCH(66237,Telmo!$A:$A,0)), 0), 0)</f>
        <v>0</v>
      </c>
      <c r="I36" s="1">
        <f t="array" ref="I36">IF(ISNUMBER(MATCH(66237,Max!$A:$A,0)), IF(OR(INDEX(Max!$D:$D,MATCH(66237,Max!$A:$A,0))=1, INDEX(Max!$D:$D,MATCH(66237,Max!$A:$A,0))=2), INDEX(Max!$D:$D,MATCH(66237,Max!$A:$A,0)), 0), 0)</f>
        <v>0</v>
      </c>
    </row>
    <row r="37" spans="1:9" ht="15.75" customHeight="1" x14ac:dyDescent="0.2">
      <c r="A37" s="1">
        <v>10903</v>
      </c>
      <c r="B37" s="1" t="s">
        <v>103</v>
      </c>
      <c r="C37" s="1" t="s">
        <v>104</v>
      </c>
      <c r="D37" s="1" t="str">
        <f t="shared" si="0"/>
        <v>1</v>
      </c>
      <c r="E37" s="1" t="s">
        <v>105</v>
      </c>
      <c r="G37" s="1">
        <f t="array" ref="G37">IF(ISNUMBER(MATCH(10903,Camille!$A:$A,0)), IF(OR(INDEX(Camille!$D:$D,MATCH(10903,Camille!$A:$A,0))=1, INDEX(Camille!$D:$D,MATCH(10903,Camille!$A:$A,0))=2), INDEX(Camille!$D:$D,MATCH(10903,Camille!$A:$A,0)), 0), 0)</f>
        <v>1</v>
      </c>
      <c r="H37" s="1">
        <f t="array" ref="H37">IF(ISNUMBER(MATCH(10903,Telmo!$A:$A,0)), IF(OR(INDEX(Telmo!$D:$D,MATCH(10903,Telmo!$A:$A,0))=1, INDEX(Telmo!$D:$D,MATCH(10903,Telmo!$A:$A,0))=2), INDEX(Telmo!$D:$D,MATCH(10903,Telmo!$A:$A,0)), 0), 0)</f>
        <v>0</v>
      </c>
      <c r="I37" s="1">
        <f t="array" ref="I37">IF(ISNUMBER(MATCH(10903,Max!$A:$A,0)), IF(OR(INDEX(Max!$D:$D,MATCH(10903,Max!$A:$A,0))=1, INDEX(Max!$D:$D,MATCH(10903,Max!$A:$A,0))=2), INDEX(Max!$D:$D,MATCH(10903,Max!$A:$A,0)), 0), 0)</f>
        <v>0</v>
      </c>
    </row>
    <row r="38" spans="1:9" ht="15.75" customHeight="1" x14ac:dyDescent="0.2">
      <c r="A38" s="1">
        <v>4135</v>
      </c>
      <c r="B38" s="1" t="s">
        <v>106</v>
      </c>
      <c r="C38" s="1" t="s">
        <v>107</v>
      </c>
      <c r="D38" s="1" t="str">
        <f t="shared" si="0"/>
        <v>2</v>
      </c>
      <c r="E38" s="1" t="s">
        <v>108</v>
      </c>
      <c r="G38" s="1">
        <f t="array" ref="G38">IF(ISNUMBER(MATCH(4135,Camille!$A:$A,0)), IF(OR(INDEX(Camille!$D:$D,MATCH(4135,Camille!$A:$A,0))=1, INDEX(Camille!$D:$D,MATCH(4135,Camille!$A:$A,0))=2), INDEX(Camille!$D:$D,MATCH(4135,Camille!$A:$A,0)), 0), 0)</f>
        <v>2</v>
      </c>
      <c r="H38" s="1">
        <f t="array" ref="H38">IF(ISNUMBER(MATCH(4135,Telmo!$A:$A,0)), IF(OR(INDEX(Telmo!$D:$D,MATCH(4135,Telmo!$A:$A,0))=1, INDEX(Telmo!$D:$D,MATCH(4135,Telmo!$A:$A,0))=2), INDEX(Telmo!$D:$D,MATCH(4135,Telmo!$A:$A,0)), 0), 0)</f>
        <v>0</v>
      </c>
      <c r="I38" s="1">
        <f t="array" ref="I38">IF(ISNUMBER(MATCH(4135,Max!$A:$A,0)), IF(OR(INDEX(Max!$D:$D,MATCH(4135,Max!$A:$A,0))=1, INDEX(Max!$D:$D,MATCH(4135,Max!$A:$A,0))=2), INDEX(Max!$D:$D,MATCH(4135,Max!$A:$A,0)), 0), 0)</f>
        <v>0</v>
      </c>
    </row>
    <row r="39" spans="1:9" ht="15.75" customHeight="1" x14ac:dyDescent="0.2">
      <c r="A39" s="1">
        <v>17062</v>
      </c>
      <c r="B39" s="1" t="s">
        <v>109</v>
      </c>
      <c r="C39" s="1" t="s">
        <v>110</v>
      </c>
      <c r="D39" s="1" t="str">
        <f t="shared" si="0"/>
        <v>2</v>
      </c>
      <c r="E39" s="1" t="s">
        <v>111</v>
      </c>
      <c r="G39" s="1">
        <f t="array" ref="G39">IF(ISNUMBER(MATCH(17062,Camille!$A:$A,0)), IF(OR(INDEX(Camille!$D:$D,MATCH(17062,Camille!$A:$A,0))=1, INDEX(Camille!$D:$D,MATCH(17062,Camille!$A:$A,0))=2), INDEX(Camille!$D:$D,MATCH(17062,Camille!$A:$A,0)), 0), 0)</f>
        <v>2</v>
      </c>
      <c r="H39" s="1">
        <f t="array" ref="H39">IF(ISNUMBER(MATCH(17062,Telmo!$A:$A,0)), IF(OR(INDEX(Telmo!$D:$D,MATCH(17062,Telmo!$A:$A,0))=1, INDEX(Telmo!$D:$D,MATCH(17062,Telmo!$A:$A,0))=2), INDEX(Telmo!$D:$D,MATCH(17062,Telmo!$A:$A,0)), 0), 0)</f>
        <v>0</v>
      </c>
      <c r="I39" s="1">
        <f t="array" ref="I39">IF(ISNUMBER(MATCH(17062,Max!$A:$A,0)), IF(OR(INDEX(Max!$D:$D,MATCH(17062,Max!$A:$A,0))=1, INDEX(Max!$D:$D,MATCH(17062,Max!$A:$A,0))=2), INDEX(Max!$D:$D,MATCH(17062,Max!$A:$A,0)), 0), 0)</f>
        <v>0</v>
      </c>
    </row>
    <row r="40" spans="1:9" ht="15.75" customHeight="1" x14ac:dyDescent="0.2">
      <c r="A40" s="1">
        <v>47230</v>
      </c>
      <c r="B40" s="1" t="s">
        <v>109</v>
      </c>
      <c r="C40" s="1" t="s">
        <v>112</v>
      </c>
      <c r="D40" s="1" t="str">
        <f t="shared" si="0"/>
        <v>1</v>
      </c>
      <c r="E40" s="1" t="s">
        <v>113</v>
      </c>
      <c r="G40" s="1">
        <f t="array" ref="G40">IF(ISNUMBER(MATCH(47230,Camille!$A:$A,0)), IF(OR(INDEX(Camille!$D:$D,MATCH(47230,Camille!$A:$A,0))=1, INDEX(Camille!$D:$D,MATCH(47230,Camille!$A:$A,0))=2), INDEX(Camille!$D:$D,MATCH(47230,Camille!$A:$A,0)), 0), 0)</f>
        <v>1</v>
      </c>
      <c r="H40" s="1">
        <f t="array" ref="H40">IF(ISNUMBER(MATCH(47230,Telmo!$A:$A,0)), IF(OR(INDEX(Telmo!$D:$D,MATCH(47230,Telmo!$A:$A,0))=1, INDEX(Telmo!$D:$D,MATCH(47230,Telmo!$A:$A,0))=2), INDEX(Telmo!$D:$D,MATCH(47230,Telmo!$A:$A,0)), 0), 0)</f>
        <v>0</v>
      </c>
      <c r="I40" s="1">
        <f t="array" ref="I40">IF(ISNUMBER(MATCH(47230,Max!$A:$A,0)), IF(OR(INDEX(Max!$D:$D,MATCH(47230,Max!$A:$A,0))=1, INDEX(Max!$D:$D,MATCH(47230,Max!$A:$A,0))=2), INDEX(Max!$D:$D,MATCH(47230,Max!$A:$A,0)), 0), 0)</f>
        <v>0</v>
      </c>
    </row>
    <row r="41" spans="1:9" ht="15.75" customHeight="1" x14ac:dyDescent="0.2">
      <c r="A41" s="1">
        <v>52344</v>
      </c>
      <c r="B41" s="1" t="s">
        <v>32</v>
      </c>
      <c r="C41" s="1" t="s">
        <v>114</v>
      </c>
      <c r="D41" s="1" t="str">
        <f t="shared" si="0"/>
        <v>1</v>
      </c>
      <c r="E41" s="1" t="s">
        <v>115</v>
      </c>
      <c r="G41" s="1">
        <f t="array" ref="G41">IF(ISNUMBER(MATCH(52344,Camille!$A:$A,0)), IF(OR(INDEX(Camille!$D:$D,MATCH(52344,Camille!$A:$A,0))=1, INDEX(Camille!$D:$D,MATCH(52344,Camille!$A:$A,0))=2), INDEX(Camille!$D:$D,MATCH(52344,Camille!$A:$A,0)), 0), 0)</f>
        <v>1</v>
      </c>
      <c r="H41" s="1">
        <f t="array" ref="H41">IF(ISNUMBER(MATCH(52344,Telmo!$A:$A,0)), IF(OR(INDEX(Telmo!$D:$D,MATCH(52344,Telmo!$A:$A,0))=1, INDEX(Telmo!$D:$D,MATCH(52344,Telmo!$A:$A,0))=2), INDEX(Telmo!$D:$D,MATCH(52344,Telmo!$A:$A,0)), 0), 0)</f>
        <v>0</v>
      </c>
      <c r="I41" s="1">
        <f t="array" ref="I41">IF(ISNUMBER(MATCH(52344,Max!$A:$A,0)), IF(OR(INDEX(Max!$D:$D,MATCH(52344,Max!$A:$A,0))=1, INDEX(Max!$D:$D,MATCH(52344,Max!$A:$A,0))=2), INDEX(Max!$D:$D,MATCH(52344,Max!$A:$A,0)), 0), 0)</f>
        <v>0</v>
      </c>
    </row>
    <row r="42" spans="1:9" ht="15.75" customHeight="1" x14ac:dyDescent="0.2">
      <c r="A42" s="1">
        <v>18935</v>
      </c>
      <c r="B42" s="1" t="s">
        <v>32</v>
      </c>
      <c r="C42" s="1" t="s">
        <v>116</v>
      </c>
      <c r="D42" s="1" t="str">
        <f t="shared" si="0"/>
        <v>2</v>
      </c>
      <c r="E42" s="1" t="s">
        <v>117</v>
      </c>
      <c r="G42" s="1">
        <f t="array" ref="G42">IF(ISNUMBER(MATCH(18935,Camille!$A:$A,0)), IF(OR(INDEX(Camille!$D:$D,MATCH(18935,Camille!$A:$A,0))=1, INDEX(Camille!$D:$D,MATCH(18935,Camille!$A:$A,0))=2), INDEX(Camille!$D:$D,MATCH(18935,Camille!$A:$A,0)), 0), 0)</f>
        <v>2</v>
      </c>
      <c r="H42" s="1">
        <f t="array" ref="H42">IF(ISNUMBER(MATCH(18935,Telmo!$A:$A,0)), IF(OR(INDEX(Telmo!$D:$D,MATCH(18935,Telmo!$A:$A,0))=1, INDEX(Telmo!$D:$D,MATCH(18935,Telmo!$A:$A,0))=2), INDEX(Telmo!$D:$D,MATCH(18935,Telmo!$A:$A,0)), 0), 0)</f>
        <v>0</v>
      </c>
      <c r="I42" s="1">
        <f t="array" ref="I42">IF(ISNUMBER(MATCH(18935,Max!$A:$A,0)), IF(OR(INDEX(Max!$D:$D,MATCH(18935,Max!$A:$A,0))=1, INDEX(Max!$D:$D,MATCH(18935,Max!$A:$A,0))=2), INDEX(Max!$D:$D,MATCH(18935,Max!$A:$A,0)), 0), 0)</f>
        <v>0</v>
      </c>
    </row>
    <row r="43" spans="1:9" ht="15.75" customHeight="1" x14ac:dyDescent="0.2">
      <c r="A43" s="1">
        <v>55680</v>
      </c>
      <c r="B43" s="1" t="s">
        <v>75</v>
      </c>
      <c r="C43" s="1" t="s">
        <v>118</v>
      </c>
      <c r="D43" s="1" t="str">
        <f t="shared" si="0"/>
        <v>2</v>
      </c>
      <c r="E43" s="1" t="s">
        <v>119</v>
      </c>
      <c r="G43" s="1">
        <f t="array" ref="G43">IF(ISNUMBER(MATCH(55680,Camille!$A:$A,0)), IF(OR(INDEX(Camille!$D:$D,MATCH(55680,Camille!$A:$A,0))=1, INDEX(Camille!$D:$D,MATCH(55680,Camille!$A:$A,0))=2), INDEX(Camille!$D:$D,MATCH(55680,Camille!$A:$A,0)), 0), 0)</f>
        <v>2</v>
      </c>
      <c r="H43" s="1">
        <f t="array" ref="H43">IF(ISNUMBER(MATCH(55680,Telmo!$A:$A,0)), IF(OR(INDEX(Telmo!$D:$D,MATCH(55680,Telmo!$A:$A,0))=1, INDEX(Telmo!$D:$D,MATCH(55680,Telmo!$A:$A,0))=2), INDEX(Telmo!$D:$D,MATCH(55680,Telmo!$A:$A,0)), 0), 0)</f>
        <v>0</v>
      </c>
      <c r="I43" s="1">
        <f t="array" ref="I43">IF(ISNUMBER(MATCH(55680,Max!$A:$A,0)), IF(OR(INDEX(Max!$D:$D,MATCH(55680,Max!$A:$A,0))=1, INDEX(Max!$D:$D,MATCH(55680,Max!$A:$A,0))=2), INDEX(Max!$D:$D,MATCH(55680,Max!$A:$A,0)), 0), 0)</f>
        <v>0</v>
      </c>
    </row>
    <row r="44" spans="1:9" ht="15.75" customHeight="1" x14ac:dyDescent="0.2">
      <c r="A44" s="1">
        <v>64789</v>
      </c>
      <c r="B44" s="1" t="s">
        <v>120</v>
      </c>
      <c r="C44" s="1" t="s">
        <v>121</v>
      </c>
      <c r="D44" s="1" t="str">
        <f t="shared" si="0"/>
        <v>2</v>
      </c>
      <c r="E44" s="1" t="s">
        <v>122</v>
      </c>
      <c r="G44" s="1">
        <f t="array" ref="G44">IF(ISNUMBER(MATCH(64789,Camille!$A:$A,0)), IF(OR(INDEX(Camille!$D:$D,MATCH(64789,Camille!$A:$A,0))=1, INDEX(Camille!$D:$D,MATCH(64789,Camille!$A:$A,0))=2), INDEX(Camille!$D:$D,MATCH(64789,Camille!$A:$A,0)), 0), 0)</f>
        <v>2</v>
      </c>
      <c r="H44" s="1">
        <f t="array" ref="H44">IF(ISNUMBER(MATCH(64789,Telmo!$A:$A,0)), IF(OR(INDEX(Telmo!$D:$D,MATCH(64789,Telmo!$A:$A,0))=1, INDEX(Telmo!$D:$D,MATCH(64789,Telmo!$A:$A,0))=2), INDEX(Telmo!$D:$D,MATCH(64789,Telmo!$A:$A,0)), 0), 0)</f>
        <v>0</v>
      </c>
      <c r="I44" s="1">
        <f t="array" ref="I44">IF(ISNUMBER(MATCH(64789,Max!$A:$A,0)), IF(OR(INDEX(Max!$D:$D,MATCH(64789,Max!$A:$A,0))=1, INDEX(Max!$D:$D,MATCH(64789,Max!$A:$A,0))=2), INDEX(Max!$D:$D,MATCH(64789,Max!$A:$A,0)), 0), 0)</f>
        <v>0</v>
      </c>
    </row>
    <row r="45" spans="1:9" ht="15.75" customHeight="1" x14ac:dyDescent="0.2">
      <c r="A45" s="1">
        <v>24730</v>
      </c>
      <c r="B45" s="1" t="s">
        <v>123</v>
      </c>
      <c r="C45" s="1" t="s">
        <v>124</v>
      </c>
      <c r="D45" s="1" t="str">
        <f t="shared" si="0"/>
        <v>1</v>
      </c>
      <c r="E45" s="1" t="s">
        <v>125</v>
      </c>
      <c r="G45" s="1">
        <f t="array" ref="G45">IF(ISNUMBER(MATCH(24730,Camille!$A:$A,0)), IF(OR(INDEX(Camille!$D:$D,MATCH(24730,Camille!$A:$A,0))=1, INDEX(Camille!$D:$D,MATCH(24730,Camille!$A:$A,0))=2), INDEX(Camille!$D:$D,MATCH(24730,Camille!$A:$A,0)), 0), 0)</f>
        <v>1</v>
      </c>
      <c r="H45" s="1">
        <f t="array" ref="H45">IF(ISNUMBER(MATCH(24730,Telmo!$A:$A,0)), IF(OR(INDEX(Telmo!$D:$D,MATCH(24730,Telmo!$A:$A,0))=1, INDEX(Telmo!$D:$D,MATCH(24730,Telmo!$A:$A,0))=2), INDEX(Telmo!$D:$D,MATCH(24730,Telmo!$A:$A,0)), 0), 0)</f>
        <v>0</v>
      </c>
      <c r="I45" s="1">
        <f t="array" ref="I45">IF(ISNUMBER(MATCH(24730,Max!$A:$A,0)), IF(OR(INDEX(Max!$D:$D,MATCH(24730,Max!$A:$A,0))=1, INDEX(Max!$D:$D,MATCH(24730,Max!$A:$A,0))=2), INDEX(Max!$D:$D,MATCH(24730,Max!$A:$A,0)), 0), 0)</f>
        <v>0</v>
      </c>
    </row>
    <row r="46" spans="1:9" ht="15.75" customHeight="1" x14ac:dyDescent="0.2">
      <c r="A46" s="1">
        <v>53940</v>
      </c>
      <c r="B46" s="1" t="s">
        <v>126</v>
      </c>
      <c r="C46" s="1" t="s">
        <v>127</v>
      </c>
      <c r="D46" s="1" t="str">
        <f t="shared" si="0"/>
        <v>2</v>
      </c>
      <c r="E46" s="1" t="s">
        <v>128</v>
      </c>
      <c r="G46" s="1">
        <f t="array" ref="G46">IF(ISNUMBER(MATCH(53940,Camille!$A:$A,0)), IF(OR(INDEX(Camille!$D:$D,MATCH(53940,Camille!$A:$A,0))=1, INDEX(Camille!$D:$D,MATCH(53940,Camille!$A:$A,0))=2), INDEX(Camille!$D:$D,MATCH(53940,Camille!$A:$A,0)), 0), 0)</f>
        <v>2</v>
      </c>
      <c r="H46" s="1">
        <f t="array" ref="H46">IF(ISNUMBER(MATCH(53940,Telmo!$A:$A,0)), IF(OR(INDEX(Telmo!$D:$D,MATCH(53940,Telmo!$A:$A,0))=1, INDEX(Telmo!$D:$D,MATCH(53940,Telmo!$A:$A,0))=2), INDEX(Telmo!$D:$D,MATCH(53940,Telmo!$A:$A,0)), 0), 0)</f>
        <v>0</v>
      </c>
      <c r="I46" s="1">
        <f t="array" ref="I46">IF(ISNUMBER(MATCH(53940,Max!$A:$A,0)), IF(OR(INDEX(Max!$D:$D,MATCH(53940,Max!$A:$A,0))=1, INDEX(Max!$D:$D,MATCH(53940,Max!$A:$A,0))=2), INDEX(Max!$D:$D,MATCH(53940,Max!$A:$A,0)), 0), 0)</f>
        <v>0</v>
      </c>
    </row>
    <row r="47" spans="1:9" ht="15.75" customHeight="1" x14ac:dyDescent="0.2">
      <c r="A47" s="1">
        <v>30743</v>
      </c>
      <c r="B47" s="1" t="s">
        <v>129</v>
      </c>
      <c r="C47" s="1" t="s">
        <v>130</v>
      </c>
      <c r="D47" s="1" t="str">
        <f t="shared" si="0"/>
        <v>2</v>
      </c>
      <c r="E47" s="1" t="s">
        <v>131</v>
      </c>
      <c r="G47" s="1">
        <f t="array" ref="G47">IF(ISNUMBER(MATCH(30743,Camille!$A:$A,0)), IF(OR(INDEX(Camille!$D:$D,MATCH(30743,Camille!$A:$A,0))=1, INDEX(Camille!$D:$D,MATCH(30743,Camille!$A:$A,0))=2), INDEX(Camille!$D:$D,MATCH(30743,Camille!$A:$A,0)), 0), 0)</f>
        <v>2</v>
      </c>
      <c r="H47" s="1">
        <f t="array" ref="H47">IF(ISNUMBER(MATCH(30743,Telmo!$A:$A,0)), IF(OR(INDEX(Telmo!$D:$D,MATCH(30743,Telmo!$A:$A,0))=1, INDEX(Telmo!$D:$D,MATCH(30743,Telmo!$A:$A,0))=2), INDEX(Telmo!$D:$D,MATCH(30743,Telmo!$A:$A,0)), 0), 0)</f>
        <v>0</v>
      </c>
      <c r="I47" s="1">
        <f t="array" ref="I47">IF(ISNUMBER(MATCH(30743,Max!$A:$A,0)), IF(OR(INDEX(Max!$D:$D,MATCH(30743,Max!$A:$A,0))=1, INDEX(Max!$D:$D,MATCH(30743,Max!$A:$A,0))=2), INDEX(Max!$D:$D,MATCH(30743,Max!$A:$A,0)), 0), 0)</f>
        <v>0</v>
      </c>
    </row>
    <row r="48" spans="1:9" ht="15.75" customHeight="1" x14ac:dyDescent="0.2">
      <c r="A48" s="1">
        <v>43650</v>
      </c>
      <c r="B48" s="1" t="s">
        <v>132</v>
      </c>
      <c r="C48" s="1" t="s">
        <v>133</v>
      </c>
      <c r="D48" s="1" t="str">
        <f t="shared" si="0"/>
        <v>1</v>
      </c>
      <c r="E48" s="1" t="s">
        <v>134</v>
      </c>
      <c r="G48" s="1">
        <f t="array" ref="G48">IF(ISNUMBER(MATCH(43650,Camille!$A:$A,0)), IF(OR(INDEX(Camille!$D:$D,MATCH(43650,Camille!$A:$A,0))=1, INDEX(Camille!$D:$D,MATCH(43650,Camille!$A:$A,0))=2), INDEX(Camille!$D:$D,MATCH(43650,Camille!$A:$A,0)), 0), 0)</f>
        <v>1</v>
      </c>
      <c r="H48" s="1">
        <f t="array" ref="H48">IF(ISNUMBER(MATCH(43650,Telmo!$A:$A,0)), IF(OR(INDEX(Telmo!$D:$D,MATCH(43650,Telmo!$A:$A,0))=1, INDEX(Telmo!$D:$D,MATCH(43650,Telmo!$A:$A,0))=2), INDEX(Telmo!$D:$D,MATCH(43650,Telmo!$A:$A,0)), 0), 0)</f>
        <v>0</v>
      </c>
      <c r="I48" s="1">
        <f t="array" ref="I48">IF(ISNUMBER(MATCH(43650,Max!$A:$A,0)), IF(OR(INDEX(Max!$D:$D,MATCH(43650,Max!$A:$A,0))=1, INDEX(Max!$D:$D,MATCH(43650,Max!$A:$A,0))=2), INDEX(Max!$D:$D,MATCH(43650,Max!$A:$A,0)), 0), 0)</f>
        <v>0</v>
      </c>
    </row>
    <row r="49" spans="1:9" ht="15.75" customHeight="1" x14ac:dyDescent="0.2">
      <c r="A49" s="1">
        <v>65505</v>
      </c>
      <c r="B49" s="1" t="s">
        <v>135</v>
      </c>
      <c r="C49" s="1" t="s">
        <v>136</v>
      </c>
      <c r="D49" s="1" t="str">
        <f t="shared" si="0"/>
        <v>2</v>
      </c>
      <c r="E49" s="1" t="s">
        <v>137</v>
      </c>
      <c r="G49" s="1">
        <f t="array" ref="G49">IF(ISNUMBER(MATCH(65505,Camille!$A:$A,0)), IF(OR(INDEX(Camille!$D:$D,MATCH(65505,Camille!$A:$A,0))=1, INDEX(Camille!$D:$D,MATCH(65505,Camille!$A:$A,0))=2), INDEX(Camille!$D:$D,MATCH(65505,Camille!$A:$A,0)), 0), 0)</f>
        <v>2</v>
      </c>
      <c r="H49" s="1">
        <f t="array" ref="H49">IF(ISNUMBER(MATCH(65505,Telmo!$A:$A,0)), IF(OR(INDEX(Telmo!$D:$D,MATCH(65505,Telmo!$A:$A,0))=1, INDEX(Telmo!$D:$D,MATCH(65505,Telmo!$A:$A,0))=2), INDEX(Telmo!$D:$D,MATCH(65505,Telmo!$A:$A,0)), 0), 0)</f>
        <v>0</v>
      </c>
      <c r="I49" s="1">
        <f t="array" ref="I49">IF(ISNUMBER(MATCH(65505,Max!$A:$A,0)), IF(OR(INDEX(Max!$D:$D,MATCH(65505,Max!$A:$A,0))=1, INDEX(Max!$D:$D,MATCH(65505,Max!$A:$A,0))=2), INDEX(Max!$D:$D,MATCH(65505,Max!$A:$A,0)), 0), 0)</f>
        <v>0</v>
      </c>
    </row>
    <row r="50" spans="1:9" ht="15.75" customHeight="1" x14ac:dyDescent="0.2">
      <c r="A50" s="1">
        <v>2503</v>
      </c>
      <c r="B50" s="1" t="s">
        <v>138</v>
      </c>
      <c r="C50" s="1" t="s">
        <v>139</v>
      </c>
      <c r="D50" s="1" t="str">
        <f t="shared" si="0"/>
        <v>2</v>
      </c>
      <c r="E50" s="1" t="s">
        <v>140</v>
      </c>
      <c r="G50" s="1">
        <f t="array" ref="G50">IF(ISNUMBER(MATCH(2503,Camille!$A:$A,0)), IF(OR(INDEX(Camille!$D:$D,MATCH(2503,Camille!$A:$A,0))=1, INDEX(Camille!$D:$D,MATCH(2503,Camille!$A:$A,0))=2), INDEX(Camille!$D:$D,MATCH(2503,Camille!$A:$A,0)), 0), 0)</f>
        <v>2</v>
      </c>
      <c r="H50" s="1">
        <f t="array" ref="H50">IF(ISNUMBER(MATCH(2503,Telmo!$A:$A,0)), IF(OR(INDEX(Telmo!$D:$D,MATCH(2503,Telmo!$A:$A,0))=1, INDEX(Telmo!$D:$D,MATCH(2503,Telmo!$A:$A,0))=2), INDEX(Telmo!$D:$D,MATCH(2503,Telmo!$A:$A,0)), 0), 0)</f>
        <v>0</v>
      </c>
      <c r="I50" s="1">
        <f t="array" ref="I50">IF(ISNUMBER(MATCH(2503,Max!$A:$A,0)), IF(OR(INDEX(Max!$D:$D,MATCH(2503,Max!$A:$A,0))=1, INDEX(Max!$D:$D,MATCH(2503,Max!$A:$A,0))=2), INDEX(Max!$D:$D,MATCH(2503,Max!$A:$A,0)), 0), 0)</f>
        <v>0</v>
      </c>
    </row>
    <row r="51" spans="1:9" ht="15.75" customHeight="1" x14ac:dyDescent="0.2">
      <c r="A51" s="1">
        <v>39551</v>
      </c>
      <c r="B51" s="1" t="s">
        <v>141</v>
      </c>
      <c r="C51" s="1" t="s">
        <v>142</v>
      </c>
      <c r="D51" s="1" t="str">
        <f t="shared" si="0"/>
        <v>1</v>
      </c>
      <c r="E51" s="1" t="s">
        <v>143</v>
      </c>
      <c r="G51" s="1">
        <f t="array" ref="G51">IF(ISNUMBER(MATCH(39551,Camille!$A:$A,0)), IF(OR(INDEX(Camille!$D:$D,MATCH(39551,Camille!$A:$A,0))=1, INDEX(Camille!$D:$D,MATCH(39551,Camille!$A:$A,0))=2), INDEX(Camille!$D:$D,MATCH(39551,Camille!$A:$A,0)), 0), 0)</f>
        <v>1</v>
      </c>
      <c r="H51" s="1">
        <f t="array" ref="H51">IF(ISNUMBER(MATCH(39551,Telmo!$A:$A,0)), IF(OR(INDEX(Telmo!$D:$D,MATCH(39551,Telmo!$A:$A,0))=1, INDEX(Telmo!$D:$D,MATCH(39551,Telmo!$A:$A,0))=2), INDEX(Telmo!$D:$D,MATCH(39551,Telmo!$A:$A,0)), 0), 0)</f>
        <v>0</v>
      </c>
      <c r="I51" s="1">
        <f t="array" ref="I51">IF(ISNUMBER(MATCH(39551,Max!$A:$A,0)), IF(OR(INDEX(Max!$D:$D,MATCH(39551,Max!$A:$A,0))=1, INDEX(Max!$D:$D,MATCH(39551,Max!$A:$A,0))=2), INDEX(Max!$D:$D,MATCH(39551,Max!$A:$A,0)), 0), 0)</f>
        <v>0</v>
      </c>
    </row>
    <row r="52" spans="1:9" ht="15.75" customHeight="1" x14ac:dyDescent="0.2">
      <c r="A52" s="1">
        <v>19617</v>
      </c>
      <c r="B52" s="1" t="s">
        <v>144</v>
      </c>
      <c r="C52" s="1" t="s">
        <v>145</v>
      </c>
      <c r="D52" s="1" t="str">
        <f t="shared" si="0"/>
        <v>2</v>
      </c>
      <c r="E52" s="1" t="s">
        <v>146</v>
      </c>
      <c r="G52" s="1">
        <f t="array" ref="G52">IF(ISNUMBER(MATCH(19617,Camille!$A:$A,0)), IF(OR(INDEX(Camille!$D:$D,MATCH(19617,Camille!$A:$A,0))=1, INDEX(Camille!$D:$D,MATCH(19617,Camille!$A:$A,0))=2), INDEX(Camille!$D:$D,MATCH(19617,Camille!$A:$A,0)), 0), 0)</f>
        <v>2</v>
      </c>
      <c r="H52" s="1">
        <f t="array" ref="H52">IF(ISNUMBER(MATCH(19617,Telmo!$A:$A,0)), IF(OR(INDEX(Telmo!$D:$D,MATCH(19617,Telmo!$A:$A,0))=1, INDEX(Telmo!$D:$D,MATCH(19617,Telmo!$A:$A,0))=2), INDEX(Telmo!$D:$D,MATCH(19617,Telmo!$A:$A,0)), 0), 0)</f>
        <v>0</v>
      </c>
      <c r="I52" s="1">
        <f t="array" ref="I52">IF(ISNUMBER(MATCH(19617,Max!$A:$A,0)), IF(OR(INDEX(Max!$D:$D,MATCH(19617,Max!$A:$A,0))=1, INDEX(Max!$D:$D,MATCH(19617,Max!$A:$A,0))=2), INDEX(Max!$D:$D,MATCH(19617,Max!$A:$A,0)), 0), 0)</f>
        <v>0</v>
      </c>
    </row>
    <row r="53" spans="1:9" ht="15.75" customHeight="1" x14ac:dyDescent="0.2">
      <c r="A53" s="1">
        <v>65366</v>
      </c>
      <c r="B53" s="1" t="s">
        <v>147</v>
      </c>
      <c r="C53" s="1" t="s">
        <v>148</v>
      </c>
      <c r="D53" s="1" t="str">
        <f t="shared" si="0"/>
        <v>1</v>
      </c>
      <c r="E53" s="1" t="s">
        <v>149</v>
      </c>
      <c r="G53" s="1">
        <f t="array" ref="G53">IF(ISNUMBER(MATCH(65366,Camille!$A:$A,0)), IF(OR(INDEX(Camille!$D:$D,MATCH(65366,Camille!$A:$A,0))=1, INDEX(Camille!$D:$D,MATCH(65366,Camille!$A:$A,0))=2), INDEX(Camille!$D:$D,MATCH(65366,Camille!$A:$A,0)), 0), 0)</f>
        <v>1</v>
      </c>
      <c r="H53" s="1">
        <f t="array" ref="H53">IF(ISNUMBER(MATCH(65366,Telmo!$A:$A,0)), IF(OR(INDEX(Telmo!$D:$D,MATCH(65366,Telmo!$A:$A,0))=1, INDEX(Telmo!$D:$D,MATCH(65366,Telmo!$A:$A,0))=2), INDEX(Telmo!$D:$D,MATCH(65366,Telmo!$A:$A,0)), 0), 0)</f>
        <v>0</v>
      </c>
      <c r="I53" s="1">
        <f t="array" ref="I53">IF(ISNUMBER(MATCH(65366,Max!$A:$A,0)), IF(OR(INDEX(Max!$D:$D,MATCH(65366,Max!$A:$A,0))=1, INDEX(Max!$D:$D,MATCH(65366,Max!$A:$A,0))=2), INDEX(Max!$D:$D,MATCH(65366,Max!$A:$A,0)), 0), 0)</f>
        <v>0</v>
      </c>
    </row>
    <row r="54" spans="1:9" ht="15.75" customHeight="1" x14ac:dyDescent="0.2">
      <c r="A54" s="1">
        <v>70504</v>
      </c>
      <c r="B54" s="1" t="s">
        <v>150</v>
      </c>
      <c r="C54" s="1" t="s">
        <v>151</v>
      </c>
      <c r="D54" s="1" t="str">
        <f t="shared" si="0"/>
        <v>2</v>
      </c>
      <c r="E54" s="1" t="s">
        <v>152</v>
      </c>
      <c r="G54" s="1">
        <f t="array" ref="G54">IF(ISNUMBER(MATCH(70504,Camille!$A:$A,0)), IF(OR(INDEX(Camille!$D:$D,MATCH(70504,Camille!$A:$A,0))=1, INDEX(Camille!$D:$D,MATCH(70504,Camille!$A:$A,0))=2), INDEX(Camille!$D:$D,MATCH(70504,Camille!$A:$A,0)), 0), 0)</f>
        <v>2</v>
      </c>
      <c r="H54" s="1">
        <f t="array" ref="H54">IF(ISNUMBER(MATCH(70504,Telmo!$A:$A,0)), IF(OR(INDEX(Telmo!$D:$D,MATCH(70504,Telmo!$A:$A,0))=1, INDEX(Telmo!$D:$D,MATCH(70504,Telmo!$A:$A,0))=2), INDEX(Telmo!$D:$D,MATCH(70504,Telmo!$A:$A,0)), 0), 0)</f>
        <v>0</v>
      </c>
      <c r="I54" s="1">
        <f t="array" ref="I54">IF(ISNUMBER(MATCH(70504,Max!$A:$A,0)), IF(OR(INDEX(Max!$D:$D,MATCH(70504,Max!$A:$A,0))=1, INDEX(Max!$D:$D,MATCH(70504,Max!$A:$A,0))=2), INDEX(Max!$D:$D,MATCH(70504,Max!$A:$A,0)), 0), 0)</f>
        <v>0</v>
      </c>
    </row>
    <row r="55" spans="1:9" ht="15.75" customHeight="1" x14ac:dyDescent="0.2">
      <c r="A55" s="1">
        <v>18547</v>
      </c>
      <c r="B55" s="1" t="s">
        <v>153</v>
      </c>
      <c r="C55" s="1" t="s">
        <v>154</v>
      </c>
      <c r="D55" s="1" t="str">
        <f t="shared" si="0"/>
        <v>2</v>
      </c>
      <c r="E55" s="1" t="s">
        <v>155</v>
      </c>
      <c r="G55" s="1">
        <f t="array" ref="G55">IF(ISNUMBER(MATCH(18547,Camille!$A:$A,0)), IF(OR(INDEX(Camille!$D:$D,MATCH(18547,Camille!$A:$A,0))=1, INDEX(Camille!$D:$D,MATCH(18547,Camille!$A:$A,0))=2), INDEX(Camille!$D:$D,MATCH(18547,Camille!$A:$A,0)), 0), 0)</f>
        <v>2</v>
      </c>
      <c r="H55" s="1">
        <f t="array" ref="H55">IF(ISNUMBER(MATCH(18547,Telmo!$A:$A,0)), IF(OR(INDEX(Telmo!$D:$D,MATCH(18547,Telmo!$A:$A,0))=1, INDEX(Telmo!$D:$D,MATCH(18547,Telmo!$A:$A,0))=2), INDEX(Telmo!$D:$D,MATCH(18547,Telmo!$A:$A,0)), 0), 0)</f>
        <v>0</v>
      </c>
      <c r="I55" s="1">
        <f t="array" ref="I55">IF(ISNUMBER(MATCH(18547,Max!$A:$A,0)), IF(OR(INDEX(Max!$D:$D,MATCH(18547,Max!$A:$A,0))=1, INDEX(Max!$D:$D,MATCH(18547,Max!$A:$A,0))=2), INDEX(Max!$D:$D,MATCH(18547,Max!$A:$A,0)), 0), 0)</f>
        <v>0</v>
      </c>
    </row>
    <row r="56" spans="1:9" ht="15.75" customHeight="1" x14ac:dyDescent="0.2">
      <c r="A56" s="1">
        <v>28713</v>
      </c>
      <c r="B56" s="1" t="s">
        <v>156</v>
      </c>
      <c r="C56" s="1" t="s">
        <v>157</v>
      </c>
      <c r="D56" s="1" t="str">
        <f t="shared" si="0"/>
        <v>2</v>
      </c>
      <c r="E56" s="1" t="s">
        <v>158</v>
      </c>
      <c r="G56" s="1">
        <f t="array" ref="G56">IF(ISNUMBER(MATCH(28713,Camille!$A:$A,0)), IF(OR(INDEX(Camille!$D:$D,MATCH(28713,Camille!$A:$A,0))=1, INDEX(Camille!$D:$D,MATCH(28713,Camille!$A:$A,0))=2), INDEX(Camille!$D:$D,MATCH(28713,Camille!$A:$A,0)), 0), 0)</f>
        <v>2</v>
      </c>
      <c r="H56" s="1">
        <f t="array" ref="H56">IF(ISNUMBER(MATCH(28713,Telmo!$A:$A,0)), IF(OR(INDEX(Telmo!$D:$D,MATCH(28713,Telmo!$A:$A,0))=1, INDEX(Telmo!$D:$D,MATCH(28713,Telmo!$A:$A,0))=2), INDEX(Telmo!$D:$D,MATCH(28713,Telmo!$A:$A,0)), 0), 0)</f>
        <v>0</v>
      </c>
      <c r="I56" s="1">
        <f t="array" ref="I56">IF(ISNUMBER(MATCH(28713,Max!$A:$A,0)), IF(OR(INDEX(Max!$D:$D,MATCH(28713,Max!$A:$A,0))=1, INDEX(Max!$D:$D,MATCH(28713,Max!$A:$A,0))=2), INDEX(Max!$D:$D,MATCH(28713,Max!$A:$A,0)), 0), 0)</f>
        <v>0</v>
      </c>
    </row>
    <row r="57" spans="1:9" ht="15.75" customHeight="1" x14ac:dyDescent="0.2">
      <c r="A57" s="1">
        <v>21949</v>
      </c>
      <c r="B57" s="1" t="s">
        <v>159</v>
      </c>
      <c r="C57" s="1" t="s">
        <v>160</v>
      </c>
      <c r="D57" s="1" t="str">
        <f t="shared" si="0"/>
        <v>2</v>
      </c>
      <c r="E57" s="1" t="s">
        <v>161</v>
      </c>
      <c r="G57" s="1">
        <f t="array" ref="G57">IF(ISNUMBER(MATCH(21949,Camille!$A:$A,0)), IF(OR(INDEX(Camille!$D:$D,MATCH(21949,Camille!$A:$A,0))=1, INDEX(Camille!$D:$D,MATCH(21949,Camille!$A:$A,0))=2), INDEX(Camille!$D:$D,MATCH(21949,Camille!$A:$A,0)), 0), 0)</f>
        <v>2</v>
      </c>
      <c r="H57" s="1">
        <f t="array" ref="H57">IF(ISNUMBER(MATCH(21949,Telmo!$A:$A,0)), IF(OR(INDEX(Telmo!$D:$D,MATCH(21949,Telmo!$A:$A,0))=1, INDEX(Telmo!$D:$D,MATCH(21949,Telmo!$A:$A,0))=2), INDEX(Telmo!$D:$D,MATCH(21949,Telmo!$A:$A,0)), 0), 0)</f>
        <v>0</v>
      </c>
      <c r="I57" s="1">
        <f t="array" ref="I57">IF(ISNUMBER(MATCH(21949,Max!$A:$A,0)), IF(OR(INDEX(Max!$D:$D,MATCH(21949,Max!$A:$A,0))=1, INDEX(Max!$D:$D,MATCH(21949,Max!$A:$A,0))=2), INDEX(Max!$D:$D,MATCH(21949,Max!$A:$A,0)), 0), 0)</f>
        <v>0</v>
      </c>
    </row>
    <row r="58" spans="1:9" ht="15.75" customHeight="1" x14ac:dyDescent="0.2">
      <c r="A58" s="1">
        <v>61065</v>
      </c>
      <c r="B58" s="1" t="s">
        <v>162</v>
      </c>
      <c r="C58" s="1" t="s">
        <v>163</v>
      </c>
      <c r="D58" s="1" t="str">
        <f t="shared" si="0"/>
        <v>2</v>
      </c>
      <c r="E58" s="1" t="s">
        <v>164</v>
      </c>
      <c r="G58" s="1">
        <f t="array" ref="G58">IF(ISNUMBER(MATCH(61065,Camille!$A:$A,0)), IF(OR(INDEX(Camille!$D:$D,MATCH(61065,Camille!$A:$A,0))=1, INDEX(Camille!$D:$D,MATCH(61065,Camille!$A:$A,0))=2), INDEX(Camille!$D:$D,MATCH(61065,Camille!$A:$A,0)), 0), 0)</f>
        <v>2</v>
      </c>
      <c r="H58" s="1">
        <f t="array" ref="H58">IF(ISNUMBER(MATCH(61065,Telmo!$A:$A,0)), IF(OR(INDEX(Telmo!$D:$D,MATCH(61065,Telmo!$A:$A,0))=1, INDEX(Telmo!$D:$D,MATCH(61065,Telmo!$A:$A,0))=2), INDEX(Telmo!$D:$D,MATCH(61065,Telmo!$A:$A,0)), 0), 0)</f>
        <v>0</v>
      </c>
      <c r="I58" s="1">
        <f t="array" ref="I58">IF(ISNUMBER(MATCH(61065,Max!$A:$A,0)), IF(OR(INDEX(Max!$D:$D,MATCH(61065,Max!$A:$A,0))=1, INDEX(Max!$D:$D,MATCH(61065,Max!$A:$A,0))=2), INDEX(Max!$D:$D,MATCH(61065,Max!$A:$A,0)), 0), 0)</f>
        <v>0</v>
      </c>
    </row>
    <row r="59" spans="1:9" ht="15.75" customHeight="1" x14ac:dyDescent="0.2">
      <c r="A59" s="1">
        <v>55086</v>
      </c>
      <c r="B59" s="1" t="s">
        <v>153</v>
      </c>
      <c r="C59" s="1" t="s">
        <v>165</v>
      </c>
      <c r="D59" s="1" t="str">
        <f t="shared" si="0"/>
        <v>2</v>
      </c>
      <c r="E59" s="1" t="s">
        <v>166</v>
      </c>
      <c r="G59" s="1">
        <f t="array" ref="G59">IF(ISNUMBER(MATCH(55086,Camille!$A:$A,0)), IF(OR(INDEX(Camille!$D:$D,MATCH(55086,Camille!$A:$A,0))=1, INDEX(Camille!$D:$D,MATCH(55086,Camille!$A:$A,0))=2), INDEX(Camille!$D:$D,MATCH(55086,Camille!$A:$A,0)), 0), 0)</f>
        <v>2</v>
      </c>
      <c r="H59" s="1">
        <f t="array" ref="H59">IF(ISNUMBER(MATCH(55086,Telmo!$A:$A,0)), IF(OR(INDEX(Telmo!$D:$D,MATCH(55086,Telmo!$A:$A,0))=1, INDEX(Telmo!$D:$D,MATCH(55086,Telmo!$A:$A,0))=2), INDEX(Telmo!$D:$D,MATCH(55086,Telmo!$A:$A,0)), 0), 0)</f>
        <v>0</v>
      </c>
      <c r="I59" s="1">
        <f t="array" ref="I59">IF(ISNUMBER(MATCH(55086,Max!$A:$A,0)), IF(OR(INDEX(Max!$D:$D,MATCH(55086,Max!$A:$A,0))=1, INDEX(Max!$D:$D,MATCH(55086,Max!$A:$A,0))=2), INDEX(Max!$D:$D,MATCH(55086,Max!$A:$A,0)), 0), 0)</f>
        <v>0</v>
      </c>
    </row>
    <row r="60" spans="1:9" ht="15.75" customHeight="1" x14ac:dyDescent="0.2">
      <c r="A60" s="1">
        <v>29855</v>
      </c>
      <c r="B60" s="1" t="s">
        <v>167</v>
      </c>
      <c r="C60" s="1" t="s">
        <v>168</v>
      </c>
      <c r="D60" s="1" t="str">
        <f t="shared" si="0"/>
        <v>1</v>
      </c>
      <c r="E60" s="1" t="s">
        <v>169</v>
      </c>
      <c r="G60" s="1">
        <f t="array" ref="G60">IF(ISNUMBER(MATCH(29855,Camille!$A:$A,0)), IF(OR(INDEX(Camille!$D:$D,MATCH(29855,Camille!$A:$A,0))=1, INDEX(Camille!$D:$D,MATCH(29855,Camille!$A:$A,0))=2), INDEX(Camille!$D:$D,MATCH(29855,Camille!$A:$A,0)), 0), 0)</f>
        <v>1</v>
      </c>
      <c r="H60" s="1">
        <f t="array" ref="H60">IF(ISNUMBER(MATCH(29855,Telmo!$A:$A,0)), IF(OR(INDEX(Telmo!$D:$D,MATCH(29855,Telmo!$A:$A,0))=1, INDEX(Telmo!$D:$D,MATCH(29855,Telmo!$A:$A,0))=2), INDEX(Telmo!$D:$D,MATCH(29855,Telmo!$A:$A,0)), 0), 0)</f>
        <v>0</v>
      </c>
      <c r="I60" s="1">
        <f t="array" ref="I60">IF(ISNUMBER(MATCH(29855,Max!$A:$A,0)), IF(OR(INDEX(Max!$D:$D,MATCH(29855,Max!$A:$A,0))=1, INDEX(Max!$D:$D,MATCH(29855,Max!$A:$A,0))=2), INDEX(Max!$D:$D,MATCH(29855,Max!$A:$A,0)), 0), 0)</f>
        <v>0</v>
      </c>
    </row>
    <row r="61" spans="1:9" ht="15.75" customHeight="1" x14ac:dyDescent="0.2">
      <c r="A61" s="1">
        <v>71790</v>
      </c>
      <c r="B61" s="1" t="s">
        <v>23</v>
      </c>
      <c r="C61" s="1" t="s">
        <v>170</v>
      </c>
      <c r="D61" s="1" t="str">
        <f t="shared" si="0"/>
        <v>2</v>
      </c>
      <c r="E61" s="1" t="s">
        <v>171</v>
      </c>
      <c r="G61" s="1">
        <f t="array" ref="G61">IF(ISNUMBER(MATCH(71790,Camille!$A:$A,0)), IF(OR(INDEX(Camille!$D:$D,MATCH(71790,Camille!$A:$A,0))=1, INDEX(Camille!$D:$D,MATCH(71790,Camille!$A:$A,0))=2), INDEX(Camille!$D:$D,MATCH(71790,Camille!$A:$A,0)), 0), 0)</f>
        <v>2</v>
      </c>
      <c r="H61" s="1">
        <f t="array" ref="H61">IF(ISNUMBER(MATCH(71790,Telmo!$A:$A,0)), IF(OR(INDEX(Telmo!$D:$D,MATCH(71790,Telmo!$A:$A,0))=1, INDEX(Telmo!$D:$D,MATCH(71790,Telmo!$A:$A,0))=2), INDEX(Telmo!$D:$D,MATCH(71790,Telmo!$A:$A,0)), 0), 0)</f>
        <v>0</v>
      </c>
      <c r="I61" s="1">
        <f t="array" ref="I61">IF(ISNUMBER(MATCH(71790,Max!$A:$A,0)), IF(OR(INDEX(Max!$D:$D,MATCH(71790,Max!$A:$A,0))=1, INDEX(Max!$D:$D,MATCH(71790,Max!$A:$A,0))=2), INDEX(Max!$D:$D,MATCH(71790,Max!$A:$A,0)), 0), 0)</f>
        <v>0</v>
      </c>
    </row>
    <row r="62" spans="1:9" ht="15.75" customHeight="1" x14ac:dyDescent="0.2">
      <c r="A62" s="1">
        <v>60753</v>
      </c>
      <c r="B62" s="1" t="s">
        <v>172</v>
      </c>
      <c r="C62" s="1" t="s">
        <v>173</v>
      </c>
      <c r="D62" s="1" t="str">
        <f t="shared" si="0"/>
        <v>2</v>
      </c>
      <c r="E62" s="1" t="s">
        <v>174</v>
      </c>
      <c r="G62" s="1">
        <f t="array" ref="G62">IF(ISNUMBER(MATCH(60753,Camille!$A:$A,0)), IF(OR(INDEX(Camille!$D:$D,MATCH(60753,Camille!$A:$A,0))=1, INDEX(Camille!$D:$D,MATCH(60753,Camille!$A:$A,0))=2), INDEX(Camille!$D:$D,MATCH(60753,Camille!$A:$A,0)), 0), 0)</f>
        <v>2</v>
      </c>
      <c r="H62" s="1">
        <f t="array" ref="H62">IF(ISNUMBER(MATCH(60753,Telmo!$A:$A,0)), IF(OR(INDEX(Telmo!$D:$D,MATCH(60753,Telmo!$A:$A,0))=1, INDEX(Telmo!$D:$D,MATCH(60753,Telmo!$A:$A,0))=2), INDEX(Telmo!$D:$D,MATCH(60753,Telmo!$A:$A,0)), 0), 0)</f>
        <v>0</v>
      </c>
      <c r="I62" s="1">
        <f t="array" ref="I62">IF(ISNUMBER(MATCH(60753,Max!$A:$A,0)), IF(OR(INDEX(Max!$D:$D,MATCH(60753,Max!$A:$A,0))=1, INDEX(Max!$D:$D,MATCH(60753,Max!$A:$A,0))=2), INDEX(Max!$D:$D,MATCH(60753,Max!$A:$A,0)), 0), 0)</f>
        <v>0</v>
      </c>
    </row>
    <row r="63" spans="1:9" ht="15.75" customHeight="1" x14ac:dyDescent="0.2">
      <c r="A63" s="1">
        <v>43695</v>
      </c>
      <c r="B63" s="1" t="s">
        <v>175</v>
      </c>
      <c r="C63" s="1" t="s">
        <v>176</v>
      </c>
      <c r="D63" s="1" t="str">
        <f t="shared" si="0"/>
        <v>2</v>
      </c>
      <c r="E63" s="1" t="s">
        <v>177</v>
      </c>
      <c r="G63" s="1">
        <f t="array" ref="G63">IF(ISNUMBER(MATCH(43695,Camille!$A:$A,0)), IF(OR(INDEX(Camille!$D:$D,MATCH(43695,Camille!$A:$A,0))=1, INDEX(Camille!$D:$D,MATCH(43695,Camille!$A:$A,0))=2), INDEX(Camille!$D:$D,MATCH(43695,Camille!$A:$A,0)), 0), 0)</f>
        <v>2</v>
      </c>
      <c r="H63" s="1">
        <f t="array" ref="H63">IF(ISNUMBER(MATCH(43695,Telmo!$A:$A,0)), IF(OR(INDEX(Telmo!$D:$D,MATCH(43695,Telmo!$A:$A,0))=1, INDEX(Telmo!$D:$D,MATCH(43695,Telmo!$A:$A,0))=2), INDEX(Telmo!$D:$D,MATCH(43695,Telmo!$A:$A,0)), 0), 0)</f>
        <v>0</v>
      </c>
      <c r="I63" s="1">
        <f t="array" ref="I63">IF(ISNUMBER(MATCH(43695,Max!$A:$A,0)), IF(OR(INDEX(Max!$D:$D,MATCH(43695,Max!$A:$A,0))=1, INDEX(Max!$D:$D,MATCH(43695,Max!$A:$A,0))=2), INDEX(Max!$D:$D,MATCH(43695,Max!$A:$A,0)), 0), 0)</f>
        <v>0</v>
      </c>
    </row>
    <row r="64" spans="1:9" ht="15.75" customHeight="1" x14ac:dyDescent="0.2">
      <c r="A64" s="1">
        <v>32465</v>
      </c>
      <c r="B64" s="1" t="s">
        <v>144</v>
      </c>
      <c r="C64" s="1" t="s">
        <v>178</v>
      </c>
      <c r="D64" s="1" t="str">
        <f t="shared" si="0"/>
        <v>2</v>
      </c>
      <c r="E64" s="1" t="s">
        <v>179</v>
      </c>
      <c r="G64" s="1">
        <f t="array" ref="G64">IF(ISNUMBER(MATCH(32465,Camille!$A:$A,0)), IF(OR(INDEX(Camille!$D:$D,MATCH(32465,Camille!$A:$A,0))=1, INDEX(Camille!$D:$D,MATCH(32465,Camille!$A:$A,0))=2), INDEX(Camille!$D:$D,MATCH(32465,Camille!$A:$A,0)), 0), 0)</f>
        <v>2</v>
      </c>
      <c r="H64" s="1">
        <f t="array" ref="H64">IF(ISNUMBER(MATCH(32465,Telmo!$A:$A,0)), IF(OR(INDEX(Telmo!$D:$D,MATCH(32465,Telmo!$A:$A,0))=1, INDEX(Telmo!$D:$D,MATCH(32465,Telmo!$A:$A,0))=2), INDEX(Telmo!$D:$D,MATCH(32465,Telmo!$A:$A,0)), 0), 0)</f>
        <v>0</v>
      </c>
      <c r="I64" s="1">
        <f t="array" ref="I64">IF(ISNUMBER(MATCH(32465,Max!$A:$A,0)), IF(OR(INDEX(Max!$D:$D,MATCH(32465,Max!$A:$A,0))=1, INDEX(Max!$D:$D,MATCH(32465,Max!$A:$A,0))=2), INDEX(Max!$D:$D,MATCH(32465,Max!$A:$A,0)), 0), 0)</f>
        <v>0</v>
      </c>
    </row>
    <row r="65" spans="1:9" ht="15.75" customHeight="1" x14ac:dyDescent="0.2">
      <c r="A65" s="1">
        <v>10326</v>
      </c>
      <c r="B65" s="1" t="s">
        <v>180</v>
      </c>
      <c r="C65" s="1" t="s">
        <v>181</v>
      </c>
      <c r="D65" s="1" t="str">
        <f t="shared" si="0"/>
        <v>2</v>
      </c>
      <c r="E65" s="1" t="s">
        <v>182</v>
      </c>
      <c r="G65" s="1">
        <f t="array" ref="G65">IF(ISNUMBER(MATCH(10326,Camille!$A:$A,0)), IF(OR(INDEX(Camille!$D:$D,MATCH(10326,Camille!$A:$A,0))=1, INDEX(Camille!$D:$D,MATCH(10326,Camille!$A:$A,0))=2), INDEX(Camille!$D:$D,MATCH(10326,Camille!$A:$A,0)), 0), 0)</f>
        <v>2</v>
      </c>
      <c r="H65" s="1">
        <f t="array" ref="H65">IF(ISNUMBER(MATCH(10326,Telmo!$A:$A,0)), IF(OR(INDEX(Telmo!$D:$D,MATCH(10326,Telmo!$A:$A,0))=1, INDEX(Telmo!$D:$D,MATCH(10326,Telmo!$A:$A,0))=2), INDEX(Telmo!$D:$D,MATCH(10326,Telmo!$A:$A,0)), 0), 0)</f>
        <v>0</v>
      </c>
      <c r="I65" s="1">
        <f t="array" ref="I65">IF(ISNUMBER(MATCH(10326,Max!$A:$A,0)), IF(OR(INDEX(Max!$D:$D,MATCH(10326,Max!$A:$A,0))=1, INDEX(Max!$D:$D,MATCH(10326,Max!$A:$A,0))=2), INDEX(Max!$D:$D,MATCH(10326,Max!$A:$A,0)), 0), 0)</f>
        <v>0</v>
      </c>
    </row>
    <row r="66" spans="1:9" ht="15.75" customHeight="1" x14ac:dyDescent="0.2">
      <c r="A66" s="1">
        <v>36216</v>
      </c>
      <c r="B66" s="1" t="s">
        <v>14</v>
      </c>
      <c r="C66" s="1" t="s">
        <v>183</v>
      </c>
      <c r="D66" s="1" t="str">
        <f t="shared" si="0"/>
        <v>1</v>
      </c>
      <c r="E66" s="1" t="s">
        <v>184</v>
      </c>
      <c r="G66" s="1">
        <f t="array" ref="G66">IF(ISNUMBER(MATCH(36216,Camille!$A:$A,0)), IF(OR(INDEX(Camille!$D:$D,MATCH(36216,Camille!$A:$A,0))=1, INDEX(Camille!$D:$D,MATCH(36216,Camille!$A:$A,0))=2), INDEX(Camille!$D:$D,MATCH(36216,Camille!$A:$A,0)), 0), 0)</f>
        <v>1</v>
      </c>
      <c r="H66" s="1">
        <f t="array" ref="H66">IF(ISNUMBER(MATCH(36216,Telmo!$A:$A,0)), IF(OR(INDEX(Telmo!$D:$D,MATCH(36216,Telmo!$A:$A,0))=1, INDEX(Telmo!$D:$D,MATCH(36216,Telmo!$A:$A,0))=2), INDEX(Telmo!$D:$D,MATCH(36216,Telmo!$A:$A,0)), 0), 0)</f>
        <v>0</v>
      </c>
      <c r="I66" s="1">
        <f t="array" ref="I66">IF(ISNUMBER(MATCH(36216,Max!$A:$A,0)), IF(OR(INDEX(Max!$D:$D,MATCH(36216,Max!$A:$A,0))=1, INDEX(Max!$D:$D,MATCH(36216,Max!$A:$A,0))=2), INDEX(Max!$D:$D,MATCH(36216,Max!$A:$A,0)), 0), 0)</f>
        <v>0</v>
      </c>
    </row>
    <row r="67" spans="1:9" ht="15.75" customHeight="1" x14ac:dyDescent="0.2">
      <c r="A67" s="1">
        <v>49152</v>
      </c>
      <c r="B67" s="1" t="s">
        <v>185</v>
      </c>
      <c r="C67" s="1" t="s">
        <v>186</v>
      </c>
      <c r="D67" s="1" t="str">
        <f t="shared" si="0"/>
        <v>2</v>
      </c>
      <c r="E67" s="1" t="s">
        <v>187</v>
      </c>
      <c r="G67" s="1">
        <f t="array" ref="G67">IF(ISNUMBER(MATCH(49152,Camille!$A:$A,0)), IF(OR(INDEX(Camille!$D:$D,MATCH(49152,Camille!$A:$A,0))=1, INDEX(Camille!$D:$D,MATCH(49152,Camille!$A:$A,0))=2), INDEX(Camille!$D:$D,MATCH(49152,Camille!$A:$A,0)), 0), 0)</f>
        <v>2</v>
      </c>
      <c r="H67" s="1">
        <f t="array" ref="H67">IF(ISNUMBER(MATCH(49152,Telmo!$A:$A,0)), IF(OR(INDEX(Telmo!$D:$D,MATCH(49152,Telmo!$A:$A,0))=1, INDEX(Telmo!$D:$D,MATCH(49152,Telmo!$A:$A,0))=2), INDEX(Telmo!$D:$D,MATCH(49152,Telmo!$A:$A,0)), 0), 0)</f>
        <v>0</v>
      </c>
      <c r="I67" s="1">
        <f t="array" ref="I67">IF(ISNUMBER(MATCH(49152,Max!$A:$A,0)), IF(OR(INDEX(Max!$D:$D,MATCH(49152,Max!$A:$A,0))=1, INDEX(Max!$D:$D,MATCH(49152,Max!$A:$A,0))=2), INDEX(Max!$D:$D,MATCH(49152,Max!$A:$A,0)), 0), 0)</f>
        <v>0</v>
      </c>
    </row>
    <row r="68" spans="1:9" ht="15.75" customHeight="1" x14ac:dyDescent="0.2">
      <c r="A68" s="1">
        <v>22390</v>
      </c>
      <c r="B68" s="1" t="s">
        <v>188</v>
      </c>
      <c r="C68" s="1" t="s">
        <v>189</v>
      </c>
      <c r="D68" s="1" t="str">
        <f t="shared" si="0"/>
        <v>1</v>
      </c>
      <c r="E68" s="1" t="s">
        <v>190</v>
      </c>
      <c r="G68" s="1">
        <f t="array" ref="G68">IF(ISNUMBER(MATCH(22390,Camille!$A:$A,0)), IF(OR(INDEX(Camille!$D:$D,MATCH(22390,Camille!$A:$A,0))=1, INDEX(Camille!$D:$D,MATCH(22390,Camille!$A:$A,0))=2), INDEX(Camille!$D:$D,MATCH(22390,Camille!$A:$A,0)), 0), 0)</f>
        <v>1</v>
      </c>
      <c r="H68" s="1">
        <f t="array" ref="H68">IF(ISNUMBER(MATCH(22390,Telmo!$A:$A,0)), IF(OR(INDEX(Telmo!$D:$D,MATCH(22390,Telmo!$A:$A,0))=1, INDEX(Telmo!$D:$D,MATCH(22390,Telmo!$A:$A,0))=2), INDEX(Telmo!$D:$D,MATCH(22390,Telmo!$A:$A,0)), 0), 0)</f>
        <v>0</v>
      </c>
      <c r="I68" s="1">
        <f t="array" ref="I68">IF(ISNUMBER(MATCH(22390,Max!$A:$A,0)), IF(OR(INDEX(Max!$D:$D,MATCH(22390,Max!$A:$A,0))=1, INDEX(Max!$D:$D,MATCH(22390,Max!$A:$A,0))=2), INDEX(Max!$D:$D,MATCH(22390,Max!$A:$A,0)), 0), 0)</f>
        <v>0</v>
      </c>
    </row>
    <row r="69" spans="1:9" ht="15.75" customHeight="1" x14ac:dyDescent="0.2">
      <c r="A69" s="1">
        <v>56306</v>
      </c>
      <c r="B69" s="1" t="s">
        <v>191</v>
      </c>
      <c r="C69" s="1" t="s">
        <v>192</v>
      </c>
      <c r="D69" s="1" t="str">
        <f t="shared" si="0"/>
        <v>2</v>
      </c>
      <c r="E69" s="1" t="s">
        <v>193</v>
      </c>
      <c r="G69" s="1">
        <f t="array" ref="G69">IF(ISNUMBER(MATCH(56306,Camille!$A:$A,0)), IF(OR(INDEX(Camille!$D:$D,MATCH(56306,Camille!$A:$A,0))=1, INDEX(Camille!$D:$D,MATCH(56306,Camille!$A:$A,0))=2), INDEX(Camille!$D:$D,MATCH(56306,Camille!$A:$A,0)), 0), 0)</f>
        <v>2</v>
      </c>
      <c r="H69" s="1">
        <f t="array" ref="H69">IF(ISNUMBER(MATCH(56306,Telmo!$A:$A,0)), IF(OR(INDEX(Telmo!$D:$D,MATCH(56306,Telmo!$A:$A,0))=1, INDEX(Telmo!$D:$D,MATCH(56306,Telmo!$A:$A,0))=2), INDEX(Telmo!$D:$D,MATCH(56306,Telmo!$A:$A,0)), 0), 0)</f>
        <v>0</v>
      </c>
      <c r="I69" s="1">
        <f t="array" ref="I69">IF(ISNUMBER(MATCH(56306,Max!$A:$A,0)), IF(OR(INDEX(Max!$D:$D,MATCH(56306,Max!$A:$A,0))=1, INDEX(Max!$D:$D,MATCH(56306,Max!$A:$A,0))=2), INDEX(Max!$D:$D,MATCH(56306,Max!$A:$A,0)), 0), 0)</f>
        <v>0</v>
      </c>
    </row>
    <row r="70" spans="1:9" ht="15.75" customHeight="1" x14ac:dyDescent="0.2">
      <c r="A70" s="1">
        <v>68263</v>
      </c>
      <c r="B70" s="1" t="s">
        <v>194</v>
      </c>
      <c r="C70" s="1" t="s">
        <v>195</v>
      </c>
      <c r="D70" s="1" t="str">
        <f t="shared" si="0"/>
        <v>2</v>
      </c>
      <c r="E70" s="1" t="s">
        <v>196</v>
      </c>
      <c r="G70" s="1">
        <f t="array" ref="G70">IF(ISNUMBER(MATCH(68263,Camille!$A:$A,0)), IF(OR(INDEX(Camille!$D:$D,MATCH(68263,Camille!$A:$A,0))=1, INDEX(Camille!$D:$D,MATCH(68263,Camille!$A:$A,0))=2), INDEX(Camille!$D:$D,MATCH(68263,Camille!$A:$A,0)), 0), 0)</f>
        <v>2</v>
      </c>
      <c r="H70" s="1">
        <f t="array" ref="H70">IF(ISNUMBER(MATCH(68263,Telmo!$A:$A,0)), IF(OR(INDEX(Telmo!$D:$D,MATCH(68263,Telmo!$A:$A,0))=1, INDEX(Telmo!$D:$D,MATCH(68263,Telmo!$A:$A,0))=2), INDEX(Telmo!$D:$D,MATCH(68263,Telmo!$A:$A,0)), 0), 0)</f>
        <v>0</v>
      </c>
      <c r="I70" s="1">
        <f t="array" ref="I70">IF(ISNUMBER(MATCH(68263,Max!$A:$A,0)), IF(OR(INDEX(Max!$D:$D,MATCH(68263,Max!$A:$A,0))=1, INDEX(Max!$D:$D,MATCH(68263,Max!$A:$A,0))=2), INDEX(Max!$D:$D,MATCH(68263,Max!$A:$A,0)), 0), 0)</f>
        <v>0</v>
      </c>
    </row>
    <row r="71" spans="1:9" ht="15.75" customHeight="1" x14ac:dyDescent="0.2">
      <c r="A71" s="1">
        <v>50523</v>
      </c>
      <c r="B71" s="1" t="s">
        <v>197</v>
      </c>
      <c r="C71" s="1" t="s">
        <v>198</v>
      </c>
      <c r="D71" s="1" t="str">
        <f t="shared" si="0"/>
        <v>2</v>
      </c>
      <c r="E71" s="1" t="s">
        <v>199</v>
      </c>
      <c r="G71" s="1">
        <f t="array" ref="G71">IF(ISNUMBER(MATCH(50523,Camille!$A:$A,0)), IF(OR(INDEX(Camille!$D:$D,MATCH(50523,Camille!$A:$A,0))=1, INDEX(Camille!$D:$D,MATCH(50523,Camille!$A:$A,0))=2), INDEX(Camille!$D:$D,MATCH(50523,Camille!$A:$A,0)), 0), 0)</f>
        <v>2</v>
      </c>
      <c r="H71" s="1">
        <f t="array" ref="H71">IF(ISNUMBER(MATCH(50523,Telmo!$A:$A,0)), IF(OR(INDEX(Telmo!$D:$D,MATCH(50523,Telmo!$A:$A,0))=1, INDEX(Telmo!$D:$D,MATCH(50523,Telmo!$A:$A,0))=2), INDEX(Telmo!$D:$D,MATCH(50523,Telmo!$A:$A,0)), 0), 0)</f>
        <v>0</v>
      </c>
      <c r="I71" s="1">
        <f t="array" ref="I71">IF(ISNUMBER(MATCH(50523,Max!$A:$A,0)), IF(OR(INDEX(Max!$D:$D,MATCH(50523,Max!$A:$A,0))=1, INDEX(Max!$D:$D,MATCH(50523,Max!$A:$A,0))=2), INDEX(Max!$D:$D,MATCH(50523,Max!$A:$A,0)), 0), 0)</f>
        <v>0</v>
      </c>
    </row>
    <row r="72" spans="1:9" ht="15.75" customHeight="1" x14ac:dyDescent="0.2">
      <c r="A72" s="1">
        <v>33445</v>
      </c>
      <c r="B72" s="1" t="s">
        <v>109</v>
      </c>
      <c r="C72" s="1" t="s">
        <v>200</v>
      </c>
      <c r="D72" s="1" t="str">
        <f t="shared" si="0"/>
        <v>2</v>
      </c>
      <c r="E72" s="1" t="s">
        <v>201</v>
      </c>
      <c r="G72" s="1">
        <f t="array" ref="G72">IF(ISNUMBER(MATCH(33445,Camille!$A:$A,0)), IF(OR(INDEX(Camille!$D:$D,MATCH(33445,Camille!$A:$A,0))=1, INDEX(Camille!$D:$D,MATCH(33445,Camille!$A:$A,0))=2), INDEX(Camille!$D:$D,MATCH(33445,Camille!$A:$A,0)), 0), 0)</f>
        <v>2</v>
      </c>
      <c r="H72" s="1">
        <f t="array" ref="H72">IF(ISNUMBER(MATCH(33445,Telmo!$A:$A,0)), IF(OR(INDEX(Telmo!$D:$D,MATCH(33445,Telmo!$A:$A,0))=1, INDEX(Telmo!$D:$D,MATCH(33445,Telmo!$A:$A,0))=2), INDEX(Telmo!$D:$D,MATCH(33445,Telmo!$A:$A,0)), 0), 0)</f>
        <v>0</v>
      </c>
      <c r="I72" s="1">
        <f t="array" ref="I72">IF(ISNUMBER(MATCH(33445,Max!$A:$A,0)), IF(OR(INDEX(Max!$D:$D,MATCH(33445,Max!$A:$A,0))=1, INDEX(Max!$D:$D,MATCH(33445,Max!$A:$A,0))=2), INDEX(Max!$D:$D,MATCH(33445,Max!$A:$A,0)), 0), 0)</f>
        <v>0</v>
      </c>
    </row>
    <row r="73" spans="1:9" ht="15.75" customHeight="1" x14ac:dyDescent="0.2">
      <c r="A73" s="1">
        <v>17155</v>
      </c>
      <c r="B73" s="1" t="s">
        <v>202</v>
      </c>
      <c r="C73" s="1" t="s">
        <v>203</v>
      </c>
      <c r="D73" s="1" t="str">
        <f t="shared" si="0"/>
        <v>2</v>
      </c>
      <c r="E73" s="1" t="s">
        <v>204</v>
      </c>
      <c r="G73" s="1">
        <f t="array" ref="G73">IF(ISNUMBER(MATCH(17155,Camille!$A:$A,0)), IF(OR(INDEX(Camille!$D:$D,MATCH(17155,Camille!$A:$A,0))=1, INDEX(Camille!$D:$D,MATCH(17155,Camille!$A:$A,0))=2), INDEX(Camille!$D:$D,MATCH(17155,Camille!$A:$A,0)), 0), 0)</f>
        <v>2</v>
      </c>
      <c r="H73" s="1">
        <f t="array" ref="H73">IF(ISNUMBER(MATCH(17155,Telmo!$A:$A,0)), IF(OR(INDEX(Telmo!$D:$D,MATCH(17155,Telmo!$A:$A,0))=1, INDEX(Telmo!$D:$D,MATCH(17155,Telmo!$A:$A,0))=2), INDEX(Telmo!$D:$D,MATCH(17155,Telmo!$A:$A,0)), 0), 0)</f>
        <v>0</v>
      </c>
      <c r="I73" s="1">
        <f t="array" ref="I73">IF(ISNUMBER(MATCH(17155,Max!$A:$A,0)), IF(OR(INDEX(Max!$D:$D,MATCH(17155,Max!$A:$A,0))=1, INDEX(Max!$D:$D,MATCH(17155,Max!$A:$A,0))=2), INDEX(Max!$D:$D,MATCH(17155,Max!$A:$A,0)), 0), 0)</f>
        <v>0</v>
      </c>
    </row>
    <row r="74" spans="1:9" ht="15.75" customHeight="1" x14ac:dyDescent="0.2">
      <c r="A74" s="1">
        <v>61853</v>
      </c>
      <c r="B74" s="1" t="s">
        <v>205</v>
      </c>
      <c r="C74" s="1" t="s">
        <v>206</v>
      </c>
      <c r="D74" s="1" t="str">
        <f t="shared" si="0"/>
        <v>2</v>
      </c>
      <c r="E74" s="1" t="s">
        <v>207</v>
      </c>
      <c r="G74" s="1">
        <f t="array" ref="G74">IF(ISNUMBER(MATCH(61853,Camille!$A:$A,0)), IF(OR(INDEX(Camille!$D:$D,MATCH(61853,Camille!$A:$A,0))=1, INDEX(Camille!$D:$D,MATCH(61853,Camille!$A:$A,0))=2), INDEX(Camille!$D:$D,MATCH(61853,Camille!$A:$A,0)), 0), 0)</f>
        <v>2</v>
      </c>
      <c r="H74" s="1">
        <f t="array" ref="H74">IF(ISNUMBER(MATCH(61853,Telmo!$A:$A,0)), IF(OR(INDEX(Telmo!$D:$D,MATCH(61853,Telmo!$A:$A,0))=1, INDEX(Telmo!$D:$D,MATCH(61853,Telmo!$A:$A,0))=2), INDEX(Telmo!$D:$D,MATCH(61853,Telmo!$A:$A,0)), 0), 0)</f>
        <v>0</v>
      </c>
      <c r="I74" s="1">
        <f t="array" ref="I74">IF(ISNUMBER(MATCH(61853,Max!$A:$A,0)), IF(OR(INDEX(Max!$D:$D,MATCH(61853,Max!$A:$A,0))=1, INDEX(Max!$D:$D,MATCH(61853,Max!$A:$A,0))=2), INDEX(Max!$D:$D,MATCH(61853,Max!$A:$A,0)), 0), 0)</f>
        <v>0</v>
      </c>
    </row>
    <row r="75" spans="1:9" ht="15.75" customHeight="1" x14ac:dyDescent="0.2">
      <c r="A75" s="1">
        <v>66489</v>
      </c>
      <c r="B75" s="1" t="s">
        <v>172</v>
      </c>
      <c r="C75" s="1" t="s">
        <v>208</v>
      </c>
      <c r="D75" s="1" t="str">
        <f t="shared" si="0"/>
        <v>2</v>
      </c>
      <c r="E75" s="1" t="s">
        <v>209</v>
      </c>
      <c r="G75" s="1">
        <f t="array" ref="G75">IF(ISNUMBER(MATCH(66489,Camille!$A:$A,0)), IF(OR(INDEX(Camille!$D:$D,MATCH(66489,Camille!$A:$A,0))=1, INDEX(Camille!$D:$D,MATCH(66489,Camille!$A:$A,0))=2), INDEX(Camille!$D:$D,MATCH(66489,Camille!$A:$A,0)), 0), 0)</f>
        <v>2</v>
      </c>
      <c r="H75" s="1">
        <f t="array" ref="H75">IF(ISNUMBER(MATCH(66489,Telmo!$A:$A,0)), IF(OR(INDEX(Telmo!$D:$D,MATCH(66489,Telmo!$A:$A,0))=1, INDEX(Telmo!$D:$D,MATCH(66489,Telmo!$A:$A,0))=2), INDEX(Telmo!$D:$D,MATCH(66489,Telmo!$A:$A,0)), 0), 0)</f>
        <v>0</v>
      </c>
      <c r="I75" s="1">
        <f t="array" ref="I75">IF(ISNUMBER(MATCH(66489,Max!$A:$A,0)), IF(OR(INDEX(Max!$D:$D,MATCH(66489,Max!$A:$A,0))=1, INDEX(Max!$D:$D,MATCH(66489,Max!$A:$A,0))=2), INDEX(Max!$D:$D,MATCH(66489,Max!$A:$A,0)), 0), 0)</f>
        <v>0</v>
      </c>
    </row>
    <row r="76" spans="1:9" ht="15.75" customHeight="1" x14ac:dyDescent="0.2">
      <c r="A76" s="1">
        <v>43748</v>
      </c>
      <c r="B76" s="1" t="s">
        <v>210</v>
      </c>
      <c r="C76" s="1" t="s">
        <v>211</v>
      </c>
      <c r="D76" s="1" t="str">
        <f t="shared" si="0"/>
        <v>2</v>
      </c>
      <c r="E76" s="1" t="s">
        <v>212</v>
      </c>
      <c r="G76" s="1">
        <f t="array" ref="G76">IF(ISNUMBER(MATCH(43748,Camille!$A:$A,0)), IF(OR(INDEX(Camille!$D:$D,MATCH(43748,Camille!$A:$A,0))=1, INDEX(Camille!$D:$D,MATCH(43748,Camille!$A:$A,0))=2), INDEX(Camille!$D:$D,MATCH(43748,Camille!$A:$A,0)), 0), 0)</f>
        <v>2</v>
      </c>
      <c r="H76" s="1">
        <f t="array" ref="H76">IF(ISNUMBER(MATCH(43748,Telmo!$A:$A,0)), IF(OR(INDEX(Telmo!$D:$D,MATCH(43748,Telmo!$A:$A,0))=1, INDEX(Telmo!$D:$D,MATCH(43748,Telmo!$A:$A,0))=2), INDEX(Telmo!$D:$D,MATCH(43748,Telmo!$A:$A,0)), 0), 0)</f>
        <v>0</v>
      </c>
      <c r="I76" s="1">
        <f t="array" ref="I76">IF(ISNUMBER(MATCH(43748,Max!$A:$A,0)), IF(OR(INDEX(Max!$D:$D,MATCH(43748,Max!$A:$A,0))=1, INDEX(Max!$D:$D,MATCH(43748,Max!$A:$A,0))=2), INDEX(Max!$D:$D,MATCH(43748,Max!$A:$A,0)), 0), 0)</f>
        <v>0</v>
      </c>
    </row>
    <row r="77" spans="1:9" ht="15.75" customHeight="1" x14ac:dyDescent="0.2">
      <c r="A77" s="1">
        <v>54342</v>
      </c>
      <c r="B77" s="1" t="s">
        <v>14</v>
      </c>
      <c r="C77" s="1" t="s">
        <v>213</v>
      </c>
      <c r="D77" s="1" t="str">
        <f t="shared" si="0"/>
        <v>1</v>
      </c>
      <c r="E77" s="1" t="s">
        <v>214</v>
      </c>
      <c r="G77" s="1">
        <f t="array" ref="G77">IF(ISNUMBER(MATCH(54342,Camille!$A:$A,0)), IF(OR(INDEX(Camille!$D:$D,MATCH(54342,Camille!$A:$A,0))=1, INDEX(Camille!$D:$D,MATCH(54342,Camille!$A:$A,0))=2), INDEX(Camille!$D:$D,MATCH(54342,Camille!$A:$A,0)), 0), 0)</f>
        <v>1</v>
      </c>
      <c r="H77" s="1">
        <f t="array" ref="H77">IF(ISNUMBER(MATCH(54342,Telmo!$A:$A,0)), IF(OR(INDEX(Telmo!$D:$D,MATCH(54342,Telmo!$A:$A,0))=1, INDEX(Telmo!$D:$D,MATCH(54342,Telmo!$A:$A,0))=2), INDEX(Telmo!$D:$D,MATCH(54342,Telmo!$A:$A,0)), 0), 0)</f>
        <v>0</v>
      </c>
      <c r="I77" s="1">
        <f t="array" ref="I77">IF(ISNUMBER(MATCH(54342,Max!$A:$A,0)), IF(OR(INDEX(Max!$D:$D,MATCH(54342,Max!$A:$A,0))=1, INDEX(Max!$D:$D,MATCH(54342,Max!$A:$A,0))=2), INDEX(Max!$D:$D,MATCH(54342,Max!$A:$A,0)), 0), 0)</f>
        <v>0</v>
      </c>
    </row>
    <row r="78" spans="1:9" ht="15.75" customHeight="1" x14ac:dyDescent="0.2">
      <c r="A78" s="1">
        <v>47251</v>
      </c>
      <c r="B78" s="1" t="s">
        <v>215</v>
      </c>
      <c r="C78" s="1" t="s">
        <v>216</v>
      </c>
      <c r="D78" s="1" t="str">
        <f t="shared" si="0"/>
        <v>2</v>
      </c>
      <c r="E78" s="1" t="s">
        <v>217</v>
      </c>
      <c r="G78" s="1">
        <f t="array" ref="G78">IF(ISNUMBER(MATCH(47251,Camille!$A:$A,0)), IF(OR(INDEX(Camille!$D:$D,MATCH(47251,Camille!$A:$A,0))=1, INDEX(Camille!$D:$D,MATCH(47251,Camille!$A:$A,0))=2), INDEX(Camille!$D:$D,MATCH(47251,Camille!$A:$A,0)), 0), 0)</f>
        <v>2</v>
      </c>
      <c r="H78" s="1">
        <f t="array" ref="H78">IF(ISNUMBER(MATCH(47251,Telmo!$A:$A,0)), IF(OR(INDEX(Telmo!$D:$D,MATCH(47251,Telmo!$A:$A,0))=1, INDEX(Telmo!$D:$D,MATCH(47251,Telmo!$A:$A,0))=2), INDEX(Telmo!$D:$D,MATCH(47251,Telmo!$A:$A,0)), 0), 0)</f>
        <v>0</v>
      </c>
      <c r="I78" s="1">
        <f t="array" ref="I78">IF(ISNUMBER(MATCH(47251,Max!$A:$A,0)), IF(OR(INDEX(Max!$D:$D,MATCH(47251,Max!$A:$A,0))=1, INDEX(Max!$D:$D,MATCH(47251,Max!$A:$A,0))=2), INDEX(Max!$D:$D,MATCH(47251,Max!$A:$A,0)), 0), 0)</f>
        <v>0</v>
      </c>
    </row>
    <row r="79" spans="1:9" ht="15.75" customHeight="1" x14ac:dyDescent="0.2">
      <c r="A79" s="1">
        <v>18066</v>
      </c>
      <c r="B79" s="1" t="s">
        <v>218</v>
      </c>
      <c r="C79" s="1" t="s">
        <v>219</v>
      </c>
      <c r="D79" s="1" t="str">
        <f t="shared" si="0"/>
        <v>2</v>
      </c>
      <c r="E79" s="1" t="s">
        <v>220</v>
      </c>
      <c r="G79" s="1">
        <f t="array" ref="G79">IF(ISNUMBER(MATCH(18066,Camille!$A:$A,0)), IF(OR(INDEX(Camille!$D:$D,MATCH(18066,Camille!$A:$A,0))=1, INDEX(Camille!$D:$D,MATCH(18066,Camille!$A:$A,0))=2), INDEX(Camille!$D:$D,MATCH(18066,Camille!$A:$A,0)), 0), 0)</f>
        <v>2</v>
      </c>
      <c r="H79" s="1">
        <f t="array" ref="H79">IF(ISNUMBER(MATCH(18066,Telmo!$A:$A,0)), IF(OR(INDEX(Telmo!$D:$D,MATCH(18066,Telmo!$A:$A,0))=1, INDEX(Telmo!$D:$D,MATCH(18066,Telmo!$A:$A,0))=2), INDEX(Telmo!$D:$D,MATCH(18066,Telmo!$A:$A,0)), 0), 0)</f>
        <v>0</v>
      </c>
      <c r="I79" s="1">
        <f t="array" ref="I79">IF(ISNUMBER(MATCH(18066,Max!$A:$A,0)), IF(OR(INDEX(Max!$D:$D,MATCH(18066,Max!$A:$A,0))=1, INDEX(Max!$D:$D,MATCH(18066,Max!$A:$A,0))=2), INDEX(Max!$D:$D,MATCH(18066,Max!$A:$A,0)), 0), 0)</f>
        <v>0</v>
      </c>
    </row>
    <row r="80" spans="1:9" ht="15.75" customHeight="1" x14ac:dyDescent="0.2">
      <c r="A80" s="1">
        <v>53824</v>
      </c>
      <c r="B80" s="1" t="s">
        <v>23</v>
      </c>
      <c r="C80" s="1" t="s">
        <v>221</v>
      </c>
      <c r="D80" s="1" t="str">
        <f t="shared" si="0"/>
        <v>2</v>
      </c>
      <c r="E80" s="1" t="s">
        <v>222</v>
      </c>
      <c r="G80" s="1">
        <f t="array" ref="G80">IF(ISNUMBER(MATCH(53824,Camille!$A:$A,0)), IF(OR(INDEX(Camille!$D:$D,MATCH(53824,Camille!$A:$A,0))=1, INDEX(Camille!$D:$D,MATCH(53824,Camille!$A:$A,0))=2), INDEX(Camille!$D:$D,MATCH(53824,Camille!$A:$A,0)), 0), 0)</f>
        <v>2</v>
      </c>
      <c r="H80" s="1">
        <f t="array" ref="H80">IF(ISNUMBER(MATCH(53824,Telmo!$A:$A,0)), IF(OR(INDEX(Telmo!$D:$D,MATCH(53824,Telmo!$A:$A,0))=1, INDEX(Telmo!$D:$D,MATCH(53824,Telmo!$A:$A,0))=2), INDEX(Telmo!$D:$D,MATCH(53824,Telmo!$A:$A,0)), 0), 0)</f>
        <v>0</v>
      </c>
      <c r="I80" s="1">
        <f t="array" ref="I80">IF(ISNUMBER(MATCH(53824,Max!$A:$A,0)), IF(OR(INDEX(Max!$D:$D,MATCH(53824,Max!$A:$A,0))=1, INDEX(Max!$D:$D,MATCH(53824,Max!$A:$A,0))=2), INDEX(Max!$D:$D,MATCH(53824,Max!$A:$A,0)), 0), 0)</f>
        <v>0</v>
      </c>
    </row>
    <row r="81" spans="1:9" ht="15.75" customHeight="1" x14ac:dyDescent="0.2">
      <c r="A81" s="1">
        <v>27401</v>
      </c>
      <c r="B81" s="1" t="s">
        <v>153</v>
      </c>
      <c r="C81" s="1" t="s">
        <v>223</v>
      </c>
      <c r="D81" s="1" t="str">
        <f t="shared" si="0"/>
        <v>2</v>
      </c>
      <c r="E81" s="1" t="s">
        <v>224</v>
      </c>
      <c r="G81" s="1">
        <f t="array" ref="G81">IF(ISNUMBER(MATCH(27401,Camille!$A:$A,0)), IF(OR(INDEX(Camille!$D:$D,MATCH(27401,Camille!$A:$A,0))=1, INDEX(Camille!$D:$D,MATCH(27401,Camille!$A:$A,0))=2), INDEX(Camille!$D:$D,MATCH(27401,Camille!$A:$A,0)), 0), 0)</f>
        <v>2</v>
      </c>
      <c r="H81" s="1">
        <f t="array" ref="H81">IF(ISNUMBER(MATCH(27401,Telmo!$A:$A,0)), IF(OR(INDEX(Telmo!$D:$D,MATCH(27401,Telmo!$A:$A,0))=1, INDEX(Telmo!$D:$D,MATCH(27401,Telmo!$A:$A,0))=2), INDEX(Telmo!$D:$D,MATCH(27401,Telmo!$A:$A,0)), 0), 0)</f>
        <v>0</v>
      </c>
      <c r="I81" s="1">
        <f t="array" ref="I81">IF(ISNUMBER(MATCH(27401,Max!$A:$A,0)), IF(OR(INDEX(Max!$D:$D,MATCH(27401,Max!$A:$A,0))=1, INDEX(Max!$D:$D,MATCH(27401,Max!$A:$A,0))=2), INDEX(Max!$D:$D,MATCH(27401,Max!$A:$A,0)), 0), 0)</f>
        <v>0</v>
      </c>
    </row>
    <row r="82" spans="1:9" ht="15.75" customHeight="1" x14ac:dyDescent="0.2">
      <c r="A82" s="1">
        <v>34837</v>
      </c>
      <c r="B82" s="1" t="s">
        <v>225</v>
      </c>
      <c r="C82" s="1" t="s">
        <v>226</v>
      </c>
      <c r="D82" s="1" t="str">
        <f t="shared" si="0"/>
        <v>2</v>
      </c>
      <c r="E82" s="1" t="s">
        <v>227</v>
      </c>
      <c r="G82" s="1">
        <f t="array" ref="G82">IF(ISNUMBER(MATCH(34837,Camille!$A:$A,0)), IF(OR(INDEX(Camille!$D:$D,MATCH(34837,Camille!$A:$A,0))=1, INDEX(Camille!$D:$D,MATCH(34837,Camille!$A:$A,0))=2), INDEX(Camille!$D:$D,MATCH(34837,Camille!$A:$A,0)), 0), 0)</f>
        <v>2</v>
      </c>
      <c r="H82" s="1">
        <f t="array" ref="H82">IF(ISNUMBER(MATCH(34837,Telmo!$A:$A,0)), IF(OR(INDEX(Telmo!$D:$D,MATCH(34837,Telmo!$A:$A,0))=1, INDEX(Telmo!$D:$D,MATCH(34837,Telmo!$A:$A,0))=2), INDEX(Telmo!$D:$D,MATCH(34837,Telmo!$A:$A,0)), 0), 0)</f>
        <v>0</v>
      </c>
      <c r="I82" s="1">
        <f t="array" ref="I82">IF(ISNUMBER(MATCH(34837,Max!$A:$A,0)), IF(OR(INDEX(Max!$D:$D,MATCH(34837,Max!$A:$A,0))=1, INDEX(Max!$D:$D,MATCH(34837,Max!$A:$A,0))=2), INDEX(Max!$D:$D,MATCH(34837,Max!$A:$A,0)), 0), 0)</f>
        <v>0</v>
      </c>
    </row>
    <row r="83" spans="1:9" ht="15.75" customHeight="1" x14ac:dyDescent="0.2">
      <c r="A83" s="1">
        <v>14921</v>
      </c>
      <c r="B83" s="1" t="s">
        <v>90</v>
      </c>
      <c r="C83" s="1" t="s">
        <v>228</v>
      </c>
      <c r="D83" s="1" t="str">
        <f t="shared" si="0"/>
        <v>2</v>
      </c>
      <c r="E83" s="1" t="s">
        <v>229</v>
      </c>
      <c r="G83" s="1">
        <f t="array" ref="G83">IF(ISNUMBER(MATCH(14921,Camille!$A:$A,0)), IF(OR(INDEX(Camille!$D:$D,MATCH(14921,Camille!$A:$A,0))=1, INDEX(Camille!$D:$D,MATCH(14921,Camille!$A:$A,0))=2), INDEX(Camille!$D:$D,MATCH(14921,Camille!$A:$A,0)), 0), 0)</f>
        <v>2</v>
      </c>
      <c r="H83" s="1">
        <f t="array" ref="H83">IF(ISNUMBER(MATCH(14921,Telmo!$A:$A,0)), IF(OR(INDEX(Telmo!$D:$D,MATCH(14921,Telmo!$A:$A,0))=1, INDEX(Telmo!$D:$D,MATCH(14921,Telmo!$A:$A,0))=2), INDEX(Telmo!$D:$D,MATCH(14921,Telmo!$A:$A,0)), 0), 0)</f>
        <v>0</v>
      </c>
      <c r="I83" s="1">
        <f t="array" ref="I83">IF(ISNUMBER(MATCH(14921,Max!$A:$A,0)), IF(OR(INDEX(Max!$D:$D,MATCH(14921,Max!$A:$A,0))=1, INDEX(Max!$D:$D,MATCH(14921,Max!$A:$A,0))=2), INDEX(Max!$D:$D,MATCH(14921,Max!$A:$A,0)), 0), 0)</f>
        <v>0</v>
      </c>
    </row>
    <row r="84" spans="1:9" ht="15.75" customHeight="1" x14ac:dyDescent="0.2">
      <c r="A84" s="1">
        <v>22211</v>
      </c>
      <c r="B84" s="1" t="s">
        <v>230</v>
      </c>
      <c r="C84" s="1" t="s">
        <v>231</v>
      </c>
      <c r="D84" s="1" t="str">
        <f t="shared" si="0"/>
        <v>1</v>
      </c>
      <c r="E84" s="1" t="s">
        <v>232</v>
      </c>
      <c r="G84" s="1">
        <f t="array" ref="G84">IF(ISNUMBER(MATCH(22211,Camille!$A:$A,0)), IF(OR(INDEX(Camille!$D:$D,MATCH(22211,Camille!$A:$A,0))=1, INDEX(Camille!$D:$D,MATCH(22211,Camille!$A:$A,0))=2), INDEX(Camille!$D:$D,MATCH(22211,Camille!$A:$A,0)), 0), 0)</f>
        <v>1</v>
      </c>
      <c r="H84" s="1">
        <f t="array" ref="H84">IF(ISNUMBER(MATCH(22211,Telmo!$A:$A,0)), IF(OR(INDEX(Telmo!$D:$D,MATCH(22211,Telmo!$A:$A,0))=1, INDEX(Telmo!$D:$D,MATCH(22211,Telmo!$A:$A,0))=2), INDEX(Telmo!$D:$D,MATCH(22211,Telmo!$A:$A,0)), 0), 0)</f>
        <v>0</v>
      </c>
      <c r="I84" s="1">
        <f t="array" ref="I84">IF(ISNUMBER(MATCH(22211,Max!$A:$A,0)), IF(OR(INDEX(Max!$D:$D,MATCH(22211,Max!$A:$A,0))=1, INDEX(Max!$D:$D,MATCH(22211,Max!$A:$A,0))=2), INDEX(Max!$D:$D,MATCH(22211,Max!$A:$A,0)), 0), 0)</f>
        <v>0</v>
      </c>
    </row>
    <row r="85" spans="1:9" ht="15.75" customHeight="1" x14ac:dyDescent="0.2">
      <c r="A85" s="1">
        <v>51311</v>
      </c>
      <c r="B85" s="1" t="s">
        <v>233</v>
      </c>
      <c r="C85" s="1" t="s">
        <v>234</v>
      </c>
      <c r="D85" s="1" t="str">
        <f t="shared" si="0"/>
        <v>2</v>
      </c>
      <c r="E85" s="1" t="s">
        <v>235</v>
      </c>
      <c r="G85" s="1">
        <f t="array" ref="G85">IF(ISNUMBER(MATCH(51311,Camille!$A:$A,0)), IF(OR(INDEX(Camille!$D:$D,MATCH(51311,Camille!$A:$A,0))=1, INDEX(Camille!$D:$D,MATCH(51311,Camille!$A:$A,0))=2), INDEX(Camille!$D:$D,MATCH(51311,Camille!$A:$A,0)), 0), 0)</f>
        <v>2</v>
      </c>
      <c r="H85" s="1">
        <f t="array" ref="H85">IF(ISNUMBER(MATCH(51311,Telmo!$A:$A,0)), IF(OR(INDEX(Telmo!$D:$D,MATCH(51311,Telmo!$A:$A,0))=1, INDEX(Telmo!$D:$D,MATCH(51311,Telmo!$A:$A,0))=2), INDEX(Telmo!$D:$D,MATCH(51311,Telmo!$A:$A,0)), 0), 0)</f>
        <v>0</v>
      </c>
      <c r="I85" s="1">
        <f t="array" ref="I85">IF(ISNUMBER(MATCH(51311,Max!$A:$A,0)), IF(OR(INDEX(Max!$D:$D,MATCH(51311,Max!$A:$A,0))=1, INDEX(Max!$D:$D,MATCH(51311,Max!$A:$A,0))=2), INDEX(Max!$D:$D,MATCH(51311,Max!$A:$A,0)), 0), 0)</f>
        <v>0</v>
      </c>
    </row>
    <row r="86" spans="1:9" ht="15.75" customHeight="1" x14ac:dyDescent="0.2">
      <c r="A86" s="1">
        <v>12820</v>
      </c>
      <c r="B86" s="1" t="s">
        <v>172</v>
      </c>
      <c r="C86" s="1" t="s">
        <v>236</v>
      </c>
      <c r="D86" s="1" t="str">
        <f t="shared" si="0"/>
        <v>2</v>
      </c>
      <c r="E86" s="1" t="s">
        <v>237</v>
      </c>
      <c r="G86" s="1">
        <f t="array" ref="G86">IF(ISNUMBER(MATCH(12820,Camille!$A:$A,0)), IF(OR(INDEX(Camille!$D:$D,MATCH(12820,Camille!$A:$A,0))=1, INDEX(Camille!$D:$D,MATCH(12820,Camille!$A:$A,0))=2), INDEX(Camille!$D:$D,MATCH(12820,Camille!$A:$A,0)), 0), 0)</f>
        <v>2</v>
      </c>
      <c r="H86" s="1">
        <f t="array" ref="H86">IF(ISNUMBER(MATCH(12820,Telmo!$A:$A,0)), IF(OR(INDEX(Telmo!$D:$D,MATCH(12820,Telmo!$A:$A,0))=1, INDEX(Telmo!$D:$D,MATCH(12820,Telmo!$A:$A,0))=2), INDEX(Telmo!$D:$D,MATCH(12820,Telmo!$A:$A,0)), 0), 0)</f>
        <v>0</v>
      </c>
      <c r="I86" s="1">
        <f t="array" ref="I86">IF(ISNUMBER(MATCH(12820,Max!$A:$A,0)), IF(OR(INDEX(Max!$D:$D,MATCH(12820,Max!$A:$A,0))=1, INDEX(Max!$D:$D,MATCH(12820,Max!$A:$A,0))=2), INDEX(Max!$D:$D,MATCH(12820,Max!$A:$A,0)), 0), 0)</f>
        <v>0</v>
      </c>
    </row>
    <row r="87" spans="1:9" ht="15.75" customHeight="1" x14ac:dyDescent="0.2">
      <c r="A87" s="1">
        <v>65047</v>
      </c>
      <c r="B87" s="1" t="s">
        <v>238</v>
      </c>
      <c r="C87" s="1" t="s">
        <v>239</v>
      </c>
      <c r="D87" s="1" t="str">
        <f t="shared" si="0"/>
        <v>1</v>
      </c>
      <c r="E87" s="1" t="s">
        <v>240</v>
      </c>
      <c r="G87" s="1">
        <f t="array" ref="G87">IF(ISNUMBER(MATCH(65047,Camille!$A:$A,0)), IF(OR(INDEX(Camille!$D:$D,MATCH(65047,Camille!$A:$A,0))=1, INDEX(Camille!$D:$D,MATCH(65047,Camille!$A:$A,0))=2), INDEX(Camille!$D:$D,MATCH(65047,Camille!$A:$A,0)), 0), 0)</f>
        <v>1</v>
      </c>
      <c r="H87" s="1">
        <f t="array" ref="H87">IF(ISNUMBER(MATCH(65047,Telmo!$A:$A,0)), IF(OR(INDEX(Telmo!$D:$D,MATCH(65047,Telmo!$A:$A,0))=1, INDEX(Telmo!$D:$D,MATCH(65047,Telmo!$A:$A,0))=2), INDEX(Telmo!$D:$D,MATCH(65047,Telmo!$A:$A,0)), 0), 0)</f>
        <v>0</v>
      </c>
      <c r="I87" s="1">
        <f t="array" ref="I87">IF(ISNUMBER(MATCH(65047,Max!$A:$A,0)), IF(OR(INDEX(Max!$D:$D,MATCH(65047,Max!$A:$A,0))=1, INDEX(Max!$D:$D,MATCH(65047,Max!$A:$A,0))=2), INDEX(Max!$D:$D,MATCH(65047,Max!$A:$A,0)), 0), 0)</f>
        <v>0</v>
      </c>
    </row>
    <row r="88" spans="1:9" ht="15.75" customHeight="1" x14ac:dyDescent="0.2">
      <c r="A88" s="1">
        <v>69346</v>
      </c>
      <c r="B88" s="1" t="s">
        <v>241</v>
      </c>
      <c r="C88" s="1" t="s">
        <v>242</v>
      </c>
      <c r="D88" s="1" t="str">
        <f t="shared" si="0"/>
        <v>1</v>
      </c>
      <c r="E88" s="1" t="s">
        <v>243</v>
      </c>
      <c r="G88" s="1">
        <f t="array" ref="G88">IF(ISNUMBER(MATCH(69346,Camille!$A:$A,0)), IF(OR(INDEX(Camille!$D:$D,MATCH(69346,Camille!$A:$A,0))=1, INDEX(Camille!$D:$D,MATCH(69346,Camille!$A:$A,0))=2), INDEX(Camille!$D:$D,MATCH(69346,Camille!$A:$A,0)), 0), 0)</f>
        <v>1</v>
      </c>
      <c r="H88" s="1">
        <f t="array" ref="H88">IF(ISNUMBER(MATCH(69346,Telmo!$A:$A,0)), IF(OR(INDEX(Telmo!$D:$D,MATCH(69346,Telmo!$A:$A,0))=1, INDEX(Telmo!$D:$D,MATCH(69346,Telmo!$A:$A,0))=2), INDEX(Telmo!$D:$D,MATCH(69346,Telmo!$A:$A,0)), 0), 0)</f>
        <v>0</v>
      </c>
      <c r="I88" s="1">
        <f t="array" ref="I88">IF(ISNUMBER(MATCH(69346,Max!$A:$A,0)), IF(OR(INDEX(Max!$D:$D,MATCH(69346,Max!$A:$A,0))=1, INDEX(Max!$D:$D,MATCH(69346,Max!$A:$A,0))=2), INDEX(Max!$D:$D,MATCH(69346,Max!$A:$A,0)), 0), 0)</f>
        <v>0</v>
      </c>
    </row>
    <row r="89" spans="1:9" ht="15.75" customHeight="1" x14ac:dyDescent="0.2">
      <c r="A89" s="1">
        <v>43015</v>
      </c>
      <c r="B89" s="1" t="s">
        <v>244</v>
      </c>
      <c r="C89" s="1" t="s">
        <v>245</v>
      </c>
      <c r="D89" s="1" t="str">
        <f t="shared" si="0"/>
        <v>1</v>
      </c>
      <c r="E89" s="1" t="s">
        <v>246</v>
      </c>
      <c r="G89" s="1">
        <f t="array" ref="G89">IF(ISNUMBER(MATCH(43015,Camille!$A:$A,0)), IF(OR(INDEX(Camille!$D:$D,MATCH(43015,Camille!$A:$A,0))=1, INDEX(Camille!$D:$D,MATCH(43015,Camille!$A:$A,0))=2), INDEX(Camille!$D:$D,MATCH(43015,Camille!$A:$A,0)), 0), 0)</f>
        <v>1</v>
      </c>
      <c r="H89" s="1">
        <f t="array" ref="H89">IF(ISNUMBER(MATCH(43015,Telmo!$A:$A,0)), IF(OR(INDEX(Telmo!$D:$D,MATCH(43015,Telmo!$A:$A,0))=1, INDEX(Telmo!$D:$D,MATCH(43015,Telmo!$A:$A,0))=2), INDEX(Telmo!$D:$D,MATCH(43015,Telmo!$A:$A,0)), 0), 0)</f>
        <v>0</v>
      </c>
      <c r="I89" s="1">
        <f t="array" ref="I89">IF(ISNUMBER(MATCH(43015,Max!$A:$A,0)), IF(OR(INDEX(Max!$D:$D,MATCH(43015,Max!$A:$A,0))=1, INDEX(Max!$D:$D,MATCH(43015,Max!$A:$A,0))=2), INDEX(Max!$D:$D,MATCH(43015,Max!$A:$A,0)), 0), 0)</f>
        <v>0</v>
      </c>
    </row>
    <row r="90" spans="1:9" ht="15.75" customHeight="1" x14ac:dyDescent="0.2">
      <c r="A90" s="1">
        <v>52441</v>
      </c>
      <c r="B90" s="1" t="s">
        <v>38</v>
      </c>
      <c r="C90" s="1" t="s">
        <v>247</v>
      </c>
      <c r="D90" s="1" t="str">
        <f t="shared" si="0"/>
        <v>1</v>
      </c>
      <c r="E90" s="1" t="s">
        <v>248</v>
      </c>
      <c r="G90" s="1">
        <f t="array" ref="G90">IF(ISNUMBER(MATCH(52441,Camille!$A:$A,0)), IF(OR(INDEX(Camille!$D:$D,MATCH(52441,Camille!$A:$A,0))=1, INDEX(Camille!$D:$D,MATCH(52441,Camille!$A:$A,0))=2), INDEX(Camille!$D:$D,MATCH(52441,Camille!$A:$A,0)), 0), 0)</f>
        <v>1</v>
      </c>
      <c r="H90" s="1">
        <f t="array" ref="H90">IF(ISNUMBER(MATCH(52441,Telmo!$A:$A,0)), IF(OR(INDEX(Telmo!$D:$D,MATCH(52441,Telmo!$A:$A,0))=1, INDEX(Telmo!$D:$D,MATCH(52441,Telmo!$A:$A,0))=2), INDEX(Telmo!$D:$D,MATCH(52441,Telmo!$A:$A,0)), 0), 0)</f>
        <v>0</v>
      </c>
      <c r="I90" s="1">
        <f t="array" ref="I90">IF(ISNUMBER(MATCH(52441,Max!$A:$A,0)), IF(OR(INDEX(Max!$D:$D,MATCH(52441,Max!$A:$A,0))=1, INDEX(Max!$D:$D,MATCH(52441,Max!$A:$A,0))=2), INDEX(Max!$D:$D,MATCH(52441,Max!$A:$A,0)), 0), 0)</f>
        <v>0</v>
      </c>
    </row>
    <row r="91" spans="1:9" ht="15.75" customHeight="1" x14ac:dyDescent="0.2">
      <c r="A91" s="1">
        <v>48395</v>
      </c>
      <c r="B91" s="1" t="s">
        <v>249</v>
      </c>
      <c r="C91" s="1" t="s">
        <v>250</v>
      </c>
      <c r="D91" s="1" t="str">
        <f t="shared" si="0"/>
        <v>2</v>
      </c>
      <c r="E91" s="1" t="s">
        <v>251</v>
      </c>
      <c r="G91" s="1">
        <f t="array" ref="G91">IF(ISNUMBER(MATCH(48395,Camille!$A:$A,0)), IF(OR(INDEX(Camille!$D:$D,MATCH(48395,Camille!$A:$A,0))=1, INDEX(Camille!$D:$D,MATCH(48395,Camille!$A:$A,0))=2), INDEX(Camille!$D:$D,MATCH(48395,Camille!$A:$A,0)), 0), 0)</f>
        <v>2</v>
      </c>
      <c r="H91" s="1">
        <f t="array" ref="H91">IF(ISNUMBER(MATCH(48395,Telmo!$A:$A,0)), IF(OR(INDEX(Telmo!$D:$D,MATCH(48395,Telmo!$A:$A,0))=1, INDEX(Telmo!$D:$D,MATCH(48395,Telmo!$A:$A,0))=2), INDEX(Telmo!$D:$D,MATCH(48395,Telmo!$A:$A,0)), 0), 0)</f>
        <v>0</v>
      </c>
      <c r="I91" s="1">
        <f t="array" ref="I91">IF(ISNUMBER(MATCH(48395,Max!$A:$A,0)), IF(OR(INDEX(Max!$D:$D,MATCH(48395,Max!$A:$A,0))=1, INDEX(Max!$D:$D,MATCH(48395,Max!$A:$A,0))=2), INDEX(Max!$D:$D,MATCH(48395,Max!$A:$A,0)), 0), 0)</f>
        <v>0</v>
      </c>
    </row>
    <row r="92" spans="1:9" ht="15.75" customHeight="1" x14ac:dyDescent="0.2">
      <c r="A92" s="1">
        <v>11988</v>
      </c>
      <c r="B92" s="1" t="s">
        <v>233</v>
      </c>
      <c r="C92" s="1" t="s">
        <v>252</v>
      </c>
      <c r="D92" s="1" t="str">
        <f t="shared" si="0"/>
        <v>2</v>
      </c>
      <c r="E92" s="1" t="s">
        <v>253</v>
      </c>
      <c r="G92" s="1">
        <f t="array" ref="G92">IF(ISNUMBER(MATCH(11988,Camille!$A:$A,0)), IF(OR(INDEX(Camille!$D:$D,MATCH(11988,Camille!$A:$A,0))=1, INDEX(Camille!$D:$D,MATCH(11988,Camille!$A:$A,0))=2), INDEX(Camille!$D:$D,MATCH(11988,Camille!$A:$A,0)), 0), 0)</f>
        <v>2</v>
      </c>
      <c r="H92" s="1">
        <f t="array" ref="H92">IF(ISNUMBER(MATCH(11988,Telmo!$A:$A,0)), IF(OR(INDEX(Telmo!$D:$D,MATCH(11988,Telmo!$A:$A,0))=1, INDEX(Telmo!$D:$D,MATCH(11988,Telmo!$A:$A,0))=2), INDEX(Telmo!$D:$D,MATCH(11988,Telmo!$A:$A,0)), 0), 0)</f>
        <v>0</v>
      </c>
      <c r="I92" s="1">
        <f t="array" ref="I92">IF(ISNUMBER(MATCH(11988,Max!$A:$A,0)), IF(OR(INDEX(Max!$D:$D,MATCH(11988,Max!$A:$A,0))=1, INDEX(Max!$D:$D,MATCH(11988,Max!$A:$A,0))=2), INDEX(Max!$D:$D,MATCH(11988,Max!$A:$A,0)), 0), 0)</f>
        <v>0</v>
      </c>
    </row>
    <row r="93" spans="1:9" ht="15.75" customHeight="1" x14ac:dyDescent="0.2">
      <c r="A93" s="1">
        <v>54892</v>
      </c>
      <c r="B93" s="1" t="s">
        <v>254</v>
      </c>
      <c r="C93" s="1" t="s">
        <v>255</v>
      </c>
      <c r="D93" s="1" t="str">
        <f t="shared" si="0"/>
        <v>1</v>
      </c>
      <c r="E93" s="1" t="s">
        <v>256</v>
      </c>
      <c r="G93" s="1">
        <f t="array" ref="G93">IF(ISNUMBER(MATCH(54892,Camille!$A:$A,0)), IF(OR(INDEX(Camille!$D:$D,MATCH(54892,Camille!$A:$A,0))=1, INDEX(Camille!$D:$D,MATCH(54892,Camille!$A:$A,0))=2), INDEX(Camille!$D:$D,MATCH(54892,Camille!$A:$A,0)), 0), 0)</f>
        <v>1</v>
      </c>
      <c r="H93" s="1">
        <f t="array" ref="H93">IF(ISNUMBER(MATCH(54892,Telmo!$A:$A,0)), IF(OR(INDEX(Telmo!$D:$D,MATCH(54892,Telmo!$A:$A,0))=1, INDEX(Telmo!$D:$D,MATCH(54892,Telmo!$A:$A,0))=2), INDEX(Telmo!$D:$D,MATCH(54892,Telmo!$A:$A,0)), 0), 0)</f>
        <v>0</v>
      </c>
      <c r="I93" s="1">
        <f t="array" ref="I93">IF(ISNUMBER(MATCH(54892,Max!$A:$A,0)), IF(OR(INDEX(Max!$D:$D,MATCH(54892,Max!$A:$A,0))=1, INDEX(Max!$D:$D,MATCH(54892,Max!$A:$A,0))=2), INDEX(Max!$D:$D,MATCH(54892,Max!$A:$A,0)), 0), 0)</f>
        <v>0</v>
      </c>
    </row>
    <row r="94" spans="1:9" ht="15.75" customHeight="1" x14ac:dyDescent="0.2">
      <c r="A94" s="1">
        <v>28331</v>
      </c>
      <c r="B94" s="1" t="s">
        <v>78</v>
      </c>
      <c r="C94" s="1" t="s">
        <v>257</v>
      </c>
      <c r="D94" s="1" t="str">
        <f t="shared" si="0"/>
        <v>2</v>
      </c>
      <c r="E94" s="1" t="s">
        <v>258</v>
      </c>
      <c r="G94" s="1">
        <f t="array" ref="G94">IF(ISNUMBER(MATCH(28331,Camille!$A:$A,0)), IF(OR(INDEX(Camille!$D:$D,MATCH(28331,Camille!$A:$A,0))=1, INDEX(Camille!$D:$D,MATCH(28331,Camille!$A:$A,0))=2), INDEX(Camille!$D:$D,MATCH(28331,Camille!$A:$A,0)), 0), 0)</f>
        <v>2</v>
      </c>
      <c r="H94" s="1">
        <f t="array" ref="H94">IF(ISNUMBER(MATCH(28331,Telmo!$A:$A,0)), IF(OR(INDEX(Telmo!$D:$D,MATCH(28331,Telmo!$A:$A,0))=1, INDEX(Telmo!$D:$D,MATCH(28331,Telmo!$A:$A,0))=2), INDEX(Telmo!$D:$D,MATCH(28331,Telmo!$A:$A,0)), 0), 0)</f>
        <v>0</v>
      </c>
      <c r="I94" s="1">
        <f t="array" ref="I94">IF(ISNUMBER(MATCH(28331,Max!$A:$A,0)), IF(OR(INDEX(Max!$D:$D,MATCH(28331,Max!$A:$A,0))=1, INDEX(Max!$D:$D,MATCH(28331,Max!$A:$A,0))=2), INDEX(Max!$D:$D,MATCH(28331,Max!$A:$A,0)), 0), 0)</f>
        <v>0</v>
      </c>
    </row>
    <row r="95" spans="1:9" ht="15.75" customHeight="1" x14ac:dyDescent="0.2">
      <c r="A95" s="1">
        <v>14426</v>
      </c>
      <c r="B95" s="1" t="s">
        <v>259</v>
      </c>
      <c r="C95" s="1" t="s">
        <v>260</v>
      </c>
      <c r="D95" s="1" t="str">
        <f t="shared" si="0"/>
        <v>1</v>
      </c>
      <c r="E95" s="1" t="s">
        <v>261</v>
      </c>
      <c r="G95" s="1">
        <f t="array" ref="G95">IF(ISNUMBER(MATCH(14426,Camille!$A:$A,0)), IF(OR(INDEX(Camille!$D:$D,MATCH(14426,Camille!$A:$A,0))=1, INDEX(Camille!$D:$D,MATCH(14426,Camille!$A:$A,0))=2), INDEX(Camille!$D:$D,MATCH(14426,Camille!$A:$A,0)), 0), 0)</f>
        <v>1</v>
      </c>
      <c r="H95" s="1">
        <f t="array" ref="H95">IF(ISNUMBER(MATCH(14426,Telmo!$A:$A,0)), IF(OR(INDEX(Telmo!$D:$D,MATCH(14426,Telmo!$A:$A,0))=1, INDEX(Telmo!$D:$D,MATCH(14426,Telmo!$A:$A,0))=2), INDEX(Telmo!$D:$D,MATCH(14426,Telmo!$A:$A,0)), 0), 0)</f>
        <v>0</v>
      </c>
      <c r="I95" s="1">
        <f t="array" ref="I95">IF(ISNUMBER(MATCH(14426,Max!$A:$A,0)), IF(OR(INDEX(Max!$D:$D,MATCH(14426,Max!$A:$A,0))=1, INDEX(Max!$D:$D,MATCH(14426,Max!$A:$A,0))=2), INDEX(Max!$D:$D,MATCH(14426,Max!$A:$A,0)), 0), 0)</f>
        <v>0</v>
      </c>
    </row>
    <row r="96" spans="1:9" ht="15.75" customHeight="1" x14ac:dyDescent="0.2">
      <c r="A96" s="1">
        <v>51148</v>
      </c>
      <c r="B96" s="1" t="s">
        <v>262</v>
      </c>
      <c r="C96" s="1" t="s">
        <v>263</v>
      </c>
      <c r="D96" s="1" t="str">
        <f t="shared" si="0"/>
        <v>2</v>
      </c>
      <c r="E96" s="1" t="s">
        <v>264</v>
      </c>
      <c r="G96" s="1">
        <f t="array" ref="G96">IF(ISNUMBER(MATCH(51148,Camille!$A:$A,0)), IF(OR(INDEX(Camille!$D:$D,MATCH(51148,Camille!$A:$A,0))=1, INDEX(Camille!$D:$D,MATCH(51148,Camille!$A:$A,0))=2), INDEX(Camille!$D:$D,MATCH(51148,Camille!$A:$A,0)), 0), 0)</f>
        <v>2</v>
      </c>
      <c r="H96" s="1">
        <f t="array" ref="H96">IF(ISNUMBER(MATCH(51148,Telmo!$A:$A,0)), IF(OR(INDEX(Telmo!$D:$D,MATCH(51148,Telmo!$A:$A,0))=1, INDEX(Telmo!$D:$D,MATCH(51148,Telmo!$A:$A,0))=2), INDEX(Telmo!$D:$D,MATCH(51148,Telmo!$A:$A,0)), 0), 0)</f>
        <v>0</v>
      </c>
      <c r="I96" s="1">
        <f t="array" ref="I96">IF(ISNUMBER(MATCH(51148,Max!$A:$A,0)), IF(OR(INDEX(Max!$D:$D,MATCH(51148,Max!$A:$A,0))=1, INDEX(Max!$D:$D,MATCH(51148,Max!$A:$A,0))=2), INDEX(Max!$D:$D,MATCH(51148,Max!$A:$A,0)), 0), 0)</f>
        <v>0</v>
      </c>
    </row>
    <row r="97" spans="1:9" ht="15.75" customHeight="1" x14ac:dyDescent="0.2">
      <c r="A97" s="1">
        <v>71322</v>
      </c>
      <c r="B97" s="1" t="s">
        <v>265</v>
      </c>
      <c r="C97" s="1" t="s">
        <v>266</v>
      </c>
      <c r="D97" s="1" t="str">
        <f t="shared" si="0"/>
        <v>2</v>
      </c>
      <c r="E97" s="1" t="s">
        <v>267</v>
      </c>
      <c r="G97" s="1">
        <f t="array" ref="G97">IF(ISNUMBER(MATCH(71322,Camille!$A:$A,0)), IF(OR(INDEX(Camille!$D:$D,MATCH(71322,Camille!$A:$A,0))=1, INDEX(Camille!$D:$D,MATCH(71322,Camille!$A:$A,0))=2), INDEX(Camille!$D:$D,MATCH(71322,Camille!$A:$A,0)), 0), 0)</f>
        <v>2</v>
      </c>
      <c r="H97" s="1">
        <f t="array" ref="H97">IF(ISNUMBER(MATCH(71322,Telmo!$A:$A,0)), IF(OR(INDEX(Telmo!$D:$D,MATCH(71322,Telmo!$A:$A,0))=1, INDEX(Telmo!$D:$D,MATCH(71322,Telmo!$A:$A,0))=2), INDEX(Telmo!$D:$D,MATCH(71322,Telmo!$A:$A,0)), 0), 0)</f>
        <v>0</v>
      </c>
      <c r="I97" s="1">
        <f t="array" ref="I97">IF(ISNUMBER(MATCH(71322,Max!$A:$A,0)), IF(OR(INDEX(Max!$D:$D,MATCH(71322,Max!$A:$A,0))=1, INDEX(Max!$D:$D,MATCH(71322,Max!$A:$A,0))=2), INDEX(Max!$D:$D,MATCH(71322,Max!$A:$A,0)), 0), 0)</f>
        <v>0</v>
      </c>
    </row>
    <row r="98" spans="1:9" ht="15.75" customHeight="1" x14ac:dyDescent="0.2">
      <c r="A98" s="1">
        <v>23497</v>
      </c>
      <c r="B98" s="1" t="s">
        <v>268</v>
      </c>
      <c r="C98" s="1" t="s">
        <v>269</v>
      </c>
      <c r="D98" s="1" t="str">
        <f t="shared" si="0"/>
        <v>1</v>
      </c>
      <c r="E98" s="1" t="s">
        <v>270</v>
      </c>
      <c r="G98" s="1">
        <f t="array" ref="G98">IF(ISNUMBER(MATCH(23497,Camille!$A:$A,0)), IF(OR(INDEX(Camille!$D:$D,MATCH(23497,Camille!$A:$A,0))=1, INDEX(Camille!$D:$D,MATCH(23497,Camille!$A:$A,0))=2), INDEX(Camille!$D:$D,MATCH(23497,Camille!$A:$A,0)), 0), 0)</f>
        <v>1</v>
      </c>
      <c r="H98" s="1">
        <f t="array" ref="H98">IF(ISNUMBER(MATCH(23497,Telmo!$A:$A,0)), IF(OR(INDEX(Telmo!$D:$D,MATCH(23497,Telmo!$A:$A,0))=1, INDEX(Telmo!$D:$D,MATCH(23497,Telmo!$A:$A,0))=2), INDEX(Telmo!$D:$D,MATCH(23497,Telmo!$A:$A,0)), 0), 0)</f>
        <v>0</v>
      </c>
      <c r="I98" s="1">
        <f t="array" ref="I98">IF(ISNUMBER(MATCH(23497,Max!$A:$A,0)), IF(OR(INDEX(Max!$D:$D,MATCH(23497,Max!$A:$A,0))=1, INDEX(Max!$D:$D,MATCH(23497,Max!$A:$A,0))=2), INDEX(Max!$D:$D,MATCH(23497,Max!$A:$A,0)), 0), 0)</f>
        <v>0</v>
      </c>
    </row>
    <row r="99" spans="1:9" ht="15.75" customHeight="1" x14ac:dyDescent="0.2">
      <c r="A99" s="1">
        <v>30466</v>
      </c>
      <c r="B99" s="1" t="s">
        <v>103</v>
      </c>
      <c r="C99" s="1" t="s">
        <v>271</v>
      </c>
      <c r="D99" s="1" t="str">
        <f t="shared" si="0"/>
        <v>1</v>
      </c>
      <c r="E99" s="1" t="s">
        <v>272</v>
      </c>
      <c r="G99" s="1">
        <f t="array" ref="G99">IF(ISNUMBER(MATCH(30466,Camille!$A:$A,0)), IF(OR(INDEX(Camille!$D:$D,MATCH(30466,Camille!$A:$A,0))=1, INDEX(Camille!$D:$D,MATCH(30466,Camille!$A:$A,0))=2), INDEX(Camille!$D:$D,MATCH(30466,Camille!$A:$A,0)), 0), 0)</f>
        <v>1</v>
      </c>
      <c r="H99" s="1">
        <f t="array" ref="H99">IF(ISNUMBER(MATCH(30466,Telmo!$A:$A,0)), IF(OR(INDEX(Telmo!$D:$D,MATCH(30466,Telmo!$A:$A,0))=1, INDEX(Telmo!$D:$D,MATCH(30466,Telmo!$A:$A,0))=2), INDEX(Telmo!$D:$D,MATCH(30466,Telmo!$A:$A,0)), 0), 0)</f>
        <v>0</v>
      </c>
      <c r="I99" s="1">
        <f t="array" ref="I99">IF(ISNUMBER(MATCH(30466,Max!$A:$A,0)), IF(OR(INDEX(Max!$D:$D,MATCH(30466,Max!$A:$A,0))=1, INDEX(Max!$D:$D,MATCH(30466,Max!$A:$A,0))=2), INDEX(Max!$D:$D,MATCH(30466,Max!$A:$A,0)), 0), 0)</f>
        <v>0</v>
      </c>
    </row>
    <row r="100" spans="1:9" ht="15.75" customHeight="1" x14ac:dyDescent="0.2">
      <c r="A100" s="1">
        <v>39813</v>
      </c>
      <c r="B100" s="1" t="s">
        <v>273</v>
      </c>
      <c r="C100" s="1" t="s">
        <v>274</v>
      </c>
      <c r="D100" s="1" t="str">
        <f t="shared" si="0"/>
        <v>2</v>
      </c>
      <c r="E100" s="1" t="s">
        <v>275</v>
      </c>
      <c r="G100" s="1">
        <f t="array" ref="G100">IF(ISNUMBER(MATCH(39813,Camille!$A:$A,0)), IF(OR(INDEX(Camille!$D:$D,MATCH(39813,Camille!$A:$A,0))=1, INDEX(Camille!$D:$D,MATCH(39813,Camille!$A:$A,0))=2), INDEX(Camille!$D:$D,MATCH(39813,Camille!$A:$A,0)), 0), 0)</f>
        <v>2</v>
      </c>
      <c r="H100" s="1">
        <f t="array" ref="H100">IF(ISNUMBER(MATCH(39813,Telmo!$A:$A,0)), IF(OR(INDEX(Telmo!$D:$D,MATCH(39813,Telmo!$A:$A,0))=1, INDEX(Telmo!$D:$D,MATCH(39813,Telmo!$A:$A,0))=2), INDEX(Telmo!$D:$D,MATCH(39813,Telmo!$A:$A,0)), 0), 0)</f>
        <v>0</v>
      </c>
      <c r="I100" s="1">
        <f t="array" ref="I100">IF(ISNUMBER(MATCH(39813,Max!$A:$A,0)), IF(OR(INDEX(Max!$D:$D,MATCH(39813,Max!$A:$A,0))=1, INDEX(Max!$D:$D,MATCH(39813,Max!$A:$A,0))=2), INDEX(Max!$D:$D,MATCH(39813,Max!$A:$A,0)), 0), 0)</f>
        <v>0</v>
      </c>
    </row>
    <row r="101" spans="1:9" ht="15.75" customHeight="1" x14ac:dyDescent="0.2">
      <c r="A101" s="1">
        <v>15896</v>
      </c>
      <c r="B101" s="1" t="s">
        <v>276</v>
      </c>
      <c r="C101" s="1" t="s">
        <v>277</v>
      </c>
      <c r="D101" s="1" t="str">
        <f t="shared" si="0"/>
        <v>1</v>
      </c>
      <c r="E101" s="1" t="s">
        <v>278</v>
      </c>
      <c r="G101" s="1">
        <f t="array" ref="G101">IF(ISNUMBER(MATCH(15896,Camille!$A:$A,0)), IF(OR(INDEX(Camille!$D:$D,MATCH(15896,Camille!$A:$A,0))=1, INDEX(Camille!$D:$D,MATCH(15896,Camille!$A:$A,0))=2), INDEX(Camille!$D:$D,MATCH(15896,Camille!$A:$A,0)), 0), 0)</f>
        <v>1</v>
      </c>
      <c r="H101" s="1">
        <f t="array" ref="H101">IF(ISNUMBER(MATCH(15896,Telmo!$A:$A,0)), IF(OR(INDEX(Telmo!$D:$D,MATCH(15896,Telmo!$A:$A,0))=1, INDEX(Telmo!$D:$D,MATCH(15896,Telmo!$A:$A,0))=2), INDEX(Telmo!$D:$D,MATCH(15896,Telmo!$A:$A,0)), 0), 0)</f>
        <v>0</v>
      </c>
      <c r="I101" s="1">
        <f t="array" ref="I101">IF(ISNUMBER(MATCH(15896,Max!$A:$A,0)), IF(OR(INDEX(Max!$D:$D,MATCH(15896,Max!$A:$A,0))=1, INDEX(Max!$D:$D,MATCH(15896,Max!$A:$A,0))=2), INDEX(Max!$D:$D,MATCH(15896,Max!$A:$A,0)), 0), 0)</f>
        <v>0</v>
      </c>
    </row>
    <row r="102" spans="1:9" ht="15.75" customHeight="1" x14ac:dyDescent="0.2">
      <c r="A102" s="1">
        <v>70243</v>
      </c>
      <c r="B102" s="1" t="s">
        <v>279</v>
      </c>
      <c r="C102" s="1" t="s">
        <v>280</v>
      </c>
      <c r="D102" s="1" t="str">
        <f t="shared" si="0"/>
        <v>2</v>
      </c>
      <c r="E102" s="1" t="s">
        <v>281</v>
      </c>
      <c r="G102" s="1">
        <f t="array" ref="G102">IF(ISNUMBER(MATCH(70243,Camille!$A:$A,0)), IF(OR(INDEX(Camille!$D:$D,MATCH(70243,Camille!$A:$A,0))=1, INDEX(Camille!$D:$D,MATCH(70243,Camille!$A:$A,0))=2), INDEX(Camille!$D:$D,MATCH(70243,Camille!$A:$A,0)), 0), 0)</f>
        <v>2</v>
      </c>
      <c r="H102" s="1">
        <f t="array" ref="H102">IF(ISNUMBER(MATCH(70243,Telmo!$A:$A,0)), IF(OR(INDEX(Telmo!$D:$D,MATCH(70243,Telmo!$A:$A,0))=1, INDEX(Telmo!$D:$D,MATCH(70243,Telmo!$A:$A,0))=2), INDEX(Telmo!$D:$D,MATCH(70243,Telmo!$A:$A,0)), 0), 0)</f>
        <v>0</v>
      </c>
      <c r="I102" s="1">
        <f t="array" ref="I102">IF(ISNUMBER(MATCH(70243,Max!$A:$A,0)), IF(OR(INDEX(Max!$D:$D,MATCH(70243,Max!$A:$A,0))=1, INDEX(Max!$D:$D,MATCH(70243,Max!$A:$A,0))=2), INDEX(Max!$D:$D,MATCH(70243,Max!$A:$A,0)), 0), 0)</f>
        <v>0</v>
      </c>
    </row>
    <row r="103" spans="1:9" ht="15.75" customHeight="1" x14ac:dyDescent="0.2">
      <c r="A103" s="1">
        <v>43563</v>
      </c>
      <c r="B103" s="1" t="s">
        <v>282</v>
      </c>
      <c r="C103" s="1" t="s">
        <v>283</v>
      </c>
      <c r="D103" s="1" t="str">
        <f t="shared" si="0"/>
        <v>2</v>
      </c>
      <c r="E103" s="1" t="s">
        <v>284</v>
      </c>
      <c r="G103" s="1">
        <f t="array" ref="G103">IF(ISNUMBER(MATCH(43563,Camille!$A:$A,0)), IF(OR(INDEX(Camille!$D:$D,MATCH(43563,Camille!$A:$A,0))=1, INDEX(Camille!$D:$D,MATCH(43563,Camille!$A:$A,0))=2), INDEX(Camille!$D:$D,MATCH(43563,Camille!$A:$A,0)), 0), 0)</f>
        <v>2</v>
      </c>
      <c r="H103" s="1">
        <f t="array" ref="H103">IF(ISNUMBER(MATCH(43563,Telmo!$A:$A,0)), IF(OR(INDEX(Telmo!$D:$D,MATCH(43563,Telmo!$A:$A,0))=1, INDEX(Telmo!$D:$D,MATCH(43563,Telmo!$A:$A,0))=2), INDEX(Telmo!$D:$D,MATCH(43563,Telmo!$A:$A,0)), 0), 0)</f>
        <v>0</v>
      </c>
      <c r="I103" s="1">
        <f t="array" ref="I103">IF(ISNUMBER(MATCH(43563,Max!$A:$A,0)), IF(OR(INDEX(Max!$D:$D,MATCH(43563,Max!$A:$A,0))=1, INDEX(Max!$D:$D,MATCH(43563,Max!$A:$A,0))=2), INDEX(Max!$D:$D,MATCH(43563,Max!$A:$A,0)), 0), 0)</f>
        <v>0</v>
      </c>
    </row>
    <row r="104" spans="1:9" ht="15.75" customHeight="1" x14ac:dyDescent="0.2">
      <c r="A104" s="1">
        <v>61629</v>
      </c>
      <c r="B104" s="1" t="s">
        <v>84</v>
      </c>
      <c r="C104" s="1" t="s">
        <v>285</v>
      </c>
      <c r="D104" s="1" t="str">
        <f t="shared" si="0"/>
        <v>2</v>
      </c>
      <c r="E104" s="1" t="s">
        <v>286</v>
      </c>
      <c r="G104" s="1">
        <f t="array" ref="G104">IF(ISNUMBER(MATCH(61629,Camille!$A:$A,0)), IF(OR(INDEX(Camille!$D:$D,MATCH(61629,Camille!$A:$A,0))=1, INDEX(Camille!$D:$D,MATCH(61629,Camille!$A:$A,0))=2), INDEX(Camille!$D:$D,MATCH(61629,Camille!$A:$A,0)), 0), 0)</f>
        <v>2</v>
      </c>
      <c r="H104" s="1">
        <f t="array" ref="H104">IF(ISNUMBER(MATCH(61629,Telmo!$A:$A,0)), IF(OR(INDEX(Telmo!$D:$D,MATCH(61629,Telmo!$A:$A,0))=1, INDEX(Telmo!$D:$D,MATCH(61629,Telmo!$A:$A,0))=2), INDEX(Telmo!$D:$D,MATCH(61629,Telmo!$A:$A,0)), 0), 0)</f>
        <v>0</v>
      </c>
      <c r="I104" s="1">
        <f t="array" ref="I104">IF(ISNUMBER(MATCH(61629,Max!$A:$A,0)), IF(OR(INDEX(Max!$D:$D,MATCH(61629,Max!$A:$A,0))=1, INDEX(Max!$D:$D,MATCH(61629,Max!$A:$A,0))=2), INDEX(Max!$D:$D,MATCH(61629,Max!$A:$A,0)), 0), 0)</f>
        <v>0</v>
      </c>
    </row>
    <row r="105" spans="1:9" ht="15.75" customHeight="1" x14ac:dyDescent="0.2">
      <c r="A105" s="1">
        <v>32493</v>
      </c>
      <c r="B105" s="1" t="s">
        <v>287</v>
      </c>
      <c r="C105" s="1" t="s">
        <v>288</v>
      </c>
      <c r="D105" s="1" t="str">
        <f t="shared" si="0"/>
        <v>1</v>
      </c>
      <c r="E105" s="1" t="s">
        <v>289</v>
      </c>
      <c r="G105" s="1">
        <f t="array" ref="G105">IF(ISNUMBER(MATCH(32493,Camille!$A:$A,0)), IF(OR(INDEX(Camille!$D:$D,MATCH(32493,Camille!$A:$A,0))=1, INDEX(Camille!$D:$D,MATCH(32493,Camille!$A:$A,0))=2), INDEX(Camille!$D:$D,MATCH(32493,Camille!$A:$A,0)), 0), 0)</f>
        <v>1</v>
      </c>
      <c r="H105" s="1">
        <f t="array" ref="H105">IF(ISNUMBER(MATCH(32493,Telmo!$A:$A,0)), IF(OR(INDEX(Telmo!$D:$D,MATCH(32493,Telmo!$A:$A,0))=1, INDEX(Telmo!$D:$D,MATCH(32493,Telmo!$A:$A,0))=2), INDEX(Telmo!$D:$D,MATCH(32493,Telmo!$A:$A,0)), 0), 0)</f>
        <v>0</v>
      </c>
      <c r="I105" s="1">
        <f t="array" ref="I105">IF(ISNUMBER(MATCH(32493,Max!$A:$A,0)), IF(OR(INDEX(Max!$D:$D,MATCH(32493,Max!$A:$A,0))=1, INDEX(Max!$D:$D,MATCH(32493,Max!$A:$A,0))=2), INDEX(Max!$D:$D,MATCH(32493,Max!$A:$A,0)), 0), 0)</f>
        <v>0</v>
      </c>
    </row>
    <row r="106" spans="1:9" ht="15.75" customHeight="1" x14ac:dyDescent="0.2">
      <c r="A106" s="1">
        <v>30312</v>
      </c>
      <c r="B106" s="1" t="s">
        <v>290</v>
      </c>
      <c r="C106" s="1" t="s">
        <v>291</v>
      </c>
      <c r="D106" s="1" t="str">
        <f t="shared" si="0"/>
        <v>1</v>
      </c>
      <c r="E106" s="1" t="s">
        <v>292</v>
      </c>
      <c r="G106" s="1">
        <f t="array" ref="G106">IF(ISNUMBER(MATCH(30312,Camille!$A:$A,0)), IF(OR(INDEX(Camille!$D:$D,MATCH(30312,Camille!$A:$A,0))=1, INDEX(Camille!$D:$D,MATCH(30312,Camille!$A:$A,0))=2), INDEX(Camille!$D:$D,MATCH(30312,Camille!$A:$A,0)), 0), 0)</f>
        <v>1</v>
      </c>
      <c r="H106" s="1">
        <f t="array" ref="H106">IF(ISNUMBER(MATCH(30312,Telmo!$A:$A,0)), IF(OR(INDEX(Telmo!$D:$D,MATCH(30312,Telmo!$A:$A,0))=1, INDEX(Telmo!$D:$D,MATCH(30312,Telmo!$A:$A,0))=2), INDEX(Telmo!$D:$D,MATCH(30312,Telmo!$A:$A,0)), 0), 0)</f>
        <v>0</v>
      </c>
      <c r="I106" s="1">
        <f t="array" ref="I106">IF(ISNUMBER(MATCH(30312,Max!$A:$A,0)), IF(OR(INDEX(Max!$D:$D,MATCH(30312,Max!$A:$A,0))=1, INDEX(Max!$D:$D,MATCH(30312,Max!$A:$A,0))=2), INDEX(Max!$D:$D,MATCH(30312,Max!$A:$A,0)), 0), 0)</f>
        <v>0</v>
      </c>
    </row>
    <row r="107" spans="1:9" ht="15.75" customHeight="1" x14ac:dyDescent="0.2">
      <c r="A107" s="1">
        <v>6465</v>
      </c>
      <c r="B107" s="1" t="s">
        <v>14</v>
      </c>
      <c r="C107" s="1" t="s">
        <v>293</v>
      </c>
      <c r="D107" s="1" t="str">
        <f t="shared" si="0"/>
        <v>1</v>
      </c>
      <c r="E107" s="1" t="s">
        <v>294</v>
      </c>
      <c r="G107" s="1">
        <f t="array" ref="G107">IF(ISNUMBER(MATCH(6465,Camille!$A:$A,0)), IF(OR(INDEX(Camille!$D:$D,MATCH(6465,Camille!$A:$A,0))=1, INDEX(Camille!$D:$D,MATCH(6465,Camille!$A:$A,0))=2), INDEX(Camille!$D:$D,MATCH(6465,Camille!$A:$A,0)), 0), 0)</f>
        <v>1</v>
      </c>
      <c r="H107" s="1">
        <f t="array" ref="H107">IF(ISNUMBER(MATCH(6465,Telmo!$A:$A,0)), IF(OR(INDEX(Telmo!$D:$D,MATCH(6465,Telmo!$A:$A,0))=1, INDEX(Telmo!$D:$D,MATCH(6465,Telmo!$A:$A,0))=2), INDEX(Telmo!$D:$D,MATCH(6465,Telmo!$A:$A,0)), 0), 0)</f>
        <v>0</v>
      </c>
      <c r="I107" s="1">
        <f t="array" ref="I107">IF(ISNUMBER(MATCH(6465,Max!$A:$A,0)), IF(OR(INDEX(Max!$D:$D,MATCH(6465,Max!$A:$A,0))=1, INDEX(Max!$D:$D,MATCH(6465,Max!$A:$A,0))=2), INDEX(Max!$D:$D,MATCH(6465,Max!$A:$A,0)), 0), 0)</f>
        <v>0</v>
      </c>
    </row>
    <row r="108" spans="1:9" ht="15.75" customHeight="1" x14ac:dyDescent="0.2">
      <c r="A108" s="1">
        <v>23889</v>
      </c>
      <c r="B108" s="1" t="s">
        <v>295</v>
      </c>
      <c r="C108" s="1" t="s">
        <v>296</v>
      </c>
      <c r="D108" s="1" t="str">
        <f t="shared" si="0"/>
        <v>2</v>
      </c>
      <c r="E108" s="1" t="s">
        <v>297</v>
      </c>
      <c r="G108" s="1">
        <f t="array" ref="G108">IF(ISNUMBER(MATCH(23889,Camille!$A:$A,0)), IF(OR(INDEX(Camille!$D:$D,MATCH(23889,Camille!$A:$A,0))=1, INDEX(Camille!$D:$D,MATCH(23889,Camille!$A:$A,0))=2), INDEX(Camille!$D:$D,MATCH(23889,Camille!$A:$A,0)), 0), 0)</f>
        <v>2</v>
      </c>
      <c r="H108" s="1">
        <f t="array" ref="H108">IF(ISNUMBER(MATCH(23889,Telmo!$A:$A,0)), IF(OR(INDEX(Telmo!$D:$D,MATCH(23889,Telmo!$A:$A,0))=1, INDEX(Telmo!$D:$D,MATCH(23889,Telmo!$A:$A,0))=2), INDEX(Telmo!$D:$D,MATCH(23889,Telmo!$A:$A,0)), 0), 0)</f>
        <v>0</v>
      </c>
      <c r="I108" s="1">
        <f t="array" ref="I108">IF(ISNUMBER(MATCH(23889,Max!$A:$A,0)), IF(OR(INDEX(Max!$D:$D,MATCH(23889,Max!$A:$A,0))=1, INDEX(Max!$D:$D,MATCH(23889,Max!$A:$A,0))=2), INDEX(Max!$D:$D,MATCH(23889,Max!$A:$A,0)), 0), 0)</f>
        <v>0</v>
      </c>
    </row>
    <row r="109" spans="1:9" ht="15.75" customHeight="1" x14ac:dyDescent="0.2">
      <c r="A109" s="1">
        <v>43432</v>
      </c>
      <c r="B109" s="1" t="s">
        <v>298</v>
      </c>
      <c r="C109" s="1" t="s">
        <v>299</v>
      </c>
      <c r="D109" s="1" t="str">
        <f t="shared" si="0"/>
        <v>1</v>
      </c>
      <c r="E109" s="1" t="s">
        <v>300</v>
      </c>
      <c r="G109" s="1">
        <f t="array" ref="G109">IF(ISNUMBER(MATCH(43432,Camille!$A:$A,0)), IF(OR(INDEX(Camille!$D:$D,MATCH(43432,Camille!$A:$A,0))=1, INDEX(Camille!$D:$D,MATCH(43432,Camille!$A:$A,0))=2), INDEX(Camille!$D:$D,MATCH(43432,Camille!$A:$A,0)), 0), 0)</f>
        <v>1</v>
      </c>
      <c r="H109" s="1">
        <f t="array" ref="H109">IF(ISNUMBER(MATCH(43432,Telmo!$A:$A,0)), IF(OR(INDEX(Telmo!$D:$D,MATCH(43432,Telmo!$A:$A,0))=1, INDEX(Telmo!$D:$D,MATCH(43432,Telmo!$A:$A,0))=2), INDEX(Telmo!$D:$D,MATCH(43432,Telmo!$A:$A,0)), 0), 0)</f>
        <v>0</v>
      </c>
      <c r="I109" s="1">
        <f t="array" ref="I109">IF(ISNUMBER(MATCH(43432,Max!$A:$A,0)), IF(OR(INDEX(Max!$D:$D,MATCH(43432,Max!$A:$A,0))=1, INDEX(Max!$D:$D,MATCH(43432,Max!$A:$A,0))=2), INDEX(Max!$D:$D,MATCH(43432,Max!$A:$A,0)), 0), 0)</f>
        <v>0</v>
      </c>
    </row>
    <row r="110" spans="1:9" ht="15.75" customHeight="1" x14ac:dyDescent="0.2">
      <c r="A110" s="1">
        <v>4325</v>
      </c>
      <c r="B110" s="1" t="s">
        <v>301</v>
      </c>
      <c r="C110" s="1" t="s">
        <v>302</v>
      </c>
      <c r="D110" s="1" t="str">
        <f t="shared" si="0"/>
        <v>2</v>
      </c>
      <c r="E110" s="1" t="s">
        <v>303</v>
      </c>
      <c r="G110" s="1">
        <f t="array" ref="G110">IF(ISNUMBER(MATCH(4325,Camille!$A:$A,0)), IF(OR(INDEX(Camille!$D:$D,MATCH(4325,Camille!$A:$A,0))=1, INDEX(Camille!$D:$D,MATCH(4325,Camille!$A:$A,0))=2), INDEX(Camille!$D:$D,MATCH(4325,Camille!$A:$A,0)), 0), 0)</f>
        <v>2</v>
      </c>
      <c r="H110" s="1">
        <f t="array" ref="H110">IF(ISNUMBER(MATCH(4325,Telmo!$A:$A,0)), IF(OR(INDEX(Telmo!$D:$D,MATCH(4325,Telmo!$A:$A,0))=1, INDEX(Telmo!$D:$D,MATCH(4325,Telmo!$A:$A,0))=2), INDEX(Telmo!$D:$D,MATCH(4325,Telmo!$A:$A,0)), 0), 0)</f>
        <v>0</v>
      </c>
      <c r="I110" s="1">
        <f t="array" ref="I110">IF(ISNUMBER(MATCH(4325,Max!$A:$A,0)), IF(OR(INDEX(Max!$D:$D,MATCH(4325,Max!$A:$A,0))=1, INDEX(Max!$D:$D,MATCH(4325,Max!$A:$A,0))=2), INDEX(Max!$D:$D,MATCH(4325,Max!$A:$A,0)), 0), 0)</f>
        <v>0</v>
      </c>
    </row>
    <row r="111" spans="1:9" ht="15.75" customHeight="1" x14ac:dyDescent="0.2">
      <c r="A111" s="1">
        <v>10082</v>
      </c>
      <c r="B111" s="1" t="s">
        <v>304</v>
      </c>
      <c r="C111" s="1" t="s">
        <v>305</v>
      </c>
      <c r="D111" s="1" t="str">
        <f t="shared" si="0"/>
        <v>2</v>
      </c>
      <c r="E111" s="1" t="s">
        <v>306</v>
      </c>
      <c r="G111" s="1">
        <f t="array" ref="G111">IF(ISNUMBER(MATCH(10082,Camille!$A:$A,0)), IF(OR(INDEX(Camille!$D:$D,MATCH(10082,Camille!$A:$A,0))=1, INDEX(Camille!$D:$D,MATCH(10082,Camille!$A:$A,0))=2), INDEX(Camille!$D:$D,MATCH(10082,Camille!$A:$A,0)), 0), 0)</f>
        <v>2</v>
      </c>
      <c r="H111" s="1">
        <f t="array" ref="H111">IF(ISNUMBER(MATCH(10082,Telmo!$A:$A,0)), IF(OR(INDEX(Telmo!$D:$D,MATCH(10082,Telmo!$A:$A,0))=1, INDEX(Telmo!$D:$D,MATCH(10082,Telmo!$A:$A,0))=2), INDEX(Telmo!$D:$D,MATCH(10082,Telmo!$A:$A,0)), 0), 0)</f>
        <v>0</v>
      </c>
      <c r="I111" s="1">
        <f t="array" ref="I111">IF(ISNUMBER(MATCH(10082,Max!$A:$A,0)), IF(OR(INDEX(Max!$D:$D,MATCH(10082,Max!$A:$A,0))=1, INDEX(Max!$D:$D,MATCH(10082,Max!$A:$A,0))=2), INDEX(Max!$D:$D,MATCH(10082,Max!$A:$A,0)), 0), 0)</f>
        <v>0</v>
      </c>
    </row>
    <row r="112" spans="1:9" ht="15.75" customHeight="1" x14ac:dyDescent="0.2">
      <c r="A112" s="1">
        <v>12158</v>
      </c>
      <c r="B112" s="1" t="s">
        <v>307</v>
      </c>
      <c r="C112" s="1" t="s">
        <v>308</v>
      </c>
      <c r="D112" s="1" t="str">
        <f t="shared" si="0"/>
        <v>2</v>
      </c>
      <c r="E112" s="1" t="s">
        <v>309</v>
      </c>
      <c r="G112" s="1">
        <f t="array" ref="G112">IF(ISNUMBER(MATCH(12158,Camille!$A:$A,0)), IF(OR(INDEX(Camille!$D:$D,MATCH(12158,Camille!$A:$A,0))=1, INDEX(Camille!$D:$D,MATCH(12158,Camille!$A:$A,0))=2), INDEX(Camille!$D:$D,MATCH(12158,Camille!$A:$A,0)), 0), 0)</f>
        <v>2</v>
      </c>
      <c r="H112" s="1">
        <f t="array" ref="H112">IF(ISNUMBER(MATCH(12158,Telmo!$A:$A,0)), IF(OR(INDEX(Telmo!$D:$D,MATCH(12158,Telmo!$A:$A,0))=1, INDEX(Telmo!$D:$D,MATCH(12158,Telmo!$A:$A,0))=2), INDEX(Telmo!$D:$D,MATCH(12158,Telmo!$A:$A,0)), 0), 0)</f>
        <v>0</v>
      </c>
      <c r="I112" s="1">
        <f t="array" ref="I112">IF(ISNUMBER(MATCH(12158,Max!$A:$A,0)), IF(OR(INDEX(Max!$D:$D,MATCH(12158,Max!$A:$A,0))=1, INDEX(Max!$D:$D,MATCH(12158,Max!$A:$A,0))=2), INDEX(Max!$D:$D,MATCH(12158,Max!$A:$A,0)), 0), 0)</f>
        <v>0</v>
      </c>
    </row>
    <row r="113" spans="1:9" ht="15.75" customHeight="1" x14ac:dyDescent="0.2">
      <c r="A113" s="1">
        <v>55122</v>
      </c>
      <c r="B113" s="1" t="s">
        <v>32</v>
      </c>
      <c r="C113" s="1" t="s">
        <v>310</v>
      </c>
      <c r="D113" s="1" t="str">
        <f t="shared" si="0"/>
        <v>2</v>
      </c>
      <c r="E113" s="1" t="s">
        <v>311</v>
      </c>
      <c r="G113" s="1">
        <f t="array" ref="G113">IF(ISNUMBER(MATCH(55122,Camille!$A:$A,0)), IF(OR(INDEX(Camille!$D:$D,MATCH(55122,Camille!$A:$A,0))=1, INDEX(Camille!$D:$D,MATCH(55122,Camille!$A:$A,0))=2), INDEX(Camille!$D:$D,MATCH(55122,Camille!$A:$A,0)), 0), 0)</f>
        <v>2</v>
      </c>
      <c r="H113" s="1">
        <f t="array" ref="H113">IF(ISNUMBER(MATCH(55122,Telmo!$A:$A,0)), IF(OR(INDEX(Telmo!$D:$D,MATCH(55122,Telmo!$A:$A,0))=1, INDEX(Telmo!$D:$D,MATCH(55122,Telmo!$A:$A,0))=2), INDEX(Telmo!$D:$D,MATCH(55122,Telmo!$A:$A,0)), 0), 0)</f>
        <v>0</v>
      </c>
      <c r="I113" s="1">
        <f t="array" ref="I113">IF(ISNUMBER(MATCH(55122,Max!$A:$A,0)), IF(OR(INDEX(Max!$D:$D,MATCH(55122,Max!$A:$A,0))=1, INDEX(Max!$D:$D,MATCH(55122,Max!$A:$A,0))=2), INDEX(Max!$D:$D,MATCH(55122,Max!$A:$A,0)), 0), 0)</f>
        <v>0</v>
      </c>
    </row>
    <row r="114" spans="1:9" ht="15.75" customHeight="1" x14ac:dyDescent="0.2">
      <c r="A114" s="1">
        <v>14436</v>
      </c>
      <c r="B114" s="1" t="s">
        <v>312</v>
      </c>
      <c r="C114" s="1" t="s">
        <v>313</v>
      </c>
      <c r="D114" s="1" t="str">
        <f t="shared" si="0"/>
        <v>2</v>
      </c>
      <c r="E114" s="1" t="s">
        <v>314</v>
      </c>
      <c r="G114" s="1">
        <f t="array" ref="G114">IF(ISNUMBER(MATCH(14436,Camille!$A:$A,0)), IF(OR(INDEX(Camille!$D:$D,MATCH(14436,Camille!$A:$A,0))=1, INDEX(Camille!$D:$D,MATCH(14436,Camille!$A:$A,0))=2), INDEX(Camille!$D:$D,MATCH(14436,Camille!$A:$A,0)), 0), 0)</f>
        <v>2</v>
      </c>
      <c r="H114" s="1">
        <f t="array" ref="H114">IF(ISNUMBER(MATCH(14436,Telmo!$A:$A,0)), IF(OR(INDEX(Telmo!$D:$D,MATCH(14436,Telmo!$A:$A,0))=1, INDEX(Telmo!$D:$D,MATCH(14436,Telmo!$A:$A,0))=2), INDEX(Telmo!$D:$D,MATCH(14436,Telmo!$A:$A,0)), 0), 0)</f>
        <v>0</v>
      </c>
      <c r="I114" s="1">
        <f t="array" ref="I114">IF(ISNUMBER(MATCH(14436,Max!$A:$A,0)), IF(OR(INDEX(Max!$D:$D,MATCH(14436,Max!$A:$A,0))=1, INDEX(Max!$D:$D,MATCH(14436,Max!$A:$A,0))=2), INDEX(Max!$D:$D,MATCH(14436,Max!$A:$A,0)), 0), 0)</f>
        <v>0</v>
      </c>
    </row>
    <row r="115" spans="1:9" ht="15.75" customHeight="1" x14ac:dyDescent="0.2">
      <c r="A115" s="1">
        <v>33</v>
      </c>
      <c r="B115" s="1" t="s">
        <v>315</v>
      </c>
      <c r="C115" s="1" t="s">
        <v>316</v>
      </c>
      <c r="D115" s="1" t="str">
        <f t="shared" si="0"/>
        <v>2</v>
      </c>
      <c r="E115" s="1" t="s">
        <v>317</v>
      </c>
      <c r="G115" s="1">
        <f t="array" ref="G115">IF(ISNUMBER(MATCH(33,Camille!$A:$A,0)), IF(OR(INDEX(Camille!$D:$D,MATCH(33,Camille!$A:$A,0))=1, INDEX(Camille!$D:$D,MATCH(33,Camille!$A:$A,0))=2), INDEX(Camille!$D:$D,MATCH(33,Camille!$A:$A,0)), 0), 0)</f>
        <v>2</v>
      </c>
      <c r="H115" s="1">
        <f t="array" ref="H115">IF(ISNUMBER(MATCH(33,Telmo!$A:$A,0)), IF(OR(INDEX(Telmo!$D:$D,MATCH(33,Telmo!$A:$A,0))=1, INDEX(Telmo!$D:$D,MATCH(33,Telmo!$A:$A,0))=2), INDEX(Telmo!$D:$D,MATCH(33,Telmo!$A:$A,0)), 0), 0)</f>
        <v>0</v>
      </c>
      <c r="I115" s="1">
        <f t="array" ref="I115">IF(ISNUMBER(MATCH(33,Max!$A:$A,0)), IF(OR(INDEX(Max!$D:$D,MATCH(33,Max!$A:$A,0))=1, INDEX(Max!$D:$D,MATCH(33,Max!$A:$A,0))=2), INDEX(Max!$D:$D,MATCH(33,Max!$A:$A,0)), 0), 0)</f>
        <v>0</v>
      </c>
    </row>
    <row r="116" spans="1:9" ht="15.75" customHeight="1" x14ac:dyDescent="0.2">
      <c r="A116" s="1">
        <v>55925</v>
      </c>
      <c r="B116" s="1" t="s">
        <v>318</v>
      </c>
      <c r="C116" s="1" t="s">
        <v>319</v>
      </c>
      <c r="D116" s="1" t="str">
        <f t="shared" si="0"/>
        <v>1</v>
      </c>
      <c r="E116" s="1" t="s">
        <v>320</v>
      </c>
      <c r="G116" s="1">
        <f t="array" ref="G116">IF(ISNUMBER(MATCH(55925,Camille!$A:$A,0)), IF(OR(INDEX(Camille!$D:$D,MATCH(55925,Camille!$A:$A,0))=1, INDEX(Camille!$D:$D,MATCH(55925,Camille!$A:$A,0))=2), INDEX(Camille!$D:$D,MATCH(55925,Camille!$A:$A,0)), 0), 0)</f>
        <v>1</v>
      </c>
      <c r="H116" s="1">
        <f t="array" ref="H116">IF(ISNUMBER(MATCH(55925,Telmo!$A:$A,0)), IF(OR(INDEX(Telmo!$D:$D,MATCH(55925,Telmo!$A:$A,0))=1, INDEX(Telmo!$D:$D,MATCH(55925,Telmo!$A:$A,0))=2), INDEX(Telmo!$D:$D,MATCH(55925,Telmo!$A:$A,0)), 0), 0)</f>
        <v>0</v>
      </c>
      <c r="I116" s="1">
        <f t="array" ref="I116">IF(ISNUMBER(MATCH(55925,Max!$A:$A,0)), IF(OR(INDEX(Max!$D:$D,MATCH(55925,Max!$A:$A,0))=1, INDEX(Max!$D:$D,MATCH(55925,Max!$A:$A,0))=2), INDEX(Max!$D:$D,MATCH(55925,Max!$A:$A,0)), 0), 0)</f>
        <v>0</v>
      </c>
    </row>
    <row r="117" spans="1:9" ht="15.75" customHeight="1" x14ac:dyDescent="0.2">
      <c r="A117" s="1">
        <v>27929</v>
      </c>
      <c r="B117" s="1" t="s">
        <v>321</v>
      </c>
      <c r="C117" s="1" t="s">
        <v>322</v>
      </c>
      <c r="D117" s="1" t="str">
        <f t="shared" si="0"/>
        <v>2</v>
      </c>
      <c r="E117" s="1" t="s">
        <v>323</v>
      </c>
      <c r="G117" s="1">
        <f t="array" ref="G117">IF(ISNUMBER(MATCH(27929,Camille!$A:$A,0)), IF(OR(INDEX(Camille!$D:$D,MATCH(27929,Camille!$A:$A,0))=1, INDEX(Camille!$D:$D,MATCH(27929,Camille!$A:$A,0))=2), INDEX(Camille!$D:$D,MATCH(27929,Camille!$A:$A,0)), 0), 0)</f>
        <v>2</v>
      </c>
      <c r="H117" s="1">
        <f t="array" ref="H117">IF(ISNUMBER(MATCH(27929,Telmo!$A:$A,0)), IF(OR(INDEX(Telmo!$D:$D,MATCH(27929,Telmo!$A:$A,0))=1, INDEX(Telmo!$D:$D,MATCH(27929,Telmo!$A:$A,0))=2), INDEX(Telmo!$D:$D,MATCH(27929,Telmo!$A:$A,0)), 0), 0)</f>
        <v>0</v>
      </c>
      <c r="I117" s="1">
        <f t="array" ref="I117">IF(ISNUMBER(MATCH(27929,Max!$A:$A,0)), IF(OR(INDEX(Max!$D:$D,MATCH(27929,Max!$A:$A,0))=1, INDEX(Max!$D:$D,MATCH(27929,Max!$A:$A,0))=2), INDEX(Max!$D:$D,MATCH(27929,Max!$A:$A,0)), 0), 0)</f>
        <v>0</v>
      </c>
    </row>
    <row r="118" spans="1:9" ht="15.75" customHeight="1" x14ac:dyDescent="0.2">
      <c r="A118" s="1">
        <v>11024</v>
      </c>
      <c r="B118" s="1" t="s">
        <v>90</v>
      </c>
      <c r="C118" s="1" t="s">
        <v>324</v>
      </c>
      <c r="D118" s="1" t="str">
        <f t="shared" si="0"/>
        <v>1</v>
      </c>
      <c r="E118" s="1" t="s">
        <v>325</v>
      </c>
      <c r="G118" s="1">
        <f t="array" ref="G118">IF(ISNUMBER(MATCH(11024,Camille!$A:$A,0)), IF(OR(INDEX(Camille!$D:$D,MATCH(11024,Camille!$A:$A,0))=1, INDEX(Camille!$D:$D,MATCH(11024,Camille!$A:$A,0))=2), INDEX(Camille!$D:$D,MATCH(11024,Camille!$A:$A,0)), 0), 0)</f>
        <v>1</v>
      </c>
      <c r="H118" s="1">
        <f t="array" ref="H118">IF(ISNUMBER(MATCH(11024,Telmo!$A:$A,0)), IF(OR(INDEX(Telmo!$D:$D,MATCH(11024,Telmo!$A:$A,0))=1, INDEX(Telmo!$D:$D,MATCH(11024,Telmo!$A:$A,0))=2), INDEX(Telmo!$D:$D,MATCH(11024,Telmo!$A:$A,0)), 0), 0)</f>
        <v>0</v>
      </c>
      <c r="I118" s="1">
        <f t="array" ref="I118">IF(ISNUMBER(MATCH(11024,Max!$A:$A,0)), IF(OR(INDEX(Max!$D:$D,MATCH(11024,Max!$A:$A,0))=1, INDEX(Max!$D:$D,MATCH(11024,Max!$A:$A,0))=2), INDEX(Max!$D:$D,MATCH(11024,Max!$A:$A,0)), 0), 0)</f>
        <v>0</v>
      </c>
    </row>
    <row r="119" spans="1:9" ht="15.75" customHeight="1" x14ac:dyDescent="0.2">
      <c r="A119" s="1">
        <v>57538</v>
      </c>
      <c r="B119" s="1" t="s">
        <v>326</v>
      </c>
      <c r="C119" s="1" t="s">
        <v>327</v>
      </c>
      <c r="D119" s="1" t="str">
        <f t="shared" si="0"/>
        <v>1</v>
      </c>
      <c r="E119" s="1" t="s">
        <v>328</v>
      </c>
      <c r="G119" s="1">
        <f t="array" ref="G119">IF(ISNUMBER(MATCH(57538,Camille!$A:$A,0)), IF(OR(INDEX(Camille!$D:$D,MATCH(57538,Camille!$A:$A,0))=1, INDEX(Camille!$D:$D,MATCH(57538,Camille!$A:$A,0))=2), INDEX(Camille!$D:$D,MATCH(57538,Camille!$A:$A,0)), 0), 0)</f>
        <v>1</v>
      </c>
      <c r="H119" s="1">
        <f t="array" ref="H119">IF(ISNUMBER(MATCH(57538,Telmo!$A:$A,0)), IF(OR(INDEX(Telmo!$D:$D,MATCH(57538,Telmo!$A:$A,0))=1, INDEX(Telmo!$D:$D,MATCH(57538,Telmo!$A:$A,0))=2), INDEX(Telmo!$D:$D,MATCH(57538,Telmo!$A:$A,0)), 0), 0)</f>
        <v>0</v>
      </c>
      <c r="I119" s="1">
        <f t="array" ref="I119">IF(ISNUMBER(MATCH(57538,Max!$A:$A,0)), IF(OR(INDEX(Max!$D:$D,MATCH(57538,Max!$A:$A,0))=1, INDEX(Max!$D:$D,MATCH(57538,Max!$A:$A,0))=2), INDEX(Max!$D:$D,MATCH(57538,Max!$A:$A,0)), 0), 0)</f>
        <v>0</v>
      </c>
    </row>
    <row r="120" spans="1:9" ht="15.75" customHeight="1" x14ac:dyDescent="0.2">
      <c r="A120" s="1">
        <v>10656</v>
      </c>
      <c r="B120" s="1" t="s">
        <v>32</v>
      </c>
      <c r="C120" s="1" t="s">
        <v>329</v>
      </c>
      <c r="D120" s="1" t="str">
        <f t="shared" si="0"/>
        <v>2</v>
      </c>
      <c r="E120" s="1" t="s">
        <v>330</v>
      </c>
      <c r="G120" s="1">
        <f t="array" ref="G120">IF(ISNUMBER(MATCH(10656,Camille!$A:$A,0)), IF(OR(INDEX(Camille!$D:$D,MATCH(10656,Camille!$A:$A,0))=1, INDEX(Camille!$D:$D,MATCH(10656,Camille!$A:$A,0))=2), INDEX(Camille!$D:$D,MATCH(10656,Camille!$A:$A,0)), 0), 0)</f>
        <v>2</v>
      </c>
      <c r="H120" s="1">
        <f t="array" ref="H120">IF(ISNUMBER(MATCH(10656,Telmo!$A:$A,0)), IF(OR(INDEX(Telmo!$D:$D,MATCH(10656,Telmo!$A:$A,0))=1, INDEX(Telmo!$D:$D,MATCH(10656,Telmo!$A:$A,0))=2), INDEX(Telmo!$D:$D,MATCH(10656,Telmo!$A:$A,0)), 0), 0)</f>
        <v>0</v>
      </c>
      <c r="I120" s="1">
        <f t="array" ref="I120">IF(ISNUMBER(MATCH(10656,Max!$A:$A,0)), IF(OR(INDEX(Max!$D:$D,MATCH(10656,Max!$A:$A,0))=1, INDEX(Max!$D:$D,MATCH(10656,Max!$A:$A,0))=2), INDEX(Max!$D:$D,MATCH(10656,Max!$A:$A,0)), 0), 0)</f>
        <v>0</v>
      </c>
    </row>
    <row r="121" spans="1:9" ht="15.75" customHeight="1" x14ac:dyDescent="0.2">
      <c r="A121" s="1">
        <v>66452</v>
      </c>
      <c r="B121" s="1" t="s">
        <v>78</v>
      </c>
      <c r="C121" s="1" t="s">
        <v>331</v>
      </c>
      <c r="D121" s="1" t="str">
        <f t="shared" si="0"/>
        <v>1</v>
      </c>
      <c r="E121" s="1" t="s">
        <v>332</v>
      </c>
      <c r="G121" s="1">
        <f t="array" ref="G121">IF(ISNUMBER(MATCH(66452,Camille!$A:$A,0)), IF(OR(INDEX(Camille!$D:$D,MATCH(66452,Camille!$A:$A,0))=1, INDEX(Camille!$D:$D,MATCH(66452,Camille!$A:$A,0))=2), INDEX(Camille!$D:$D,MATCH(66452,Camille!$A:$A,0)), 0), 0)</f>
        <v>1</v>
      </c>
      <c r="H121" s="1">
        <f t="array" ref="H121">IF(ISNUMBER(MATCH(66452,Telmo!$A:$A,0)), IF(OR(INDEX(Telmo!$D:$D,MATCH(66452,Telmo!$A:$A,0))=1, INDEX(Telmo!$D:$D,MATCH(66452,Telmo!$A:$A,0))=2), INDEX(Telmo!$D:$D,MATCH(66452,Telmo!$A:$A,0)), 0), 0)</f>
        <v>0</v>
      </c>
      <c r="I121" s="1">
        <f t="array" ref="I121">IF(ISNUMBER(MATCH(66452,Max!$A:$A,0)), IF(OR(INDEX(Max!$D:$D,MATCH(66452,Max!$A:$A,0))=1, INDEX(Max!$D:$D,MATCH(66452,Max!$A:$A,0))=2), INDEX(Max!$D:$D,MATCH(66452,Max!$A:$A,0)), 0), 0)</f>
        <v>0</v>
      </c>
    </row>
    <row r="122" spans="1:9" ht="15.75" customHeight="1" x14ac:dyDescent="0.2">
      <c r="A122" s="1">
        <v>53716</v>
      </c>
      <c r="B122" s="1" t="s">
        <v>333</v>
      </c>
      <c r="C122" s="1" t="s">
        <v>334</v>
      </c>
      <c r="D122" s="1" t="str">
        <f t="shared" si="0"/>
        <v>1</v>
      </c>
      <c r="E122" s="1" t="s">
        <v>335</v>
      </c>
      <c r="G122" s="1">
        <f t="array" ref="G122">IF(ISNUMBER(MATCH(53716,Camille!$A:$A,0)), IF(OR(INDEX(Camille!$D:$D,MATCH(53716,Camille!$A:$A,0))=1, INDEX(Camille!$D:$D,MATCH(53716,Camille!$A:$A,0))=2), INDEX(Camille!$D:$D,MATCH(53716,Camille!$A:$A,0)), 0), 0)</f>
        <v>1</v>
      </c>
      <c r="H122" s="1">
        <f t="array" ref="H122">IF(ISNUMBER(MATCH(53716,Telmo!$A:$A,0)), IF(OR(INDEX(Telmo!$D:$D,MATCH(53716,Telmo!$A:$A,0))=1, INDEX(Telmo!$D:$D,MATCH(53716,Telmo!$A:$A,0))=2), INDEX(Telmo!$D:$D,MATCH(53716,Telmo!$A:$A,0)), 0), 0)</f>
        <v>0</v>
      </c>
      <c r="I122" s="1">
        <f t="array" ref="I122">IF(ISNUMBER(MATCH(53716,Max!$A:$A,0)), IF(OR(INDEX(Max!$D:$D,MATCH(53716,Max!$A:$A,0))=1, INDEX(Max!$D:$D,MATCH(53716,Max!$A:$A,0))=2), INDEX(Max!$D:$D,MATCH(53716,Max!$A:$A,0)), 0), 0)</f>
        <v>0</v>
      </c>
    </row>
    <row r="123" spans="1:9" ht="15.75" customHeight="1" x14ac:dyDescent="0.2">
      <c r="A123" s="1">
        <v>41549</v>
      </c>
      <c r="B123" s="1" t="s">
        <v>336</v>
      </c>
      <c r="C123" s="1" t="s">
        <v>337</v>
      </c>
      <c r="D123" s="1" t="str">
        <f t="shared" si="0"/>
        <v>1</v>
      </c>
      <c r="E123" s="1" t="s">
        <v>338</v>
      </c>
      <c r="G123" s="1">
        <f t="array" ref="G123">IF(ISNUMBER(MATCH(41549,Camille!$A:$A,0)), IF(OR(INDEX(Camille!$D:$D,MATCH(41549,Camille!$A:$A,0))=1, INDEX(Camille!$D:$D,MATCH(41549,Camille!$A:$A,0))=2), INDEX(Camille!$D:$D,MATCH(41549,Camille!$A:$A,0)), 0), 0)</f>
        <v>1</v>
      </c>
      <c r="H123" s="1">
        <f t="array" ref="H123">IF(ISNUMBER(MATCH(41549,Telmo!$A:$A,0)), IF(OR(INDEX(Telmo!$D:$D,MATCH(41549,Telmo!$A:$A,0))=1, INDEX(Telmo!$D:$D,MATCH(41549,Telmo!$A:$A,0))=2), INDEX(Telmo!$D:$D,MATCH(41549,Telmo!$A:$A,0)), 0), 0)</f>
        <v>0</v>
      </c>
      <c r="I123" s="1">
        <f t="array" ref="I123">IF(ISNUMBER(MATCH(41549,Max!$A:$A,0)), IF(OR(INDEX(Max!$D:$D,MATCH(41549,Max!$A:$A,0))=1, INDEX(Max!$D:$D,MATCH(41549,Max!$A:$A,0))=2), INDEX(Max!$D:$D,MATCH(41549,Max!$A:$A,0)), 0), 0)</f>
        <v>0</v>
      </c>
    </row>
    <row r="124" spans="1:9" ht="15.75" customHeight="1" x14ac:dyDescent="0.2">
      <c r="A124" s="1">
        <v>29952</v>
      </c>
      <c r="B124" s="1" t="s">
        <v>339</v>
      </c>
      <c r="C124" s="1" t="s">
        <v>340</v>
      </c>
      <c r="D124" s="1" t="str">
        <f t="shared" si="0"/>
        <v>2</v>
      </c>
      <c r="E124" s="1" t="s">
        <v>341</v>
      </c>
      <c r="G124" s="1">
        <f t="array" ref="G124">IF(ISNUMBER(MATCH(29952,Camille!$A:$A,0)), IF(OR(INDEX(Camille!$D:$D,MATCH(29952,Camille!$A:$A,0))=1, INDEX(Camille!$D:$D,MATCH(29952,Camille!$A:$A,0))=2), INDEX(Camille!$D:$D,MATCH(29952,Camille!$A:$A,0)), 0), 0)</f>
        <v>2</v>
      </c>
      <c r="H124" s="1">
        <f t="array" ref="H124">IF(ISNUMBER(MATCH(29952,Telmo!$A:$A,0)), IF(OR(INDEX(Telmo!$D:$D,MATCH(29952,Telmo!$A:$A,0))=1, INDEX(Telmo!$D:$D,MATCH(29952,Telmo!$A:$A,0))=2), INDEX(Telmo!$D:$D,MATCH(29952,Telmo!$A:$A,0)), 0), 0)</f>
        <v>0</v>
      </c>
      <c r="I124" s="1">
        <f t="array" ref="I124">IF(ISNUMBER(MATCH(29952,Max!$A:$A,0)), IF(OR(INDEX(Max!$D:$D,MATCH(29952,Max!$A:$A,0))=1, INDEX(Max!$D:$D,MATCH(29952,Max!$A:$A,0))=2), INDEX(Max!$D:$D,MATCH(29952,Max!$A:$A,0)), 0), 0)</f>
        <v>0</v>
      </c>
    </row>
    <row r="125" spans="1:9" ht="15.75" customHeight="1" x14ac:dyDescent="0.2">
      <c r="A125" s="1">
        <v>42925</v>
      </c>
      <c r="B125" s="1" t="s">
        <v>342</v>
      </c>
      <c r="C125" s="1" t="s">
        <v>343</v>
      </c>
      <c r="D125" s="1" t="str">
        <f t="shared" si="0"/>
        <v>2</v>
      </c>
      <c r="E125" s="1" t="s">
        <v>344</v>
      </c>
      <c r="G125" s="1">
        <f t="array" ref="G125">IF(ISNUMBER(MATCH(42925,Camille!$A:$A,0)), IF(OR(INDEX(Camille!$D:$D,MATCH(42925,Camille!$A:$A,0))=1, INDEX(Camille!$D:$D,MATCH(42925,Camille!$A:$A,0))=2), INDEX(Camille!$D:$D,MATCH(42925,Camille!$A:$A,0)), 0), 0)</f>
        <v>2</v>
      </c>
      <c r="H125" s="1">
        <f t="array" ref="H125">IF(ISNUMBER(MATCH(42925,Telmo!$A:$A,0)), IF(OR(INDEX(Telmo!$D:$D,MATCH(42925,Telmo!$A:$A,0))=1, INDEX(Telmo!$D:$D,MATCH(42925,Telmo!$A:$A,0))=2), INDEX(Telmo!$D:$D,MATCH(42925,Telmo!$A:$A,0)), 0), 0)</f>
        <v>0</v>
      </c>
      <c r="I125" s="1">
        <f t="array" ref="I125">IF(ISNUMBER(MATCH(42925,Max!$A:$A,0)), IF(OR(INDEX(Max!$D:$D,MATCH(42925,Max!$A:$A,0))=1, INDEX(Max!$D:$D,MATCH(42925,Max!$A:$A,0))=2), INDEX(Max!$D:$D,MATCH(42925,Max!$A:$A,0)), 0), 0)</f>
        <v>0</v>
      </c>
    </row>
    <row r="126" spans="1:9" ht="15.75" customHeight="1" x14ac:dyDescent="0.2">
      <c r="A126" s="1">
        <v>63724</v>
      </c>
      <c r="B126" s="1" t="s">
        <v>345</v>
      </c>
      <c r="C126" s="1" t="s">
        <v>346</v>
      </c>
      <c r="D126" s="1" t="str">
        <f t="shared" si="0"/>
        <v>1</v>
      </c>
      <c r="E126" s="1" t="s">
        <v>347</v>
      </c>
      <c r="G126" s="1">
        <f t="array" ref="G126">IF(ISNUMBER(MATCH(63724,Camille!$A:$A,0)), IF(OR(INDEX(Camille!$D:$D,MATCH(63724,Camille!$A:$A,0))=1, INDEX(Camille!$D:$D,MATCH(63724,Camille!$A:$A,0))=2), INDEX(Camille!$D:$D,MATCH(63724,Camille!$A:$A,0)), 0), 0)</f>
        <v>1</v>
      </c>
      <c r="H126" s="1">
        <f t="array" ref="H126">IF(ISNUMBER(MATCH(63724,Telmo!$A:$A,0)), IF(OR(INDEX(Telmo!$D:$D,MATCH(63724,Telmo!$A:$A,0))=1, INDEX(Telmo!$D:$D,MATCH(63724,Telmo!$A:$A,0))=2), INDEX(Telmo!$D:$D,MATCH(63724,Telmo!$A:$A,0)), 0), 0)</f>
        <v>0</v>
      </c>
      <c r="I126" s="1">
        <f t="array" ref="I126">IF(ISNUMBER(MATCH(63724,Max!$A:$A,0)), IF(OR(INDEX(Max!$D:$D,MATCH(63724,Max!$A:$A,0))=1, INDEX(Max!$D:$D,MATCH(63724,Max!$A:$A,0))=2), INDEX(Max!$D:$D,MATCH(63724,Max!$A:$A,0)), 0), 0)</f>
        <v>0</v>
      </c>
    </row>
    <row r="127" spans="1:9" ht="15.75" customHeight="1" x14ac:dyDescent="0.2">
      <c r="A127" s="1">
        <v>17450</v>
      </c>
      <c r="B127" s="1" t="s">
        <v>348</v>
      </c>
      <c r="C127" s="1" t="s">
        <v>349</v>
      </c>
      <c r="D127" s="1" t="str">
        <f t="shared" si="0"/>
        <v>1</v>
      </c>
      <c r="E127" s="1" t="s">
        <v>350</v>
      </c>
      <c r="G127" s="1">
        <f t="array" ref="G127">IF(ISNUMBER(MATCH(17450,Camille!$A:$A,0)), IF(OR(INDEX(Camille!$D:$D,MATCH(17450,Camille!$A:$A,0))=1, INDEX(Camille!$D:$D,MATCH(17450,Camille!$A:$A,0))=2), INDEX(Camille!$D:$D,MATCH(17450,Camille!$A:$A,0)), 0), 0)</f>
        <v>1</v>
      </c>
      <c r="H127" s="1">
        <f t="array" ref="H127">IF(ISNUMBER(MATCH(17450,Telmo!$A:$A,0)), IF(OR(INDEX(Telmo!$D:$D,MATCH(17450,Telmo!$A:$A,0))=1, INDEX(Telmo!$D:$D,MATCH(17450,Telmo!$A:$A,0))=2), INDEX(Telmo!$D:$D,MATCH(17450,Telmo!$A:$A,0)), 0), 0)</f>
        <v>0</v>
      </c>
      <c r="I127" s="1">
        <f t="array" ref="I127">IF(ISNUMBER(MATCH(17450,Max!$A:$A,0)), IF(OR(INDEX(Max!$D:$D,MATCH(17450,Max!$A:$A,0))=1, INDEX(Max!$D:$D,MATCH(17450,Max!$A:$A,0))=2), INDEX(Max!$D:$D,MATCH(17450,Max!$A:$A,0)), 0), 0)</f>
        <v>0</v>
      </c>
    </row>
    <row r="128" spans="1:9" ht="15.75" customHeight="1" x14ac:dyDescent="0.2">
      <c r="A128" s="1">
        <v>20940</v>
      </c>
      <c r="B128" s="1" t="s">
        <v>351</v>
      </c>
      <c r="C128" s="1" t="s">
        <v>352</v>
      </c>
      <c r="D128" s="1" t="str">
        <f t="shared" si="0"/>
        <v>1</v>
      </c>
      <c r="E128" s="1" t="s">
        <v>353</v>
      </c>
      <c r="G128" s="1">
        <f t="array" ref="G128">IF(ISNUMBER(MATCH(20940,Camille!$A:$A,0)), IF(OR(INDEX(Camille!$D:$D,MATCH(20940,Camille!$A:$A,0))=1, INDEX(Camille!$D:$D,MATCH(20940,Camille!$A:$A,0))=2), INDEX(Camille!$D:$D,MATCH(20940,Camille!$A:$A,0)), 0), 0)</f>
        <v>1</v>
      </c>
      <c r="H128" s="1">
        <f t="array" ref="H128">IF(ISNUMBER(MATCH(20940,Telmo!$A:$A,0)), IF(OR(INDEX(Telmo!$D:$D,MATCH(20940,Telmo!$A:$A,0))=1, INDEX(Telmo!$D:$D,MATCH(20940,Telmo!$A:$A,0))=2), INDEX(Telmo!$D:$D,MATCH(20940,Telmo!$A:$A,0)), 0), 0)</f>
        <v>0</v>
      </c>
      <c r="I128" s="1">
        <f t="array" ref="I128">IF(ISNUMBER(MATCH(20940,Max!$A:$A,0)), IF(OR(INDEX(Max!$D:$D,MATCH(20940,Max!$A:$A,0))=1, INDEX(Max!$D:$D,MATCH(20940,Max!$A:$A,0))=2), INDEX(Max!$D:$D,MATCH(20940,Max!$A:$A,0)), 0), 0)</f>
        <v>0</v>
      </c>
    </row>
    <row r="129" spans="1:9" ht="15.75" customHeight="1" x14ac:dyDescent="0.2">
      <c r="A129" s="1">
        <v>60609</v>
      </c>
      <c r="B129" s="1" t="s">
        <v>354</v>
      </c>
      <c r="C129" s="1" t="s">
        <v>355</v>
      </c>
      <c r="D129" s="1" t="str">
        <f t="shared" si="0"/>
        <v>2</v>
      </c>
      <c r="E129" s="1" t="s">
        <v>356</v>
      </c>
      <c r="G129" s="1">
        <f t="array" ref="G129">IF(ISNUMBER(MATCH(60609,Camille!$A:$A,0)), IF(OR(INDEX(Camille!$D:$D,MATCH(60609,Camille!$A:$A,0))=1, INDEX(Camille!$D:$D,MATCH(60609,Camille!$A:$A,0))=2), INDEX(Camille!$D:$D,MATCH(60609,Camille!$A:$A,0)), 0), 0)</f>
        <v>2</v>
      </c>
      <c r="H129" s="1">
        <f t="array" ref="H129">IF(ISNUMBER(MATCH(60609,Telmo!$A:$A,0)), IF(OR(INDEX(Telmo!$D:$D,MATCH(60609,Telmo!$A:$A,0))=1, INDEX(Telmo!$D:$D,MATCH(60609,Telmo!$A:$A,0))=2), INDEX(Telmo!$D:$D,MATCH(60609,Telmo!$A:$A,0)), 0), 0)</f>
        <v>0</v>
      </c>
      <c r="I129" s="1">
        <f t="array" ref="I129">IF(ISNUMBER(MATCH(60609,Max!$A:$A,0)), IF(OR(INDEX(Max!$D:$D,MATCH(60609,Max!$A:$A,0))=1, INDEX(Max!$D:$D,MATCH(60609,Max!$A:$A,0))=2), INDEX(Max!$D:$D,MATCH(60609,Max!$A:$A,0)), 0), 0)</f>
        <v>0</v>
      </c>
    </row>
    <row r="130" spans="1:9" ht="15.75" customHeight="1" x14ac:dyDescent="0.2">
      <c r="A130" s="1">
        <v>6362</v>
      </c>
      <c r="B130" s="1" t="s">
        <v>357</v>
      </c>
      <c r="C130" s="1" t="s">
        <v>358</v>
      </c>
      <c r="D130" s="1" t="str">
        <f t="shared" si="0"/>
        <v>1</v>
      </c>
      <c r="E130" s="1" t="s">
        <v>359</v>
      </c>
      <c r="G130" s="1">
        <f t="array" ref="G130">IF(ISNUMBER(MATCH(6362,Camille!$A:$A,0)), IF(OR(INDEX(Camille!$D:$D,MATCH(6362,Camille!$A:$A,0))=1, INDEX(Camille!$D:$D,MATCH(6362,Camille!$A:$A,0))=2), INDEX(Camille!$D:$D,MATCH(6362,Camille!$A:$A,0)), 0), 0)</f>
        <v>1</v>
      </c>
      <c r="H130" s="1">
        <f t="array" ref="H130">IF(ISNUMBER(MATCH(6362,Telmo!$A:$A,0)), IF(OR(INDEX(Telmo!$D:$D,MATCH(6362,Telmo!$A:$A,0))=1, INDEX(Telmo!$D:$D,MATCH(6362,Telmo!$A:$A,0))=2), INDEX(Telmo!$D:$D,MATCH(6362,Telmo!$A:$A,0)), 0), 0)</f>
        <v>0</v>
      </c>
      <c r="I130" s="1">
        <f t="array" ref="I130">IF(ISNUMBER(MATCH(6362,Max!$A:$A,0)), IF(OR(INDEX(Max!$D:$D,MATCH(6362,Max!$A:$A,0))=1, INDEX(Max!$D:$D,MATCH(6362,Max!$A:$A,0))=2), INDEX(Max!$D:$D,MATCH(6362,Max!$A:$A,0)), 0), 0)</f>
        <v>0</v>
      </c>
    </row>
    <row r="131" spans="1:9" ht="15.75" customHeight="1" x14ac:dyDescent="0.2">
      <c r="A131" s="1">
        <v>31767</v>
      </c>
      <c r="B131" s="1" t="s">
        <v>153</v>
      </c>
      <c r="C131" s="1" t="s">
        <v>360</v>
      </c>
      <c r="D131" s="1" t="str">
        <f t="shared" si="0"/>
        <v>2</v>
      </c>
      <c r="E131" s="1" t="s">
        <v>361</v>
      </c>
      <c r="G131" s="1">
        <f t="array" ref="G131">IF(ISNUMBER(MATCH(31767,Camille!$A:$A,0)), IF(OR(INDEX(Camille!$D:$D,MATCH(31767,Camille!$A:$A,0))=1, INDEX(Camille!$D:$D,MATCH(31767,Camille!$A:$A,0))=2), INDEX(Camille!$D:$D,MATCH(31767,Camille!$A:$A,0)), 0), 0)</f>
        <v>2</v>
      </c>
      <c r="H131" s="1">
        <f t="array" ref="H131">IF(ISNUMBER(MATCH(31767,Telmo!$A:$A,0)), IF(OR(INDEX(Telmo!$D:$D,MATCH(31767,Telmo!$A:$A,0))=1, INDEX(Telmo!$D:$D,MATCH(31767,Telmo!$A:$A,0))=2), INDEX(Telmo!$D:$D,MATCH(31767,Telmo!$A:$A,0)), 0), 0)</f>
        <v>0</v>
      </c>
      <c r="I131" s="1">
        <f t="array" ref="I131">IF(ISNUMBER(MATCH(31767,Max!$A:$A,0)), IF(OR(INDEX(Max!$D:$D,MATCH(31767,Max!$A:$A,0))=1, INDEX(Max!$D:$D,MATCH(31767,Max!$A:$A,0))=2), INDEX(Max!$D:$D,MATCH(31767,Max!$A:$A,0)), 0), 0)</f>
        <v>0</v>
      </c>
    </row>
    <row r="132" spans="1:9" ht="15.75" customHeight="1" x14ac:dyDescent="0.2">
      <c r="A132" s="1">
        <v>18653</v>
      </c>
      <c r="B132" s="1" t="s">
        <v>362</v>
      </c>
      <c r="C132" s="1" t="s">
        <v>363</v>
      </c>
      <c r="D132" s="1" t="str">
        <f t="shared" si="0"/>
        <v>1</v>
      </c>
      <c r="E132" s="1" t="s">
        <v>364</v>
      </c>
      <c r="G132" s="1">
        <f t="array" ref="G132">IF(ISNUMBER(MATCH(18653,Camille!$A:$A,0)), IF(OR(INDEX(Camille!$D:$D,MATCH(18653,Camille!$A:$A,0))=1, INDEX(Camille!$D:$D,MATCH(18653,Camille!$A:$A,0))=2), INDEX(Camille!$D:$D,MATCH(18653,Camille!$A:$A,0)), 0), 0)</f>
        <v>1</v>
      </c>
      <c r="H132" s="1">
        <f t="array" ref="H132">IF(ISNUMBER(MATCH(18653,Telmo!$A:$A,0)), IF(OR(INDEX(Telmo!$D:$D,MATCH(18653,Telmo!$A:$A,0))=1, INDEX(Telmo!$D:$D,MATCH(18653,Telmo!$A:$A,0))=2), INDEX(Telmo!$D:$D,MATCH(18653,Telmo!$A:$A,0)), 0), 0)</f>
        <v>0</v>
      </c>
      <c r="I132" s="1">
        <f t="array" ref="I132">IF(ISNUMBER(MATCH(18653,Max!$A:$A,0)), IF(OR(INDEX(Max!$D:$D,MATCH(18653,Max!$A:$A,0))=1, INDEX(Max!$D:$D,MATCH(18653,Max!$A:$A,0))=2), INDEX(Max!$D:$D,MATCH(18653,Max!$A:$A,0)), 0), 0)</f>
        <v>0</v>
      </c>
    </row>
    <row r="133" spans="1:9" ht="15.75" customHeight="1" x14ac:dyDescent="0.2">
      <c r="A133" s="1">
        <v>6127</v>
      </c>
      <c r="B133" s="1" t="s">
        <v>172</v>
      </c>
      <c r="C133" s="1" t="s">
        <v>365</v>
      </c>
      <c r="D133" s="1" t="str">
        <f t="shared" si="0"/>
        <v>2</v>
      </c>
      <c r="E133" s="1" t="s">
        <v>366</v>
      </c>
      <c r="G133" s="1">
        <f t="array" ref="G133">IF(ISNUMBER(MATCH(6127,Camille!$A:$A,0)), IF(OR(INDEX(Camille!$D:$D,MATCH(6127,Camille!$A:$A,0))=1, INDEX(Camille!$D:$D,MATCH(6127,Camille!$A:$A,0))=2), INDEX(Camille!$D:$D,MATCH(6127,Camille!$A:$A,0)), 0), 0)</f>
        <v>2</v>
      </c>
      <c r="H133" s="1">
        <f t="array" ref="H133">IF(ISNUMBER(MATCH(6127,Telmo!$A:$A,0)), IF(OR(INDEX(Telmo!$D:$D,MATCH(6127,Telmo!$A:$A,0))=1, INDEX(Telmo!$D:$D,MATCH(6127,Telmo!$A:$A,0))=2), INDEX(Telmo!$D:$D,MATCH(6127,Telmo!$A:$A,0)), 0), 0)</f>
        <v>0</v>
      </c>
      <c r="I133" s="1">
        <f t="array" ref="I133">IF(ISNUMBER(MATCH(6127,Max!$A:$A,0)), IF(OR(INDEX(Max!$D:$D,MATCH(6127,Max!$A:$A,0))=1, INDEX(Max!$D:$D,MATCH(6127,Max!$A:$A,0))=2), INDEX(Max!$D:$D,MATCH(6127,Max!$A:$A,0)), 0), 0)</f>
        <v>0</v>
      </c>
    </row>
    <row r="134" spans="1:9" ht="15.75" customHeight="1" x14ac:dyDescent="0.2">
      <c r="A134" s="1">
        <v>5573</v>
      </c>
      <c r="B134" s="1" t="s">
        <v>244</v>
      </c>
      <c r="C134" s="1" t="s">
        <v>367</v>
      </c>
      <c r="D134" s="1" t="str">
        <f t="shared" si="0"/>
        <v>1</v>
      </c>
      <c r="E134" s="1" t="s">
        <v>368</v>
      </c>
      <c r="G134" s="1">
        <f t="array" ref="G134">IF(ISNUMBER(MATCH(5573,Camille!$A:$A,0)), IF(OR(INDEX(Camille!$D:$D,MATCH(5573,Camille!$A:$A,0))=1, INDEX(Camille!$D:$D,MATCH(5573,Camille!$A:$A,0))=2), INDEX(Camille!$D:$D,MATCH(5573,Camille!$A:$A,0)), 0), 0)</f>
        <v>1</v>
      </c>
      <c r="H134" s="1">
        <f t="array" ref="H134">IF(ISNUMBER(MATCH(5573,Telmo!$A:$A,0)), IF(OR(INDEX(Telmo!$D:$D,MATCH(5573,Telmo!$A:$A,0))=1, INDEX(Telmo!$D:$D,MATCH(5573,Telmo!$A:$A,0))=2), INDEX(Telmo!$D:$D,MATCH(5573,Telmo!$A:$A,0)), 0), 0)</f>
        <v>0</v>
      </c>
      <c r="I134" s="1">
        <f t="array" ref="I134">IF(ISNUMBER(MATCH(5573,Max!$A:$A,0)), IF(OR(INDEX(Max!$D:$D,MATCH(5573,Max!$A:$A,0))=1, INDEX(Max!$D:$D,MATCH(5573,Max!$A:$A,0))=2), INDEX(Max!$D:$D,MATCH(5573,Max!$A:$A,0)), 0), 0)</f>
        <v>0</v>
      </c>
    </row>
    <row r="135" spans="1:9" ht="15.75" customHeight="1" x14ac:dyDescent="0.2">
      <c r="A135" s="1">
        <v>67490</v>
      </c>
      <c r="B135" s="1" t="s">
        <v>369</v>
      </c>
      <c r="C135" s="1" t="s">
        <v>370</v>
      </c>
      <c r="D135" s="1" t="str">
        <f t="shared" si="0"/>
        <v>1</v>
      </c>
      <c r="E135" s="1" t="s">
        <v>371</v>
      </c>
      <c r="G135" s="1">
        <f t="array" ref="G135">IF(ISNUMBER(MATCH(67490,Camille!$A:$A,0)), IF(OR(INDEX(Camille!$D:$D,MATCH(67490,Camille!$A:$A,0))=1, INDEX(Camille!$D:$D,MATCH(67490,Camille!$A:$A,0))=2), INDEX(Camille!$D:$D,MATCH(67490,Camille!$A:$A,0)), 0), 0)</f>
        <v>1</v>
      </c>
      <c r="H135" s="1">
        <f t="array" ref="H135">IF(ISNUMBER(MATCH(67490,Telmo!$A:$A,0)), IF(OR(INDEX(Telmo!$D:$D,MATCH(67490,Telmo!$A:$A,0))=1, INDEX(Telmo!$D:$D,MATCH(67490,Telmo!$A:$A,0))=2), INDEX(Telmo!$D:$D,MATCH(67490,Telmo!$A:$A,0)), 0), 0)</f>
        <v>0</v>
      </c>
      <c r="I135" s="1">
        <f t="array" ref="I135">IF(ISNUMBER(MATCH(67490,Max!$A:$A,0)), IF(OR(INDEX(Max!$D:$D,MATCH(67490,Max!$A:$A,0))=1, INDEX(Max!$D:$D,MATCH(67490,Max!$A:$A,0))=2), INDEX(Max!$D:$D,MATCH(67490,Max!$A:$A,0)), 0), 0)</f>
        <v>0</v>
      </c>
    </row>
    <row r="136" spans="1:9" ht="15.75" customHeight="1" x14ac:dyDescent="0.2">
      <c r="A136" s="1">
        <v>46455</v>
      </c>
      <c r="B136" s="1" t="s">
        <v>167</v>
      </c>
      <c r="C136" s="1" t="s">
        <v>372</v>
      </c>
      <c r="D136" s="1" t="str">
        <f t="shared" si="0"/>
        <v>1</v>
      </c>
      <c r="E136" s="1" t="s">
        <v>373</v>
      </c>
      <c r="G136" s="1">
        <f t="array" ref="G136">IF(ISNUMBER(MATCH(46455,Camille!$A:$A,0)), IF(OR(INDEX(Camille!$D:$D,MATCH(46455,Camille!$A:$A,0))=1, INDEX(Camille!$D:$D,MATCH(46455,Camille!$A:$A,0))=2), INDEX(Camille!$D:$D,MATCH(46455,Camille!$A:$A,0)), 0), 0)</f>
        <v>1</v>
      </c>
      <c r="H136" s="1">
        <f t="array" ref="H136">IF(ISNUMBER(MATCH(46455,Telmo!$A:$A,0)), IF(OR(INDEX(Telmo!$D:$D,MATCH(46455,Telmo!$A:$A,0))=1, INDEX(Telmo!$D:$D,MATCH(46455,Telmo!$A:$A,0))=2), INDEX(Telmo!$D:$D,MATCH(46455,Telmo!$A:$A,0)), 0), 0)</f>
        <v>0</v>
      </c>
      <c r="I136" s="1">
        <f t="array" ref="I136">IF(ISNUMBER(MATCH(46455,Max!$A:$A,0)), IF(OR(INDEX(Max!$D:$D,MATCH(46455,Max!$A:$A,0))=1, INDEX(Max!$D:$D,MATCH(46455,Max!$A:$A,0))=2), INDEX(Max!$D:$D,MATCH(46455,Max!$A:$A,0)), 0), 0)</f>
        <v>0</v>
      </c>
    </row>
    <row r="137" spans="1:9" ht="15.75" customHeight="1" x14ac:dyDescent="0.2">
      <c r="A137" s="1">
        <v>19235</v>
      </c>
      <c r="B137" s="1" t="s">
        <v>374</v>
      </c>
      <c r="C137" s="1" t="s">
        <v>375</v>
      </c>
      <c r="D137" s="1" t="str">
        <f t="shared" si="0"/>
        <v>1</v>
      </c>
      <c r="E137" s="1" t="s">
        <v>376</v>
      </c>
      <c r="G137" s="1">
        <f t="array" ref="G137">IF(ISNUMBER(MATCH(19235,Camille!$A:$A,0)), IF(OR(INDEX(Camille!$D:$D,MATCH(19235,Camille!$A:$A,0))=1, INDEX(Camille!$D:$D,MATCH(19235,Camille!$A:$A,0))=2), INDEX(Camille!$D:$D,MATCH(19235,Camille!$A:$A,0)), 0), 0)</f>
        <v>1</v>
      </c>
      <c r="H137" s="1">
        <f t="array" ref="H137">IF(ISNUMBER(MATCH(19235,Telmo!$A:$A,0)), IF(OR(INDEX(Telmo!$D:$D,MATCH(19235,Telmo!$A:$A,0))=1, INDEX(Telmo!$D:$D,MATCH(19235,Telmo!$A:$A,0))=2), INDEX(Telmo!$D:$D,MATCH(19235,Telmo!$A:$A,0)), 0), 0)</f>
        <v>0</v>
      </c>
      <c r="I137" s="1">
        <f t="array" ref="I137">IF(ISNUMBER(MATCH(19235,Max!$A:$A,0)), IF(OR(INDEX(Max!$D:$D,MATCH(19235,Max!$A:$A,0))=1, INDEX(Max!$D:$D,MATCH(19235,Max!$A:$A,0))=2), INDEX(Max!$D:$D,MATCH(19235,Max!$A:$A,0)), 0), 0)</f>
        <v>0</v>
      </c>
    </row>
    <row r="138" spans="1:9" ht="15.75" customHeight="1" x14ac:dyDescent="0.2">
      <c r="A138" s="1">
        <v>17834</v>
      </c>
      <c r="B138" s="1" t="s">
        <v>377</v>
      </c>
      <c r="C138" s="1" t="s">
        <v>378</v>
      </c>
      <c r="D138" s="1" t="str">
        <f t="shared" si="0"/>
        <v>1</v>
      </c>
      <c r="E138" s="1" t="s">
        <v>379</v>
      </c>
      <c r="G138" s="1">
        <f t="array" ref="G138">IF(ISNUMBER(MATCH(17834,Camille!$A:$A,0)), IF(OR(INDEX(Camille!$D:$D,MATCH(17834,Camille!$A:$A,0))=1, INDEX(Camille!$D:$D,MATCH(17834,Camille!$A:$A,0))=2), INDEX(Camille!$D:$D,MATCH(17834,Camille!$A:$A,0)), 0), 0)</f>
        <v>1</v>
      </c>
      <c r="H138" s="1">
        <f t="array" ref="H138">IF(ISNUMBER(MATCH(17834,Telmo!$A:$A,0)), IF(OR(INDEX(Telmo!$D:$D,MATCH(17834,Telmo!$A:$A,0))=1, INDEX(Telmo!$D:$D,MATCH(17834,Telmo!$A:$A,0))=2), INDEX(Telmo!$D:$D,MATCH(17834,Telmo!$A:$A,0)), 0), 0)</f>
        <v>0</v>
      </c>
      <c r="I138" s="1">
        <f t="array" ref="I138">IF(ISNUMBER(MATCH(17834,Max!$A:$A,0)), IF(OR(INDEX(Max!$D:$D,MATCH(17834,Max!$A:$A,0))=1, INDEX(Max!$D:$D,MATCH(17834,Max!$A:$A,0))=2), INDEX(Max!$D:$D,MATCH(17834,Max!$A:$A,0)), 0), 0)</f>
        <v>0</v>
      </c>
    </row>
    <row r="139" spans="1:9" ht="15.75" customHeight="1" x14ac:dyDescent="0.2">
      <c r="A139" s="1">
        <v>18388</v>
      </c>
      <c r="B139" s="1" t="s">
        <v>301</v>
      </c>
      <c r="C139" s="1" t="s">
        <v>380</v>
      </c>
      <c r="D139" s="1" t="str">
        <f t="shared" si="0"/>
        <v>1</v>
      </c>
      <c r="E139" s="1" t="s">
        <v>381</v>
      </c>
      <c r="G139" s="1">
        <f t="array" ref="G139">IF(ISNUMBER(MATCH(18388,Camille!$A:$A,0)), IF(OR(INDEX(Camille!$D:$D,MATCH(18388,Camille!$A:$A,0))=1, INDEX(Camille!$D:$D,MATCH(18388,Camille!$A:$A,0))=2), INDEX(Camille!$D:$D,MATCH(18388,Camille!$A:$A,0)), 0), 0)</f>
        <v>1</v>
      </c>
      <c r="H139" s="1">
        <f t="array" ref="H139">IF(ISNUMBER(MATCH(18388,Telmo!$A:$A,0)), IF(OR(INDEX(Telmo!$D:$D,MATCH(18388,Telmo!$A:$A,0))=1, INDEX(Telmo!$D:$D,MATCH(18388,Telmo!$A:$A,0))=2), INDEX(Telmo!$D:$D,MATCH(18388,Telmo!$A:$A,0)), 0), 0)</f>
        <v>0</v>
      </c>
      <c r="I139" s="1">
        <f t="array" ref="I139">IF(ISNUMBER(MATCH(18388,Max!$A:$A,0)), IF(OR(INDEX(Max!$D:$D,MATCH(18388,Max!$A:$A,0))=1, INDEX(Max!$D:$D,MATCH(18388,Max!$A:$A,0))=2), INDEX(Max!$D:$D,MATCH(18388,Max!$A:$A,0)), 0), 0)</f>
        <v>0</v>
      </c>
    </row>
    <row r="140" spans="1:9" ht="15.75" customHeight="1" x14ac:dyDescent="0.2">
      <c r="A140" s="1">
        <v>66429</v>
      </c>
      <c r="B140" s="1" t="s">
        <v>382</v>
      </c>
      <c r="C140" s="1" t="s">
        <v>383</v>
      </c>
      <c r="D140" s="1" t="str">
        <f t="shared" si="0"/>
        <v>1</v>
      </c>
      <c r="E140" s="1" t="s">
        <v>384</v>
      </c>
      <c r="G140" s="1">
        <f t="array" ref="G140">IF(ISNUMBER(MATCH(66429,Camille!$A:$A,0)), IF(OR(INDEX(Camille!$D:$D,MATCH(66429,Camille!$A:$A,0))=1, INDEX(Camille!$D:$D,MATCH(66429,Camille!$A:$A,0))=2), INDEX(Camille!$D:$D,MATCH(66429,Camille!$A:$A,0)), 0), 0)</f>
        <v>1</v>
      </c>
      <c r="H140" s="1">
        <f t="array" ref="H140">IF(ISNUMBER(MATCH(66429,Telmo!$A:$A,0)), IF(OR(INDEX(Telmo!$D:$D,MATCH(66429,Telmo!$A:$A,0))=1, INDEX(Telmo!$D:$D,MATCH(66429,Telmo!$A:$A,0))=2), INDEX(Telmo!$D:$D,MATCH(66429,Telmo!$A:$A,0)), 0), 0)</f>
        <v>0</v>
      </c>
      <c r="I140" s="1">
        <f t="array" ref="I140">IF(ISNUMBER(MATCH(66429,Max!$A:$A,0)), IF(OR(INDEX(Max!$D:$D,MATCH(66429,Max!$A:$A,0))=1, INDEX(Max!$D:$D,MATCH(66429,Max!$A:$A,0))=2), INDEX(Max!$D:$D,MATCH(66429,Max!$A:$A,0)), 0), 0)</f>
        <v>0</v>
      </c>
    </row>
    <row r="141" spans="1:9" ht="15.75" customHeight="1" x14ac:dyDescent="0.2">
      <c r="A141" s="1">
        <v>69435</v>
      </c>
      <c r="B141" s="1" t="s">
        <v>385</v>
      </c>
      <c r="C141" s="1" t="s">
        <v>386</v>
      </c>
      <c r="D141" s="1" t="str">
        <f t="shared" si="0"/>
        <v>2</v>
      </c>
      <c r="E141" s="1" t="s">
        <v>387</v>
      </c>
      <c r="G141" s="1">
        <f t="array" ref="G141">IF(ISNUMBER(MATCH(69435,Camille!$A:$A,0)), IF(OR(INDEX(Camille!$D:$D,MATCH(69435,Camille!$A:$A,0))=1, INDEX(Camille!$D:$D,MATCH(69435,Camille!$A:$A,0))=2), INDEX(Camille!$D:$D,MATCH(69435,Camille!$A:$A,0)), 0), 0)</f>
        <v>2</v>
      </c>
      <c r="H141" s="1">
        <f t="array" ref="H141">IF(ISNUMBER(MATCH(69435,Telmo!$A:$A,0)), IF(OR(INDEX(Telmo!$D:$D,MATCH(69435,Telmo!$A:$A,0))=1, INDEX(Telmo!$D:$D,MATCH(69435,Telmo!$A:$A,0))=2), INDEX(Telmo!$D:$D,MATCH(69435,Telmo!$A:$A,0)), 0), 0)</f>
        <v>0</v>
      </c>
      <c r="I141" s="1">
        <f t="array" ref="I141">IF(ISNUMBER(MATCH(69435,Max!$A:$A,0)), IF(OR(INDEX(Max!$D:$D,MATCH(69435,Max!$A:$A,0))=1, INDEX(Max!$D:$D,MATCH(69435,Max!$A:$A,0))=2), INDEX(Max!$D:$D,MATCH(69435,Max!$A:$A,0)), 0), 0)</f>
        <v>0</v>
      </c>
    </row>
    <row r="142" spans="1:9" ht="15.75" customHeight="1" x14ac:dyDescent="0.2">
      <c r="A142" s="1">
        <v>23678</v>
      </c>
      <c r="B142" s="1" t="s">
        <v>11</v>
      </c>
      <c r="C142" s="1" t="s">
        <v>388</v>
      </c>
      <c r="D142" s="1" t="str">
        <f t="shared" si="0"/>
        <v>2</v>
      </c>
      <c r="E142" s="1" t="s">
        <v>389</v>
      </c>
      <c r="G142" s="1">
        <f t="array" ref="G142">IF(ISNUMBER(MATCH(23678,Camille!$A:$A,0)), IF(OR(INDEX(Camille!$D:$D,MATCH(23678,Camille!$A:$A,0))=1, INDEX(Camille!$D:$D,MATCH(23678,Camille!$A:$A,0))=2), INDEX(Camille!$D:$D,MATCH(23678,Camille!$A:$A,0)), 0), 0)</f>
        <v>2</v>
      </c>
      <c r="H142" s="1">
        <f t="array" ref="H142">IF(ISNUMBER(MATCH(23678,Telmo!$A:$A,0)), IF(OR(INDEX(Telmo!$D:$D,MATCH(23678,Telmo!$A:$A,0))=1, INDEX(Telmo!$D:$D,MATCH(23678,Telmo!$A:$A,0))=2), INDEX(Telmo!$D:$D,MATCH(23678,Telmo!$A:$A,0)), 0), 0)</f>
        <v>0</v>
      </c>
      <c r="I142" s="1">
        <f t="array" ref="I142">IF(ISNUMBER(MATCH(23678,Max!$A:$A,0)), IF(OR(INDEX(Max!$D:$D,MATCH(23678,Max!$A:$A,0))=1, INDEX(Max!$D:$D,MATCH(23678,Max!$A:$A,0))=2), INDEX(Max!$D:$D,MATCH(23678,Max!$A:$A,0)), 0), 0)</f>
        <v>0</v>
      </c>
    </row>
    <row r="143" spans="1:9" ht="15.75" customHeight="1" x14ac:dyDescent="0.2">
      <c r="A143" s="1">
        <v>41958</v>
      </c>
      <c r="B143" s="1" t="s">
        <v>385</v>
      </c>
      <c r="C143" s="1" t="s">
        <v>390</v>
      </c>
      <c r="D143" s="1" t="str">
        <f t="shared" si="0"/>
        <v>2</v>
      </c>
      <c r="E143" s="1" t="s">
        <v>391</v>
      </c>
      <c r="G143" s="1">
        <f t="array" ref="G143">IF(ISNUMBER(MATCH(41958,Camille!$A:$A,0)), IF(OR(INDEX(Camille!$D:$D,MATCH(41958,Camille!$A:$A,0))=1, INDEX(Camille!$D:$D,MATCH(41958,Camille!$A:$A,0))=2), INDEX(Camille!$D:$D,MATCH(41958,Camille!$A:$A,0)), 0), 0)</f>
        <v>2</v>
      </c>
      <c r="H143" s="1">
        <f t="array" ref="H143">IF(ISNUMBER(MATCH(41958,Telmo!$A:$A,0)), IF(OR(INDEX(Telmo!$D:$D,MATCH(41958,Telmo!$A:$A,0))=1, INDEX(Telmo!$D:$D,MATCH(41958,Telmo!$A:$A,0))=2), INDEX(Telmo!$D:$D,MATCH(41958,Telmo!$A:$A,0)), 0), 0)</f>
        <v>0</v>
      </c>
      <c r="I143" s="1">
        <f t="array" ref="I143">IF(ISNUMBER(MATCH(41958,Max!$A:$A,0)), IF(OR(INDEX(Max!$D:$D,MATCH(41958,Max!$A:$A,0))=1, INDEX(Max!$D:$D,MATCH(41958,Max!$A:$A,0))=2), INDEX(Max!$D:$D,MATCH(41958,Max!$A:$A,0)), 0), 0)</f>
        <v>0</v>
      </c>
    </row>
    <row r="144" spans="1:9" ht="15.75" customHeight="1" x14ac:dyDescent="0.2">
      <c r="A144" s="1">
        <v>47798</v>
      </c>
      <c r="B144" s="1" t="s">
        <v>32</v>
      </c>
      <c r="C144" s="1" t="s">
        <v>392</v>
      </c>
      <c r="D144" s="1" t="str">
        <f t="shared" si="0"/>
        <v>1</v>
      </c>
      <c r="E144" s="1" t="s">
        <v>393</v>
      </c>
      <c r="G144" s="1">
        <f t="array" ref="G144">IF(ISNUMBER(MATCH(47798,Camille!$A:$A,0)), IF(OR(INDEX(Camille!$D:$D,MATCH(47798,Camille!$A:$A,0))=1, INDEX(Camille!$D:$D,MATCH(47798,Camille!$A:$A,0))=2), INDEX(Camille!$D:$D,MATCH(47798,Camille!$A:$A,0)), 0), 0)</f>
        <v>1</v>
      </c>
      <c r="H144" s="1">
        <f t="array" ref="H144">IF(ISNUMBER(MATCH(47798,Telmo!$A:$A,0)), IF(OR(INDEX(Telmo!$D:$D,MATCH(47798,Telmo!$A:$A,0))=1, INDEX(Telmo!$D:$D,MATCH(47798,Telmo!$A:$A,0))=2), INDEX(Telmo!$D:$D,MATCH(47798,Telmo!$A:$A,0)), 0), 0)</f>
        <v>0</v>
      </c>
      <c r="I144" s="1">
        <f t="array" ref="I144">IF(ISNUMBER(MATCH(47798,Max!$A:$A,0)), IF(OR(INDEX(Max!$D:$D,MATCH(47798,Max!$A:$A,0))=1, INDEX(Max!$D:$D,MATCH(47798,Max!$A:$A,0))=2), INDEX(Max!$D:$D,MATCH(47798,Max!$A:$A,0)), 0), 0)</f>
        <v>0</v>
      </c>
    </row>
    <row r="145" spans="1:9" ht="15.75" customHeight="1" x14ac:dyDescent="0.2">
      <c r="A145" s="1">
        <v>55820</v>
      </c>
      <c r="B145" s="1" t="s">
        <v>394</v>
      </c>
      <c r="C145" s="1" t="s">
        <v>395</v>
      </c>
      <c r="D145" s="1" t="str">
        <f t="shared" si="0"/>
        <v>2</v>
      </c>
      <c r="E145" s="1" t="s">
        <v>396</v>
      </c>
      <c r="G145" s="1">
        <f t="array" ref="G145">IF(ISNUMBER(MATCH(55820,Camille!$A:$A,0)), IF(OR(INDEX(Camille!$D:$D,MATCH(55820,Camille!$A:$A,0))=1, INDEX(Camille!$D:$D,MATCH(55820,Camille!$A:$A,0))=2), INDEX(Camille!$D:$D,MATCH(55820,Camille!$A:$A,0)), 0), 0)</f>
        <v>2</v>
      </c>
      <c r="H145" s="1">
        <f t="array" ref="H145">IF(ISNUMBER(MATCH(55820,Telmo!$A:$A,0)), IF(OR(INDEX(Telmo!$D:$D,MATCH(55820,Telmo!$A:$A,0))=1, INDEX(Telmo!$D:$D,MATCH(55820,Telmo!$A:$A,0))=2), INDEX(Telmo!$D:$D,MATCH(55820,Telmo!$A:$A,0)), 0), 0)</f>
        <v>0</v>
      </c>
      <c r="I145" s="1">
        <f t="array" ref="I145">IF(ISNUMBER(MATCH(55820,Max!$A:$A,0)), IF(OR(INDEX(Max!$D:$D,MATCH(55820,Max!$A:$A,0))=1, INDEX(Max!$D:$D,MATCH(55820,Max!$A:$A,0))=2), INDEX(Max!$D:$D,MATCH(55820,Max!$A:$A,0)), 0), 0)</f>
        <v>0</v>
      </c>
    </row>
    <row r="146" spans="1:9" ht="15.75" customHeight="1" x14ac:dyDescent="0.2">
      <c r="A146" s="1">
        <v>43937</v>
      </c>
      <c r="B146" s="1" t="s">
        <v>106</v>
      </c>
      <c r="C146" s="1" t="s">
        <v>397</v>
      </c>
      <c r="D146" s="1" t="str">
        <f t="shared" si="0"/>
        <v>2</v>
      </c>
      <c r="E146" s="1" t="s">
        <v>398</v>
      </c>
      <c r="G146" s="1">
        <f t="array" ref="G146">IF(ISNUMBER(MATCH(43937,Camille!$A:$A,0)), IF(OR(INDEX(Camille!$D:$D,MATCH(43937,Camille!$A:$A,0))=1, INDEX(Camille!$D:$D,MATCH(43937,Camille!$A:$A,0))=2), INDEX(Camille!$D:$D,MATCH(43937,Camille!$A:$A,0)), 0), 0)</f>
        <v>2</v>
      </c>
      <c r="H146" s="1">
        <f t="array" ref="H146">IF(ISNUMBER(MATCH(43937,Telmo!$A:$A,0)), IF(OR(INDEX(Telmo!$D:$D,MATCH(43937,Telmo!$A:$A,0))=1, INDEX(Telmo!$D:$D,MATCH(43937,Telmo!$A:$A,0))=2), INDEX(Telmo!$D:$D,MATCH(43937,Telmo!$A:$A,0)), 0), 0)</f>
        <v>0</v>
      </c>
      <c r="I146" s="1">
        <f t="array" ref="I146">IF(ISNUMBER(MATCH(43937,Max!$A:$A,0)), IF(OR(INDEX(Max!$D:$D,MATCH(43937,Max!$A:$A,0))=1, INDEX(Max!$D:$D,MATCH(43937,Max!$A:$A,0))=2), INDEX(Max!$D:$D,MATCH(43937,Max!$A:$A,0)), 0), 0)</f>
        <v>0</v>
      </c>
    </row>
    <row r="147" spans="1:9" ht="15.75" customHeight="1" x14ac:dyDescent="0.2">
      <c r="A147" s="1">
        <v>57924</v>
      </c>
      <c r="B147" s="1" t="s">
        <v>399</v>
      </c>
      <c r="C147" s="1" t="s">
        <v>400</v>
      </c>
      <c r="D147" s="1" t="str">
        <f t="shared" si="0"/>
        <v>1</v>
      </c>
      <c r="E147" s="1" t="s">
        <v>401</v>
      </c>
      <c r="G147" s="1">
        <f t="array" ref="G147">IF(ISNUMBER(MATCH(57924,Camille!$A:$A,0)), IF(OR(INDEX(Camille!$D:$D,MATCH(57924,Camille!$A:$A,0))=1, INDEX(Camille!$D:$D,MATCH(57924,Camille!$A:$A,0))=2), INDEX(Camille!$D:$D,MATCH(57924,Camille!$A:$A,0)), 0), 0)</f>
        <v>1</v>
      </c>
      <c r="H147" s="1">
        <f t="array" ref="H147">IF(ISNUMBER(MATCH(57924,Telmo!$A:$A,0)), IF(OR(INDEX(Telmo!$D:$D,MATCH(57924,Telmo!$A:$A,0))=1, INDEX(Telmo!$D:$D,MATCH(57924,Telmo!$A:$A,0))=2), INDEX(Telmo!$D:$D,MATCH(57924,Telmo!$A:$A,0)), 0), 0)</f>
        <v>0</v>
      </c>
      <c r="I147" s="1">
        <f t="array" ref="I147">IF(ISNUMBER(MATCH(57924,Max!$A:$A,0)), IF(OR(INDEX(Max!$D:$D,MATCH(57924,Max!$A:$A,0))=1, INDEX(Max!$D:$D,MATCH(57924,Max!$A:$A,0))=2), INDEX(Max!$D:$D,MATCH(57924,Max!$A:$A,0)), 0), 0)</f>
        <v>0</v>
      </c>
    </row>
    <row r="148" spans="1:9" ht="15.75" customHeight="1" x14ac:dyDescent="0.2">
      <c r="A148" s="1">
        <v>33162</v>
      </c>
      <c r="B148" s="1" t="s">
        <v>402</v>
      </c>
      <c r="C148" s="1" t="s">
        <v>403</v>
      </c>
      <c r="D148" s="1" t="str">
        <f t="shared" si="0"/>
        <v>1</v>
      </c>
      <c r="E148" s="1" t="s">
        <v>404</v>
      </c>
      <c r="G148" s="1">
        <f t="array" ref="G148">IF(ISNUMBER(MATCH(33162,Camille!$A:$A,0)), IF(OR(INDEX(Camille!$D:$D,MATCH(33162,Camille!$A:$A,0))=1, INDEX(Camille!$D:$D,MATCH(33162,Camille!$A:$A,0))=2), INDEX(Camille!$D:$D,MATCH(33162,Camille!$A:$A,0)), 0), 0)</f>
        <v>1</v>
      </c>
      <c r="H148" s="1">
        <f t="array" ref="H148">IF(ISNUMBER(MATCH(33162,Telmo!$A:$A,0)), IF(OR(INDEX(Telmo!$D:$D,MATCH(33162,Telmo!$A:$A,0))=1, INDEX(Telmo!$D:$D,MATCH(33162,Telmo!$A:$A,0))=2), INDEX(Telmo!$D:$D,MATCH(33162,Telmo!$A:$A,0)), 0), 0)</f>
        <v>0</v>
      </c>
      <c r="I148" s="1">
        <f t="array" ref="I148">IF(ISNUMBER(MATCH(33162,Max!$A:$A,0)), IF(OR(INDEX(Max!$D:$D,MATCH(33162,Max!$A:$A,0))=1, INDEX(Max!$D:$D,MATCH(33162,Max!$A:$A,0))=2), INDEX(Max!$D:$D,MATCH(33162,Max!$A:$A,0)), 0), 0)</f>
        <v>0</v>
      </c>
    </row>
    <row r="149" spans="1:9" ht="15.75" customHeight="1" x14ac:dyDescent="0.2">
      <c r="A149" s="1">
        <v>10101</v>
      </c>
      <c r="B149" s="1" t="s">
        <v>405</v>
      </c>
      <c r="C149" s="1" t="s">
        <v>406</v>
      </c>
      <c r="D149" s="1" t="str">
        <f t="shared" si="0"/>
        <v>2</v>
      </c>
      <c r="E149" s="1" t="s">
        <v>407</v>
      </c>
      <c r="G149" s="1">
        <f t="array" ref="G149">IF(ISNUMBER(MATCH(10101,Camille!$A:$A,0)), IF(OR(INDEX(Camille!$D:$D,MATCH(10101,Camille!$A:$A,0))=1, INDEX(Camille!$D:$D,MATCH(10101,Camille!$A:$A,0))=2), INDEX(Camille!$D:$D,MATCH(10101,Camille!$A:$A,0)), 0), 0)</f>
        <v>2</v>
      </c>
      <c r="H149" s="1">
        <f t="array" ref="H149">IF(ISNUMBER(MATCH(10101,Telmo!$A:$A,0)), IF(OR(INDEX(Telmo!$D:$D,MATCH(10101,Telmo!$A:$A,0))=1, INDEX(Telmo!$D:$D,MATCH(10101,Telmo!$A:$A,0))=2), INDEX(Telmo!$D:$D,MATCH(10101,Telmo!$A:$A,0)), 0), 0)</f>
        <v>0</v>
      </c>
      <c r="I149" s="1">
        <f t="array" ref="I149">IF(ISNUMBER(MATCH(10101,Max!$A:$A,0)), IF(OR(INDEX(Max!$D:$D,MATCH(10101,Max!$A:$A,0))=1, INDEX(Max!$D:$D,MATCH(10101,Max!$A:$A,0))=2), INDEX(Max!$D:$D,MATCH(10101,Max!$A:$A,0)), 0), 0)</f>
        <v>0</v>
      </c>
    </row>
    <row r="150" spans="1:9" ht="15.75" customHeight="1" x14ac:dyDescent="0.2">
      <c r="A150" s="1">
        <v>44871</v>
      </c>
      <c r="B150" s="1" t="s">
        <v>408</v>
      </c>
      <c r="C150" s="1" t="s">
        <v>409</v>
      </c>
      <c r="D150" s="1" t="str">
        <f t="shared" si="0"/>
        <v>2</v>
      </c>
      <c r="E150" s="1" t="s">
        <v>410</v>
      </c>
      <c r="G150" s="1">
        <f t="array" ref="G150">IF(ISNUMBER(MATCH(44871,Camille!$A:$A,0)), IF(OR(INDEX(Camille!$D:$D,MATCH(44871,Camille!$A:$A,0))=1, INDEX(Camille!$D:$D,MATCH(44871,Camille!$A:$A,0))=2), INDEX(Camille!$D:$D,MATCH(44871,Camille!$A:$A,0)), 0), 0)</f>
        <v>2</v>
      </c>
      <c r="H150" s="1">
        <f t="array" ref="H150">IF(ISNUMBER(MATCH(44871,Telmo!$A:$A,0)), IF(OR(INDEX(Telmo!$D:$D,MATCH(44871,Telmo!$A:$A,0))=1, INDEX(Telmo!$D:$D,MATCH(44871,Telmo!$A:$A,0))=2), INDEX(Telmo!$D:$D,MATCH(44871,Telmo!$A:$A,0)), 0), 0)</f>
        <v>0</v>
      </c>
      <c r="I150" s="1">
        <f t="array" ref="I150">IF(ISNUMBER(MATCH(44871,Max!$A:$A,0)), IF(OR(INDEX(Max!$D:$D,MATCH(44871,Max!$A:$A,0))=1, INDEX(Max!$D:$D,MATCH(44871,Max!$A:$A,0))=2), INDEX(Max!$D:$D,MATCH(44871,Max!$A:$A,0)), 0), 0)</f>
        <v>0</v>
      </c>
    </row>
    <row r="151" spans="1:9" ht="15.75" customHeight="1" x14ac:dyDescent="0.2">
      <c r="A151" s="1">
        <v>3043</v>
      </c>
      <c r="B151" s="1" t="s">
        <v>32</v>
      </c>
      <c r="C151" s="1" t="s">
        <v>411</v>
      </c>
      <c r="D151" s="1" t="str">
        <f t="shared" si="0"/>
        <v>2</v>
      </c>
      <c r="E151" s="1" t="s">
        <v>412</v>
      </c>
      <c r="G151" s="1">
        <f t="array" ref="G151">IF(ISNUMBER(MATCH(3043,Camille!$A:$A,0)), IF(OR(INDEX(Camille!$D:$D,MATCH(3043,Camille!$A:$A,0))=1, INDEX(Camille!$D:$D,MATCH(3043,Camille!$A:$A,0))=2), INDEX(Camille!$D:$D,MATCH(3043,Camille!$A:$A,0)), 0), 0)</f>
        <v>2</v>
      </c>
      <c r="H151" s="1">
        <f t="array" ref="H151">IF(ISNUMBER(MATCH(3043,Telmo!$A:$A,0)), IF(OR(INDEX(Telmo!$D:$D,MATCH(3043,Telmo!$A:$A,0))=1, INDEX(Telmo!$D:$D,MATCH(3043,Telmo!$A:$A,0))=2), INDEX(Telmo!$D:$D,MATCH(3043,Telmo!$A:$A,0)), 0), 0)</f>
        <v>0</v>
      </c>
      <c r="I151" s="1">
        <f t="array" ref="I151">IF(ISNUMBER(MATCH(3043,Max!$A:$A,0)), IF(OR(INDEX(Max!$D:$D,MATCH(3043,Max!$A:$A,0))=1, INDEX(Max!$D:$D,MATCH(3043,Max!$A:$A,0))=2), INDEX(Max!$D:$D,MATCH(3043,Max!$A:$A,0)), 0), 0)</f>
        <v>0</v>
      </c>
    </row>
    <row r="152" spans="1:9" ht="15.75" customHeight="1" x14ac:dyDescent="0.2">
      <c r="A152" s="1">
        <v>60732</v>
      </c>
      <c r="B152" s="1" t="s">
        <v>413</v>
      </c>
      <c r="C152" s="1" t="s">
        <v>414</v>
      </c>
      <c r="D152" s="1" t="str">
        <f t="shared" si="0"/>
        <v>2</v>
      </c>
      <c r="E152" s="1" t="s">
        <v>415</v>
      </c>
      <c r="G152" s="1">
        <f t="array" ref="G152">IF(ISNUMBER(MATCH(60732,Camille!$A:$A,0)), IF(OR(INDEX(Camille!$D:$D,MATCH(60732,Camille!$A:$A,0))=1, INDEX(Camille!$D:$D,MATCH(60732,Camille!$A:$A,0))=2), INDEX(Camille!$D:$D,MATCH(60732,Camille!$A:$A,0)), 0), 0)</f>
        <v>2</v>
      </c>
      <c r="H152" s="1">
        <f t="array" ref="H152">IF(ISNUMBER(MATCH(60732,Telmo!$A:$A,0)), IF(OR(INDEX(Telmo!$D:$D,MATCH(60732,Telmo!$A:$A,0))=1, INDEX(Telmo!$D:$D,MATCH(60732,Telmo!$A:$A,0))=2), INDEX(Telmo!$D:$D,MATCH(60732,Telmo!$A:$A,0)), 0), 0)</f>
        <v>0</v>
      </c>
      <c r="I152" s="1">
        <f t="array" ref="I152">IF(ISNUMBER(MATCH(60732,Max!$A:$A,0)), IF(OR(INDEX(Max!$D:$D,MATCH(60732,Max!$A:$A,0))=1, INDEX(Max!$D:$D,MATCH(60732,Max!$A:$A,0))=2), INDEX(Max!$D:$D,MATCH(60732,Max!$A:$A,0)), 0), 0)</f>
        <v>0</v>
      </c>
    </row>
    <row r="153" spans="1:9" ht="15.75" customHeight="1" x14ac:dyDescent="0.2">
      <c r="A153" s="1">
        <v>25504</v>
      </c>
      <c r="B153" s="1" t="s">
        <v>416</v>
      </c>
      <c r="C153" s="1" t="s">
        <v>417</v>
      </c>
      <c r="D153" s="1" t="str">
        <f t="shared" si="0"/>
        <v>1</v>
      </c>
      <c r="E153" s="1" t="s">
        <v>418</v>
      </c>
      <c r="G153" s="1">
        <f t="array" ref="G153">IF(ISNUMBER(MATCH(25504,Camille!$A:$A,0)), IF(OR(INDEX(Camille!$D:$D,MATCH(25504,Camille!$A:$A,0))=1, INDEX(Camille!$D:$D,MATCH(25504,Camille!$A:$A,0))=2), INDEX(Camille!$D:$D,MATCH(25504,Camille!$A:$A,0)), 0), 0)</f>
        <v>1</v>
      </c>
      <c r="H153" s="1">
        <f t="array" ref="H153">IF(ISNUMBER(MATCH(25504,Telmo!$A:$A,0)), IF(OR(INDEX(Telmo!$D:$D,MATCH(25504,Telmo!$A:$A,0))=1, INDEX(Telmo!$D:$D,MATCH(25504,Telmo!$A:$A,0))=2), INDEX(Telmo!$D:$D,MATCH(25504,Telmo!$A:$A,0)), 0), 0)</f>
        <v>0</v>
      </c>
      <c r="I153" s="1">
        <f t="array" ref="I153">IF(ISNUMBER(MATCH(25504,Max!$A:$A,0)), IF(OR(INDEX(Max!$D:$D,MATCH(25504,Max!$A:$A,0))=1, INDEX(Max!$D:$D,MATCH(25504,Max!$A:$A,0))=2), INDEX(Max!$D:$D,MATCH(25504,Max!$A:$A,0)), 0), 0)</f>
        <v>0</v>
      </c>
    </row>
    <row r="154" spans="1:9" ht="15.75" customHeight="1" x14ac:dyDescent="0.2">
      <c r="A154" s="1">
        <v>25008</v>
      </c>
      <c r="B154" s="1" t="s">
        <v>419</v>
      </c>
      <c r="C154" s="1" t="s">
        <v>420</v>
      </c>
      <c r="D154" s="1" t="str">
        <f t="shared" si="0"/>
        <v>2</v>
      </c>
      <c r="E154" s="1" t="s">
        <v>421</v>
      </c>
      <c r="G154" s="1">
        <f t="array" ref="G154">IF(ISNUMBER(MATCH(25008,Camille!$A:$A,0)), IF(OR(INDEX(Camille!$D:$D,MATCH(25008,Camille!$A:$A,0))=1, INDEX(Camille!$D:$D,MATCH(25008,Camille!$A:$A,0))=2), INDEX(Camille!$D:$D,MATCH(25008,Camille!$A:$A,0)), 0), 0)</f>
        <v>2</v>
      </c>
      <c r="H154" s="1">
        <f t="array" ref="H154">IF(ISNUMBER(MATCH(25008,Telmo!$A:$A,0)), IF(OR(INDEX(Telmo!$D:$D,MATCH(25008,Telmo!$A:$A,0))=1, INDEX(Telmo!$D:$D,MATCH(25008,Telmo!$A:$A,0))=2), INDEX(Telmo!$D:$D,MATCH(25008,Telmo!$A:$A,0)), 0), 0)</f>
        <v>0</v>
      </c>
      <c r="I154" s="1">
        <f t="array" ref="I154">IF(ISNUMBER(MATCH(25008,Max!$A:$A,0)), IF(OR(INDEX(Max!$D:$D,MATCH(25008,Max!$A:$A,0))=1, INDEX(Max!$D:$D,MATCH(25008,Max!$A:$A,0))=2), INDEX(Max!$D:$D,MATCH(25008,Max!$A:$A,0)), 0), 0)</f>
        <v>0</v>
      </c>
    </row>
    <row r="155" spans="1:9" ht="15.75" customHeight="1" x14ac:dyDescent="0.2">
      <c r="A155" s="1">
        <v>61531</v>
      </c>
      <c r="B155" s="1" t="s">
        <v>422</v>
      </c>
      <c r="C155" s="1" t="s">
        <v>423</v>
      </c>
      <c r="D155" s="1" t="str">
        <f t="shared" si="0"/>
        <v>1</v>
      </c>
      <c r="E155" s="1" t="s">
        <v>424</v>
      </c>
      <c r="G155" s="1">
        <f t="array" ref="G155">IF(ISNUMBER(MATCH(61531,Camille!$A:$A,0)), IF(OR(INDEX(Camille!$D:$D,MATCH(61531,Camille!$A:$A,0))=1, INDEX(Camille!$D:$D,MATCH(61531,Camille!$A:$A,0))=2), INDEX(Camille!$D:$D,MATCH(61531,Camille!$A:$A,0)), 0), 0)</f>
        <v>1</v>
      </c>
      <c r="H155" s="1">
        <f t="array" ref="H155">IF(ISNUMBER(MATCH(61531,Telmo!$A:$A,0)), IF(OR(INDEX(Telmo!$D:$D,MATCH(61531,Telmo!$A:$A,0))=1, INDEX(Telmo!$D:$D,MATCH(61531,Telmo!$A:$A,0))=2), INDEX(Telmo!$D:$D,MATCH(61531,Telmo!$A:$A,0)), 0), 0)</f>
        <v>0</v>
      </c>
      <c r="I155" s="1">
        <f t="array" ref="I155">IF(ISNUMBER(MATCH(61531,Max!$A:$A,0)), IF(OR(INDEX(Max!$D:$D,MATCH(61531,Max!$A:$A,0))=1, INDEX(Max!$D:$D,MATCH(61531,Max!$A:$A,0))=2), INDEX(Max!$D:$D,MATCH(61531,Max!$A:$A,0)), 0), 0)</f>
        <v>0</v>
      </c>
    </row>
    <row r="156" spans="1:9" ht="15.75" customHeight="1" x14ac:dyDescent="0.2">
      <c r="A156" s="1">
        <v>70695</v>
      </c>
      <c r="B156" s="1" t="s">
        <v>425</v>
      </c>
      <c r="C156" s="1" t="s">
        <v>426</v>
      </c>
      <c r="D156" s="1" t="str">
        <f t="shared" si="0"/>
        <v>2</v>
      </c>
      <c r="E156" s="1" t="s">
        <v>427</v>
      </c>
      <c r="G156" s="1">
        <f t="array" ref="G156">IF(ISNUMBER(MATCH(70695,Camille!$A:$A,0)), IF(OR(INDEX(Camille!$D:$D,MATCH(70695,Camille!$A:$A,0))=1, INDEX(Camille!$D:$D,MATCH(70695,Camille!$A:$A,0))=2), INDEX(Camille!$D:$D,MATCH(70695,Camille!$A:$A,0)), 0), 0)</f>
        <v>2</v>
      </c>
      <c r="H156" s="1">
        <f t="array" ref="H156">IF(ISNUMBER(MATCH(70695,Telmo!$A:$A,0)), IF(OR(INDEX(Telmo!$D:$D,MATCH(70695,Telmo!$A:$A,0))=1, INDEX(Telmo!$D:$D,MATCH(70695,Telmo!$A:$A,0))=2), INDEX(Telmo!$D:$D,MATCH(70695,Telmo!$A:$A,0)), 0), 0)</f>
        <v>0</v>
      </c>
      <c r="I156" s="1">
        <f t="array" ref="I156">IF(ISNUMBER(MATCH(70695,Max!$A:$A,0)), IF(OR(INDEX(Max!$D:$D,MATCH(70695,Max!$A:$A,0))=1, INDEX(Max!$D:$D,MATCH(70695,Max!$A:$A,0))=2), INDEX(Max!$D:$D,MATCH(70695,Max!$A:$A,0)), 0), 0)</f>
        <v>0</v>
      </c>
    </row>
    <row r="157" spans="1:9" ht="15.75" customHeight="1" x14ac:dyDescent="0.2">
      <c r="A157" s="1">
        <v>41935</v>
      </c>
      <c r="B157" s="1" t="s">
        <v>17</v>
      </c>
      <c r="C157" s="1" t="s">
        <v>428</v>
      </c>
      <c r="D157" s="1" t="str">
        <f t="shared" si="0"/>
        <v>2</v>
      </c>
      <c r="E157" s="1" t="s">
        <v>429</v>
      </c>
      <c r="G157" s="1">
        <f t="array" ref="G157">IF(ISNUMBER(MATCH(41935,Camille!$A:$A,0)), IF(OR(INDEX(Camille!$D:$D,MATCH(41935,Camille!$A:$A,0))=1, INDEX(Camille!$D:$D,MATCH(41935,Camille!$A:$A,0))=2), INDEX(Camille!$D:$D,MATCH(41935,Camille!$A:$A,0)), 0), 0)</f>
        <v>2</v>
      </c>
      <c r="H157" s="1">
        <f t="array" ref="H157">IF(ISNUMBER(MATCH(41935,Telmo!$A:$A,0)), IF(OR(INDEX(Telmo!$D:$D,MATCH(41935,Telmo!$A:$A,0))=1, INDEX(Telmo!$D:$D,MATCH(41935,Telmo!$A:$A,0))=2), INDEX(Telmo!$D:$D,MATCH(41935,Telmo!$A:$A,0)), 0), 0)</f>
        <v>0</v>
      </c>
      <c r="I157" s="1">
        <f t="array" ref="I157">IF(ISNUMBER(MATCH(41935,Max!$A:$A,0)), IF(OR(INDEX(Max!$D:$D,MATCH(41935,Max!$A:$A,0))=1, INDEX(Max!$D:$D,MATCH(41935,Max!$A:$A,0))=2), INDEX(Max!$D:$D,MATCH(41935,Max!$A:$A,0)), 0), 0)</f>
        <v>0</v>
      </c>
    </row>
    <row r="158" spans="1:9" ht="15.75" customHeight="1" x14ac:dyDescent="0.2">
      <c r="A158" s="1">
        <v>20562</v>
      </c>
      <c r="B158" s="1" t="s">
        <v>430</v>
      </c>
      <c r="C158" s="1" t="s">
        <v>431</v>
      </c>
      <c r="D158" s="1" t="str">
        <f t="shared" si="0"/>
        <v>2</v>
      </c>
      <c r="E158" s="1" t="s">
        <v>432</v>
      </c>
      <c r="G158" s="1">
        <f t="array" ref="G158">IF(ISNUMBER(MATCH(20562,Camille!$A:$A,0)), IF(OR(INDEX(Camille!$D:$D,MATCH(20562,Camille!$A:$A,0))=1, INDEX(Camille!$D:$D,MATCH(20562,Camille!$A:$A,0))=2), INDEX(Camille!$D:$D,MATCH(20562,Camille!$A:$A,0)), 0), 0)</f>
        <v>2</v>
      </c>
      <c r="H158" s="1">
        <f t="array" ref="H158">IF(ISNUMBER(MATCH(20562,Telmo!$A:$A,0)), IF(OR(INDEX(Telmo!$D:$D,MATCH(20562,Telmo!$A:$A,0))=1, INDEX(Telmo!$D:$D,MATCH(20562,Telmo!$A:$A,0))=2), INDEX(Telmo!$D:$D,MATCH(20562,Telmo!$A:$A,0)), 0), 0)</f>
        <v>0</v>
      </c>
      <c r="I158" s="1">
        <f t="array" ref="I158">IF(ISNUMBER(MATCH(20562,Max!$A:$A,0)), IF(OR(INDEX(Max!$D:$D,MATCH(20562,Max!$A:$A,0))=1, INDEX(Max!$D:$D,MATCH(20562,Max!$A:$A,0))=2), INDEX(Max!$D:$D,MATCH(20562,Max!$A:$A,0)), 0), 0)</f>
        <v>0</v>
      </c>
    </row>
    <row r="159" spans="1:9" ht="15.75" customHeight="1" x14ac:dyDescent="0.2">
      <c r="A159" s="1">
        <v>49143</v>
      </c>
      <c r="B159" s="1" t="s">
        <v>433</v>
      </c>
      <c r="C159" s="1" t="s">
        <v>434</v>
      </c>
      <c r="D159" s="1" t="str">
        <f t="shared" si="0"/>
        <v>2</v>
      </c>
      <c r="E159" s="1" t="s">
        <v>435</v>
      </c>
      <c r="G159" s="1">
        <f t="array" ref="G159">IF(ISNUMBER(MATCH(49143,Camille!$A:$A,0)), IF(OR(INDEX(Camille!$D:$D,MATCH(49143,Camille!$A:$A,0))=1, INDEX(Camille!$D:$D,MATCH(49143,Camille!$A:$A,0))=2), INDEX(Camille!$D:$D,MATCH(49143,Camille!$A:$A,0)), 0), 0)</f>
        <v>2</v>
      </c>
      <c r="H159" s="1">
        <f t="array" ref="H159">IF(ISNUMBER(MATCH(49143,Telmo!$A:$A,0)), IF(OR(INDEX(Telmo!$D:$D,MATCH(49143,Telmo!$A:$A,0))=1, INDEX(Telmo!$D:$D,MATCH(49143,Telmo!$A:$A,0))=2), INDEX(Telmo!$D:$D,MATCH(49143,Telmo!$A:$A,0)), 0), 0)</f>
        <v>0</v>
      </c>
      <c r="I159" s="1">
        <f t="array" ref="I159">IF(ISNUMBER(MATCH(49143,Max!$A:$A,0)), IF(OR(INDEX(Max!$D:$D,MATCH(49143,Max!$A:$A,0))=1, INDEX(Max!$D:$D,MATCH(49143,Max!$A:$A,0))=2), INDEX(Max!$D:$D,MATCH(49143,Max!$A:$A,0)), 0), 0)</f>
        <v>0</v>
      </c>
    </row>
    <row r="160" spans="1:9" ht="15.75" customHeight="1" x14ac:dyDescent="0.2">
      <c r="A160" s="1">
        <v>48211</v>
      </c>
      <c r="B160" s="1" t="s">
        <v>254</v>
      </c>
      <c r="C160" s="1" t="s">
        <v>436</v>
      </c>
      <c r="D160" s="1" t="str">
        <f t="shared" si="0"/>
        <v>1</v>
      </c>
      <c r="E160" s="1" t="s">
        <v>437</v>
      </c>
      <c r="G160" s="1">
        <f t="array" ref="G160">IF(ISNUMBER(MATCH(48211,Camille!$A:$A,0)), IF(OR(INDEX(Camille!$D:$D,MATCH(48211,Camille!$A:$A,0))=1, INDEX(Camille!$D:$D,MATCH(48211,Camille!$A:$A,0))=2), INDEX(Camille!$D:$D,MATCH(48211,Camille!$A:$A,0)), 0), 0)</f>
        <v>1</v>
      </c>
      <c r="H160" s="1">
        <f t="array" ref="H160">IF(ISNUMBER(MATCH(48211,Telmo!$A:$A,0)), IF(OR(INDEX(Telmo!$D:$D,MATCH(48211,Telmo!$A:$A,0))=1, INDEX(Telmo!$D:$D,MATCH(48211,Telmo!$A:$A,0))=2), INDEX(Telmo!$D:$D,MATCH(48211,Telmo!$A:$A,0)), 0), 0)</f>
        <v>0</v>
      </c>
      <c r="I160" s="1">
        <f t="array" ref="I160">IF(ISNUMBER(MATCH(48211,Max!$A:$A,0)), IF(OR(INDEX(Max!$D:$D,MATCH(48211,Max!$A:$A,0))=1, INDEX(Max!$D:$D,MATCH(48211,Max!$A:$A,0))=2), INDEX(Max!$D:$D,MATCH(48211,Max!$A:$A,0)), 0), 0)</f>
        <v>0</v>
      </c>
    </row>
    <row r="161" spans="1:9" ht="15.75" customHeight="1" x14ac:dyDescent="0.2">
      <c r="A161" s="1">
        <v>47501</v>
      </c>
      <c r="B161" s="1" t="s">
        <v>385</v>
      </c>
      <c r="C161" s="1" t="s">
        <v>438</v>
      </c>
      <c r="D161" s="1" t="str">
        <f t="shared" si="0"/>
        <v>2</v>
      </c>
      <c r="E161" s="1" t="s">
        <v>439</v>
      </c>
      <c r="G161" s="1">
        <f t="array" ref="G161">IF(ISNUMBER(MATCH(47501,Camille!$A:$A,0)), IF(OR(INDEX(Camille!$D:$D,MATCH(47501,Camille!$A:$A,0))=1, INDEX(Camille!$D:$D,MATCH(47501,Camille!$A:$A,0))=2), INDEX(Camille!$D:$D,MATCH(47501,Camille!$A:$A,0)), 0), 0)</f>
        <v>2</v>
      </c>
      <c r="H161" s="1">
        <f t="array" ref="H161">IF(ISNUMBER(MATCH(47501,Telmo!$A:$A,0)), IF(OR(INDEX(Telmo!$D:$D,MATCH(47501,Telmo!$A:$A,0))=1, INDEX(Telmo!$D:$D,MATCH(47501,Telmo!$A:$A,0))=2), INDEX(Telmo!$D:$D,MATCH(47501,Telmo!$A:$A,0)), 0), 0)</f>
        <v>0</v>
      </c>
      <c r="I161" s="1">
        <f t="array" ref="I161">IF(ISNUMBER(MATCH(47501,Max!$A:$A,0)), IF(OR(INDEX(Max!$D:$D,MATCH(47501,Max!$A:$A,0))=1, INDEX(Max!$D:$D,MATCH(47501,Max!$A:$A,0))=2), INDEX(Max!$D:$D,MATCH(47501,Max!$A:$A,0)), 0), 0)</f>
        <v>0</v>
      </c>
    </row>
    <row r="162" spans="1:9" ht="15.75" customHeight="1" x14ac:dyDescent="0.2">
      <c r="A162" s="1">
        <v>4225</v>
      </c>
      <c r="B162" s="1" t="s">
        <v>90</v>
      </c>
      <c r="C162" s="1" t="s">
        <v>440</v>
      </c>
      <c r="D162" s="1" t="str">
        <f t="shared" si="0"/>
        <v>2</v>
      </c>
      <c r="E162" s="1" t="s">
        <v>441</v>
      </c>
      <c r="G162" s="1">
        <f t="array" ref="G162">IF(ISNUMBER(MATCH(4225,Camille!$A:$A,0)), IF(OR(INDEX(Camille!$D:$D,MATCH(4225,Camille!$A:$A,0))=1, INDEX(Camille!$D:$D,MATCH(4225,Camille!$A:$A,0))=2), INDEX(Camille!$D:$D,MATCH(4225,Camille!$A:$A,0)), 0), 0)</f>
        <v>2</v>
      </c>
      <c r="H162" s="1">
        <f t="array" ref="H162">IF(ISNUMBER(MATCH(4225,Telmo!$A:$A,0)), IF(OR(INDEX(Telmo!$D:$D,MATCH(4225,Telmo!$A:$A,0))=1, INDEX(Telmo!$D:$D,MATCH(4225,Telmo!$A:$A,0))=2), INDEX(Telmo!$D:$D,MATCH(4225,Telmo!$A:$A,0)), 0), 0)</f>
        <v>0</v>
      </c>
      <c r="I162" s="1">
        <f t="array" ref="I162">IF(ISNUMBER(MATCH(4225,Max!$A:$A,0)), IF(OR(INDEX(Max!$D:$D,MATCH(4225,Max!$A:$A,0))=1, INDEX(Max!$D:$D,MATCH(4225,Max!$A:$A,0))=2), INDEX(Max!$D:$D,MATCH(4225,Max!$A:$A,0)), 0), 0)</f>
        <v>0</v>
      </c>
    </row>
    <row r="163" spans="1:9" ht="15.75" customHeight="1" x14ac:dyDescent="0.2">
      <c r="A163" s="1">
        <v>697</v>
      </c>
      <c r="B163" s="1" t="s">
        <v>442</v>
      </c>
      <c r="C163" s="1" t="s">
        <v>443</v>
      </c>
      <c r="D163" s="1" t="str">
        <f t="shared" si="0"/>
        <v>2</v>
      </c>
      <c r="E163" s="1" t="s">
        <v>444</v>
      </c>
      <c r="G163" s="1">
        <f t="array" ref="G163">IF(ISNUMBER(MATCH(697,Camille!$A:$A,0)), IF(OR(INDEX(Camille!$D:$D,MATCH(697,Camille!$A:$A,0))=1, INDEX(Camille!$D:$D,MATCH(697,Camille!$A:$A,0))=2), INDEX(Camille!$D:$D,MATCH(697,Camille!$A:$A,0)), 0), 0)</f>
        <v>2</v>
      </c>
      <c r="H163" s="1">
        <f t="array" ref="H163">IF(ISNUMBER(MATCH(697,Telmo!$A:$A,0)), IF(OR(INDEX(Telmo!$D:$D,MATCH(697,Telmo!$A:$A,0))=1, INDEX(Telmo!$D:$D,MATCH(697,Telmo!$A:$A,0))=2), INDEX(Telmo!$D:$D,MATCH(697,Telmo!$A:$A,0)), 0), 0)</f>
        <v>0</v>
      </c>
      <c r="I163" s="1">
        <f t="array" ref="I163">IF(ISNUMBER(MATCH(697,Max!$A:$A,0)), IF(OR(INDEX(Max!$D:$D,MATCH(697,Max!$A:$A,0))=1, INDEX(Max!$D:$D,MATCH(697,Max!$A:$A,0))=2), INDEX(Max!$D:$D,MATCH(697,Max!$A:$A,0)), 0), 0)</f>
        <v>0</v>
      </c>
    </row>
    <row r="164" spans="1:9" ht="15.75" customHeight="1" x14ac:dyDescent="0.2">
      <c r="A164" s="1">
        <v>7916</v>
      </c>
      <c r="B164" s="1" t="s">
        <v>172</v>
      </c>
      <c r="C164" s="1" t="s">
        <v>445</v>
      </c>
      <c r="D164" s="1" t="str">
        <f t="shared" si="0"/>
        <v>2</v>
      </c>
      <c r="E164" s="1" t="s">
        <v>446</v>
      </c>
      <c r="G164" s="1">
        <f t="array" ref="G164">IF(ISNUMBER(MATCH(7916,Camille!$A:$A,0)), IF(OR(INDEX(Camille!$D:$D,MATCH(7916,Camille!$A:$A,0))=1, INDEX(Camille!$D:$D,MATCH(7916,Camille!$A:$A,0))=2), INDEX(Camille!$D:$D,MATCH(7916,Camille!$A:$A,0)), 0), 0)</f>
        <v>2</v>
      </c>
      <c r="H164" s="1">
        <f t="array" ref="H164">IF(ISNUMBER(MATCH(7916,Telmo!$A:$A,0)), IF(OR(INDEX(Telmo!$D:$D,MATCH(7916,Telmo!$A:$A,0))=1, INDEX(Telmo!$D:$D,MATCH(7916,Telmo!$A:$A,0))=2), INDEX(Telmo!$D:$D,MATCH(7916,Telmo!$A:$A,0)), 0), 0)</f>
        <v>0</v>
      </c>
      <c r="I164" s="1">
        <f t="array" ref="I164">IF(ISNUMBER(MATCH(7916,Max!$A:$A,0)), IF(OR(INDEX(Max!$D:$D,MATCH(7916,Max!$A:$A,0))=1, INDEX(Max!$D:$D,MATCH(7916,Max!$A:$A,0))=2), INDEX(Max!$D:$D,MATCH(7916,Max!$A:$A,0)), 0), 0)</f>
        <v>0</v>
      </c>
    </row>
    <row r="165" spans="1:9" ht="15.75" customHeight="1" x14ac:dyDescent="0.2">
      <c r="A165" s="1">
        <v>50787</v>
      </c>
      <c r="B165" s="1" t="s">
        <v>447</v>
      </c>
      <c r="C165" s="1" t="s">
        <v>448</v>
      </c>
      <c r="D165" s="1" t="str">
        <f t="shared" si="0"/>
        <v>1</v>
      </c>
      <c r="E165" s="1" t="s">
        <v>449</v>
      </c>
      <c r="G165" s="1">
        <f t="array" ref="G165">IF(ISNUMBER(MATCH(50787,Camille!$A:$A,0)), IF(OR(INDEX(Camille!$D:$D,MATCH(50787,Camille!$A:$A,0))=1, INDEX(Camille!$D:$D,MATCH(50787,Camille!$A:$A,0))=2), INDEX(Camille!$D:$D,MATCH(50787,Camille!$A:$A,0)), 0), 0)</f>
        <v>1</v>
      </c>
      <c r="H165" s="1">
        <f t="array" ref="H165">IF(ISNUMBER(MATCH(50787,Telmo!$A:$A,0)), IF(OR(INDEX(Telmo!$D:$D,MATCH(50787,Telmo!$A:$A,0))=1, INDEX(Telmo!$D:$D,MATCH(50787,Telmo!$A:$A,0))=2), INDEX(Telmo!$D:$D,MATCH(50787,Telmo!$A:$A,0)), 0), 0)</f>
        <v>0</v>
      </c>
      <c r="I165" s="1">
        <f t="array" ref="I165">IF(ISNUMBER(MATCH(50787,Max!$A:$A,0)), IF(OR(INDEX(Max!$D:$D,MATCH(50787,Max!$A:$A,0))=1, INDEX(Max!$D:$D,MATCH(50787,Max!$A:$A,0))=2), INDEX(Max!$D:$D,MATCH(50787,Max!$A:$A,0)), 0), 0)</f>
        <v>0</v>
      </c>
    </row>
    <row r="166" spans="1:9" ht="15.75" customHeight="1" x14ac:dyDescent="0.2">
      <c r="A166" s="1">
        <v>1925</v>
      </c>
      <c r="B166" s="1" t="s">
        <v>450</v>
      </c>
      <c r="C166" s="1" t="s">
        <v>451</v>
      </c>
      <c r="D166" s="1" t="str">
        <f t="shared" si="0"/>
        <v>1</v>
      </c>
      <c r="E166" s="1" t="s">
        <v>452</v>
      </c>
      <c r="G166" s="1">
        <f t="array" ref="G166">IF(ISNUMBER(MATCH(1925,Camille!$A:$A,0)), IF(OR(INDEX(Camille!$D:$D,MATCH(1925,Camille!$A:$A,0))=1, INDEX(Camille!$D:$D,MATCH(1925,Camille!$A:$A,0))=2), INDEX(Camille!$D:$D,MATCH(1925,Camille!$A:$A,0)), 0), 0)</f>
        <v>1</v>
      </c>
      <c r="H166" s="1">
        <f t="array" ref="H166">IF(ISNUMBER(MATCH(1925,Telmo!$A:$A,0)), IF(OR(INDEX(Telmo!$D:$D,MATCH(1925,Telmo!$A:$A,0))=1, INDEX(Telmo!$D:$D,MATCH(1925,Telmo!$A:$A,0))=2), INDEX(Telmo!$D:$D,MATCH(1925,Telmo!$A:$A,0)), 0), 0)</f>
        <v>0</v>
      </c>
      <c r="I166" s="1">
        <f t="array" ref="I166">IF(ISNUMBER(MATCH(1925,Max!$A:$A,0)), IF(OR(INDEX(Max!$D:$D,MATCH(1925,Max!$A:$A,0))=1, INDEX(Max!$D:$D,MATCH(1925,Max!$A:$A,0))=2), INDEX(Max!$D:$D,MATCH(1925,Max!$A:$A,0)), 0), 0)</f>
        <v>0</v>
      </c>
    </row>
    <row r="167" spans="1:9" ht="15.75" customHeight="1" x14ac:dyDescent="0.2">
      <c r="A167" s="1">
        <v>66943</v>
      </c>
      <c r="B167" s="1" t="s">
        <v>14</v>
      </c>
      <c r="C167" s="1" t="s">
        <v>453</v>
      </c>
      <c r="D167" s="1" t="str">
        <f t="shared" si="0"/>
        <v>1</v>
      </c>
      <c r="E167" s="1" t="s">
        <v>454</v>
      </c>
      <c r="G167" s="1">
        <f t="array" ref="G167">IF(ISNUMBER(MATCH(66943,Camille!$A:$A,0)), IF(OR(INDEX(Camille!$D:$D,MATCH(66943,Camille!$A:$A,0))=1, INDEX(Camille!$D:$D,MATCH(66943,Camille!$A:$A,0))=2), INDEX(Camille!$D:$D,MATCH(66943,Camille!$A:$A,0)), 0), 0)</f>
        <v>1</v>
      </c>
      <c r="H167" s="1">
        <f t="array" ref="H167">IF(ISNUMBER(MATCH(66943,Telmo!$A:$A,0)), IF(OR(INDEX(Telmo!$D:$D,MATCH(66943,Telmo!$A:$A,0))=1, INDEX(Telmo!$D:$D,MATCH(66943,Telmo!$A:$A,0))=2), INDEX(Telmo!$D:$D,MATCH(66943,Telmo!$A:$A,0)), 0), 0)</f>
        <v>0</v>
      </c>
      <c r="I167" s="1">
        <f t="array" ref="I167">IF(ISNUMBER(MATCH(66943,Max!$A:$A,0)), IF(OR(INDEX(Max!$D:$D,MATCH(66943,Max!$A:$A,0))=1, INDEX(Max!$D:$D,MATCH(66943,Max!$A:$A,0))=2), INDEX(Max!$D:$D,MATCH(66943,Max!$A:$A,0)), 0), 0)</f>
        <v>0</v>
      </c>
    </row>
    <row r="168" spans="1:9" ht="15.75" customHeight="1" x14ac:dyDescent="0.2">
      <c r="A168" s="1">
        <v>34012</v>
      </c>
      <c r="B168" s="1" t="s">
        <v>244</v>
      </c>
      <c r="C168" s="1" t="s">
        <v>455</v>
      </c>
      <c r="D168" s="1" t="str">
        <f t="shared" si="0"/>
        <v>1</v>
      </c>
      <c r="E168" s="1" t="s">
        <v>456</v>
      </c>
      <c r="G168" s="1">
        <f t="array" ref="G168">IF(ISNUMBER(MATCH(34012,Camille!$A:$A,0)), IF(OR(INDEX(Camille!$D:$D,MATCH(34012,Camille!$A:$A,0))=1, INDEX(Camille!$D:$D,MATCH(34012,Camille!$A:$A,0))=2), INDEX(Camille!$D:$D,MATCH(34012,Camille!$A:$A,0)), 0), 0)</f>
        <v>1</v>
      </c>
      <c r="H168" s="1">
        <f t="array" ref="H168">IF(ISNUMBER(MATCH(34012,Telmo!$A:$A,0)), IF(OR(INDEX(Telmo!$D:$D,MATCH(34012,Telmo!$A:$A,0))=1, INDEX(Telmo!$D:$D,MATCH(34012,Telmo!$A:$A,0))=2), INDEX(Telmo!$D:$D,MATCH(34012,Telmo!$A:$A,0)), 0), 0)</f>
        <v>0</v>
      </c>
      <c r="I168" s="1">
        <f t="array" ref="I168">IF(ISNUMBER(MATCH(34012,Max!$A:$A,0)), IF(OR(INDEX(Max!$D:$D,MATCH(34012,Max!$A:$A,0))=1, INDEX(Max!$D:$D,MATCH(34012,Max!$A:$A,0))=2), INDEX(Max!$D:$D,MATCH(34012,Max!$A:$A,0)), 0), 0)</f>
        <v>0</v>
      </c>
    </row>
    <row r="169" spans="1:9" ht="15.75" customHeight="1" x14ac:dyDescent="0.2">
      <c r="A169" s="1">
        <v>15596</v>
      </c>
      <c r="B169" s="1" t="s">
        <v>457</v>
      </c>
      <c r="C169" s="1" t="s">
        <v>458</v>
      </c>
      <c r="D169" s="1" t="str">
        <f t="shared" si="0"/>
        <v>2</v>
      </c>
      <c r="E169" s="1" t="s">
        <v>459</v>
      </c>
      <c r="G169" s="1">
        <f t="array" ref="G169">IF(ISNUMBER(MATCH(15596,Camille!$A:$A,0)), IF(OR(INDEX(Camille!$D:$D,MATCH(15596,Camille!$A:$A,0))=1, INDEX(Camille!$D:$D,MATCH(15596,Camille!$A:$A,0))=2), INDEX(Camille!$D:$D,MATCH(15596,Camille!$A:$A,0)), 0), 0)</f>
        <v>2</v>
      </c>
      <c r="H169" s="1">
        <f t="array" ref="H169">IF(ISNUMBER(MATCH(15596,Telmo!$A:$A,0)), IF(OR(INDEX(Telmo!$D:$D,MATCH(15596,Telmo!$A:$A,0))=1, INDEX(Telmo!$D:$D,MATCH(15596,Telmo!$A:$A,0))=2), INDEX(Telmo!$D:$D,MATCH(15596,Telmo!$A:$A,0)), 0), 0)</f>
        <v>0</v>
      </c>
      <c r="I169" s="1">
        <f t="array" ref="I169">IF(ISNUMBER(MATCH(15596,Max!$A:$A,0)), IF(OR(INDEX(Max!$D:$D,MATCH(15596,Max!$A:$A,0))=1, INDEX(Max!$D:$D,MATCH(15596,Max!$A:$A,0))=2), INDEX(Max!$D:$D,MATCH(15596,Max!$A:$A,0)), 0), 0)</f>
        <v>0</v>
      </c>
    </row>
    <row r="170" spans="1:9" ht="15.75" customHeight="1" x14ac:dyDescent="0.2">
      <c r="A170" s="1">
        <v>46488</v>
      </c>
      <c r="B170" s="1" t="s">
        <v>460</v>
      </c>
      <c r="C170" s="1" t="s">
        <v>461</v>
      </c>
      <c r="D170" s="1" t="str">
        <f t="shared" si="0"/>
        <v>1</v>
      </c>
      <c r="E170" s="1" t="s">
        <v>462</v>
      </c>
      <c r="G170" s="1">
        <f t="array" ref="G170">IF(ISNUMBER(MATCH(46488,Camille!$A:$A,0)), IF(OR(INDEX(Camille!$D:$D,MATCH(46488,Camille!$A:$A,0))=1, INDEX(Camille!$D:$D,MATCH(46488,Camille!$A:$A,0))=2), INDEX(Camille!$D:$D,MATCH(46488,Camille!$A:$A,0)), 0), 0)</f>
        <v>1</v>
      </c>
      <c r="H170" s="1">
        <f t="array" ref="H170">IF(ISNUMBER(MATCH(46488,Telmo!$A:$A,0)), IF(OR(INDEX(Telmo!$D:$D,MATCH(46488,Telmo!$A:$A,0))=1, INDEX(Telmo!$D:$D,MATCH(46488,Telmo!$A:$A,0))=2), INDEX(Telmo!$D:$D,MATCH(46488,Telmo!$A:$A,0)), 0), 0)</f>
        <v>0</v>
      </c>
      <c r="I170" s="1">
        <f t="array" ref="I170">IF(ISNUMBER(MATCH(46488,Max!$A:$A,0)), IF(OR(INDEX(Max!$D:$D,MATCH(46488,Max!$A:$A,0))=1, INDEX(Max!$D:$D,MATCH(46488,Max!$A:$A,0))=2), INDEX(Max!$D:$D,MATCH(46488,Max!$A:$A,0)), 0), 0)</f>
        <v>0</v>
      </c>
    </row>
    <row r="171" spans="1:9" ht="15.75" customHeight="1" x14ac:dyDescent="0.2">
      <c r="A171" s="1">
        <v>58103</v>
      </c>
      <c r="B171" s="1" t="s">
        <v>463</v>
      </c>
      <c r="C171" s="1" t="s">
        <v>464</v>
      </c>
      <c r="D171" s="1" t="str">
        <f t="shared" si="0"/>
        <v>2</v>
      </c>
      <c r="E171" s="1" t="s">
        <v>465</v>
      </c>
      <c r="G171" s="1">
        <f t="array" ref="G171">IF(ISNUMBER(MATCH(58103,Camille!$A:$A,0)), IF(OR(INDEX(Camille!$D:$D,MATCH(58103,Camille!$A:$A,0))=1, INDEX(Camille!$D:$D,MATCH(58103,Camille!$A:$A,0))=2), INDEX(Camille!$D:$D,MATCH(58103,Camille!$A:$A,0)), 0), 0)</f>
        <v>2</v>
      </c>
      <c r="H171" s="1">
        <f t="array" ref="H171">IF(ISNUMBER(MATCH(58103,Telmo!$A:$A,0)), IF(OR(INDEX(Telmo!$D:$D,MATCH(58103,Telmo!$A:$A,0))=1, INDEX(Telmo!$D:$D,MATCH(58103,Telmo!$A:$A,0))=2), INDEX(Telmo!$D:$D,MATCH(58103,Telmo!$A:$A,0)), 0), 0)</f>
        <v>0</v>
      </c>
      <c r="I171" s="1">
        <f t="array" ref="I171">IF(ISNUMBER(MATCH(58103,Max!$A:$A,0)), IF(OR(INDEX(Max!$D:$D,MATCH(58103,Max!$A:$A,0))=1, INDEX(Max!$D:$D,MATCH(58103,Max!$A:$A,0))=2), INDEX(Max!$D:$D,MATCH(58103,Max!$A:$A,0)), 0), 0)</f>
        <v>0</v>
      </c>
    </row>
    <row r="172" spans="1:9" ht="15.75" customHeight="1" x14ac:dyDescent="0.2">
      <c r="A172" s="1">
        <v>29095</v>
      </c>
      <c r="B172" s="1" t="s">
        <v>466</v>
      </c>
      <c r="C172" s="1" t="s">
        <v>467</v>
      </c>
      <c r="D172" s="1" t="str">
        <f t="shared" si="0"/>
        <v>2</v>
      </c>
      <c r="E172" s="1" t="s">
        <v>468</v>
      </c>
      <c r="G172" s="1">
        <f t="array" ref="G172">IF(ISNUMBER(MATCH(29095,Camille!$A:$A,0)), IF(OR(INDEX(Camille!$D:$D,MATCH(29095,Camille!$A:$A,0))=1, INDEX(Camille!$D:$D,MATCH(29095,Camille!$A:$A,0))=2), INDEX(Camille!$D:$D,MATCH(29095,Camille!$A:$A,0)), 0), 0)</f>
        <v>2</v>
      </c>
      <c r="H172" s="1">
        <f t="array" ref="H172">IF(ISNUMBER(MATCH(29095,Telmo!$A:$A,0)), IF(OR(INDEX(Telmo!$D:$D,MATCH(29095,Telmo!$A:$A,0))=1, INDEX(Telmo!$D:$D,MATCH(29095,Telmo!$A:$A,0))=2), INDEX(Telmo!$D:$D,MATCH(29095,Telmo!$A:$A,0)), 0), 0)</f>
        <v>0</v>
      </c>
      <c r="I172" s="1">
        <f t="array" ref="I172">IF(ISNUMBER(MATCH(29095,Max!$A:$A,0)), IF(OR(INDEX(Max!$D:$D,MATCH(29095,Max!$A:$A,0))=1, INDEX(Max!$D:$D,MATCH(29095,Max!$A:$A,0))=2), INDEX(Max!$D:$D,MATCH(29095,Max!$A:$A,0)), 0), 0)</f>
        <v>0</v>
      </c>
    </row>
    <row r="173" spans="1:9" ht="15.75" customHeight="1" x14ac:dyDescent="0.2">
      <c r="A173" s="1">
        <v>26364</v>
      </c>
      <c r="B173" s="1" t="s">
        <v>336</v>
      </c>
      <c r="C173" s="1" t="s">
        <v>469</v>
      </c>
      <c r="D173" s="1" t="str">
        <f t="shared" si="0"/>
        <v>1</v>
      </c>
      <c r="E173" s="1" t="s">
        <v>470</v>
      </c>
      <c r="G173" s="1">
        <f t="array" ref="G173">IF(ISNUMBER(MATCH(26364,Camille!$A:$A,0)), IF(OR(INDEX(Camille!$D:$D,MATCH(26364,Camille!$A:$A,0))=1, INDEX(Camille!$D:$D,MATCH(26364,Camille!$A:$A,0))=2), INDEX(Camille!$D:$D,MATCH(26364,Camille!$A:$A,0)), 0), 0)</f>
        <v>1</v>
      </c>
      <c r="H173" s="1">
        <f t="array" ref="H173">IF(ISNUMBER(MATCH(26364,Telmo!$A:$A,0)), IF(OR(INDEX(Telmo!$D:$D,MATCH(26364,Telmo!$A:$A,0))=1, INDEX(Telmo!$D:$D,MATCH(26364,Telmo!$A:$A,0))=2), INDEX(Telmo!$D:$D,MATCH(26364,Telmo!$A:$A,0)), 0), 0)</f>
        <v>0</v>
      </c>
      <c r="I173" s="1">
        <f t="array" ref="I173">IF(ISNUMBER(MATCH(26364,Max!$A:$A,0)), IF(OR(INDEX(Max!$D:$D,MATCH(26364,Max!$A:$A,0))=1, INDEX(Max!$D:$D,MATCH(26364,Max!$A:$A,0))=2), INDEX(Max!$D:$D,MATCH(26364,Max!$A:$A,0)), 0), 0)</f>
        <v>0</v>
      </c>
    </row>
    <row r="174" spans="1:9" ht="15.75" customHeight="1" x14ac:dyDescent="0.2">
      <c r="A174" s="1">
        <v>1715</v>
      </c>
      <c r="B174" s="1" t="s">
        <v>268</v>
      </c>
      <c r="C174" s="1" t="s">
        <v>471</v>
      </c>
      <c r="D174" s="1" t="str">
        <f t="shared" si="0"/>
        <v>2</v>
      </c>
      <c r="E174" s="1" t="s">
        <v>472</v>
      </c>
      <c r="G174" s="1">
        <f t="array" ref="G174">IF(ISNUMBER(MATCH(1715,Camille!$A:$A,0)), IF(OR(INDEX(Camille!$D:$D,MATCH(1715,Camille!$A:$A,0))=1, INDEX(Camille!$D:$D,MATCH(1715,Camille!$A:$A,0))=2), INDEX(Camille!$D:$D,MATCH(1715,Camille!$A:$A,0)), 0), 0)</f>
        <v>2</v>
      </c>
      <c r="H174" s="1">
        <f t="array" ref="H174">IF(ISNUMBER(MATCH(1715,Telmo!$A:$A,0)), IF(OR(INDEX(Telmo!$D:$D,MATCH(1715,Telmo!$A:$A,0))=1, INDEX(Telmo!$D:$D,MATCH(1715,Telmo!$A:$A,0))=2), INDEX(Telmo!$D:$D,MATCH(1715,Telmo!$A:$A,0)), 0), 0)</f>
        <v>0</v>
      </c>
      <c r="I174" s="1">
        <f t="array" ref="I174">IF(ISNUMBER(MATCH(1715,Max!$A:$A,0)), IF(OR(INDEX(Max!$D:$D,MATCH(1715,Max!$A:$A,0))=1, INDEX(Max!$D:$D,MATCH(1715,Max!$A:$A,0))=2), INDEX(Max!$D:$D,MATCH(1715,Max!$A:$A,0)), 0), 0)</f>
        <v>0</v>
      </c>
    </row>
    <row r="175" spans="1:9" ht="15.75" customHeight="1" x14ac:dyDescent="0.2">
      <c r="A175" s="1">
        <v>52626</v>
      </c>
      <c r="B175" s="1" t="s">
        <v>473</v>
      </c>
      <c r="C175" s="1" t="s">
        <v>474</v>
      </c>
      <c r="D175" s="1" t="str">
        <f t="shared" si="0"/>
        <v>1</v>
      </c>
      <c r="E175" s="1" t="s">
        <v>475</v>
      </c>
      <c r="G175" s="1">
        <f t="array" ref="G175">IF(ISNUMBER(MATCH(52626,Camille!$A:$A,0)), IF(OR(INDEX(Camille!$D:$D,MATCH(52626,Camille!$A:$A,0))=1, INDEX(Camille!$D:$D,MATCH(52626,Camille!$A:$A,0))=2), INDEX(Camille!$D:$D,MATCH(52626,Camille!$A:$A,0)), 0), 0)</f>
        <v>1</v>
      </c>
      <c r="H175" s="1">
        <f t="array" ref="H175">IF(ISNUMBER(MATCH(52626,Telmo!$A:$A,0)), IF(OR(INDEX(Telmo!$D:$D,MATCH(52626,Telmo!$A:$A,0))=1, INDEX(Telmo!$D:$D,MATCH(52626,Telmo!$A:$A,0))=2), INDEX(Telmo!$D:$D,MATCH(52626,Telmo!$A:$A,0)), 0), 0)</f>
        <v>0</v>
      </c>
      <c r="I175" s="1">
        <f t="array" ref="I175">IF(ISNUMBER(MATCH(52626,Max!$A:$A,0)), IF(OR(INDEX(Max!$D:$D,MATCH(52626,Max!$A:$A,0))=1, INDEX(Max!$D:$D,MATCH(52626,Max!$A:$A,0))=2), INDEX(Max!$D:$D,MATCH(52626,Max!$A:$A,0)), 0), 0)</f>
        <v>0</v>
      </c>
    </row>
    <row r="176" spans="1:9" ht="15.75" customHeight="1" x14ac:dyDescent="0.2">
      <c r="A176" s="1">
        <v>50360</v>
      </c>
      <c r="B176" s="1" t="s">
        <v>210</v>
      </c>
      <c r="C176" s="1" t="s">
        <v>476</v>
      </c>
      <c r="D176" s="1" t="str">
        <f t="shared" si="0"/>
        <v>2</v>
      </c>
      <c r="E176" s="1" t="s">
        <v>477</v>
      </c>
      <c r="G176" s="1">
        <f t="array" ref="G176">IF(ISNUMBER(MATCH(50360,Camille!$A:$A,0)), IF(OR(INDEX(Camille!$D:$D,MATCH(50360,Camille!$A:$A,0))=1, INDEX(Camille!$D:$D,MATCH(50360,Camille!$A:$A,0))=2), INDEX(Camille!$D:$D,MATCH(50360,Camille!$A:$A,0)), 0), 0)</f>
        <v>2</v>
      </c>
      <c r="H176" s="1">
        <f t="array" ref="H176">IF(ISNUMBER(MATCH(50360,Telmo!$A:$A,0)), IF(OR(INDEX(Telmo!$D:$D,MATCH(50360,Telmo!$A:$A,0))=1, INDEX(Telmo!$D:$D,MATCH(50360,Telmo!$A:$A,0))=2), INDEX(Telmo!$D:$D,MATCH(50360,Telmo!$A:$A,0)), 0), 0)</f>
        <v>0</v>
      </c>
      <c r="I176" s="1">
        <f t="array" ref="I176">IF(ISNUMBER(MATCH(50360,Max!$A:$A,0)), IF(OR(INDEX(Max!$D:$D,MATCH(50360,Max!$A:$A,0))=1, INDEX(Max!$D:$D,MATCH(50360,Max!$A:$A,0))=2), INDEX(Max!$D:$D,MATCH(50360,Max!$A:$A,0)), 0), 0)</f>
        <v>0</v>
      </c>
    </row>
    <row r="177" spans="1:9" ht="15.75" customHeight="1" x14ac:dyDescent="0.2">
      <c r="A177" s="1">
        <v>24778</v>
      </c>
      <c r="B177" s="1" t="s">
        <v>126</v>
      </c>
      <c r="C177" s="1" t="s">
        <v>478</v>
      </c>
      <c r="D177" s="1" t="str">
        <f t="shared" si="0"/>
        <v>2</v>
      </c>
      <c r="E177" s="1" t="s">
        <v>479</v>
      </c>
      <c r="G177" s="1">
        <f t="array" ref="G177">IF(ISNUMBER(MATCH(24778,Camille!$A:$A,0)), IF(OR(INDEX(Camille!$D:$D,MATCH(24778,Camille!$A:$A,0))=1, INDEX(Camille!$D:$D,MATCH(24778,Camille!$A:$A,0))=2), INDEX(Camille!$D:$D,MATCH(24778,Camille!$A:$A,0)), 0), 0)</f>
        <v>2</v>
      </c>
      <c r="H177" s="1">
        <f t="array" ref="H177">IF(ISNUMBER(MATCH(24778,Telmo!$A:$A,0)), IF(OR(INDEX(Telmo!$D:$D,MATCH(24778,Telmo!$A:$A,0))=1, INDEX(Telmo!$D:$D,MATCH(24778,Telmo!$A:$A,0))=2), INDEX(Telmo!$D:$D,MATCH(24778,Telmo!$A:$A,0)), 0), 0)</f>
        <v>0</v>
      </c>
      <c r="I177" s="1">
        <f t="array" ref="I177">IF(ISNUMBER(MATCH(24778,Max!$A:$A,0)), IF(OR(INDEX(Max!$D:$D,MATCH(24778,Max!$A:$A,0))=1, INDEX(Max!$D:$D,MATCH(24778,Max!$A:$A,0))=2), INDEX(Max!$D:$D,MATCH(24778,Max!$A:$A,0)), 0), 0)</f>
        <v>0</v>
      </c>
    </row>
    <row r="178" spans="1:9" ht="15.75" customHeight="1" x14ac:dyDescent="0.2">
      <c r="A178" s="1">
        <v>68798</v>
      </c>
      <c r="B178" s="1" t="s">
        <v>315</v>
      </c>
      <c r="C178" s="1" t="s">
        <v>480</v>
      </c>
      <c r="D178" s="1" t="str">
        <f t="shared" si="0"/>
        <v>2</v>
      </c>
      <c r="E178" s="1" t="s">
        <v>481</v>
      </c>
      <c r="G178" s="1">
        <f t="array" ref="G178">IF(ISNUMBER(MATCH(68798,Camille!$A:$A,0)), IF(OR(INDEX(Camille!$D:$D,MATCH(68798,Camille!$A:$A,0))=1, INDEX(Camille!$D:$D,MATCH(68798,Camille!$A:$A,0))=2), INDEX(Camille!$D:$D,MATCH(68798,Camille!$A:$A,0)), 0), 0)</f>
        <v>2</v>
      </c>
      <c r="H178" s="1">
        <f t="array" ref="H178">IF(ISNUMBER(MATCH(68798,Telmo!$A:$A,0)), IF(OR(INDEX(Telmo!$D:$D,MATCH(68798,Telmo!$A:$A,0))=1, INDEX(Telmo!$D:$D,MATCH(68798,Telmo!$A:$A,0))=2), INDEX(Telmo!$D:$D,MATCH(68798,Telmo!$A:$A,0)), 0), 0)</f>
        <v>0</v>
      </c>
      <c r="I178" s="1">
        <f t="array" ref="I178">IF(ISNUMBER(MATCH(68798,Max!$A:$A,0)), IF(OR(INDEX(Max!$D:$D,MATCH(68798,Max!$A:$A,0))=1, INDEX(Max!$D:$D,MATCH(68798,Max!$A:$A,0))=2), INDEX(Max!$D:$D,MATCH(68798,Max!$A:$A,0)), 0), 0)</f>
        <v>0</v>
      </c>
    </row>
    <row r="179" spans="1:9" ht="15.75" customHeight="1" x14ac:dyDescent="0.2">
      <c r="A179" s="1">
        <v>64376</v>
      </c>
      <c r="B179" s="1" t="s">
        <v>482</v>
      </c>
      <c r="C179" s="1" t="s">
        <v>483</v>
      </c>
      <c r="D179" s="1" t="str">
        <f t="shared" si="0"/>
        <v>2</v>
      </c>
      <c r="E179" s="1" t="s">
        <v>484</v>
      </c>
      <c r="G179" s="1">
        <f t="array" ref="G179">IF(ISNUMBER(MATCH(64376,Camille!$A:$A,0)), IF(OR(INDEX(Camille!$D:$D,MATCH(64376,Camille!$A:$A,0))=1, INDEX(Camille!$D:$D,MATCH(64376,Camille!$A:$A,0))=2), INDEX(Camille!$D:$D,MATCH(64376,Camille!$A:$A,0)), 0), 0)</f>
        <v>2</v>
      </c>
      <c r="H179" s="1">
        <f t="array" ref="H179">IF(ISNUMBER(MATCH(64376,Telmo!$A:$A,0)), IF(OR(INDEX(Telmo!$D:$D,MATCH(64376,Telmo!$A:$A,0))=1, INDEX(Telmo!$D:$D,MATCH(64376,Telmo!$A:$A,0))=2), INDEX(Telmo!$D:$D,MATCH(64376,Telmo!$A:$A,0)), 0), 0)</f>
        <v>0</v>
      </c>
      <c r="I179" s="1">
        <f t="array" ref="I179">IF(ISNUMBER(MATCH(64376,Max!$A:$A,0)), IF(OR(INDEX(Max!$D:$D,MATCH(64376,Max!$A:$A,0))=1, INDEX(Max!$D:$D,MATCH(64376,Max!$A:$A,0))=2), INDEX(Max!$D:$D,MATCH(64376,Max!$A:$A,0)), 0), 0)</f>
        <v>0</v>
      </c>
    </row>
    <row r="180" spans="1:9" ht="15.75" customHeight="1" x14ac:dyDescent="0.2">
      <c r="A180" s="1">
        <v>31342</v>
      </c>
      <c r="B180" s="1" t="s">
        <v>485</v>
      </c>
      <c r="C180" s="1" t="s">
        <v>486</v>
      </c>
      <c r="D180" s="1" t="str">
        <f t="shared" si="0"/>
        <v>1</v>
      </c>
      <c r="E180" s="1" t="s">
        <v>487</v>
      </c>
      <c r="G180" s="1">
        <f t="array" ref="G180">IF(ISNUMBER(MATCH(31342,Camille!$A:$A,0)), IF(OR(INDEX(Camille!$D:$D,MATCH(31342,Camille!$A:$A,0))=1, INDEX(Camille!$D:$D,MATCH(31342,Camille!$A:$A,0))=2), INDEX(Camille!$D:$D,MATCH(31342,Camille!$A:$A,0)), 0), 0)</f>
        <v>1</v>
      </c>
      <c r="H180" s="1">
        <f t="array" ref="H180">IF(ISNUMBER(MATCH(31342,Telmo!$A:$A,0)), IF(OR(INDEX(Telmo!$D:$D,MATCH(31342,Telmo!$A:$A,0))=1, INDEX(Telmo!$D:$D,MATCH(31342,Telmo!$A:$A,0))=2), INDEX(Telmo!$D:$D,MATCH(31342,Telmo!$A:$A,0)), 0), 0)</f>
        <v>0</v>
      </c>
      <c r="I180" s="1">
        <f t="array" ref="I180">IF(ISNUMBER(MATCH(31342,Max!$A:$A,0)), IF(OR(INDEX(Max!$D:$D,MATCH(31342,Max!$A:$A,0))=1, INDEX(Max!$D:$D,MATCH(31342,Max!$A:$A,0))=2), INDEX(Max!$D:$D,MATCH(31342,Max!$A:$A,0)), 0), 0)</f>
        <v>0</v>
      </c>
    </row>
    <row r="181" spans="1:9" ht="15.75" customHeight="1" x14ac:dyDescent="0.2">
      <c r="A181" s="1">
        <v>23698</v>
      </c>
      <c r="B181" s="1" t="s">
        <v>276</v>
      </c>
      <c r="C181" s="1" t="s">
        <v>488</v>
      </c>
      <c r="D181" s="1" t="str">
        <f t="shared" si="0"/>
        <v>1</v>
      </c>
      <c r="E181" s="1" t="s">
        <v>489</v>
      </c>
      <c r="G181" s="1">
        <f t="array" ref="G181">IF(ISNUMBER(MATCH(23698,Camille!$A:$A,0)), IF(OR(INDEX(Camille!$D:$D,MATCH(23698,Camille!$A:$A,0))=1, INDEX(Camille!$D:$D,MATCH(23698,Camille!$A:$A,0))=2), INDEX(Camille!$D:$D,MATCH(23698,Camille!$A:$A,0)), 0), 0)</f>
        <v>1</v>
      </c>
      <c r="H181" s="1">
        <f t="array" ref="H181">IF(ISNUMBER(MATCH(23698,Telmo!$A:$A,0)), IF(OR(INDEX(Telmo!$D:$D,MATCH(23698,Telmo!$A:$A,0))=1, INDEX(Telmo!$D:$D,MATCH(23698,Telmo!$A:$A,0))=2), INDEX(Telmo!$D:$D,MATCH(23698,Telmo!$A:$A,0)), 0), 0)</f>
        <v>0</v>
      </c>
      <c r="I181" s="1">
        <f t="array" ref="I181">IF(ISNUMBER(MATCH(23698,Max!$A:$A,0)), IF(OR(INDEX(Max!$D:$D,MATCH(23698,Max!$A:$A,0))=1, INDEX(Max!$D:$D,MATCH(23698,Max!$A:$A,0))=2), INDEX(Max!$D:$D,MATCH(23698,Max!$A:$A,0)), 0), 0)</f>
        <v>0</v>
      </c>
    </row>
    <row r="182" spans="1:9" ht="15.75" customHeight="1" x14ac:dyDescent="0.2">
      <c r="A182" s="1">
        <v>17691</v>
      </c>
      <c r="B182" s="1" t="s">
        <v>490</v>
      </c>
      <c r="C182" s="1" t="s">
        <v>491</v>
      </c>
      <c r="D182" s="1" t="str">
        <f t="shared" si="0"/>
        <v>1</v>
      </c>
      <c r="E182" s="1" t="s">
        <v>492</v>
      </c>
      <c r="G182" s="1">
        <f t="array" ref="G182">IF(ISNUMBER(MATCH(17691,Camille!$A:$A,0)), IF(OR(INDEX(Camille!$D:$D,MATCH(17691,Camille!$A:$A,0))=1, INDEX(Camille!$D:$D,MATCH(17691,Camille!$A:$A,0))=2), INDEX(Camille!$D:$D,MATCH(17691,Camille!$A:$A,0)), 0), 0)</f>
        <v>1</v>
      </c>
      <c r="H182" s="1">
        <f t="array" ref="H182">IF(ISNUMBER(MATCH(17691,Telmo!$A:$A,0)), IF(OR(INDEX(Telmo!$D:$D,MATCH(17691,Telmo!$A:$A,0))=1, INDEX(Telmo!$D:$D,MATCH(17691,Telmo!$A:$A,0))=2), INDEX(Telmo!$D:$D,MATCH(17691,Telmo!$A:$A,0)), 0), 0)</f>
        <v>0</v>
      </c>
      <c r="I182" s="1">
        <f t="array" ref="I182">IF(ISNUMBER(MATCH(17691,Max!$A:$A,0)), IF(OR(INDEX(Max!$D:$D,MATCH(17691,Max!$A:$A,0))=1, INDEX(Max!$D:$D,MATCH(17691,Max!$A:$A,0))=2), INDEX(Max!$D:$D,MATCH(17691,Max!$A:$A,0)), 0), 0)</f>
        <v>0</v>
      </c>
    </row>
    <row r="183" spans="1:9" ht="15.75" customHeight="1" x14ac:dyDescent="0.2">
      <c r="A183" s="1">
        <v>43024</v>
      </c>
      <c r="B183" s="1" t="s">
        <v>493</v>
      </c>
      <c r="C183" s="1" t="s">
        <v>494</v>
      </c>
      <c r="D183" s="1" t="str">
        <f t="shared" si="0"/>
        <v>1</v>
      </c>
      <c r="E183" s="1" t="s">
        <v>495</v>
      </c>
      <c r="G183" s="1">
        <f t="array" ref="G183">IF(ISNUMBER(MATCH(43024,Camille!$A:$A,0)), IF(OR(INDEX(Camille!$D:$D,MATCH(43024,Camille!$A:$A,0))=1, INDEX(Camille!$D:$D,MATCH(43024,Camille!$A:$A,0))=2), INDEX(Camille!$D:$D,MATCH(43024,Camille!$A:$A,0)), 0), 0)</f>
        <v>1</v>
      </c>
      <c r="H183" s="1">
        <f t="array" ref="H183">IF(ISNUMBER(MATCH(43024,Telmo!$A:$A,0)), IF(OR(INDEX(Telmo!$D:$D,MATCH(43024,Telmo!$A:$A,0))=1, INDEX(Telmo!$D:$D,MATCH(43024,Telmo!$A:$A,0))=2), INDEX(Telmo!$D:$D,MATCH(43024,Telmo!$A:$A,0)), 0), 0)</f>
        <v>0</v>
      </c>
      <c r="I183" s="1">
        <f t="array" ref="I183">IF(ISNUMBER(MATCH(43024,Max!$A:$A,0)), IF(OR(INDEX(Max!$D:$D,MATCH(43024,Max!$A:$A,0))=1, INDEX(Max!$D:$D,MATCH(43024,Max!$A:$A,0))=2), INDEX(Max!$D:$D,MATCH(43024,Max!$A:$A,0)), 0), 0)</f>
        <v>0</v>
      </c>
    </row>
    <row r="184" spans="1:9" ht="15.75" customHeight="1" x14ac:dyDescent="0.2">
      <c r="A184" s="1">
        <v>32012</v>
      </c>
      <c r="B184" s="1" t="s">
        <v>496</v>
      </c>
      <c r="C184" s="1" t="s">
        <v>497</v>
      </c>
      <c r="D184" s="1" t="str">
        <f t="shared" si="0"/>
        <v>2</v>
      </c>
      <c r="E184" s="1" t="s">
        <v>498</v>
      </c>
      <c r="G184" s="1">
        <f t="array" ref="G184">IF(ISNUMBER(MATCH(32012,Camille!$A:$A,0)), IF(OR(INDEX(Camille!$D:$D,MATCH(32012,Camille!$A:$A,0))=1, INDEX(Camille!$D:$D,MATCH(32012,Camille!$A:$A,0))=2), INDEX(Camille!$D:$D,MATCH(32012,Camille!$A:$A,0)), 0), 0)</f>
        <v>2</v>
      </c>
      <c r="H184" s="1">
        <f t="array" ref="H184">IF(ISNUMBER(MATCH(32012,Telmo!$A:$A,0)), IF(OR(INDEX(Telmo!$D:$D,MATCH(32012,Telmo!$A:$A,0))=1, INDEX(Telmo!$D:$D,MATCH(32012,Telmo!$A:$A,0))=2), INDEX(Telmo!$D:$D,MATCH(32012,Telmo!$A:$A,0)), 0), 0)</f>
        <v>0</v>
      </c>
      <c r="I184" s="1">
        <f t="array" ref="I184">IF(ISNUMBER(MATCH(32012,Max!$A:$A,0)), IF(OR(INDEX(Max!$D:$D,MATCH(32012,Max!$A:$A,0))=1, INDEX(Max!$D:$D,MATCH(32012,Max!$A:$A,0))=2), INDEX(Max!$D:$D,MATCH(32012,Max!$A:$A,0)), 0), 0)</f>
        <v>0</v>
      </c>
    </row>
    <row r="185" spans="1:9" ht="15.75" customHeight="1" x14ac:dyDescent="0.2">
      <c r="A185" s="1">
        <v>8010</v>
      </c>
      <c r="B185" s="1" t="s">
        <v>23</v>
      </c>
      <c r="C185" s="1" t="s">
        <v>499</v>
      </c>
      <c r="D185" s="1" t="str">
        <f t="shared" si="0"/>
        <v>2</v>
      </c>
      <c r="E185" s="1" t="s">
        <v>500</v>
      </c>
      <c r="G185" s="1">
        <f t="array" ref="G185">IF(ISNUMBER(MATCH(8010,Camille!$A:$A,0)), IF(OR(INDEX(Camille!$D:$D,MATCH(8010,Camille!$A:$A,0))=1, INDEX(Camille!$D:$D,MATCH(8010,Camille!$A:$A,0))=2), INDEX(Camille!$D:$D,MATCH(8010,Camille!$A:$A,0)), 0), 0)</f>
        <v>2</v>
      </c>
      <c r="H185" s="1">
        <f t="array" ref="H185">IF(ISNUMBER(MATCH(8010,Telmo!$A:$A,0)), IF(OR(INDEX(Telmo!$D:$D,MATCH(8010,Telmo!$A:$A,0))=1, INDEX(Telmo!$D:$D,MATCH(8010,Telmo!$A:$A,0))=2), INDEX(Telmo!$D:$D,MATCH(8010,Telmo!$A:$A,0)), 0), 0)</f>
        <v>0</v>
      </c>
      <c r="I185" s="1">
        <f t="array" ref="I185">IF(ISNUMBER(MATCH(8010,Max!$A:$A,0)), IF(OR(INDEX(Max!$D:$D,MATCH(8010,Max!$A:$A,0))=1, INDEX(Max!$D:$D,MATCH(8010,Max!$A:$A,0))=2), INDEX(Max!$D:$D,MATCH(8010,Max!$A:$A,0)), 0), 0)</f>
        <v>0</v>
      </c>
    </row>
    <row r="186" spans="1:9" ht="15.75" customHeight="1" x14ac:dyDescent="0.2">
      <c r="A186" s="1">
        <v>44674</v>
      </c>
      <c r="B186" s="1" t="s">
        <v>501</v>
      </c>
      <c r="C186" s="1" t="s">
        <v>502</v>
      </c>
      <c r="D186" s="1" t="str">
        <f t="shared" si="0"/>
        <v>2</v>
      </c>
      <c r="E186" s="1" t="s">
        <v>503</v>
      </c>
      <c r="G186" s="1">
        <f t="array" ref="G186">IF(ISNUMBER(MATCH(44674,Camille!$A:$A,0)), IF(OR(INDEX(Camille!$D:$D,MATCH(44674,Camille!$A:$A,0))=1, INDEX(Camille!$D:$D,MATCH(44674,Camille!$A:$A,0))=2), INDEX(Camille!$D:$D,MATCH(44674,Camille!$A:$A,0)), 0), 0)</f>
        <v>2</v>
      </c>
      <c r="H186" s="1">
        <f t="array" ref="H186">IF(ISNUMBER(MATCH(44674,Telmo!$A:$A,0)), IF(OR(INDEX(Telmo!$D:$D,MATCH(44674,Telmo!$A:$A,0))=1, INDEX(Telmo!$D:$D,MATCH(44674,Telmo!$A:$A,0))=2), INDEX(Telmo!$D:$D,MATCH(44674,Telmo!$A:$A,0)), 0), 0)</f>
        <v>0</v>
      </c>
      <c r="I186" s="1">
        <f t="array" ref="I186">IF(ISNUMBER(MATCH(44674,Max!$A:$A,0)), IF(OR(INDEX(Max!$D:$D,MATCH(44674,Max!$A:$A,0))=1, INDEX(Max!$D:$D,MATCH(44674,Max!$A:$A,0))=2), INDEX(Max!$D:$D,MATCH(44674,Max!$A:$A,0)), 0), 0)</f>
        <v>0</v>
      </c>
    </row>
    <row r="187" spans="1:9" ht="15.75" customHeight="1" x14ac:dyDescent="0.2">
      <c r="A187" s="1">
        <v>17559</v>
      </c>
      <c r="B187" s="1" t="s">
        <v>95</v>
      </c>
      <c r="C187" s="1" t="s">
        <v>504</v>
      </c>
      <c r="D187" s="1" t="str">
        <f t="shared" si="0"/>
        <v>2</v>
      </c>
      <c r="E187" s="1" t="s">
        <v>505</v>
      </c>
      <c r="G187" s="1">
        <f t="array" ref="G187">IF(ISNUMBER(MATCH(17559,Camille!$A:$A,0)), IF(OR(INDEX(Camille!$D:$D,MATCH(17559,Camille!$A:$A,0))=1, INDEX(Camille!$D:$D,MATCH(17559,Camille!$A:$A,0))=2), INDEX(Camille!$D:$D,MATCH(17559,Camille!$A:$A,0)), 0), 0)</f>
        <v>2</v>
      </c>
      <c r="H187" s="1">
        <f t="array" ref="H187">IF(ISNUMBER(MATCH(17559,Telmo!$A:$A,0)), IF(OR(INDEX(Telmo!$D:$D,MATCH(17559,Telmo!$A:$A,0))=1, INDEX(Telmo!$D:$D,MATCH(17559,Telmo!$A:$A,0))=2), INDEX(Telmo!$D:$D,MATCH(17559,Telmo!$A:$A,0)), 0), 0)</f>
        <v>0</v>
      </c>
      <c r="I187" s="1">
        <f t="array" ref="I187">IF(ISNUMBER(MATCH(17559,Max!$A:$A,0)), IF(OR(INDEX(Max!$D:$D,MATCH(17559,Max!$A:$A,0))=1, INDEX(Max!$D:$D,MATCH(17559,Max!$A:$A,0))=2), INDEX(Max!$D:$D,MATCH(17559,Max!$A:$A,0)), 0), 0)</f>
        <v>0</v>
      </c>
    </row>
    <row r="188" spans="1:9" ht="15.75" customHeight="1" x14ac:dyDescent="0.2">
      <c r="A188" s="1">
        <v>40885</v>
      </c>
      <c r="B188" s="1" t="s">
        <v>506</v>
      </c>
      <c r="C188" s="1" t="s">
        <v>507</v>
      </c>
      <c r="D188" s="1" t="str">
        <f t="shared" si="0"/>
        <v>2</v>
      </c>
      <c r="E188" s="1" t="s">
        <v>508</v>
      </c>
      <c r="G188" s="1">
        <f t="array" ref="G188">IF(ISNUMBER(MATCH(40885,Camille!$A:$A,0)), IF(OR(INDEX(Camille!$D:$D,MATCH(40885,Camille!$A:$A,0))=1, INDEX(Camille!$D:$D,MATCH(40885,Camille!$A:$A,0))=2), INDEX(Camille!$D:$D,MATCH(40885,Camille!$A:$A,0)), 0), 0)</f>
        <v>2</v>
      </c>
      <c r="H188" s="1">
        <f t="array" ref="H188">IF(ISNUMBER(MATCH(40885,Telmo!$A:$A,0)), IF(OR(INDEX(Telmo!$D:$D,MATCH(40885,Telmo!$A:$A,0))=1, INDEX(Telmo!$D:$D,MATCH(40885,Telmo!$A:$A,0))=2), INDEX(Telmo!$D:$D,MATCH(40885,Telmo!$A:$A,0)), 0), 0)</f>
        <v>0</v>
      </c>
      <c r="I188" s="1">
        <f t="array" ref="I188">IF(ISNUMBER(MATCH(40885,Max!$A:$A,0)), IF(OR(INDEX(Max!$D:$D,MATCH(40885,Max!$A:$A,0))=1, INDEX(Max!$D:$D,MATCH(40885,Max!$A:$A,0))=2), INDEX(Max!$D:$D,MATCH(40885,Max!$A:$A,0)), 0), 0)</f>
        <v>0</v>
      </c>
    </row>
    <row r="189" spans="1:9" ht="15.75" customHeight="1" x14ac:dyDescent="0.2">
      <c r="A189" s="1">
        <v>53901</v>
      </c>
      <c r="B189" s="1" t="s">
        <v>509</v>
      </c>
      <c r="C189" s="1" t="s">
        <v>510</v>
      </c>
      <c r="D189" s="1" t="str">
        <f t="shared" si="0"/>
        <v>2</v>
      </c>
      <c r="E189" s="1" t="s">
        <v>511</v>
      </c>
      <c r="G189" s="1">
        <f t="array" ref="G189">IF(ISNUMBER(MATCH(53901,Camille!$A:$A,0)), IF(OR(INDEX(Camille!$D:$D,MATCH(53901,Camille!$A:$A,0))=1, INDEX(Camille!$D:$D,MATCH(53901,Camille!$A:$A,0))=2), INDEX(Camille!$D:$D,MATCH(53901,Camille!$A:$A,0)), 0), 0)</f>
        <v>2</v>
      </c>
      <c r="H189" s="1">
        <f t="array" ref="H189">IF(ISNUMBER(MATCH(53901,Telmo!$A:$A,0)), IF(OR(INDEX(Telmo!$D:$D,MATCH(53901,Telmo!$A:$A,0))=1, INDEX(Telmo!$D:$D,MATCH(53901,Telmo!$A:$A,0))=2), INDEX(Telmo!$D:$D,MATCH(53901,Telmo!$A:$A,0)), 0), 0)</f>
        <v>0</v>
      </c>
      <c r="I189" s="1">
        <f t="array" ref="I189">IF(ISNUMBER(MATCH(53901,Max!$A:$A,0)), IF(OR(INDEX(Max!$D:$D,MATCH(53901,Max!$A:$A,0))=1, INDEX(Max!$D:$D,MATCH(53901,Max!$A:$A,0))=2), INDEX(Max!$D:$D,MATCH(53901,Max!$A:$A,0)), 0), 0)</f>
        <v>0</v>
      </c>
    </row>
    <row r="190" spans="1:9" ht="15.75" customHeight="1" x14ac:dyDescent="0.2">
      <c r="A190" s="1">
        <v>23148</v>
      </c>
      <c r="B190" s="1" t="s">
        <v>14</v>
      </c>
      <c r="C190" s="1" t="s">
        <v>512</v>
      </c>
      <c r="D190" s="1" t="str">
        <f t="shared" si="0"/>
        <v>1</v>
      </c>
      <c r="E190" s="1" t="s">
        <v>513</v>
      </c>
      <c r="G190" s="1">
        <f t="array" ref="G190">IF(ISNUMBER(MATCH(23148,Camille!$A:$A,0)), IF(OR(INDEX(Camille!$D:$D,MATCH(23148,Camille!$A:$A,0))=1, INDEX(Camille!$D:$D,MATCH(23148,Camille!$A:$A,0))=2), INDEX(Camille!$D:$D,MATCH(23148,Camille!$A:$A,0)), 0), 0)</f>
        <v>1</v>
      </c>
      <c r="H190" s="1">
        <f t="array" ref="H190">IF(ISNUMBER(MATCH(23148,Telmo!$A:$A,0)), IF(OR(INDEX(Telmo!$D:$D,MATCH(23148,Telmo!$A:$A,0))=1, INDEX(Telmo!$D:$D,MATCH(23148,Telmo!$A:$A,0))=2), INDEX(Telmo!$D:$D,MATCH(23148,Telmo!$A:$A,0)), 0), 0)</f>
        <v>0</v>
      </c>
      <c r="I190" s="1">
        <f t="array" ref="I190">IF(ISNUMBER(MATCH(23148,Max!$A:$A,0)), IF(OR(INDEX(Max!$D:$D,MATCH(23148,Max!$A:$A,0))=1, INDEX(Max!$D:$D,MATCH(23148,Max!$A:$A,0))=2), INDEX(Max!$D:$D,MATCH(23148,Max!$A:$A,0)), 0), 0)</f>
        <v>0</v>
      </c>
    </row>
    <row r="191" spans="1:9" ht="15.75" customHeight="1" x14ac:dyDescent="0.2">
      <c r="A191" s="1">
        <v>13432</v>
      </c>
      <c r="B191" s="1" t="s">
        <v>106</v>
      </c>
      <c r="C191" s="1" t="s">
        <v>514</v>
      </c>
      <c r="D191" s="1" t="str">
        <f t="shared" si="0"/>
        <v>2</v>
      </c>
      <c r="E191" s="1" t="s">
        <v>515</v>
      </c>
      <c r="G191" s="1">
        <f t="array" ref="G191">IF(ISNUMBER(MATCH(13432,Camille!$A:$A,0)), IF(OR(INDEX(Camille!$D:$D,MATCH(13432,Camille!$A:$A,0))=1, INDEX(Camille!$D:$D,MATCH(13432,Camille!$A:$A,0))=2), INDEX(Camille!$D:$D,MATCH(13432,Camille!$A:$A,0)), 0), 0)</f>
        <v>2</v>
      </c>
      <c r="H191" s="1">
        <f t="array" ref="H191">IF(ISNUMBER(MATCH(13432,Telmo!$A:$A,0)), IF(OR(INDEX(Telmo!$D:$D,MATCH(13432,Telmo!$A:$A,0))=1, INDEX(Telmo!$D:$D,MATCH(13432,Telmo!$A:$A,0))=2), INDEX(Telmo!$D:$D,MATCH(13432,Telmo!$A:$A,0)), 0), 0)</f>
        <v>0</v>
      </c>
      <c r="I191" s="1">
        <f t="array" ref="I191">IF(ISNUMBER(MATCH(13432,Max!$A:$A,0)), IF(OR(INDEX(Max!$D:$D,MATCH(13432,Max!$A:$A,0))=1, INDEX(Max!$D:$D,MATCH(13432,Max!$A:$A,0))=2), INDEX(Max!$D:$D,MATCH(13432,Max!$A:$A,0)), 0), 0)</f>
        <v>0</v>
      </c>
    </row>
    <row r="192" spans="1:9" ht="15.75" customHeight="1" x14ac:dyDescent="0.2">
      <c r="A192" s="1">
        <v>21675</v>
      </c>
      <c r="B192" s="1" t="s">
        <v>191</v>
      </c>
      <c r="C192" s="1" t="s">
        <v>516</v>
      </c>
      <c r="D192" s="1" t="str">
        <f t="shared" si="0"/>
        <v>2</v>
      </c>
      <c r="E192" s="1" t="s">
        <v>517</v>
      </c>
      <c r="G192" s="1">
        <f t="array" ref="G192">IF(ISNUMBER(MATCH(21675,Camille!$A:$A,0)), IF(OR(INDEX(Camille!$D:$D,MATCH(21675,Camille!$A:$A,0))=1, INDEX(Camille!$D:$D,MATCH(21675,Camille!$A:$A,0))=2), INDEX(Camille!$D:$D,MATCH(21675,Camille!$A:$A,0)), 0), 0)</f>
        <v>2</v>
      </c>
      <c r="H192" s="1">
        <f t="array" ref="H192">IF(ISNUMBER(MATCH(21675,Telmo!$A:$A,0)), IF(OR(INDEX(Telmo!$D:$D,MATCH(21675,Telmo!$A:$A,0))=1, INDEX(Telmo!$D:$D,MATCH(21675,Telmo!$A:$A,0))=2), INDEX(Telmo!$D:$D,MATCH(21675,Telmo!$A:$A,0)), 0), 0)</f>
        <v>0</v>
      </c>
      <c r="I192" s="1">
        <f t="array" ref="I192">IF(ISNUMBER(MATCH(21675,Max!$A:$A,0)), IF(OR(INDEX(Max!$D:$D,MATCH(21675,Max!$A:$A,0))=1, INDEX(Max!$D:$D,MATCH(21675,Max!$A:$A,0))=2), INDEX(Max!$D:$D,MATCH(21675,Max!$A:$A,0)), 0), 0)</f>
        <v>0</v>
      </c>
    </row>
    <row r="193" spans="1:9" ht="15.75" customHeight="1" x14ac:dyDescent="0.2">
      <c r="A193" s="1">
        <v>19901</v>
      </c>
      <c r="B193" s="1" t="s">
        <v>466</v>
      </c>
      <c r="C193" s="1" t="s">
        <v>518</v>
      </c>
      <c r="D193" s="1" t="str">
        <f t="shared" si="0"/>
        <v>2</v>
      </c>
      <c r="E193" s="1" t="s">
        <v>519</v>
      </c>
      <c r="G193" s="1">
        <f t="array" ref="G193">IF(ISNUMBER(MATCH(19901,Camille!$A:$A,0)), IF(OR(INDEX(Camille!$D:$D,MATCH(19901,Camille!$A:$A,0))=1, INDEX(Camille!$D:$D,MATCH(19901,Camille!$A:$A,0))=2), INDEX(Camille!$D:$D,MATCH(19901,Camille!$A:$A,0)), 0), 0)</f>
        <v>2</v>
      </c>
      <c r="H193" s="1">
        <f t="array" ref="H193">IF(ISNUMBER(MATCH(19901,Telmo!$A:$A,0)), IF(OR(INDEX(Telmo!$D:$D,MATCH(19901,Telmo!$A:$A,0))=1, INDEX(Telmo!$D:$D,MATCH(19901,Telmo!$A:$A,0))=2), INDEX(Telmo!$D:$D,MATCH(19901,Telmo!$A:$A,0)), 0), 0)</f>
        <v>0</v>
      </c>
      <c r="I193" s="1">
        <f t="array" ref="I193">IF(ISNUMBER(MATCH(19901,Max!$A:$A,0)), IF(OR(INDEX(Max!$D:$D,MATCH(19901,Max!$A:$A,0))=1, INDEX(Max!$D:$D,MATCH(19901,Max!$A:$A,0))=2), INDEX(Max!$D:$D,MATCH(19901,Max!$A:$A,0)), 0), 0)</f>
        <v>0</v>
      </c>
    </row>
    <row r="194" spans="1:9" ht="15.75" customHeight="1" x14ac:dyDescent="0.2">
      <c r="A194" s="1">
        <v>2971</v>
      </c>
      <c r="B194" s="1" t="s">
        <v>194</v>
      </c>
      <c r="C194" s="1" t="s">
        <v>520</v>
      </c>
      <c r="D194" s="1" t="str">
        <f t="shared" si="0"/>
        <v>2</v>
      </c>
      <c r="E194" s="1" t="s">
        <v>521</v>
      </c>
      <c r="G194" s="1">
        <f t="array" ref="G194">IF(ISNUMBER(MATCH(2971,Camille!$A:$A,0)), IF(OR(INDEX(Camille!$D:$D,MATCH(2971,Camille!$A:$A,0))=1, INDEX(Camille!$D:$D,MATCH(2971,Camille!$A:$A,0))=2), INDEX(Camille!$D:$D,MATCH(2971,Camille!$A:$A,0)), 0), 0)</f>
        <v>2</v>
      </c>
      <c r="H194" s="1">
        <f t="array" ref="H194">IF(ISNUMBER(MATCH(2971,Telmo!$A:$A,0)), IF(OR(INDEX(Telmo!$D:$D,MATCH(2971,Telmo!$A:$A,0))=1, INDEX(Telmo!$D:$D,MATCH(2971,Telmo!$A:$A,0))=2), INDEX(Telmo!$D:$D,MATCH(2971,Telmo!$A:$A,0)), 0), 0)</f>
        <v>0</v>
      </c>
      <c r="I194" s="1">
        <f t="array" ref="I194">IF(ISNUMBER(MATCH(2971,Max!$A:$A,0)), IF(OR(INDEX(Max!$D:$D,MATCH(2971,Max!$A:$A,0))=1, INDEX(Max!$D:$D,MATCH(2971,Max!$A:$A,0))=2), INDEX(Max!$D:$D,MATCH(2971,Max!$A:$A,0)), 0), 0)</f>
        <v>0</v>
      </c>
    </row>
    <row r="195" spans="1:9" ht="15.75" customHeight="1" x14ac:dyDescent="0.2">
      <c r="A195" s="1">
        <v>698</v>
      </c>
      <c r="B195" s="1" t="s">
        <v>87</v>
      </c>
      <c r="C195" s="1" t="s">
        <v>522</v>
      </c>
      <c r="D195" s="1" t="str">
        <f t="shared" si="0"/>
        <v>2</v>
      </c>
      <c r="E195" s="1" t="s">
        <v>523</v>
      </c>
      <c r="G195" s="1">
        <f t="array" ref="G195">IF(ISNUMBER(MATCH(698,Camille!$A:$A,0)), IF(OR(INDEX(Camille!$D:$D,MATCH(698,Camille!$A:$A,0))=1, INDEX(Camille!$D:$D,MATCH(698,Camille!$A:$A,0))=2), INDEX(Camille!$D:$D,MATCH(698,Camille!$A:$A,0)), 0), 0)</f>
        <v>2</v>
      </c>
      <c r="H195" s="1">
        <f t="array" ref="H195">IF(ISNUMBER(MATCH(698,Telmo!$A:$A,0)), IF(OR(INDEX(Telmo!$D:$D,MATCH(698,Telmo!$A:$A,0))=1, INDEX(Telmo!$D:$D,MATCH(698,Telmo!$A:$A,0))=2), INDEX(Telmo!$D:$D,MATCH(698,Telmo!$A:$A,0)), 0), 0)</f>
        <v>0</v>
      </c>
      <c r="I195" s="1">
        <f t="array" ref="I195">IF(ISNUMBER(MATCH(698,Max!$A:$A,0)), IF(OR(INDEX(Max!$D:$D,MATCH(698,Max!$A:$A,0))=1, INDEX(Max!$D:$D,MATCH(698,Max!$A:$A,0))=2), INDEX(Max!$D:$D,MATCH(698,Max!$A:$A,0)), 0), 0)</f>
        <v>0</v>
      </c>
    </row>
    <row r="196" spans="1:9" ht="15.75" customHeight="1" x14ac:dyDescent="0.2">
      <c r="A196" s="1">
        <v>16157</v>
      </c>
      <c r="B196" s="1" t="s">
        <v>524</v>
      </c>
      <c r="C196" s="1" t="s">
        <v>525</v>
      </c>
      <c r="D196" s="1" t="str">
        <f t="shared" si="0"/>
        <v>2</v>
      </c>
      <c r="E196" s="1" t="s">
        <v>526</v>
      </c>
      <c r="G196" s="1">
        <f t="array" ref="G196">IF(ISNUMBER(MATCH(16157,Camille!$A:$A,0)), IF(OR(INDEX(Camille!$D:$D,MATCH(16157,Camille!$A:$A,0))=1, INDEX(Camille!$D:$D,MATCH(16157,Camille!$A:$A,0))=2), INDEX(Camille!$D:$D,MATCH(16157,Camille!$A:$A,0)), 0), 0)</f>
        <v>2</v>
      </c>
      <c r="H196" s="1">
        <f t="array" ref="H196">IF(ISNUMBER(MATCH(16157,Telmo!$A:$A,0)), IF(OR(INDEX(Telmo!$D:$D,MATCH(16157,Telmo!$A:$A,0))=1, INDEX(Telmo!$D:$D,MATCH(16157,Telmo!$A:$A,0))=2), INDEX(Telmo!$D:$D,MATCH(16157,Telmo!$A:$A,0)), 0), 0)</f>
        <v>0</v>
      </c>
      <c r="I196" s="1">
        <f t="array" ref="I196">IF(ISNUMBER(MATCH(16157,Max!$A:$A,0)), IF(OR(INDEX(Max!$D:$D,MATCH(16157,Max!$A:$A,0))=1, INDEX(Max!$D:$D,MATCH(16157,Max!$A:$A,0))=2), INDEX(Max!$D:$D,MATCH(16157,Max!$A:$A,0)), 0), 0)</f>
        <v>0</v>
      </c>
    </row>
    <row r="197" spans="1:9" ht="15.75" customHeight="1" x14ac:dyDescent="0.2">
      <c r="A197" s="1">
        <v>31862</v>
      </c>
      <c r="B197" s="1" t="s">
        <v>527</v>
      </c>
      <c r="C197" s="1" t="s">
        <v>528</v>
      </c>
      <c r="D197" s="1" t="str">
        <f t="shared" si="0"/>
        <v>1</v>
      </c>
      <c r="E197" s="1" t="s">
        <v>529</v>
      </c>
      <c r="G197" s="1">
        <f t="array" ref="G197">IF(ISNUMBER(MATCH(31862,Camille!$A:$A,0)), IF(OR(INDEX(Camille!$D:$D,MATCH(31862,Camille!$A:$A,0))=1, INDEX(Camille!$D:$D,MATCH(31862,Camille!$A:$A,0))=2), INDEX(Camille!$D:$D,MATCH(31862,Camille!$A:$A,0)), 0), 0)</f>
        <v>1</v>
      </c>
      <c r="H197" s="1">
        <f t="array" ref="H197">IF(ISNUMBER(MATCH(31862,Telmo!$A:$A,0)), IF(OR(INDEX(Telmo!$D:$D,MATCH(31862,Telmo!$A:$A,0))=1, INDEX(Telmo!$D:$D,MATCH(31862,Telmo!$A:$A,0))=2), INDEX(Telmo!$D:$D,MATCH(31862,Telmo!$A:$A,0)), 0), 0)</f>
        <v>0</v>
      </c>
      <c r="I197" s="1">
        <f t="array" ref="I197">IF(ISNUMBER(MATCH(31862,Max!$A:$A,0)), IF(OR(INDEX(Max!$D:$D,MATCH(31862,Max!$A:$A,0))=1, INDEX(Max!$D:$D,MATCH(31862,Max!$A:$A,0))=2), INDEX(Max!$D:$D,MATCH(31862,Max!$A:$A,0)), 0), 0)</f>
        <v>0</v>
      </c>
    </row>
    <row r="198" spans="1:9" ht="15.75" customHeight="1" x14ac:dyDescent="0.2">
      <c r="A198" s="1">
        <v>54683</v>
      </c>
      <c r="B198" s="1" t="s">
        <v>530</v>
      </c>
      <c r="C198" s="1" t="s">
        <v>531</v>
      </c>
      <c r="D198" s="1" t="str">
        <f t="shared" si="0"/>
        <v>2</v>
      </c>
      <c r="E198" s="1" t="s">
        <v>532</v>
      </c>
      <c r="G198" s="1">
        <f t="array" ref="G198">IF(ISNUMBER(MATCH(54683,Camille!$A:$A,0)), IF(OR(INDEX(Camille!$D:$D,MATCH(54683,Camille!$A:$A,0))=1, INDEX(Camille!$D:$D,MATCH(54683,Camille!$A:$A,0))=2), INDEX(Camille!$D:$D,MATCH(54683,Camille!$A:$A,0)), 0), 0)</f>
        <v>2</v>
      </c>
      <c r="H198" s="1">
        <f t="array" ref="H198">IF(ISNUMBER(MATCH(54683,Telmo!$A:$A,0)), IF(OR(INDEX(Telmo!$D:$D,MATCH(54683,Telmo!$A:$A,0))=1, INDEX(Telmo!$D:$D,MATCH(54683,Telmo!$A:$A,0))=2), INDEX(Telmo!$D:$D,MATCH(54683,Telmo!$A:$A,0)), 0), 0)</f>
        <v>0</v>
      </c>
      <c r="I198" s="1">
        <f t="array" ref="I198">IF(ISNUMBER(MATCH(54683,Max!$A:$A,0)), IF(OR(INDEX(Max!$D:$D,MATCH(54683,Max!$A:$A,0))=1, INDEX(Max!$D:$D,MATCH(54683,Max!$A:$A,0))=2), INDEX(Max!$D:$D,MATCH(54683,Max!$A:$A,0)), 0), 0)</f>
        <v>0</v>
      </c>
    </row>
    <row r="199" spans="1:9" ht="15.75" customHeight="1" x14ac:dyDescent="0.2">
      <c r="A199" s="1">
        <v>14683</v>
      </c>
      <c r="B199" s="1" t="s">
        <v>533</v>
      </c>
      <c r="C199" s="1" t="s">
        <v>534</v>
      </c>
      <c r="D199" s="1" t="str">
        <f t="shared" si="0"/>
        <v>2</v>
      </c>
      <c r="E199" s="1" t="s">
        <v>535</v>
      </c>
      <c r="G199" s="1">
        <f t="array" ref="G199">IF(ISNUMBER(MATCH(14683,Camille!$A:$A,0)), IF(OR(INDEX(Camille!$D:$D,MATCH(14683,Camille!$A:$A,0))=1, INDEX(Camille!$D:$D,MATCH(14683,Camille!$A:$A,0))=2), INDEX(Camille!$D:$D,MATCH(14683,Camille!$A:$A,0)), 0), 0)</f>
        <v>2</v>
      </c>
      <c r="H199" s="1">
        <f t="array" ref="H199">IF(ISNUMBER(MATCH(14683,Telmo!$A:$A,0)), IF(OR(INDEX(Telmo!$D:$D,MATCH(14683,Telmo!$A:$A,0))=1, INDEX(Telmo!$D:$D,MATCH(14683,Telmo!$A:$A,0))=2), INDEX(Telmo!$D:$D,MATCH(14683,Telmo!$A:$A,0)), 0), 0)</f>
        <v>0</v>
      </c>
      <c r="I199" s="1">
        <f t="array" ref="I199">IF(ISNUMBER(MATCH(14683,Max!$A:$A,0)), IF(OR(INDEX(Max!$D:$D,MATCH(14683,Max!$A:$A,0))=1, INDEX(Max!$D:$D,MATCH(14683,Max!$A:$A,0))=2), INDEX(Max!$D:$D,MATCH(14683,Max!$A:$A,0)), 0), 0)</f>
        <v>0</v>
      </c>
    </row>
    <row r="200" spans="1:9" ht="15.75" customHeight="1" x14ac:dyDescent="0.2">
      <c r="A200" s="1">
        <v>35757</v>
      </c>
      <c r="B200" s="1" t="s">
        <v>490</v>
      </c>
      <c r="C200" s="1" t="s">
        <v>536</v>
      </c>
      <c r="D200" s="1" t="str">
        <f t="shared" si="0"/>
        <v>1</v>
      </c>
      <c r="E200" s="1" t="s">
        <v>537</v>
      </c>
      <c r="G200" s="1">
        <f t="array" ref="G200">IF(ISNUMBER(MATCH(35757,Camille!$A:$A,0)), IF(OR(INDEX(Camille!$D:$D,MATCH(35757,Camille!$A:$A,0))=1, INDEX(Camille!$D:$D,MATCH(35757,Camille!$A:$A,0))=2), INDEX(Camille!$D:$D,MATCH(35757,Camille!$A:$A,0)), 0), 0)</f>
        <v>1</v>
      </c>
      <c r="H200" s="1">
        <f t="array" ref="H200">IF(ISNUMBER(MATCH(35757,Telmo!$A:$A,0)), IF(OR(INDEX(Telmo!$D:$D,MATCH(35757,Telmo!$A:$A,0))=1, INDEX(Telmo!$D:$D,MATCH(35757,Telmo!$A:$A,0))=2), INDEX(Telmo!$D:$D,MATCH(35757,Telmo!$A:$A,0)), 0), 0)</f>
        <v>0</v>
      </c>
      <c r="I200" s="1">
        <f t="array" ref="I200">IF(ISNUMBER(MATCH(35757,Max!$A:$A,0)), IF(OR(INDEX(Max!$D:$D,MATCH(35757,Max!$A:$A,0))=1, INDEX(Max!$D:$D,MATCH(35757,Max!$A:$A,0))=2), INDEX(Max!$D:$D,MATCH(35757,Max!$A:$A,0)), 0), 0)</f>
        <v>0</v>
      </c>
    </row>
    <row r="201" spans="1:9" ht="15.75" customHeight="1" x14ac:dyDescent="0.2">
      <c r="A201" s="1">
        <v>31441</v>
      </c>
      <c r="B201" s="1" t="s">
        <v>295</v>
      </c>
      <c r="C201" s="1" t="s">
        <v>538</v>
      </c>
      <c r="D201" s="1" t="str">
        <f t="shared" si="0"/>
        <v>2</v>
      </c>
      <c r="E201" s="1" t="s">
        <v>539</v>
      </c>
      <c r="G201" s="1">
        <f t="array" ref="G201">IF(ISNUMBER(MATCH(31441,Camille!$A:$A,0)), IF(OR(INDEX(Camille!$D:$D,MATCH(31441,Camille!$A:$A,0))=1, INDEX(Camille!$D:$D,MATCH(31441,Camille!$A:$A,0))=2), INDEX(Camille!$D:$D,MATCH(31441,Camille!$A:$A,0)), 0), 0)</f>
        <v>2</v>
      </c>
      <c r="H201" s="1">
        <f t="array" ref="H201">IF(ISNUMBER(MATCH(31441,Telmo!$A:$A,0)), IF(OR(INDEX(Telmo!$D:$D,MATCH(31441,Telmo!$A:$A,0))=1, INDEX(Telmo!$D:$D,MATCH(31441,Telmo!$A:$A,0))=2), INDEX(Telmo!$D:$D,MATCH(31441,Telmo!$A:$A,0)), 0), 0)</f>
        <v>0</v>
      </c>
      <c r="I201" s="1">
        <f t="array" ref="I201">IF(ISNUMBER(MATCH(31441,Max!$A:$A,0)), IF(OR(INDEX(Max!$D:$D,MATCH(31441,Max!$A:$A,0))=1, INDEX(Max!$D:$D,MATCH(31441,Max!$A:$A,0))=2), INDEX(Max!$D:$D,MATCH(31441,Max!$A:$A,0)), 0), 0)</f>
        <v>0</v>
      </c>
    </row>
    <row r="202" spans="1:9" ht="15.75" customHeight="1" x14ac:dyDescent="0.2">
      <c r="A202" s="1">
        <v>22079</v>
      </c>
      <c r="B202" s="1" t="s">
        <v>442</v>
      </c>
      <c r="C202" s="1" t="s">
        <v>540</v>
      </c>
      <c r="D202" s="1" t="str">
        <f t="shared" si="0"/>
        <v>2</v>
      </c>
      <c r="E202" s="1" t="s">
        <v>541</v>
      </c>
      <c r="G202" s="1">
        <f t="array" ref="G202">IF(ISNUMBER(MATCH(22079,Camille!$A:$A,0)), IF(OR(INDEX(Camille!$D:$D,MATCH(22079,Camille!$A:$A,0))=1, INDEX(Camille!$D:$D,MATCH(22079,Camille!$A:$A,0))=2), INDEX(Camille!$D:$D,MATCH(22079,Camille!$A:$A,0)), 0), 0)</f>
        <v>2</v>
      </c>
      <c r="H202" s="1">
        <f t="array" ref="H202">IF(ISNUMBER(MATCH(22079,Telmo!$A:$A,0)), IF(OR(INDEX(Telmo!$D:$D,MATCH(22079,Telmo!$A:$A,0))=1, INDEX(Telmo!$D:$D,MATCH(22079,Telmo!$A:$A,0))=2), INDEX(Telmo!$D:$D,MATCH(22079,Telmo!$A:$A,0)), 0), 0)</f>
        <v>0</v>
      </c>
      <c r="I202" s="1">
        <f t="array" ref="I202">IF(ISNUMBER(MATCH(22079,Max!$A:$A,0)), IF(OR(INDEX(Max!$D:$D,MATCH(22079,Max!$A:$A,0))=1, INDEX(Max!$D:$D,MATCH(22079,Max!$A:$A,0))=2), INDEX(Max!$D:$D,MATCH(22079,Max!$A:$A,0)), 0), 0)</f>
        <v>0</v>
      </c>
    </row>
    <row r="203" spans="1:9" ht="15.75" customHeight="1" x14ac:dyDescent="0.2">
      <c r="A203" s="1">
        <v>23831</v>
      </c>
      <c r="B203" s="1" t="s">
        <v>23</v>
      </c>
      <c r="C203" s="1" t="s">
        <v>542</v>
      </c>
      <c r="D203" s="1" t="str">
        <f t="shared" si="0"/>
        <v>2</v>
      </c>
      <c r="E203" s="1" t="s">
        <v>543</v>
      </c>
      <c r="G203" s="1">
        <f t="array" ref="G203">IF(ISNUMBER(MATCH(23831,Camille!$A:$A,0)), IF(OR(INDEX(Camille!$D:$D,MATCH(23831,Camille!$A:$A,0))=1, INDEX(Camille!$D:$D,MATCH(23831,Camille!$A:$A,0))=2), INDEX(Camille!$D:$D,MATCH(23831,Camille!$A:$A,0)), 0), 0)</f>
        <v>2</v>
      </c>
      <c r="H203" s="1">
        <f t="array" ref="H203">IF(ISNUMBER(MATCH(23831,Telmo!$A:$A,0)), IF(OR(INDEX(Telmo!$D:$D,MATCH(23831,Telmo!$A:$A,0))=1, INDEX(Telmo!$D:$D,MATCH(23831,Telmo!$A:$A,0))=2), INDEX(Telmo!$D:$D,MATCH(23831,Telmo!$A:$A,0)), 0), 0)</f>
        <v>0</v>
      </c>
      <c r="I203" s="1">
        <f t="array" ref="I203">IF(ISNUMBER(MATCH(23831,Max!$A:$A,0)), IF(OR(INDEX(Max!$D:$D,MATCH(23831,Max!$A:$A,0))=1, INDEX(Max!$D:$D,MATCH(23831,Max!$A:$A,0))=2), INDEX(Max!$D:$D,MATCH(23831,Max!$A:$A,0)), 0), 0)</f>
        <v>0</v>
      </c>
    </row>
    <row r="204" spans="1:9" ht="15.75" customHeight="1" x14ac:dyDescent="0.2">
      <c r="A204" s="1">
        <v>24128</v>
      </c>
      <c r="B204" s="1" t="s">
        <v>544</v>
      </c>
      <c r="C204" s="1" t="s">
        <v>545</v>
      </c>
      <c r="D204" s="1" t="str">
        <f t="shared" si="0"/>
        <v>2</v>
      </c>
      <c r="E204" s="1" t="s">
        <v>546</v>
      </c>
      <c r="G204" s="1">
        <f t="array" ref="G204">IF(ISNUMBER(MATCH(24128,Camille!$A:$A,0)), IF(OR(INDEX(Camille!$D:$D,MATCH(24128,Camille!$A:$A,0))=1, INDEX(Camille!$D:$D,MATCH(24128,Camille!$A:$A,0))=2), INDEX(Camille!$D:$D,MATCH(24128,Camille!$A:$A,0)), 0), 0)</f>
        <v>2</v>
      </c>
      <c r="H204" s="1">
        <f t="array" ref="H204">IF(ISNUMBER(MATCH(24128,Telmo!$A:$A,0)), IF(OR(INDEX(Telmo!$D:$D,MATCH(24128,Telmo!$A:$A,0))=1, INDEX(Telmo!$D:$D,MATCH(24128,Telmo!$A:$A,0))=2), INDEX(Telmo!$D:$D,MATCH(24128,Telmo!$A:$A,0)), 0), 0)</f>
        <v>0</v>
      </c>
      <c r="I204" s="1">
        <f t="array" ref="I204">IF(ISNUMBER(MATCH(24128,Max!$A:$A,0)), IF(OR(INDEX(Max!$D:$D,MATCH(24128,Max!$A:$A,0))=1, INDEX(Max!$D:$D,MATCH(24128,Max!$A:$A,0))=2), INDEX(Max!$D:$D,MATCH(24128,Max!$A:$A,0)), 0), 0)</f>
        <v>0</v>
      </c>
    </row>
    <row r="205" spans="1:9" ht="15.75" customHeight="1" x14ac:dyDescent="0.2">
      <c r="A205" s="1">
        <v>4723</v>
      </c>
      <c r="B205" s="1" t="s">
        <v>167</v>
      </c>
      <c r="C205" s="1" t="s">
        <v>547</v>
      </c>
      <c r="D205" s="1" t="str">
        <f t="shared" si="0"/>
        <v>1</v>
      </c>
      <c r="E205" s="1" t="s">
        <v>548</v>
      </c>
      <c r="G205" s="1">
        <f t="array" ref="G205">IF(ISNUMBER(MATCH(4723,Camille!$A:$A,0)), IF(OR(INDEX(Camille!$D:$D,MATCH(4723,Camille!$A:$A,0))=1, INDEX(Camille!$D:$D,MATCH(4723,Camille!$A:$A,0))=2), INDEX(Camille!$D:$D,MATCH(4723,Camille!$A:$A,0)), 0), 0)</f>
        <v>1</v>
      </c>
      <c r="H205" s="1">
        <f t="array" ref="H205">IF(ISNUMBER(MATCH(4723,Telmo!$A:$A,0)), IF(OR(INDEX(Telmo!$D:$D,MATCH(4723,Telmo!$A:$A,0))=1, INDEX(Telmo!$D:$D,MATCH(4723,Telmo!$A:$A,0))=2), INDEX(Telmo!$D:$D,MATCH(4723,Telmo!$A:$A,0)), 0), 0)</f>
        <v>0</v>
      </c>
      <c r="I205" s="1">
        <f t="array" ref="I205">IF(ISNUMBER(MATCH(4723,Max!$A:$A,0)), IF(OR(INDEX(Max!$D:$D,MATCH(4723,Max!$A:$A,0))=1, INDEX(Max!$D:$D,MATCH(4723,Max!$A:$A,0))=2), INDEX(Max!$D:$D,MATCH(4723,Max!$A:$A,0)), 0), 0)</f>
        <v>0</v>
      </c>
    </row>
    <row r="206" spans="1:9" ht="15.75" customHeight="1" x14ac:dyDescent="0.2">
      <c r="A206" s="1">
        <v>17265</v>
      </c>
      <c r="B206" s="1" t="s">
        <v>549</v>
      </c>
      <c r="C206" s="1" t="s">
        <v>550</v>
      </c>
      <c r="D206" s="1" t="str">
        <f t="shared" si="0"/>
        <v>2</v>
      </c>
      <c r="E206" s="1" t="s">
        <v>551</v>
      </c>
      <c r="G206" s="1">
        <f t="array" ref="G206">IF(ISNUMBER(MATCH(17265,Camille!$A:$A,0)), IF(OR(INDEX(Camille!$D:$D,MATCH(17265,Camille!$A:$A,0))=1, INDEX(Camille!$D:$D,MATCH(17265,Camille!$A:$A,0))=2), INDEX(Camille!$D:$D,MATCH(17265,Camille!$A:$A,0)), 0), 0)</f>
        <v>2</v>
      </c>
      <c r="H206" s="1">
        <f t="array" ref="H206">IF(ISNUMBER(MATCH(17265,Telmo!$A:$A,0)), IF(OR(INDEX(Telmo!$D:$D,MATCH(17265,Telmo!$A:$A,0))=1, INDEX(Telmo!$D:$D,MATCH(17265,Telmo!$A:$A,0))=2), INDEX(Telmo!$D:$D,MATCH(17265,Telmo!$A:$A,0)), 0), 0)</f>
        <v>0</v>
      </c>
      <c r="I206" s="1">
        <f t="array" ref="I206">IF(ISNUMBER(MATCH(17265,Max!$A:$A,0)), IF(OR(INDEX(Max!$D:$D,MATCH(17265,Max!$A:$A,0))=1, INDEX(Max!$D:$D,MATCH(17265,Max!$A:$A,0))=2), INDEX(Max!$D:$D,MATCH(17265,Max!$A:$A,0)), 0), 0)</f>
        <v>0</v>
      </c>
    </row>
    <row r="207" spans="1:9" ht="15.75" customHeight="1" x14ac:dyDescent="0.2">
      <c r="A207" s="1">
        <v>29938</v>
      </c>
      <c r="B207" s="1" t="s">
        <v>552</v>
      </c>
      <c r="C207" s="1" t="s">
        <v>553</v>
      </c>
      <c r="D207" s="1" t="str">
        <f t="shared" si="0"/>
        <v>1</v>
      </c>
      <c r="E207" s="1" t="s">
        <v>554</v>
      </c>
      <c r="G207" s="1">
        <f t="array" ref="G207">IF(ISNUMBER(MATCH(29938,Camille!$A:$A,0)), IF(OR(INDEX(Camille!$D:$D,MATCH(29938,Camille!$A:$A,0))=1, INDEX(Camille!$D:$D,MATCH(29938,Camille!$A:$A,0))=2), INDEX(Camille!$D:$D,MATCH(29938,Camille!$A:$A,0)), 0), 0)</f>
        <v>1</v>
      </c>
      <c r="H207" s="1">
        <f t="array" ref="H207">IF(ISNUMBER(MATCH(29938,Telmo!$A:$A,0)), IF(OR(INDEX(Telmo!$D:$D,MATCH(29938,Telmo!$A:$A,0))=1, INDEX(Telmo!$D:$D,MATCH(29938,Telmo!$A:$A,0))=2), INDEX(Telmo!$D:$D,MATCH(29938,Telmo!$A:$A,0)), 0), 0)</f>
        <v>0</v>
      </c>
      <c r="I207" s="1">
        <f t="array" ref="I207">IF(ISNUMBER(MATCH(29938,Max!$A:$A,0)), IF(OR(INDEX(Max!$D:$D,MATCH(29938,Max!$A:$A,0))=1, INDEX(Max!$D:$D,MATCH(29938,Max!$A:$A,0))=2), INDEX(Max!$D:$D,MATCH(29938,Max!$A:$A,0)), 0), 0)</f>
        <v>0</v>
      </c>
    </row>
    <row r="208" spans="1:9" ht="15.75" customHeight="1" x14ac:dyDescent="0.2">
      <c r="A208" s="1">
        <v>62181</v>
      </c>
      <c r="B208" s="1" t="s">
        <v>218</v>
      </c>
      <c r="C208" s="1" t="s">
        <v>555</v>
      </c>
      <c r="D208" s="1" t="str">
        <f t="shared" si="0"/>
        <v>1</v>
      </c>
      <c r="E208" s="1" t="s">
        <v>556</v>
      </c>
      <c r="G208" s="1">
        <f t="array" ref="G208">IF(ISNUMBER(MATCH(62181,Camille!$A:$A,0)), IF(OR(INDEX(Camille!$D:$D,MATCH(62181,Camille!$A:$A,0))=1, INDEX(Camille!$D:$D,MATCH(62181,Camille!$A:$A,0))=2), INDEX(Camille!$D:$D,MATCH(62181,Camille!$A:$A,0)), 0), 0)</f>
        <v>1</v>
      </c>
      <c r="H208" s="1">
        <f t="array" ref="H208">IF(ISNUMBER(MATCH(62181,Telmo!$A:$A,0)), IF(OR(INDEX(Telmo!$D:$D,MATCH(62181,Telmo!$A:$A,0))=1, INDEX(Telmo!$D:$D,MATCH(62181,Telmo!$A:$A,0))=2), INDEX(Telmo!$D:$D,MATCH(62181,Telmo!$A:$A,0)), 0), 0)</f>
        <v>0</v>
      </c>
      <c r="I208" s="1">
        <f t="array" ref="I208">IF(ISNUMBER(MATCH(62181,Max!$A:$A,0)), IF(OR(INDEX(Max!$D:$D,MATCH(62181,Max!$A:$A,0))=1, INDEX(Max!$D:$D,MATCH(62181,Max!$A:$A,0))=2), INDEX(Max!$D:$D,MATCH(62181,Max!$A:$A,0)), 0), 0)</f>
        <v>0</v>
      </c>
    </row>
    <row r="209" spans="1:9" ht="15.75" customHeight="1" x14ac:dyDescent="0.2">
      <c r="A209" s="1">
        <v>29443</v>
      </c>
      <c r="B209" s="1" t="s">
        <v>84</v>
      </c>
      <c r="C209" s="1" t="s">
        <v>557</v>
      </c>
      <c r="D209" s="1" t="str">
        <f t="shared" si="0"/>
        <v>2</v>
      </c>
      <c r="E209" s="1" t="s">
        <v>558</v>
      </c>
      <c r="G209" s="1">
        <f t="array" ref="G209">IF(ISNUMBER(MATCH(29443,Camille!$A:$A,0)), IF(OR(INDEX(Camille!$D:$D,MATCH(29443,Camille!$A:$A,0))=1, INDEX(Camille!$D:$D,MATCH(29443,Camille!$A:$A,0))=2), INDEX(Camille!$D:$D,MATCH(29443,Camille!$A:$A,0)), 0), 0)</f>
        <v>2</v>
      </c>
      <c r="H209" s="1">
        <f t="array" ref="H209">IF(ISNUMBER(MATCH(29443,Telmo!$A:$A,0)), IF(OR(INDEX(Telmo!$D:$D,MATCH(29443,Telmo!$A:$A,0))=1, INDEX(Telmo!$D:$D,MATCH(29443,Telmo!$A:$A,0))=2), INDEX(Telmo!$D:$D,MATCH(29443,Telmo!$A:$A,0)), 0), 0)</f>
        <v>0</v>
      </c>
      <c r="I209" s="1">
        <f t="array" ref="I209">IF(ISNUMBER(MATCH(29443,Max!$A:$A,0)), IF(OR(INDEX(Max!$D:$D,MATCH(29443,Max!$A:$A,0))=1, INDEX(Max!$D:$D,MATCH(29443,Max!$A:$A,0))=2), INDEX(Max!$D:$D,MATCH(29443,Max!$A:$A,0)), 0), 0)</f>
        <v>0</v>
      </c>
    </row>
    <row r="210" spans="1:9" ht="15.75" customHeight="1" x14ac:dyDescent="0.2">
      <c r="A210" s="1">
        <v>23616</v>
      </c>
      <c r="B210" s="1" t="s">
        <v>559</v>
      </c>
      <c r="C210" s="1" t="s">
        <v>560</v>
      </c>
      <c r="D210" s="1" t="str">
        <f t="shared" si="0"/>
        <v>2</v>
      </c>
      <c r="E210" s="1" t="s">
        <v>561</v>
      </c>
      <c r="G210" s="1">
        <f t="array" ref="G210">IF(ISNUMBER(MATCH(23616,Camille!$A:$A,0)), IF(OR(INDEX(Camille!$D:$D,MATCH(23616,Camille!$A:$A,0))=1, INDEX(Camille!$D:$D,MATCH(23616,Camille!$A:$A,0))=2), INDEX(Camille!$D:$D,MATCH(23616,Camille!$A:$A,0)), 0), 0)</f>
        <v>2</v>
      </c>
      <c r="H210" s="1">
        <f t="array" ref="H210">IF(ISNUMBER(MATCH(23616,Telmo!$A:$A,0)), IF(OR(INDEX(Telmo!$D:$D,MATCH(23616,Telmo!$A:$A,0))=1, INDEX(Telmo!$D:$D,MATCH(23616,Telmo!$A:$A,0))=2), INDEX(Telmo!$D:$D,MATCH(23616,Telmo!$A:$A,0)), 0), 0)</f>
        <v>0</v>
      </c>
      <c r="I210" s="1">
        <f t="array" ref="I210">IF(ISNUMBER(MATCH(23616,Max!$A:$A,0)), IF(OR(INDEX(Max!$D:$D,MATCH(23616,Max!$A:$A,0))=1, INDEX(Max!$D:$D,MATCH(23616,Max!$A:$A,0))=2), INDEX(Max!$D:$D,MATCH(23616,Max!$A:$A,0)), 0), 0)</f>
        <v>0</v>
      </c>
    </row>
    <row r="211" spans="1:9" ht="15.75" customHeight="1" x14ac:dyDescent="0.2">
      <c r="A211" s="1">
        <v>44809</v>
      </c>
      <c r="B211" s="1" t="s">
        <v>562</v>
      </c>
      <c r="C211" s="1" t="s">
        <v>563</v>
      </c>
      <c r="D211" s="1" t="str">
        <f t="shared" si="0"/>
        <v>2</v>
      </c>
      <c r="E211" s="1" t="s">
        <v>564</v>
      </c>
      <c r="G211" s="1">
        <f t="array" ref="G211">IF(ISNUMBER(MATCH(44809,Camille!$A:$A,0)), IF(OR(INDEX(Camille!$D:$D,MATCH(44809,Camille!$A:$A,0))=1, INDEX(Camille!$D:$D,MATCH(44809,Camille!$A:$A,0))=2), INDEX(Camille!$D:$D,MATCH(44809,Camille!$A:$A,0)), 0), 0)</f>
        <v>2</v>
      </c>
      <c r="H211" s="1">
        <f t="array" ref="H211">IF(ISNUMBER(MATCH(44809,Telmo!$A:$A,0)), IF(OR(INDEX(Telmo!$D:$D,MATCH(44809,Telmo!$A:$A,0))=1, INDEX(Telmo!$D:$D,MATCH(44809,Telmo!$A:$A,0))=2), INDEX(Telmo!$D:$D,MATCH(44809,Telmo!$A:$A,0)), 0), 0)</f>
        <v>0</v>
      </c>
      <c r="I211" s="1">
        <f t="array" ref="I211">IF(ISNUMBER(MATCH(44809,Max!$A:$A,0)), IF(OR(INDEX(Max!$D:$D,MATCH(44809,Max!$A:$A,0))=1, INDEX(Max!$D:$D,MATCH(44809,Max!$A:$A,0))=2), INDEX(Max!$D:$D,MATCH(44809,Max!$A:$A,0)), 0), 0)</f>
        <v>0</v>
      </c>
    </row>
    <row r="212" spans="1:9" ht="15.75" customHeight="1" x14ac:dyDescent="0.2">
      <c r="A212" s="1">
        <v>9901</v>
      </c>
      <c r="B212" s="1" t="s">
        <v>159</v>
      </c>
      <c r="C212" s="1" t="s">
        <v>565</v>
      </c>
      <c r="D212" s="1" t="str">
        <f t="shared" si="0"/>
        <v>2</v>
      </c>
      <c r="E212" s="1" t="s">
        <v>566</v>
      </c>
      <c r="G212" s="1">
        <f t="array" ref="G212">IF(ISNUMBER(MATCH(9901,Camille!$A:$A,0)), IF(OR(INDEX(Camille!$D:$D,MATCH(9901,Camille!$A:$A,0))=1, INDEX(Camille!$D:$D,MATCH(9901,Camille!$A:$A,0))=2), INDEX(Camille!$D:$D,MATCH(9901,Camille!$A:$A,0)), 0), 0)</f>
        <v>2</v>
      </c>
      <c r="H212" s="1">
        <f t="array" ref="H212">IF(ISNUMBER(MATCH(9901,Telmo!$A:$A,0)), IF(OR(INDEX(Telmo!$D:$D,MATCH(9901,Telmo!$A:$A,0))=1, INDEX(Telmo!$D:$D,MATCH(9901,Telmo!$A:$A,0))=2), INDEX(Telmo!$D:$D,MATCH(9901,Telmo!$A:$A,0)), 0), 0)</f>
        <v>0</v>
      </c>
      <c r="I212" s="1">
        <f t="array" ref="I212">IF(ISNUMBER(MATCH(9901,Max!$A:$A,0)), IF(OR(INDEX(Max!$D:$D,MATCH(9901,Max!$A:$A,0))=1, INDEX(Max!$D:$D,MATCH(9901,Max!$A:$A,0))=2), INDEX(Max!$D:$D,MATCH(9901,Max!$A:$A,0)), 0), 0)</f>
        <v>0</v>
      </c>
    </row>
    <row r="213" spans="1:9" ht="15.75" customHeight="1" x14ac:dyDescent="0.2">
      <c r="A213" s="1">
        <v>26342</v>
      </c>
      <c r="B213" s="1" t="s">
        <v>11</v>
      </c>
      <c r="C213" s="1" t="s">
        <v>567</v>
      </c>
      <c r="D213" s="1" t="str">
        <f t="shared" si="0"/>
        <v>2</v>
      </c>
      <c r="E213" s="1" t="s">
        <v>568</v>
      </c>
      <c r="G213" s="1">
        <f t="array" ref="G213">IF(ISNUMBER(MATCH(26342,Camille!$A:$A,0)), IF(OR(INDEX(Camille!$D:$D,MATCH(26342,Camille!$A:$A,0))=1, INDEX(Camille!$D:$D,MATCH(26342,Camille!$A:$A,0))=2), INDEX(Camille!$D:$D,MATCH(26342,Camille!$A:$A,0)), 0), 0)</f>
        <v>2</v>
      </c>
      <c r="H213" s="1">
        <f t="array" ref="H213">IF(ISNUMBER(MATCH(26342,Telmo!$A:$A,0)), IF(OR(INDEX(Telmo!$D:$D,MATCH(26342,Telmo!$A:$A,0))=1, INDEX(Telmo!$D:$D,MATCH(26342,Telmo!$A:$A,0))=2), INDEX(Telmo!$D:$D,MATCH(26342,Telmo!$A:$A,0)), 0), 0)</f>
        <v>0</v>
      </c>
      <c r="I213" s="1">
        <f t="array" ref="I213">IF(ISNUMBER(MATCH(26342,Max!$A:$A,0)), IF(OR(INDEX(Max!$D:$D,MATCH(26342,Max!$A:$A,0))=1, INDEX(Max!$D:$D,MATCH(26342,Max!$A:$A,0))=2), INDEX(Max!$D:$D,MATCH(26342,Max!$A:$A,0)), 0), 0)</f>
        <v>0</v>
      </c>
    </row>
    <row r="214" spans="1:9" ht="15.75" customHeight="1" x14ac:dyDescent="0.2">
      <c r="A214" s="1">
        <v>10752</v>
      </c>
      <c r="B214" s="1" t="s">
        <v>100</v>
      </c>
      <c r="C214" s="1" t="s">
        <v>569</v>
      </c>
      <c r="D214" s="1" t="str">
        <f t="shared" si="0"/>
        <v>2</v>
      </c>
      <c r="E214" s="1" t="s">
        <v>570</v>
      </c>
      <c r="G214" s="1">
        <f t="array" ref="G214">IF(ISNUMBER(MATCH(10752,Camille!$A:$A,0)), IF(OR(INDEX(Camille!$D:$D,MATCH(10752,Camille!$A:$A,0))=1, INDEX(Camille!$D:$D,MATCH(10752,Camille!$A:$A,0))=2), INDEX(Camille!$D:$D,MATCH(10752,Camille!$A:$A,0)), 0), 0)</f>
        <v>2</v>
      </c>
      <c r="H214" s="1">
        <f t="array" ref="H214">IF(ISNUMBER(MATCH(10752,Telmo!$A:$A,0)), IF(OR(INDEX(Telmo!$D:$D,MATCH(10752,Telmo!$A:$A,0))=1, INDEX(Telmo!$D:$D,MATCH(10752,Telmo!$A:$A,0))=2), INDEX(Telmo!$D:$D,MATCH(10752,Telmo!$A:$A,0)), 0), 0)</f>
        <v>0</v>
      </c>
      <c r="I214" s="1">
        <f t="array" ref="I214">IF(ISNUMBER(MATCH(10752,Max!$A:$A,0)), IF(OR(INDEX(Max!$D:$D,MATCH(10752,Max!$A:$A,0))=1, INDEX(Max!$D:$D,MATCH(10752,Max!$A:$A,0))=2), INDEX(Max!$D:$D,MATCH(10752,Max!$A:$A,0)), 0), 0)</f>
        <v>0</v>
      </c>
    </row>
    <row r="215" spans="1:9" ht="15.75" customHeight="1" x14ac:dyDescent="0.2">
      <c r="A215" s="1">
        <v>4109</v>
      </c>
      <c r="B215" s="1" t="s">
        <v>571</v>
      </c>
      <c r="C215" s="1" t="s">
        <v>572</v>
      </c>
      <c r="D215" s="1" t="str">
        <f t="shared" si="0"/>
        <v>1</v>
      </c>
      <c r="E215" s="1" t="s">
        <v>573</v>
      </c>
      <c r="G215" s="1">
        <f t="array" ref="G215">IF(ISNUMBER(MATCH(4109,Camille!$A:$A,0)), IF(OR(INDEX(Camille!$D:$D,MATCH(4109,Camille!$A:$A,0))=1, INDEX(Camille!$D:$D,MATCH(4109,Camille!$A:$A,0))=2), INDEX(Camille!$D:$D,MATCH(4109,Camille!$A:$A,0)), 0), 0)</f>
        <v>1</v>
      </c>
      <c r="H215" s="1">
        <f t="array" ref="H215">IF(ISNUMBER(MATCH(4109,Telmo!$A:$A,0)), IF(OR(INDEX(Telmo!$D:$D,MATCH(4109,Telmo!$A:$A,0))=1, INDEX(Telmo!$D:$D,MATCH(4109,Telmo!$A:$A,0))=2), INDEX(Telmo!$D:$D,MATCH(4109,Telmo!$A:$A,0)), 0), 0)</f>
        <v>0</v>
      </c>
      <c r="I215" s="1">
        <f t="array" ref="I215">IF(ISNUMBER(MATCH(4109,Max!$A:$A,0)), IF(OR(INDEX(Max!$D:$D,MATCH(4109,Max!$A:$A,0))=1, INDEX(Max!$D:$D,MATCH(4109,Max!$A:$A,0))=2), INDEX(Max!$D:$D,MATCH(4109,Max!$A:$A,0)), 0), 0)</f>
        <v>0</v>
      </c>
    </row>
    <row r="216" spans="1:9" ht="15.75" customHeight="1" x14ac:dyDescent="0.2">
      <c r="A216" s="1">
        <v>3964</v>
      </c>
      <c r="B216" s="1" t="s">
        <v>244</v>
      </c>
      <c r="C216" s="1" t="s">
        <v>574</v>
      </c>
      <c r="D216" s="1" t="str">
        <f t="shared" si="0"/>
        <v>1</v>
      </c>
      <c r="E216" s="1" t="s">
        <v>575</v>
      </c>
      <c r="G216" s="1">
        <f t="array" ref="G216">IF(ISNUMBER(MATCH(3964,Camille!$A:$A,0)), IF(OR(INDEX(Camille!$D:$D,MATCH(3964,Camille!$A:$A,0))=1, INDEX(Camille!$D:$D,MATCH(3964,Camille!$A:$A,0))=2), INDEX(Camille!$D:$D,MATCH(3964,Camille!$A:$A,0)), 0), 0)</f>
        <v>1</v>
      </c>
      <c r="H216" s="1">
        <f t="array" ref="H216">IF(ISNUMBER(MATCH(3964,Telmo!$A:$A,0)), IF(OR(INDEX(Telmo!$D:$D,MATCH(3964,Telmo!$A:$A,0))=1, INDEX(Telmo!$D:$D,MATCH(3964,Telmo!$A:$A,0))=2), INDEX(Telmo!$D:$D,MATCH(3964,Telmo!$A:$A,0)), 0), 0)</f>
        <v>0</v>
      </c>
      <c r="I216" s="1">
        <f t="array" ref="I216">IF(ISNUMBER(MATCH(3964,Max!$A:$A,0)), IF(OR(INDEX(Max!$D:$D,MATCH(3964,Max!$A:$A,0))=1, INDEX(Max!$D:$D,MATCH(3964,Max!$A:$A,0))=2), INDEX(Max!$D:$D,MATCH(3964,Max!$A:$A,0)), 0), 0)</f>
        <v>0</v>
      </c>
    </row>
    <row r="217" spans="1:9" ht="15.75" customHeight="1" x14ac:dyDescent="0.2">
      <c r="A217" s="1">
        <v>62060</v>
      </c>
      <c r="B217" s="1" t="s">
        <v>576</v>
      </c>
      <c r="C217" s="1" t="s">
        <v>577</v>
      </c>
      <c r="D217" s="1" t="str">
        <f t="shared" si="0"/>
        <v>2</v>
      </c>
      <c r="E217" s="1" t="s">
        <v>578</v>
      </c>
      <c r="G217" s="1">
        <f t="array" ref="G217">IF(ISNUMBER(MATCH(62060,Camille!$A:$A,0)), IF(OR(INDEX(Camille!$D:$D,MATCH(62060,Camille!$A:$A,0))=1, INDEX(Camille!$D:$D,MATCH(62060,Camille!$A:$A,0))=2), INDEX(Camille!$D:$D,MATCH(62060,Camille!$A:$A,0)), 0), 0)</f>
        <v>2</v>
      </c>
      <c r="H217" s="1">
        <f t="array" ref="H217">IF(ISNUMBER(MATCH(62060,Telmo!$A:$A,0)), IF(OR(INDEX(Telmo!$D:$D,MATCH(62060,Telmo!$A:$A,0))=1, INDEX(Telmo!$D:$D,MATCH(62060,Telmo!$A:$A,0))=2), INDEX(Telmo!$D:$D,MATCH(62060,Telmo!$A:$A,0)), 0), 0)</f>
        <v>0</v>
      </c>
      <c r="I217" s="1">
        <f t="array" ref="I217">IF(ISNUMBER(MATCH(62060,Max!$A:$A,0)), IF(OR(INDEX(Max!$D:$D,MATCH(62060,Max!$A:$A,0))=1, INDEX(Max!$D:$D,MATCH(62060,Max!$A:$A,0))=2), INDEX(Max!$D:$D,MATCH(62060,Max!$A:$A,0)), 0), 0)</f>
        <v>0</v>
      </c>
    </row>
    <row r="218" spans="1:9" ht="15.75" customHeight="1" x14ac:dyDescent="0.2">
      <c r="A218" s="1">
        <v>18420</v>
      </c>
      <c r="B218" s="1" t="s">
        <v>109</v>
      </c>
      <c r="C218" s="1" t="s">
        <v>579</v>
      </c>
      <c r="D218" s="1" t="str">
        <f t="shared" si="0"/>
        <v>1</v>
      </c>
      <c r="E218" s="1" t="s">
        <v>580</v>
      </c>
      <c r="G218" s="1">
        <f t="array" ref="G218">IF(ISNUMBER(MATCH(18420,Camille!$A:$A,0)), IF(OR(INDEX(Camille!$D:$D,MATCH(18420,Camille!$A:$A,0))=1, INDEX(Camille!$D:$D,MATCH(18420,Camille!$A:$A,0))=2), INDEX(Camille!$D:$D,MATCH(18420,Camille!$A:$A,0)), 0), 0)</f>
        <v>1</v>
      </c>
      <c r="H218" s="1">
        <f t="array" ref="H218">IF(ISNUMBER(MATCH(18420,Telmo!$A:$A,0)), IF(OR(INDEX(Telmo!$D:$D,MATCH(18420,Telmo!$A:$A,0))=1, INDEX(Telmo!$D:$D,MATCH(18420,Telmo!$A:$A,0))=2), INDEX(Telmo!$D:$D,MATCH(18420,Telmo!$A:$A,0)), 0), 0)</f>
        <v>0</v>
      </c>
      <c r="I218" s="1">
        <f t="array" ref="I218">IF(ISNUMBER(MATCH(18420,Max!$A:$A,0)), IF(OR(INDEX(Max!$D:$D,MATCH(18420,Max!$A:$A,0))=1, INDEX(Max!$D:$D,MATCH(18420,Max!$A:$A,0))=2), INDEX(Max!$D:$D,MATCH(18420,Max!$A:$A,0)), 0), 0)</f>
        <v>0</v>
      </c>
    </row>
    <row r="219" spans="1:9" ht="15.75" customHeight="1" x14ac:dyDescent="0.2">
      <c r="A219" s="1">
        <v>54700</v>
      </c>
      <c r="B219" s="1" t="s">
        <v>581</v>
      </c>
      <c r="C219" s="1" t="s">
        <v>582</v>
      </c>
      <c r="D219" s="1" t="str">
        <f t="shared" si="0"/>
        <v>2</v>
      </c>
      <c r="E219" s="1" t="s">
        <v>583</v>
      </c>
      <c r="G219" s="1">
        <f t="array" ref="G219">IF(ISNUMBER(MATCH(54700,Camille!$A:$A,0)), IF(OR(INDEX(Camille!$D:$D,MATCH(54700,Camille!$A:$A,0))=1, INDEX(Camille!$D:$D,MATCH(54700,Camille!$A:$A,0))=2), INDEX(Camille!$D:$D,MATCH(54700,Camille!$A:$A,0)), 0), 0)</f>
        <v>2</v>
      </c>
      <c r="H219" s="1">
        <f t="array" ref="H219">IF(ISNUMBER(MATCH(54700,Telmo!$A:$A,0)), IF(OR(INDEX(Telmo!$D:$D,MATCH(54700,Telmo!$A:$A,0))=1, INDEX(Telmo!$D:$D,MATCH(54700,Telmo!$A:$A,0))=2), INDEX(Telmo!$D:$D,MATCH(54700,Telmo!$A:$A,0)), 0), 0)</f>
        <v>0</v>
      </c>
      <c r="I219" s="1">
        <f t="array" ref="I219">IF(ISNUMBER(MATCH(54700,Max!$A:$A,0)), IF(OR(INDEX(Max!$D:$D,MATCH(54700,Max!$A:$A,0))=1, INDEX(Max!$D:$D,MATCH(54700,Max!$A:$A,0))=2), INDEX(Max!$D:$D,MATCH(54700,Max!$A:$A,0)), 0), 0)</f>
        <v>0</v>
      </c>
    </row>
    <row r="220" spans="1:9" ht="15.75" customHeight="1" x14ac:dyDescent="0.2">
      <c r="A220" s="1">
        <v>8144</v>
      </c>
      <c r="B220" s="1" t="s">
        <v>584</v>
      </c>
      <c r="C220" s="1" t="s">
        <v>585</v>
      </c>
      <c r="D220" s="1" t="str">
        <f t="shared" si="0"/>
        <v>1</v>
      </c>
      <c r="E220" s="1" t="s">
        <v>586</v>
      </c>
      <c r="G220" s="1">
        <f t="array" ref="G220">IF(ISNUMBER(MATCH(8144,Camille!$A:$A,0)), IF(OR(INDEX(Camille!$D:$D,MATCH(8144,Camille!$A:$A,0))=1, INDEX(Camille!$D:$D,MATCH(8144,Camille!$A:$A,0))=2), INDEX(Camille!$D:$D,MATCH(8144,Camille!$A:$A,0)), 0), 0)</f>
        <v>1</v>
      </c>
      <c r="H220" s="1">
        <f t="array" ref="H220">IF(ISNUMBER(MATCH(8144,Telmo!$A:$A,0)), IF(OR(INDEX(Telmo!$D:$D,MATCH(8144,Telmo!$A:$A,0))=1, INDEX(Telmo!$D:$D,MATCH(8144,Telmo!$A:$A,0))=2), INDEX(Telmo!$D:$D,MATCH(8144,Telmo!$A:$A,0)), 0), 0)</f>
        <v>0</v>
      </c>
      <c r="I220" s="1">
        <f t="array" ref="I220">IF(ISNUMBER(MATCH(8144,Max!$A:$A,0)), IF(OR(INDEX(Max!$D:$D,MATCH(8144,Max!$A:$A,0))=1, INDEX(Max!$D:$D,MATCH(8144,Max!$A:$A,0))=2), INDEX(Max!$D:$D,MATCH(8144,Max!$A:$A,0)), 0), 0)</f>
        <v>0</v>
      </c>
    </row>
    <row r="221" spans="1:9" ht="15.75" customHeight="1" x14ac:dyDescent="0.2">
      <c r="A221" s="1">
        <v>39192</v>
      </c>
      <c r="B221" s="1" t="s">
        <v>244</v>
      </c>
      <c r="C221" s="1" t="s">
        <v>587</v>
      </c>
      <c r="D221" s="1" t="str">
        <f t="shared" si="0"/>
        <v>1</v>
      </c>
      <c r="E221" s="1" t="s">
        <v>588</v>
      </c>
      <c r="G221" s="1">
        <f t="array" ref="G221">IF(ISNUMBER(MATCH(39192,Camille!$A:$A,0)), IF(OR(INDEX(Camille!$D:$D,MATCH(39192,Camille!$A:$A,0))=1, INDEX(Camille!$D:$D,MATCH(39192,Camille!$A:$A,0))=2), INDEX(Camille!$D:$D,MATCH(39192,Camille!$A:$A,0)), 0), 0)</f>
        <v>1</v>
      </c>
      <c r="H221" s="1">
        <f t="array" ref="H221">IF(ISNUMBER(MATCH(39192,Telmo!$A:$A,0)), IF(OR(INDEX(Telmo!$D:$D,MATCH(39192,Telmo!$A:$A,0))=1, INDEX(Telmo!$D:$D,MATCH(39192,Telmo!$A:$A,0))=2), INDEX(Telmo!$D:$D,MATCH(39192,Telmo!$A:$A,0)), 0), 0)</f>
        <v>0</v>
      </c>
      <c r="I221" s="1">
        <f t="array" ref="I221">IF(ISNUMBER(MATCH(39192,Max!$A:$A,0)), IF(OR(INDEX(Max!$D:$D,MATCH(39192,Max!$A:$A,0))=1, INDEX(Max!$D:$D,MATCH(39192,Max!$A:$A,0))=2), INDEX(Max!$D:$D,MATCH(39192,Max!$A:$A,0)), 0), 0)</f>
        <v>0</v>
      </c>
    </row>
    <row r="222" spans="1:9" ht="15.75" customHeight="1" x14ac:dyDescent="0.2">
      <c r="A222" s="1">
        <v>8496</v>
      </c>
      <c r="B222" s="1" t="s">
        <v>589</v>
      </c>
      <c r="C222" s="1" t="s">
        <v>590</v>
      </c>
      <c r="D222" s="1" t="str">
        <f t="shared" si="0"/>
        <v>2</v>
      </c>
      <c r="E222" s="1" t="s">
        <v>591</v>
      </c>
      <c r="G222" s="1">
        <f t="array" ref="G222">IF(ISNUMBER(MATCH(8496,Camille!$A:$A,0)), IF(OR(INDEX(Camille!$D:$D,MATCH(8496,Camille!$A:$A,0))=1, INDEX(Camille!$D:$D,MATCH(8496,Camille!$A:$A,0))=2), INDEX(Camille!$D:$D,MATCH(8496,Camille!$A:$A,0)), 0), 0)</f>
        <v>2</v>
      </c>
      <c r="H222" s="1">
        <f t="array" ref="H222">IF(ISNUMBER(MATCH(8496,Telmo!$A:$A,0)), IF(OR(INDEX(Telmo!$D:$D,MATCH(8496,Telmo!$A:$A,0))=1, INDEX(Telmo!$D:$D,MATCH(8496,Telmo!$A:$A,0))=2), INDEX(Telmo!$D:$D,MATCH(8496,Telmo!$A:$A,0)), 0), 0)</f>
        <v>0</v>
      </c>
      <c r="I222" s="1">
        <f t="array" ref="I222">IF(ISNUMBER(MATCH(8496,Max!$A:$A,0)), IF(OR(INDEX(Max!$D:$D,MATCH(8496,Max!$A:$A,0))=1, INDEX(Max!$D:$D,MATCH(8496,Max!$A:$A,0))=2), INDEX(Max!$D:$D,MATCH(8496,Max!$A:$A,0)), 0), 0)</f>
        <v>0</v>
      </c>
    </row>
    <row r="223" spans="1:9" ht="15.75" customHeight="1" x14ac:dyDescent="0.2">
      <c r="A223" s="1">
        <v>26254</v>
      </c>
      <c r="B223" s="1" t="s">
        <v>32</v>
      </c>
      <c r="C223" s="1" t="s">
        <v>592</v>
      </c>
      <c r="D223" s="1" t="str">
        <f t="shared" si="0"/>
        <v>1</v>
      </c>
      <c r="E223" s="1" t="s">
        <v>593</v>
      </c>
      <c r="G223" s="1">
        <f t="array" ref="G223">IF(ISNUMBER(MATCH(26254,Camille!$A:$A,0)), IF(OR(INDEX(Camille!$D:$D,MATCH(26254,Camille!$A:$A,0))=1, INDEX(Camille!$D:$D,MATCH(26254,Camille!$A:$A,0))=2), INDEX(Camille!$D:$D,MATCH(26254,Camille!$A:$A,0)), 0), 0)</f>
        <v>1</v>
      </c>
      <c r="H223" s="1">
        <f t="array" ref="H223">IF(ISNUMBER(MATCH(26254,Telmo!$A:$A,0)), IF(OR(INDEX(Telmo!$D:$D,MATCH(26254,Telmo!$A:$A,0))=1, INDEX(Telmo!$D:$D,MATCH(26254,Telmo!$A:$A,0))=2), INDEX(Telmo!$D:$D,MATCH(26254,Telmo!$A:$A,0)), 0), 0)</f>
        <v>0</v>
      </c>
      <c r="I223" s="1">
        <f t="array" ref="I223">IF(ISNUMBER(MATCH(26254,Max!$A:$A,0)), IF(OR(INDEX(Max!$D:$D,MATCH(26254,Max!$A:$A,0))=1, INDEX(Max!$D:$D,MATCH(26254,Max!$A:$A,0))=2), INDEX(Max!$D:$D,MATCH(26254,Max!$A:$A,0)), 0), 0)</f>
        <v>0</v>
      </c>
    </row>
    <row r="224" spans="1:9" ht="15.75" customHeight="1" x14ac:dyDescent="0.2">
      <c r="A224" s="1">
        <v>17107</v>
      </c>
      <c r="B224" s="1" t="s">
        <v>594</v>
      </c>
      <c r="C224" s="1" t="s">
        <v>595</v>
      </c>
      <c r="D224" s="1" t="str">
        <f t="shared" si="0"/>
        <v>1</v>
      </c>
      <c r="E224" s="1" t="s">
        <v>596</v>
      </c>
      <c r="G224" s="1">
        <f t="array" ref="G224">IF(ISNUMBER(MATCH(17107,Camille!$A:$A,0)), IF(OR(INDEX(Camille!$D:$D,MATCH(17107,Camille!$A:$A,0))=1, INDEX(Camille!$D:$D,MATCH(17107,Camille!$A:$A,0))=2), INDEX(Camille!$D:$D,MATCH(17107,Camille!$A:$A,0)), 0), 0)</f>
        <v>1</v>
      </c>
      <c r="H224" s="1">
        <f t="array" ref="H224">IF(ISNUMBER(MATCH(17107,Telmo!$A:$A,0)), IF(OR(INDEX(Telmo!$D:$D,MATCH(17107,Telmo!$A:$A,0))=1, INDEX(Telmo!$D:$D,MATCH(17107,Telmo!$A:$A,0))=2), INDEX(Telmo!$D:$D,MATCH(17107,Telmo!$A:$A,0)), 0), 0)</f>
        <v>0</v>
      </c>
      <c r="I224" s="1">
        <f t="array" ref="I224">IF(ISNUMBER(MATCH(17107,Max!$A:$A,0)), IF(OR(INDEX(Max!$D:$D,MATCH(17107,Max!$A:$A,0))=1, INDEX(Max!$D:$D,MATCH(17107,Max!$A:$A,0))=2), INDEX(Max!$D:$D,MATCH(17107,Max!$A:$A,0)), 0), 0)</f>
        <v>0</v>
      </c>
    </row>
    <row r="225" spans="1:9" ht="15.75" customHeight="1" x14ac:dyDescent="0.2">
      <c r="A225" s="1">
        <v>16646</v>
      </c>
      <c r="B225" s="1" t="s">
        <v>597</v>
      </c>
      <c r="C225" s="1" t="s">
        <v>598</v>
      </c>
      <c r="D225" s="1" t="str">
        <f t="shared" si="0"/>
        <v>1</v>
      </c>
      <c r="E225" s="1" t="s">
        <v>599</v>
      </c>
      <c r="G225" s="1">
        <f t="array" ref="G225">IF(ISNUMBER(MATCH(16646,Camille!$A:$A,0)), IF(OR(INDEX(Camille!$D:$D,MATCH(16646,Camille!$A:$A,0))=1, INDEX(Camille!$D:$D,MATCH(16646,Camille!$A:$A,0))=2), INDEX(Camille!$D:$D,MATCH(16646,Camille!$A:$A,0)), 0), 0)</f>
        <v>1</v>
      </c>
      <c r="H225" s="1">
        <f t="array" ref="H225">IF(ISNUMBER(MATCH(16646,Telmo!$A:$A,0)), IF(OR(INDEX(Telmo!$D:$D,MATCH(16646,Telmo!$A:$A,0))=1, INDEX(Telmo!$D:$D,MATCH(16646,Telmo!$A:$A,0))=2), INDEX(Telmo!$D:$D,MATCH(16646,Telmo!$A:$A,0)), 0), 0)</f>
        <v>0</v>
      </c>
      <c r="I225" s="1">
        <f t="array" ref="I225">IF(ISNUMBER(MATCH(16646,Max!$A:$A,0)), IF(OR(INDEX(Max!$D:$D,MATCH(16646,Max!$A:$A,0))=1, INDEX(Max!$D:$D,MATCH(16646,Max!$A:$A,0))=2), INDEX(Max!$D:$D,MATCH(16646,Max!$A:$A,0)), 0), 0)</f>
        <v>0</v>
      </c>
    </row>
    <row r="226" spans="1:9" ht="15.75" customHeight="1" x14ac:dyDescent="0.2">
      <c r="A226" s="1">
        <v>37394</v>
      </c>
      <c r="B226" s="1" t="s">
        <v>600</v>
      </c>
      <c r="C226" s="1" t="s">
        <v>601</v>
      </c>
      <c r="D226" s="1" t="str">
        <f t="shared" si="0"/>
        <v>2</v>
      </c>
      <c r="E226" s="1" t="s">
        <v>602</v>
      </c>
      <c r="G226" s="1">
        <f t="array" ref="G226">IF(ISNUMBER(MATCH(37394,Camille!$A:$A,0)), IF(OR(INDEX(Camille!$D:$D,MATCH(37394,Camille!$A:$A,0))=1, INDEX(Camille!$D:$D,MATCH(37394,Camille!$A:$A,0))=2), INDEX(Camille!$D:$D,MATCH(37394,Camille!$A:$A,0)), 0), 0)</f>
        <v>2</v>
      </c>
      <c r="H226" s="1">
        <f t="array" ref="H226">IF(ISNUMBER(MATCH(37394,Telmo!$A:$A,0)), IF(OR(INDEX(Telmo!$D:$D,MATCH(37394,Telmo!$A:$A,0))=1, INDEX(Telmo!$D:$D,MATCH(37394,Telmo!$A:$A,0))=2), INDEX(Telmo!$D:$D,MATCH(37394,Telmo!$A:$A,0)), 0), 0)</f>
        <v>0</v>
      </c>
      <c r="I226" s="1">
        <f t="array" ref="I226">IF(ISNUMBER(MATCH(37394,Max!$A:$A,0)), IF(OR(INDEX(Max!$D:$D,MATCH(37394,Max!$A:$A,0))=1, INDEX(Max!$D:$D,MATCH(37394,Max!$A:$A,0))=2), INDEX(Max!$D:$D,MATCH(37394,Max!$A:$A,0)), 0), 0)</f>
        <v>0</v>
      </c>
    </row>
    <row r="227" spans="1:9" ht="15.75" customHeight="1" x14ac:dyDescent="0.2">
      <c r="A227" s="1">
        <v>27272</v>
      </c>
      <c r="B227" s="1" t="s">
        <v>422</v>
      </c>
      <c r="C227" s="1" t="s">
        <v>603</v>
      </c>
      <c r="D227" s="1" t="str">
        <f t="shared" si="0"/>
        <v>2</v>
      </c>
      <c r="E227" s="1" t="s">
        <v>604</v>
      </c>
      <c r="G227" s="1">
        <f t="array" ref="G227">IF(ISNUMBER(MATCH(27272,Camille!$A:$A,0)), IF(OR(INDEX(Camille!$D:$D,MATCH(27272,Camille!$A:$A,0))=1, INDEX(Camille!$D:$D,MATCH(27272,Camille!$A:$A,0))=2), INDEX(Camille!$D:$D,MATCH(27272,Camille!$A:$A,0)), 0), 0)</f>
        <v>2</v>
      </c>
      <c r="H227" s="1">
        <f t="array" ref="H227">IF(ISNUMBER(MATCH(27272,Telmo!$A:$A,0)), IF(OR(INDEX(Telmo!$D:$D,MATCH(27272,Telmo!$A:$A,0))=1, INDEX(Telmo!$D:$D,MATCH(27272,Telmo!$A:$A,0))=2), INDEX(Telmo!$D:$D,MATCH(27272,Telmo!$A:$A,0)), 0), 0)</f>
        <v>0</v>
      </c>
      <c r="I227" s="1">
        <f t="array" ref="I227">IF(ISNUMBER(MATCH(27272,Max!$A:$A,0)), IF(OR(INDEX(Max!$D:$D,MATCH(27272,Max!$A:$A,0))=1, INDEX(Max!$D:$D,MATCH(27272,Max!$A:$A,0))=2), INDEX(Max!$D:$D,MATCH(27272,Max!$A:$A,0)), 0), 0)</f>
        <v>0</v>
      </c>
    </row>
    <row r="228" spans="1:9" ht="15.75" customHeight="1" x14ac:dyDescent="0.2">
      <c r="A228" s="1">
        <v>36882</v>
      </c>
      <c r="B228" s="1" t="s">
        <v>153</v>
      </c>
      <c r="C228" s="1" t="s">
        <v>605</v>
      </c>
      <c r="D228" s="1" t="str">
        <f t="shared" si="0"/>
        <v>2</v>
      </c>
      <c r="E228" s="1" t="s">
        <v>606</v>
      </c>
      <c r="G228" s="1">
        <f t="array" ref="G228">IF(ISNUMBER(MATCH(36882,Camille!$A:$A,0)), IF(OR(INDEX(Camille!$D:$D,MATCH(36882,Camille!$A:$A,0))=1, INDEX(Camille!$D:$D,MATCH(36882,Camille!$A:$A,0))=2), INDEX(Camille!$D:$D,MATCH(36882,Camille!$A:$A,0)), 0), 0)</f>
        <v>2</v>
      </c>
      <c r="H228" s="1">
        <f t="array" ref="H228">IF(ISNUMBER(MATCH(36882,Telmo!$A:$A,0)), IF(OR(INDEX(Telmo!$D:$D,MATCH(36882,Telmo!$A:$A,0))=1, INDEX(Telmo!$D:$D,MATCH(36882,Telmo!$A:$A,0))=2), INDEX(Telmo!$D:$D,MATCH(36882,Telmo!$A:$A,0)), 0), 0)</f>
        <v>0</v>
      </c>
      <c r="I228" s="1">
        <f t="array" ref="I228">IF(ISNUMBER(MATCH(36882,Max!$A:$A,0)), IF(OR(INDEX(Max!$D:$D,MATCH(36882,Max!$A:$A,0))=1, INDEX(Max!$D:$D,MATCH(36882,Max!$A:$A,0))=2), INDEX(Max!$D:$D,MATCH(36882,Max!$A:$A,0)), 0), 0)</f>
        <v>0</v>
      </c>
    </row>
    <row r="229" spans="1:9" ht="15.75" customHeight="1" x14ac:dyDescent="0.2">
      <c r="A229" s="1">
        <v>15277</v>
      </c>
      <c r="B229" s="1" t="s">
        <v>172</v>
      </c>
      <c r="C229" s="1" t="s">
        <v>607</v>
      </c>
      <c r="D229" s="1" t="str">
        <f t="shared" si="0"/>
        <v>2</v>
      </c>
      <c r="E229" s="1" t="s">
        <v>608</v>
      </c>
      <c r="G229" s="1">
        <f t="array" ref="G229">IF(ISNUMBER(MATCH(15277,Camille!$A:$A,0)), IF(OR(INDEX(Camille!$D:$D,MATCH(15277,Camille!$A:$A,0))=1, INDEX(Camille!$D:$D,MATCH(15277,Camille!$A:$A,0))=2), INDEX(Camille!$D:$D,MATCH(15277,Camille!$A:$A,0)), 0), 0)</f>
        <v>2</v>
      </c>
      <c r="H229" s="1">
        <f t="array" ref="H229">IF(ISNUMBER(MATCH(15277,Telmo!$A:$A,0)), IF(OR(INDEX(Telmo!$D:$D,MATCH(15277,Telmo!$A:$A,0))=1, INDEX(Telmo!$D:$D,MATCH(15277,Telmo!$A:$A,0))=2), INDEX(Telmo!$D:$D,MATCH(15277,Telmo!$A:$A,0)), 0), 0)</f>
        <v>0</v>
      </c>
      <c r="I229" s="1">
        <f t="array" ref="I229">IF(ISNUMBER(MATCH(15277,Max!$A:$A,0)), IF(OR(INDEX(Max!$D:$D,MATCH(15277,Max!$A:$A,0))=1, INDEX(Max!$D:$D,MATCH(15277,Max!$A:$A,0))=2), INDEX(Max!$D:$D,MATCH(15277,Max!$A:$A,0)), 0), 0)</f>
        <v>0</v>
      </c>
    </row>
    <row r="230" spans="1:9" ht="15.75" customHeight="1" x14ac:dyDescent="0.2">
      <c r="A230" s="1">
        <v>36188</v>
      </c>
      <c r="B230" s="1" t="s">
        <v>609</v>
      </c>
      <c r="C230" s="1" t="s">
        <v>610</v>
      </c>
      <c r="D230" s="1" t="str">
        <f t="shared" si="0"/>
        <v>2</v>
      </c>
      <c r="E230" s="1" t="s">
        <v>611</v>
      </c>
      <c r="G230" s="1">
        <f t="array" ref="G230">IF(ISNUMBER(MATCH(36188,Camille!$A:$A,0)), IF(OR(INDEX(Camille!$D:$D,MATCH(36188,Camille!$A:$A,0))=1, INDEX(Camille!$D:$D,MATCH(36188,Camille!$A:$A,0))=2), INDEX(Camille!$D:$D,MATCH(36188,Camille!$A:$A,0)), 0), 0)</f>
        <v>2</v>
      </c>
      <c r="H230" s="1">
        <f t="array" ref="H230">IF(ISNUMBER(MATCH(36188,Telmo!$A:$A,0)), IF(OR(INDEX(Telmo!$D:$D,MATCH(36188,Telmo!$A:$A,0))=1, INDEX(Telmo!$D:$D,MATCH(36188,Telmo!$A:$A,0))=2), INDEX(Telmo!$D:$D,MATCH(36188,Telmo!$A:$A,0)), 0), 0)</f>
        <v>0</v>
      </c>
      <c r="I230" s="1">
        <f t="array" ref="I230">IF(ISNUMBER(MATCH(36188,Max!$A:$A,0)), IF(OR(INDEX(Max!$D:$D,MATCH(36188,Max!$A:$A,0))=1, INDEX(Max!$D:$D,MATCH(36188,Max!$A:$A,0))=2), INDEX(Max!$D:$D,MATCH(36188,Max!$A:$A,0)), 0), 0)</f>
        <v>0</v>
      </c>
    </row>
    <row r="231" spans="1:9" ht="15.75" customHeight="1" x14ac:dyDescent="0.2">
      <c r="A231" s="1">
        <v>16861</v>
      </c>
      <c r="B231" s="1" t="s">
        <v>405</v>
      </c>
      <c r="C231" s="1" t="s">
        <v>612</v>
      </c>
      <c r="D231" s="1" t="str">
        <f t="shared" si="0"/>
        <v>2</v>
      </c>
      <c r="E231" s="1" t="s">
        <v>613</v>
      </c>
      <c r="G231" s="1">
        <f t="array" ref="G231">IF(ISNUMBER(MATCH(16861,Camille!$A:$A,0)), IF(OR(INDEX(Camille!$D:$D,MATCH(16861,Camille!$A:$A,0))=1, INDEX(Camille!$D:$D,MATCH(16861,Camille!$A:$A,0))=2), INDEX(Camille!$D:$D,MATCH(16861,Camille!$A:$A,0)), 0), 0)</f>
        <v>2</v>
      </c>
      <c r="H231" s="1">
        <f t="array" ref="H231">IF(ISNUMBER(MATCH(16861,Telmo!$A:$A,0)), IF(OR(INDEX(Telmo!$D:$D,MATCH(16861,Telmo!$A:$A,0))=1, INDEX(Telmo!$D:$D,MATCH(16861,Telmo!$A:$A,0))=2), INDEX(Telmo!$D:$D,MATCH(16861,Telmo!$A:$A,0)), 0), 0)</f>
        <v>0</v>
      </c>
      <c r="I231" s="1">
        <f t="array" ref="I231">IF(ISNUMBER(MATCH(16861,Max!$A:$A,0)), IF(OR(INDEX(Max!$D:$D,MATCH(16861,Max!$A:$A,0))=1, INDEX(Max!$D:$D,MATCH(16861,Max!$A:$A,0))=2), INDEX(Max!$D:$D,MATCH(16861,Max!$A:$A,0)), 0), 0)</f>
        <v>0</v>
      </c>
    </row>
    <row r="232" spans="1:9" ht="15.75" customHeight="1" x14ac:dyDescent="0.2">
      <c r="A232" s="1">
        <v>18466</v>
      </c>
      <c r="B232" s="1" t="s">
        <v>259</v>
      </c>
      <c r="C232" s="1" t="s">
        <v>614</v>
      </c>
      <c r="D232" s="1" t="str">
        <f t="shared" si="0"/>
        <v>1</v>
      </c>
      <c r="E232" s="1" t="s">
        <v>615</v>
      </c>
      <c r="G232" s="1">
        <f t="array" ref="G232">IF(ISNUMBER(MATCH(18466,Camille!$A:$A,0)), IF(OR(INDEX(Camille!$D:$D,MATCH(18466,Camille!$A:$A,0))=1, INDEX(Camille!$D:$D,MATCH(18466,Camille!$A:$A,0))=2), INDEX(Camille!$D:$D,MATCH(18466,Camille!$A:$A,0)), 0), 0)</f>
        <v>1</v>
      </c>
      <c r="H232" s="1">
        <f t="array" ref="H232">IF(ISNUMBER(MATCH(18466,Telmo!$A:$A,0)), IF(OR(INDEX(Telmo!$D:$D,MATCH(18466,Telmo!$A:$A,0))=1, INDEX(Telmo!$D:$D,MATCH(18466,Telmo!$A:$A,0))=2), INDEX(Telmo!$D:$D,MATCH(18466,Telmo!$A:$A,0)), 0), 0)</f>
        <v>0</v>
      </c>
      <c r="I232" s="1">
        <f t="array" ref="I232">IF(ISNUMBER(MATCH(18466,Max!$A:$A,0)), IF(OR(INDEX(Max!$D:$D,MATCH(18466,Max!$A:$A,0))=1, INDEX(Max!$D:$D,MATCH(18466,Max!$A:$A,0))=2), INDEX(Max!$D:$D,MATCH(18466,Max!$A:$A,0)), 0), 0)</f>
        <v>0</v>
      </c>
    </row>
    <row r="233" spans="1:9" ht="15.75" customHeight="1" x14ac:dyDescent="0.2">
      <c r="A233" s="1">
        <v>46422</v>
      </c>
      <c r="B233" s="1" t="s">
        <v>90</v>
      </c>
      <c r="C233" s="1" t="s">
        <v>616</v>
      </c>
      <c r="D233" s="1" t="str">
        <f t="shared" si="0"/>
        <v>2</v>
      </c>
      <c r="E233" s="1" t="s">
        <v>617</v>
      </c>
      <c r="G233" s="1">
        <f t="array" ref="G233">IF(ISNUMBER(MATCH(46422,Camille!$A:$A,0)), IF(OR(INDEX(Camille!$D:$D,MATCH(46422,Camille!$A:$A,0))=1, INDEX(Camille!$D:$D,MATCH(46422,Camille!$A:$A,0))=2), INDEX(Camille!$D:$D,MATCH(46422,Camille!$A:$A,0)), 0), 0)</f>
        <v>2</v>
      </c>
      <c r="H233" s="1">
        <f t="array" ref="H233">IF(ISNUMBER(MATCH(46422,Telmo!$A:$A,0)), IF(OR(INDEX(Telmo!$D:$D,MATCH(46422,Telmo!$A:$A,0))=1, INDEX(Telmo!$D:$D,MATCH(46422,Telmo!$A:$A,0))=2), INDEX(Telmo!$D:$D,MATCH(46422,Telmo!$A:$A,0)), 0), 0)</f>
        <v>0</v>
      </c>
      <c r="I233" s="1">
        <f t="array" ref="I233">IF(ISNUMBER(MATCH(46422,Max!$A:$A,0)), IF(OR(INDEX(Max!$D:$D,MATCH(46422,Max!$A:$A,0))=1, INDEX(Max!$D:$D,MATCH(46422,Max!$A:$A,0))=2), INDEX(Max!$D:$D,MATCH(46422,Max!$A:$A,0)), 0), 0)</f>
        <v>0</v>
      </c>
    </row>
    <row r="234" spans="1:9" ht="15.75" customHeight="1" x14ac:dyDescent="0.2">
      <c r="A234" s="1">
        <v>29530</v>
      </c>
      <c r="B234" s="1" t="s">
        <v>618</v>
      </c>
      <c r="C234" s="1" t="s">
        <v>619</v>
      </c>
      <c r="D234" s="1" t="str">
        <f t="shared" si="0"/>
        <v>1</v>
      </c>
      <c r="E234" s="1" t="s">
        <v>620</v>
      </c>
      <c r="G234" s="1">
        <f t="array" ref="G234">IF(ISNUMBER(MATCH(29530,Camille!$A:$A,0)), IF(OR(INDEX(Camille!$D:$D,MATCH(29530,Camille!$A:$A,0))=1, INDEX(Camille!$D:$D,MATCH(29530,Camille!$A:$A,0))=2), INDEX(Camille!$D:$D,MATCH(29530,Camille!$A:$A,0)), 0), 0)</f>
        <v>1</v>
      </c>
      <c r="H234" s="1">
        <f t="array" ref="H234">IF(ISNUMBER(MATCH(29530,Telmo!$A:$A,0)), IF(OR(INDEX(Telmo!$D:$D,MATCH(29530,Telmo!$A:$A,0))=1, INDEX(Telmo!$D:$D,MATCH(29530,Telmo!$A:$A,0))=2), INDEX(Telmo!$D:$D,MATCH(29530,Telmo!$A:$A,0)), 0), 0)</f>
        <v>0</v>
      </c>
      <c r="I234" s="1">
        <f t="array" ref="I234">IF(ISNUMBER(MATCH(29530,Max!$A:$A,0)), IF(OR(INDEX(Max!$D:$D,MATCH(29530,Max!$A:$A,0))=1, INDEX(Max!$D:$D,MATCH(29530,Max!$A:$A,0))=2), INDEX(Max!$D:$D,MATCH(29530,Max!$A:$A,0)), 0), 0)</f>
        <v>0</v>
      </c>
    </row>
    <row r="235" spans="1:9" ht="15.75" customHeight="1" x14ac:dyDescent="0.2">
      <c r="A235" s="1">
        <v>38002</v>
      </c>
      <c r="B235" s="1" t="s">
        <v>32</v>
      </c>
      <c r="C235" s="1" t="s">
        <v>621</v>
      </c>
      <c r="D235" s="1" t="str">
        <f t="shared" si="0"/>
        <v>1</v>
      </c>
      <c r="E235" s="1" t="s">
        <v>622</v>
      </c>
      <c r="G235" s="1">
        <f t="array" ref="G235">IF(ISNUMBER(MATCH(38002,Camille!$A:$A,0)), IF(OR(INDEX(Camille!$D:$D,MATCH(38002,Camille!$A:$A,0))=1, INDEX(Camille!$D:$D,MATCH(38002,Camille!$A:$A,0))=2), INDEX(Camille!$D:$D,MATCH(38002,Camille!$A:$A,0)), 0), 0)</f>
        <v>1</v>
      </c>
      <c r="H235" s="1">
        <f t="array" ref="H235">IF(ISNUMBER(MATCH(38002,Telmo!$A:$A,0)), IF(OR(INDEX(Telmo!$D:$D,MATCH(38002,Telmo!$A:$A,0))=1, INDEX(Telmo!$D:$D,MATCH(38002,Telmo!$A:$A,0))=2), INDEX(Telmo!$D:$D,MATCH(38002,Telmo!$A:$A,0)), 0), 0)</f>
        <v>0</v>
      </c>
      <c r="I235" s="1">
        <f t="array" ref="I235">IF(ISNUMBER(MATCH(38002,Max!$A:$A,0)), IF(OR(INDEX(Max!$D:$D,MATCH(38002,Max!$A:$A,0))=1, INDEX(Max!$D:$D,MATCH(38002,Max!$A:$A,0))=2), INDEX(Max!$D:$D,MATCH(38002,Max!$A:$A,0)), 0), 0)</f>
        <v>0</v>
      </c>
    </row>
    <row r="236" spans="1:9" ht="15.75" customHeight="1" x14ac:dyDescent="0.2">
      <c r="A236" s="1">
        <v>763</v>
      </c>
      <c r="B236" s="1" t="s">
        <v>103</v>
      </c>
      <c r="C236" s="1" t="s">
        <v>623</v>
      </c>
      <c r="D236" s="1" t="str">
        <f t="shared" si="0"/>
        <v>2</v>
      </c>
      <c r="E236" s="1" t="s">
        <v>624</v>
      </c>
      <c r="G236" s="1">
        <f t="array" ref="G236">IF(ISNUMBER(MATCH(763,Camille!$A:$A,0)), IF(OR(INDEX(Camille!$D:$D,MATCH(763,Camille!$A:$A,0))=1, INDEX(Camille!$D:$D,MATCH(763,Camille!$A:$A,0))=2), INDEX(Camille!$D:$D,MATCH(763,Camille!$A:$A,0)), 0), 0)</f>
        <v>2</v>
      </c>
      <c r="H236" s="1">
        <f t="array" ref="H236">IF(ISNUMBER(MATCH(763,Telmo!$A:$A,0)), IF(OR(INDEX(Telmo!$D:$D,MATCH(763,Telmo!$A:$A,0))=1, INDEX(Telmo!$D:$D,MATCH(763,Telmo!$A:$A,0))=2), INDEX(Telmo!$D:$D,MATCH(763,Telmo!$A:$A,0)), 0), 0)</f>
        <v>0</v>
      </c>
      <c r="I236" s="1">
        <f t="array" ref="I236">IF(ISNUMBER(MATCH(763,Max!$A:$A,0)), IF(OR(INDEX(Max!$D:$D,MATCH(763,Max!$A:$A,0))=1, INDEX(Max!$D:$D,MATCH(763,Max!$A:$A,0))=2), INDEX(Max!$D:$D,MATCH(763,Max!$A:$A,0)), 0), 0)</f>
        <v>0</v>
      </c>
    </row>
    <row r="237" spans="1:9" ht="15.75" customHeight="1" x14ac:dyDescent="0.2">
      <c r="A237" s="1">
        <v>42216</v>
      </c>
      <c r="B237" s="1" t="s">
        <v>625</v>
      </c>
      <c r="C237" s="1" t="s">
        <v>626</v>
      </c>
      <c r="D237" s="1" t="str">
        <f t="shared" si="0"/>
        <v>2</v>
      </c>
      <c r="E237" s="1" t="s">
        <v>627</v>
      </c>
      <c r="G237" s="1">
        <f t="array" ref="G237">IF(ISNUMBER(MATCH(42216,Camille!$A:$A,0)), IF(OR(INDEX(Camille!$D:$D,MATCH(42216,Camille!$A:$A,0))=1, INDEX(Camille!$D:$D,MATCH(42216,Camille!$A:$A,0))=2), INDEX(Camille!$D:$D,MATCH(42216,Camille!$A:$A,0)), 0), 0)</f>
        <v>2</v>
      </c>
      <c r="H237" s="1">
        <f t="array" ref="H237">IF(ISNUMBER(MATCH(42216,Telmo!$A:$A,0)), IF(OR(INDEX(Telmo!$D:$D,MATCH(42216,Telmo!$A:$A,0))=1, INDEX(Telmo!$D:$D,MATCH(42216,Telmo!$A:$A,0))=2), INDEX(Telmo!$D:$D,MATCH(42216,Telmo!$A:$A,0)), 0), 0)</f>
        <v>0</v>
      </c>
      <c r="I237" s="1">
        <f t="array" ref="I237">IF(ISNUMBER(MATCH(42216,Max!$A:$A,0)), IF(OR(INDEX(Max!$D:$D,MATCH(42216,Max!$A:$A,0))=1, INDEX(Max!$D:$D,MATCH(42216,Max!$A:$A,0))=2), INDEX(Max!$D:$D,MATCH(42216,Max!$A:$A,0)), 0), 0)</f>
        <v>0</v>
      </c>
    </row>
    <row r="238" spans="1:9" ht="15.75" customHeight="1" x14ac:dyDescent="0.2">
      <c r="A238" s="1">
        <v>3108</v>
      </c>
      <c r="B238" s="1" t="s">
        <v>385</v>
      </c>
      <c r="C238" s="1" t="s">
        <v>628</v>
      </c>
      <c r="D238" s="1" t="str">
        <f t="shared" si="0"/>
        <v>2</v>
      </c>
      <c r="E238" s="1" t="s">
        <v>629</v>
      </c>
      <c r="G238" s="1">
        <f t="array" ref="G238">IF(ISNUMBER(MATCH(3108,Camille!$A:$A,0)), IF(OR(INDEX(Camille!$D:$D,MATCH(3108,Camille!$A:$A,0))=1, INDEX(Camille!$D:$D,MATCH(3108,Camille!$A:$A,0))=2), INDEX(Camille!$D:$D,MATCH(3108,Camille!$A:$A,0)), 0), 0)</f>
        <v>2</v>
      </c>
      <c r="H238" s="1">
        <f t="array" ref="H238">IF(ISNUMBER(MATCH(3108,Telmo!$A:$A,0)), IF(OR(INDEX(Telmo!$D:$D,MATCH(3108,Telmo!$A:$A,0))=1, INDEX(Telmo!$D:$D,MATCH(3108,Telmo!$A:$A,0))=2), INDEX(Telmo!$D:$D,MATCH(3108,Telmo!$A:$A,0)), 0), 0)</f>
        <v>0</v>
      </c>
      <c r="I238" s="1">
        <f t="array" ref="I238">IF(ISNUMBER(MATCH(3108,Max!$A:$A,0)), IF(OR(INDEX(Max!$D:$D,MATCH(3108,Max!$A:$A,0))=1, INDEX(Max!$D:$D,MATCH(3108,Max!$A:$A,0))=2), INDEX(Max!$D:$D,MATCH(3108,Max!$A:$A,0)), 0), 0)</f>
        <v>0</v>
      </c>
    </row>
    <row r="239" spans="1:9" ht="15.75" customHeight="1" x14ac:dyDescent="0.2">
      <c r="A239" s="1">
        <v>71257</v>
      </c>
      <c r="B239" s="1" t="s">
        <v>307</v>
      </c>
      <c r="C239" s="1" t="s">
        <v>630</v>
      </c>
      <c r="D239" s="1" t="str">
        <f t="shared" si="0"/>
        <v>2</v>
      </c>
      <c r="E239" s="1" t="s">
        <v>631</v>
      </c>
      <c r="G239" s="1">
        <f t="array" ref="G239">IF(ISNUMBER(MATCH(71257,Camille!$A:$A,0)), IF(OR(INDEX(Camille!$D:$D,MATCH(71257,Camille!$A:$A,0))=1, INDEX(Camille!$D:$D,MATCH(71257,Camille!$A:$A,0))=2), INDEX(Camille!$D:$D,MATCH(71257,Camille!$A:$A,0)), 0), 0)</f>
        <v>2</v>
      </c>
      <c r="H239" s="1">
        <f t="array" ref="H239">IF(ISNUMBER(MATCH(71257,Telmo!$A:$A,0)), IF(OR(INDEX(Telmo!$D:$D,MATCH(71257,Telmo!$A:$A,0))=1, INDEX(Telmo!$D:$D,MATCH(71257,Telmo!$A:$A,0))=2), INDEX(Telmo!$D:$D,MATCH(71257,Telmo!$A:$A,0)), 0), 0)</f>
        <v>0</v>
      </c>
      <c r="I239" s="1">
        <f t="array" ref="I239">IF(ISNUMBER(MATCH(71257,Max!$A:$A,0)), IF(OR(INDEX(Max!$D:$D,MATCH(71257,Max!$A:$A,0))=1, INDEX(Max!$D:$D,MATCH(71257,Max!$A:$A,0))=2), INDEX(Max!$D:$D,MATCH(71257,Max!$A:$A,0)), 0), 0)</f>
        <v>0</v>
      </c>
    </row>
    <row r="240" spans="1:9" ht="15.75" customHeight="1" x14ac:dyDescent="0.2">
      <c r="A240" s="1">
        <v>19223</v>
      </c>
      <c r="B240" s="1" t="s">
        <v>354</v>
      </c>
      <c r="C240" s="1" t="s">
        <v>632</v>
      </c>
      <c r="D240" s="1" t="str">
        <f t="shared" si="0"/>
        <v>2</v>
      </c>
      <c r="E240" s="1" t="s">
        <v>633</v>
      </c>
      <c r="G240" s="1">
        <f t="array" ref="G240">IF(ISNUMBER(MATCH(19223,Camille!$A:$A,0)), IF(OR(INDEX(Camille!$D:$D,MATCH(19223,Camille!$A:$A,0))=1, INDEX(Camille!$D:$D,MATCH(19223,Camille!$A:$A,0))=2), INDEX(Camille!$D:$D,MATCH(19223,Camille!$A:$A,0)), 0), 0)</f>
        <v>2</v>
      </c>
      <c r="H240" s="1">
        <f t="array" ref="H240">IF(ISNUMBER(MATCH(19223,Telmo!$A:$A,0)), IF(OR(INDEX(Telmo!$D:$D,MATCH(19223,Telmo!$A:$A,0))=1, INDEX(Telmo!$D:$D,MATCH(19223,Telmo!$A:$A,0))=2), INDEX(Telmo!$D:$D,MATCH(19223,Telmo!$A:$A,0)), 0), 0)</f>
        <v>0</v>
      </c>
      <c r="I240" s="1">
        <f t="array" ref="I240">IF(ISNUMBER(MATCH(19223,Max!$A:$A,0)), IF(OR(INDEX(Max!$D:$D,MATCH(19223,Max!$A:$A,0))=1, INDEX(Max!$D:$D,MATCH(19223,Max!$A:$A,0))=2), INDEX(Max!$D:$D,MATCH(19223,Max!$A:$A,0)), 0), 0)</f>
        <v>0</v>
      </c>
    </row>
    <row r="241" spans="1:9" ht="15.75" customHeight="1" x14ac:dyDescent="0.2">
      <c r="A241" s="1">
        <v>33961</v>
      </c>
      <c r="B241" s="1" t="s">
        <v>135</v>
      </c>
      <c r="C241" s="1" t="s">
        <v>634</v>
      </c>
      <c r="D241" s="1" t="str">
        <f t="shared" si="0"/>
        <v>1</v>
      </c>
      <c r="E241" s="1" t="s">
        <v>635</v>
      </c>
      <c r="G241" s="1">
        <f t="array" ref="G241">IF(ISNUMBER(MATCH(33961,Camille!$A:$A,0)), IF(OR(INDEX(Camille!$D:$D,MATCH(33961,Camille!$A:$A,0))=1, INDEX(Camille!$D:$D,MATCH(33961,Camille!$A:$A,0))=2), INDEX(Camille!$D:$D,MATCH(33961,Camille!$A:$A,0)), 0), 0)</f>
        <v>1</v>
      </c>
      <c r="H241" s="1">
        <f t="array" ref="H241">IF(ISNUMBER(MATCH(33961,Telmo!$A:$A,0)), IF(OR(INDEX(Telmo!$D:$D,MATCH(33961,Telmo!$A:$A,0))=1, INDEX(Telmo!$D:$D,MATCH(33961,Telmo!$A:$A,0))=2), INDEX(Telmo!$D:$D,MATCH(33961,Telmo!$A:$A,0)), 0), 0)</f>
        <v>0</v>
      </c>
      <c r="I241" s="1">
        <f t="array" ref="I241">IF(ISNUMBER(MATCH(33961,Max!$A:$A,0)), IF(OR(INDEX(Max!$D:$D,MATCH(33961,Max!$A:$A,0))=1, INDEX(Max!$D:$D,MATCH(33961,Max!$A:$A,0))=2), INDEX(Max!$D:$D,MATCH(33961,Max!$A:$A,0)), 0), 0)</f>
        <v>0</v>
      </c>
    </row>
    <row r="242" spans="1:9" ht="15.75" customHeight="1" x14ac:dyDescent="0.2">
      <c r="A242" s="1">
        <v>21568</v>
      </c>
      <c r="B242" s="1" t="s">
        <v>636</v>
      </c>
      <c r="C242" s="1" t="s">
        <v>637</v>
      </c>
      <c r="D242" s="1" t="str">
        <f t="shared" si="0"/>
        <v>2</v>
      </c>
      <c r="E242" s="1" t="s">
        <v>638</v>
      </c>
      <c r="G242" s="1">
        <f t="array" ref="G242">IF(ISNUMBER(MATCH(21568,Camille!$A:$A,0)), IF(OR(INDEX(Camille!$D:$D,MATCH(21568,Camille!$A:$A,0))=1, INDEX(Camille!$D:$D,MATCH(21568,Camille!$A:$A,0))=2), INDEX(Camille!$D:$D,MATCH(21568,Camille!$A:$A,0)), 0), 0)</f>
        <v>2</v>
      </c>
      <c r="H242" s="1">
        <f t="array" ref="H242">IF(ISNUMBER(MATCH(21568,Telmo!$A:$A,0)), IF(OR(INDEX(Telmo!$D:$D,MATCH(21568,Telmo!$A:$A,0))=1, INDEX(Telmo!$D:$D,MATCH(21568,Telmo!$A:$A,0))=2), INDEX(Telmo!$D:$D,MATCH(21568,Telmo!$A:$A,0)), 0), 0)</f>
        <v>0</v>
      </c>
      <c r="I242" s="1">
        <f t="array" ref="I242">IF(ISNUMBER(MATCH(21568,Max!$A:$A,0)), IF(OR(INDEX(Max!$D:$D,MATCH(21568,Max!$A:$A,0))=1, INDEX(Max!$D:$D,MATCH(21568,Max!$A:$A,0))=2), INDEX(Max!$D:$D,MATCH(21568,Max!$A:$A,0)), 0), 0)</f>
        <v>0</v>
      </c>
    </row>
    <row r="243" spans="1:9" ht="15.75" customHeight="1" x14ac:dyDescent="0.2">
      <c r="A243" s="1">
        <v>41228</v>
      </c>
      <c r="B243" s="1" t="s">
        <v>639</v>
      </c>
      <c r="C243" s="1" t="s">
        <v>640</v>
      </c>
      <c r="D243" s="1" t="str">
        <f t="shared" si="0"/>
        <v>2</v>
      </c>
      <c r="E243" s="1" t="s">
        <v>641</v>
      </c>
      <c r="G243" s="1">
        <f t="array" ref="G243">IF(ISNUMBER(MATCH(41228,Camille!$A:$A,0)), IF(OR(INDEX(Camille!$D:$D,MATCH(41228,Camille!$A:$A,0))=1, INDEX(Camille!$D:$D,MATCH(41228,Camille!$A:$A,0))=2), INDEX(Camille!$D:$D,MATCH(41228,Camille!$A:$A,0)), 0), 0)</f>
        <v>2</v>
      </c>
      <c r="H243" s="1">
        <f t="array" ref="H243">IF(ISNUMBER(MATCH(41228,Telmo!$A:$A,0)), IF(OR(INDEX(Telmo!$D:$D,MATCH(41228,Telmo!$A:$A,0))=1, INDEX(Telmo!$D:$D,MATCH(41228,Telmo!$A:$A,0))=2), INDEX(Telmo!$D:$D,MATCH(41228,Telmo!$A:$A,0)), 0), 0)</f>
        <v>0</v>
      </c>
      <c r="I243" s="1">
        <f t="array" ref="I243">IF(ISNUMBER(MATCH(41228,Max!$A:$A,0)), IF(OR(INDEX(Max!$D:$D,MATCH(41228,Max!$A:$A,0))=1, INDEX(Max!$D:$D,MATCH(41228,Max!$A:$A,0))=2), INDEX(Max!$D:$D,MATCH(41228,Max!$A:$A,0)), 0), 0)</f>
        <v>0</v>
      </c>
    </row>
    <row r="244" spans="1:9" ht="15.75" customHeight="1" x14ac:dyDescent="0.2">
      <c r="A244" s="1">
        <v>40806</v>
      </c>
      <c r="B244" s="1" t="s">
        <v>642</v>
      </c>
      <c r="C244" s="1" t="s">
        <v>643</v>
      </c>
      <c r="D244" s="1" t="str">
        <f t="shared" si="0"/>
        <v>2</v>
      </c>
      <c r="E244" s="1" t="s">
        <v>644</v>
      </c>
      <c r="G244" s="1">
        <f t="array" ref="G244">IF(ISNUMBER(MATCH(40806,Camille!$A:$A,0)), IF(OR(INDEX(Camille!$D:$D,MATCH(40806,Camille!$A:$A,0))=1, INDEX(Camille!$D:$D,MATCH(40806,Camille!$A:$A,0))=2), INDEX(Camille!$D:$D,MATCH(40806,Camille!$A:$A,0)), 0), 0)</f>
        <v>2</v>
      </c>
      <c r="H244" s="1">
        <f t="array" ref="H244">IF(ISNUMBER(MATCH(40806,Telmo!$A:$A,0)), IF(OR(INDEX(Telmo!$D:$D,MATCH(40806,Telmo!$A:$A,0))=1, INDEX(Telmo!$D:$D,MATCH(40806,Telmo!$A:$A,0))=2), INDEX(Telmo!$D:$D,MATCH(40806,Telmo!$A:$A,0)), 0), 0)</f>
        <v>0</v>
      </c>
      <c r="I244" s="1">
        <f t="array" ref="I244">IF(ISNUMBER(MATCH(40806,Max!$A:$A,0)), IF(OR(INDEX(Max!$D:$D,MATCH(40806,Max!$A:$A,0))=1, INDEX(Max!$D:$D,MATCH(40806,Max!$A:$A,0))=2), INDEX(Max!$D:$D,MATCH(40806,Max!$A:$A,0)), 0), 0)</f>
        <v>0</v>
      </c>
    </row>
    <row r="245" spans="1:9" ht="15.75" customHeight="1" x14ac:dyDescent="0.2">
      <c r="A245" s="1">
        <v>63737</v>
      </c>
      <c r="B245" s="1" t="s">
        <v>14</v>
      </c>
      <c r="C245" s="1" t="s">
        <v>645</v>
      </c>
      <c r="D245" s="1" t="str">
        <f t="shared" si="0"/>
        <v>1</v>
      </c>
      <c r="E245" s="1" t="s">
        <v>646</v>
      </c>
      <c r="G245" s="1">
        <f t="array" ref="G245">IF(ISNUMBER(MATCH(63737,Camille!$A:$A,0)), IF(OR(INDEX(Camille!$D:$D,MATCH(63737,Camille!$A:$A,0))=1, INDEX(Camille!$D:$D,MATCH(63737,Camille!$A:$A,0))=2), INDEX(Camille!$D:$D,MATCH(63737,Camille!$A:$A,0)), 0), 0)</f>
        <v>1</v>
      </c>
      <c r="H245" s="1">
        <f t="array" ref="H245">IF(ISNUMBER(MATCH(63737,Telmo!$A:$A,0)), IF(OR(INDEX(Telmo!$D:$D,MATCH(63737,Telmo!$A:$A,0))=1, INDEX(Telmo!$D:$D,MATCH(63737,Telmo!$A:$A,0))=2), INDEX(Telmo!$D:$D,MATCH(63737,Telmo!$A:$A,0)), 0), 0)</f>
        <v>0</v>
      </c>
      <c r="I245" s="1">
        <f t="array" ref="I245">IF(ISNUMBER(MATCH(63737,Max!$A:$A,0)), IF(OR(INDEX(Max!$D:$D,MATCH(63737,Max!$A:$A,0))=1, INDEX(Max!$D:$D,MATCH(63737,Max!$A:$A,0))=2), INDEX(Max!$D:$D,MATCH(63737,Max!$A:$A,0)), 0), 0)</f>
        <v>0</v>
      </c>
    </row>
    <row r="246" spans="1:9" ht="15.75" customHeight="1" x14ac:dyDescent="0.2">
      <c r="A246" s="1">
        <v>5568</v>
      </c>
      <c r="B246" s="1" t="s">
        <v>159</v>
      </c>
      <c r="C246" s="1" t="s">
        <v>647</v>
      </c>
      <c r="D246" s="1" t="str">
        <f t="shared" si="0"/>
        <v>2</v>
      </c>
      <c r="E246" s="1" t="s">
        <v>648</v>
      </c>
      <c r="G246" s="1">
        <f t="array" ref="G246">IF(ISNUMBER(MATCH(5568,Camille!$A:$A,0)), IF(OR(INDEX(Camille!$D:$D,MATCH(5568,Camille!$A:$A,0))=1, INDEX(Camille!$D:$D,MATCH(5568,Camille!$A:$A,0))=2), INDEX(Camille!$D:$D,MATCH(5568,Camille!$A:$A,0)), 0), 0)</f>
        <v>2</v>
      </c>
      <c r="H246" s="1">
        <f t="array" ref="H246">IF(ISNUMBER(MATCH(5568,Telmo!$A:$A,0)), IF(OR(INDEX(Telmo!$D:$D,MATCH(5568,Telmo!$A:$A,0))=1, INDEX(Telmo!$D:$D,MATCH(5568,Telmo!$A:$A,0))=2), INDEX(Telmo!$D:$D,MATCH(5568,Telmo!$A:$A,0)), 0), 0)</f>
        <v>0</v>
      </c>
      <c r="I246" s="1">
        <f t="array" ref="I246">IF(ISNUMBER(MATCH(5568,Max!$A:$A,0)), IF(OR(INDEX(Max!$D:$D,MATCH(5568,Max!$A:$A,0))=1, INDEX(Max!$D:$D,MATCH(5568,Max!$A:$A,0))=2), INDEX(Max!$D:$D,MATCH(5568,Max!$A:$A,0)), 0), 0)</f>
        <v>0</v>
      </c>
    </row>
    <row r="247" spans="1:9" ht="15.75" customHeight="1" x14ac:dyDescent="0.2">
      <c r="A247" s="1">
        <v>25506</v>
      </c>
      <c r="B247" s="1" t="s">
        <v>649</v>
      </c>
      <c r="C247" s="1" t="s">
        <v>650</v>
      </c>
      <c r="D247" s="1" t="str">
        <f t="shared" si="0"/>
        <v>2</v>
      </c>
      <c r="E247" s="1" t="s">
        <v>651</v>
      </c>
      <c r="G247" s="1">
        <f t="array" ref="G247">IF(ISNUMBER(MATCH(25506,Camille!$A:$A,0)), IF(OR(INDEX(Camille!$D:$D,MATCH(25506,Camille!$A:$A,0))=1, INDEX(Camille!$D:$D,MATCH(25506,Camille!$A:$A,0))=2), INDEX(Camille!$D:$D,MATCH(25506,Camille!$A:$A,0)), 0), 0)</f>
        <v>2</v>
      </c>
      <c r="H247" s="1">
        <f t="array" ref="H247">IF(ISNUMBER(MATCH(25506,Telmo!$A:$A,0)), IF(OR(INDEX(Telmo!$D:$D,MATCH(25506,Telmo!$A:$A,0))=1, INDEX(Telmo!$D:$D,MATCH(25506,Telmo!$A:$A,0))=2), INDEX(Telmo!$D:$D,MATCH(25506,Telmo!$A:$A,0)), 0), 0)</f>
        <v>0</v>
      </c>
      <c r="I247" s="1">
        <f t="array" ref="I247">IF(ISNUMBER(MATCH(25506,Max!$A:$A,0)), IF(OR(INDEX(Max!$D:$D,MATCH(25506,Max!$A:$A,0))=1, INDEX(Max!$D:$D,MATCH(25506,Max!$A:$A,0))=2), INDEX(Max!$D:$D,MATCH(25506,Max!$A:$A,0)), 0), 0)</f>
        <v>0</v>
      </c>
    </row>
    <row r="248" spans="1:9" ht="15.75" customHeight="1" x14ac:dyDescent="0.2">
      <c r="A248" s="1">
        <v>51927</v>
      </c>
      <c r="B248" s="1" t="s">
        <v>268</v>
      </c>
      <c r="C248" s="1" t="s">
        <v>652</v>
      </c>
      <c r="D248" s="1" t="str">
        <f t="shared" si="0"/>
        <v>2</v>
      </c>
      <c r="E248" s="1" t="s">
        <v>653</v>
      </c>
      <c r="G248" s="1">
        <f t="array" ref="G248">IF(ISNUMBER(MATCH(51927,Camille!$A:$A,0)), IF(OR(INDEX(Camille!$D:$D,MATCH(51927,Camille!$A:$A,0))=1, INDEX(Camille!$D:$D,MATCH(51927,Camille!$A:$A,0))=2), INDEX(Camille!$D:$D,MATCH(51927,Camille!$A:$A,0)), 0), 0)</f>
        <v>2</v>
      </c>
      <c r="H248" s="1">
        <f t="array" ref="H248">IF(ISNUMBER(MATCH(51927,Telmo!$A:$A,0)), IF(OR(INDEX(Telmo!$D:$D,MATCH(51927,Telmo!$A:$A,0))=1, INDEX(Telmo!$D:$D,MATCH(51927,Telmo!$A:$A,0))=2), INDEX(Telmo!$D:$D,MATCH(51927,Telmo!$A:$A,0)), 0), 0)</f>
        <v>0</v>
      </c>
      <c r="I248" s="1">
        <f t="array" ref="I248">IF(ISNUMBER(MATCH(51927,Max!$A:$A,0)), IF(OR(INDEX(Max!$D:$D,MATCH(51927,Max!$A:$A,0))=1, INDEX(Max!$D:$D,MATCH(51927,Max!$A:$A,0))=2), INDEX(Max!$D:$D,MATCH(51927,Max!$A:$A,0)), 0), 0)</f>
        <v>0</v>
      </c>
    </row>
    <row r="249" spans="1:9" ht="15.75" customHeight="1" x14ac:dyDescent="0.2">
      <c r="A249" s="1">
        <v>39447</v>
      </c>
      <c r="B249" s="1" t="s">
        <v>552</v>
      </c>
      <c r="C249" s="1" t="s">
        <v>654</v>
      </c>
      <c r="D249" s="1" t="str">
        <f t="shared" si="0"/>
        <v>2</v>
      </c>
      <c r="E249" s="1" t="s">
        <v>655</v>
      </c>
      <c r="G249" s="1">
        <f t="array" ref="G249">IF(ISNUMBER(MATCH(39447,Camille!$A:$A,0)), IF(OR(INDEX(Camille!$D:$D,MATCH(39447,Camille!$A:$A,0))=1, INDEX(Camille!$D:$D,MATCH(39447,Camille!$A:$A,0))=2), INDEX(Camille!$D:$D,MATCH(39447,Camille!$A:$A,0)), 0), 0)</f>
        <v>2</v>
      </c>
      <c r="H249" s="1">
        <f t="array" ref="H249">IF(ISNUMBER(MATCH(39447,Telmo!$A:$A,0)), IF(OR(INDEX(Telmo!$D:$D,MATCH(39447,Telmo!$A:$A,0))=1, INDEX(Telmo!$D:$D,MATCH(39447,Telmo!$A:$A,0))=2), INDEX(Telmo!$D:$D,MATCH(39447,Telmo!$A:$A,0)), 0), 0)</f>
        <v>0</v>
      </c>
      <c r="I249" s="1">
        <f t="array" ref="I249">IF(ISNUMBER(MATCH(39447,Max!$A:$A,0)), IF(OR(INDEX(Max!$D:$D,MATCH(39447,Max!$A:$A,0))=1, INDEX(Max!$D:$D,MATCH(39447,Max!$A:$A,0))=2), INDEX(Max!$D:$D,MATCH(39447,Max!$A:$A,0)), 0), 0)</f>
        <v>0</v>
      </c>
    </row>
    <row r="250" spans="1:9" ht="15.75" customHeight="1" x14ac:dyDescent="0.2">
      <c r="A250" s="1">
        <v>71384</v>
      </c>
      <c r="B250" s="1" t="s">
        <v>656</v>
      </c>
      <c r="C250" s="1" t="s">
        <v>657</v>
      </c>
      <c r="D250" s="1" t="str">
        <f t="shared" si="0"/>
        <v>2</v>
      </c>
      <c r="E250" s="1" t="s">
        <v>658</v>
      </c>
      <c r="G250" s="1">
        <f t="array" ref="G250">IF(ISNUMBER(MATCH(71384,Camille!$A:$A,0)), IF(OR(INDEX(Camille!$D:$D,MATCH(71384,Camille!$A:$A,0))=1, INDEX(Camille!$D:$D,MATCH(71384,Camille!$A:$A,0))=2), INDEX(Camille!$D:$D,MATCH(71384,Camille!$A:$A,0)), 0), 0)</f>
        <v>2</v>
      </c>
      <c r="H250" s="1">
        <f t="array" ref="H250">IF(ISNUMBER(MATCH(71384,Telmo!$A:$A,0)), IF(OR(INDEX(Telmo!$D:$D,MATCH(71384,Telmo!$A:$A,0))=1, INDEX(Telmo!$D:$D,MATCH(71384,Telmo!$A:$A,0))=2), INDEX(Telmo!$D:$D,MATCH(71384,Telmo!$A:$A,0)), 0), 0)</f>
        <v>0</v>
      </c>
      <c r="I250" s="1">
        <f t="array" ref="I250">IF(ISNUMBER(MATCH(71384,Max!$A:$A,0)), IF(OR(INDEX(Max!$D:$D,MATCH(71384,Max!$A:$A,0))=1, INDEX(Max!$D:$D,MATCH(71384,Max!$A:$A,0))=2), INDEX(Max!$D:$D,MATCH(71384,Max!$A:$A,0)), 0), 0)</f>
        <v>0</v>
      </c>
    </row>
    <row r="251" spans="1:9" ht="15.75" customHeight="1" x14ac:dyDescent="0.2">
      <c r="A251" s="1">
        <v>55048</v>
      </c>
      <c r="B251" s="1" t="s">
        <v>659</v>
      </c>
      <c r="C251" s="1" t="s">
        <v>660</v>
      </c>
      <c r="D251" s="1" t="str">
        <f t="shared" si="0"/>
        <v>2</v>
      </c>
      <c r="E251" s="1" t="s">
        <v>661</v>
      </c>
      <c r="G251" s="1">
        <f t="array" ref="G251">IF(ISNUMBER(MATCH(55048,Camille!$A:$A,0)), IF(OR(INDEX(Camille!$D:$D,MATCH(55048,Camille!$A:$A,0))=1, INDEX(Camille!$D:$D,MATCH(55048,Camille!$A:$A,0))=2), INDEX(Camille!$D:$D,MATCH(55048,Camille!$A:$A,0)), 0), 0)</f>
        <v>2</v>
      </c>
      <c r="H251" s="1">
        <f t="array" ref="H251">IF(ISNUMBER(MATCH(55048,Telmo!$A:$A,0)), IF(OR(INDEX(Telmo!$D:$D,MATCH(55048,Telmo!$A:$A,0))=1, INDEX(Telmo!$D:$D,MATCH(55048,Telmo!$A:$A,0))=2), INDEX(Telmo!$D:$D,MATCH(55048,Telmo!$A:$A,0)), 0), 0)</f>
        <v>0</v>
      </c>
      <c r="I251" s="1">
        <f t="array" ref="I251">IF(ISNUMBER(MATCH(55048,Max!$A:$A,0)), IF(OR(INDEX(Max!$D:$D,MATCH(55048,Max!$A:$A,0))=1, INDEX(Max!$D:$D,MATCH(55048,Max!$A:$A,0))=2), INDEX(Max!$D:$D,MATCH(55048,Max!$A:$A,0)), 0), 0)</f>
        <v>0</v>
      </c>
    </row>
    <row r="252" spans="1:9" ht="15.75" customHeight="1" x14ac:dyDescent="0.2">
      <c r="A252" s="1">
        <v>71586</v>
      </c>
      <c r="B252" s="1" t="s">
        <v>44</v>
      </c>
      <c r="C252" s="1" t="s">
        <v>662</v>
      </c>
      <c r="D252" s="1" t="str">
        <f t="shared" si="0"/>
        <v>2</v>
      </c>
      <c r="E252" s="1" t="s">
        <v>663</v>
      </c>
      <c r="G252" s="1">
        <f t="array" ref="G252">IF(ISNUMBER(MATCH(71586,Camille!$A:$A,0)), IF(OR(INDEX(Camille!$D:$D,MATCH(71586,Camille!$A:$A,0))=1, INDEX(Camille!$D:$D,MATCH(71586,Camille!$A:$A,0))=2), INDEX(Camille!$D:$D,MATCH(71586,Camille!$A:$A,0)), 0), 0)</f>
        <v>2</v>
      </c>
      <c r="H252" s="1">
        <f t="array" ref="H252">IF(ISNUMBER(MATCH(71586,Telmo!$A:$A,0)), IF(OR(INDEX(Telmo!$D:$D,MATCH(71586,Telmo!$A:$A,0))=1, INDEX(Telmo!$D:$D,MATCH(71586,Telmo!$A:$A,0))=2), INDEX(Telmo!$D:$D,MATCH(71586,Telmo!$A:$A,0)), 0), 0)</f>
        <v>0</v>
      </c>
      <c r="I252" s="1">
        <f t="array" ref="I252">IF(ISNUMBER(MATCH(71586,Max!$A:$A,0)), IF(OR(INDEX(Max!$D:$D,MATCH(71586,Max!$A:$A,0))=1, INDEX(Max!$D:$D,MATCH(71586,Max!$A:$A,0))=2), INDEX(Max!$D:$D,MATCH(71586,Max!$A:$A,0)), 0), 0)</f>
        <v>0</v>
      </c>
    </row>
    <row r="253" spans="1:9" ht="15.75" customHeight="1" x14ac:dyDescent="0.2">
      <c r="A253" s="1">
        <v>38176</v>
      </c>
      <c r="B253" s="1" t="s">
        <v>32</v>
      </c>
      <c r="C253" s="1" t="s">
        <v>664</v>
      </c>
      <c r="D253" s="1" t="str">
        <f t="shared" si="0"/>
        <v>1</v>
      </c>
      <c r="E253" s="1" t="s">
        <v>665</v>
      </c>
      <c r="G253" s="1">
        <f t="array" ref="G253">IF(ISNUMBER(MATCH(38176,Camille!$A:$A,0)), IF(OR(INDEX(Camille!$D:$D,MATCH(38176,Camille!$A:$A,0))=1, INDEX(Camille!$D:$D,MATCH(38176,Camille!$A:$A,0))=2), INDEX(Camille!$D:$D,MATCH(38176,Camille!$A:$A,0)), 0), 0)</f>
        <v>1</v>
      </c>
      <c r="H253" s="1">
        <f t="array" ref="H253">IF(ISNUMBER(MATCH(38176,Telmo!$A:$A,0)), IF(OR(INDEX(Telmo!$D:$D,MATCH(38176,Telmo!$A:$A,0))=1, INDEX(Telmo!$D:$D,MATCH(38176,Telmo!$A:$A,0))=2), INDEX(Telmo!$D:$D,MATCH(38176,Telmo!$A:$A,0)), 0), 0)</f>
        <v>0</v>
      </c>
      <c r="I253" s="1">
        <f t="array" ref="I253">IF(ISNUMBER(MATCH(38176,Max!$A:$A,0)), IF(OR(INDEX(Max!$D:$D,MATCH(38176,Max!$A:$A,0))=1, INDEX(Max!$D:$D,MATCH(38176,Max!$A:$A,0))=2), INDEX(Max!$D:$D,MATCH(38176,Max!$A:$A,0)), 0), 0)</f>
        <v>0</v>
      </c>
    </row>
    <row r="254" spans="1:9" ht="15.75" customHeight="1" x14ac:dyDescent="0.2">
      <c r="A254" s="1">
        <v>22718</v>
      </c>
      <c r="B254" s="1" t="s">
        <v>666</v>
      </c>
      <c r="C254" s="1" t="s">
        <v>667</v>
      </c>
      <c r="D254" s="1" t="str">
        <f t="shared" si="0"/>
        <v>1</v>
      </c>
      <c r="E254" s="1" t="s">
        <v>668</v>
      </c>
      <c r="G254" s="1">
        <f t="array" ref="G254">IF(ISNUMBER(MATCH(22718,Camille!$A:$A,0)), IF(OR(INDEX(Camille!$D:$D,MATCH(22718,Camille!$A:$A,0))=1, INDEX(Camille!$D:$D,MATCH(22718,Camille!$A:$A,0))=2), INDEX(Camille!$D:$D,MATCH(22718,Camille!$A:$A,0)), 0), 0)</f>
        <v>1</v>
      </c>
      <c r="H254" s="1">
        <f t="array" ref="H254">IF(ISNUMBER(MATCH(22718,Telmo!$A:$A,0)), IF(OR(INDEX(Telmo!$D:$D,MATCH(22718,Telmo!$A:$A,0))=1, INDEX(Telmo!$D:$D,MATCH(22718,Telmo!$A:$A,0))=2), INDEX(Telmo!$D:$D,MATCH(22718,Telmo!$A:$A,0)), 0), 0)</f>
        <v>0</v>
      </c>
      <c r="I254" s="1">
        <f t="array" ref="I254">IF(ISNUMBER(MATCH(22718,Max!$A:$A,0)), IF(OR(INDEX(Max!$D:$D,MATCH(22718,Max!$A:$A,0))=1, INDEX(Max!$D:$D,MATCH(22718,Max!$A:$A,0))=2), INDEX(Max!$D:$D,MATCH(22718,Max!$A:$A,0)), 0), 0)</f>
        <v>0</v>
      </c>
    </row>
    <row r="255" spans="1:9" ht="15.75" customHeight="1" x14ac:dyDescent="0.2">
      <c r="A255" s="1">
        <v>56873</v>
      </c>
      <c r="B255" s="1" t="s">
        <v>354</v>
      </c>
      <c r="C255" s="1" t="s">
        <v>669</v>
      </c>
      <c r="D255" s="1" t="str">
        <f t="shared" si="0"/>
        <v>2</v>
      </c>
      <c r="E255" s="1" t="s">
        <v>670</v>
      </c>
      <c r="G255" s="1">
        <f t="array" ref="G255">IF(ISNUMBER(MATCH(56873,Camille!$A:$A,0)), IF(OR(INDEX(Camille!$D:$D,MATCH(56873,Camille!$A:$A,0))=1, INDEX(Camille!$D:$D,MATCH(56873,Camille!$A:$A,0))=2), INDEX(Camille!$D:$D,MATCH(56873,Camille!$A:$A,0)), 0), 0)</f>
        <v>2</v>
      </c>
      <c r="H255" s="1">
        <f t="array" ref="H255">IF(ISNUMBER(MATCH(56873,Telmo!$A:$A,0)), IF(OR(INDEX(Telmo!$D:$D,MATCH(56873,Telmo!$A:$A,0))=1, INDEX(Telmo!$D:$D,MATCH(56873,Telmo!$A:$A,0))=2), INDEX(Telmo!$D:$D,MATCH(56873,Telmo!$A:$A,0)), 0), 0)</f>
        <v>0</v>
      </c>
      <c r="I255" s="1">
        <f t="array" ref="I255">IF(ISNUMBER(MATCH(56873,Max!$A:$A,0)), IF(OR(INDEX(Max!$D:$D,MATCH(56873,Max!$A:$A,0))=1, INDEX(Max!$D:$D,MATCH(56873,Max!$A:$A,0))=2), INDEX(Max!$D:$D,MATCH(56873,Max!$A:$A,0)), 0), 0)</f>
        <v>0</v>
      </c>
    </row>
    <row r="256" spans="1:9" ht="15.75" customHeight="1" x14ac:dyDescent="0.2">
      <c r="A256" s="1">
        <v>14351</v>
      </c>
      <c r="B256" s="1" t="s">
        <v>671</v>
      </c>
      <c r="C256" s="1" t="s">
        <v>672</v>
      </c>
      <c r="D256" s="1" t="str">
        <f t="shared" si="0"/>
        <v>2</v>
      </c>
      <c r="E256" s="1" t="s">
        <v>673</v>
      </c>
      <c r="G256" s="1">
        <f t="array" ref="G256">IF(ISNUMBER(MATCH(14351,Camille!$A:$A,0)), IF(OR(INDEX(Camille!$D:$D,MATCH(14351,Camille!$A:$A,0))=1, INDEX(Camille!$D:$D,MATCH(14351,Camille!$A:$A,0))=2), INDEX(Camille!$D:$D,MATCH(14351,Camille!$A:$A,0)), 0), 0)</f>
        <v>2</v>
      </c>
      <c r="H256" s="1">
        <f t="array" ref="H256">IF(ISNUMBER(MATCH(14351,Telmo!$A:$A,0)), IF(OR(INDEX(Telmo!$D:$D,MATCH(14351,Telmo!$A:$A,0))=1, INDEX(Telmo!$D:$D,MATCH(14351,Telmo!$A:$A,0))=2), INDEX(Telmo!$D:$D,MATCH(14351,Telmo!$A:$A,0)), 0), 0)</f>
        <v>0</v>
      </c>
      <c r="I256" s="1">
        <f t="array" ref="I256">IF(ISNUMBER(MATCH(14351,Max!$A:$A,0)), IF(OR(INDEX(Max!$D:$D,MATCH(14351,Max!$A:$A,0))=1, INDEX(Max!$D:$D,MATCH(14351,Max!$A:$A,0))=2), INDEX(Max!$D:$D,MATCH(14351,Max!$A:$A,0)), 0), 0)</f>
        <v>0</v>
      </c>
    </row>
    <row r="257" spans="1:9" ht="15.75" customHeight="1" x14ac:dyDescent="0.2">
      <c r="A257" s="1">
        <v>25818</v>
      </c>
      <c r="B257" s="1" t="s">
        <v>405</v>
      </c>
      <c r="C257" s="1" t="s">
        <v>674</v>
      </c>
      <c r="D257" s="1" t="str">
        <f t="shared" si="0"/>
        <v>2</v>
      </c>
      <c r="E257" s="1" t="s">
        <v>675</v>
      </c>
      <c r="G257" s="1">
        <f t="array" ref="G257">IF(ISNUMBER(MATCH(25818,Camille!$A:$A,0)), IF(OR(INDEX(Camille!$D:$D,MATCH(25818,Camille!$A:$A,0))=1, INDEX(Camille!$D:$D,MATCH(25818,Camille!$A:$A,0))=2), INDEX(Camille!$D:$D,MATCH(25818,Camille!$A:$A,0)), 0), 0)</f>
        <v>2</v>
      </c>
      <c r="H257" s="1">
        <f t="array" ref="H257">IF(ISNUMBER(MATCH(25818,Telmo!$A:$A,0)), IF(OR(INDEX(Telmo!$D:$D,MATCH(25818,Telmo!$A:$A,0))=1, INDEX(Telmo!$D:$D,MATCH(25818,Telmo!$A:$A,0))=2), INDEX(Telmo!$D:$D,MATCH(25818,Telmo!$A:$A,0)), 0), 0)</f>
        <v>0</v>
      </c>
      <c r="I257" s="1">
        <f t="array" ref="I257">IF(ISNUMBER(MATCH(25818,Max!$A:$A,0)), IF(OR(INDEX(Max!$D:$D,MATCH(25818,Max!$A:$A,0))=1, INDEX(Max!$D:$D,MATCH(25818,Max!$A:$A,0))=2), INDEX(Max!$D:$D,MATCH(25818,Max!$A:$A,0)), 0), 0)</f>
        <v>0</v>
      </c>
    </row>
    <row r="258" spans="1:9" ht="15.75" customHeight="1" x14ac:dyDescent="0.2">
      <c r="A258" s="1">
        <v>19017</v>
      </c>
      <c r="B258" s="1" t="s">
        <v>656</v>
      </c>
      <c r="C258" s="1" t="s">
        <v>676</v>
      </c>
      <c r="D258" s="1" t="str">
        <f t="shared" si="0"/>
        <v>2</v>
      </c>
      <c r="E258" s="1" t="s">
        <v>677</v>
      </c>
      <c r="G258" s="1">
        <f t="array" ref="G258">IF(ISNUMBER(MATCH(19017,Camille!$A:$A,0)), IF(OR(INDEX(Camille!$D:$D,MATCH(19017,Camille!$A:$A,0))=1, INDEX(Camille!$D:$D,MATCH(19017,Camille!$A:$A,0))=2), INDEX(Camille!$D:$D,MATCH(19017,Camille!$A:$A,0)), 0), 0)</f>
        <v>2</v>
      </c>
      <c r="H258" s="1">
        <f t="array" ref="H258">IF(ISNUMBER(MATCH(19017,Telmo!$A:$A,0)), IF(OR(INDEX(Telmo!$D:$D,MATCH(19017,Telmo!$A:$A,0))=1, INDEX(Telmo!$D:$D,MATCH(19017,Telmo!$A:$A,0))=2), INDEX(Telmo!$D:$D,MATCH(19017,Telmo!$A:$A,0)), 0), 0)</f>
        <v>0</v>
      </c>
      <c r="I258" s="1">
        <f t="array" ref="I258">IF(ISNUMBER(MATCH(19017,Max!$A:$A,0)), IF(OR(INDEX(Max!$D:$D,MATCH(19017,Max!$A:$A,0))=1, INDEX(Max!$D:$D,MATCH(19017,Max!$A:$A,0))=2), INDEX(Max!$D:$D,MATCH(19017,Max!$A:$A,0)), 0), 0)</f>
        <v>0</v>
      </c>
    </row>
    <row r="259" spans="1:9" ht="15.75" customHeight="1" x14ac:dyDescent="0.2">
      <c r="A259" s="1">
        <v>52251</v>
      </c>
      <c r="B259" s="1" t="s">
        <v>678</v>
      </c>
      <c r="C259" s="1" t="s">
        <v>679</v>
      </c>
      <c r="D259" s="1" t="str">
        <f t="shared" si="0"/>
        <v>1</v>
      </c>
      <c r="E259" s="1" t="s">
        <v>680</v>
      </c>
      <c r="G259" s="1">
        <f t="array" ref="G259">IF(ISNUMBER(MATCH(52251,Camille!$A:$A,0)), IF(OR(INDEX(Camille!$D:$D,MATCH(52251,Camille!$A:$A,0))=1, INDEX(Camille!$D:$D,MATCH(52251,Camille!$A:$A,0))=2), INDEX(Camille!$D:$D,MATCH(52251,Camille!$A:$A,0)), 0), 0)</f>
        <v>1</v>
      </c>
      <c r="H259" s="1">
        <f t="array" ref="H259">IF(ISNUMBER(MATCH(52251,Telmo!$A:$A,0)), IF(OR(INDEX(Telmo!$D:$D,MATCH(52251,Telmo!$A:$A,0))=1, INDEX(Telmo!$D:$D,MATCH(52251,Telmo!$A:$A,0))=2), INDEX(Telmo!$D:$D,MATCH(52251,Telmo!$A:$A,0)), 0), 0)</f>
        <v>0</v>
      </c>
      <c r="I259" s="1">
        <f t="array" ref="I259">IF(ISNUMBER(MATCH(52251,Max!$A:$A,0)), IF(OR(INDEX(Max!$D:$D,MATCH(52251,Max!$A:$A,0))=1, INDEX(Max!$D:$D,MATCH(52251,Max!$A:$A,0))=2), INDEX(Max!$D:$D,MATCH(52251,Max!$A:$A,0)), 0), 0)</f>
        <v>0</v>
      </c>
    </row>
    <row r="260" spans="1:9" ht="15.75" customHeight="1" x14ac:dyDescent="0.2">
      <c r="A260" s="1">
        <v>31248</v>
      </c>
      <c r="B260" s="1" t="s">
        <v>656</v>
      </c>
      <c r="C260" s="1" t="s">
        <v>681</v>
      </c>
      <c r="D260" s="1" t="str">
        <f t="shared" ref="D260:D514" si="1">IF(SUM(G260:I260)=0, "", IF(COUNTIF(G260:I260, "1") &gt; 0, IF(COUNTIF(G260:I260, "2") &gt; 0, "3", "1"),IF(COUNTIF(G260:I260, "2") &gt; 0, "2", "")))</f>
        <v>2</v>
      </c>
      <c r="E260" s="1" t="s">
        <v>682</v>
      </c>
      <c r="G260" s="1">
        <f t="array" ref="G260">IF(ISNUMBER(MATCH(31248,Camille!$A:$A,0)), IF(OR(INDEX(Camille!$D:$D,MATCH(31248,Camille!$A:$A,0))=1, INDEX(Camille!$D:$D,MATCH(31248,Camille!$A:$A,0))=2), INDEX(Camille!$D:$D,MATCH(31248,Camille!$A:$A,0)), 0), 0)</f>
        <v>2</v>
      </c>
      <c r="H260" s="1">
        <f t="array" ref="H260">IF(ISNUMBER(MATCH(31248,Telmo!$A:$A,0)), IF(OR(INDEX(Telmo!$D:$D,MATCH(31248,Telmo!$A:$A,0))=1, INDEX(Telmo!$D:$D,MATCH(31248,Telmo!$A:$A,0))=2), INDEX(Telmo!$D:$D,MATCH(31248,Telmo!$A:$A,0)), 0), 0)</f>
        <v>0</v>
      </c>
      <c r="I260" s="1">
        <f t="array" ref="I260">IF(ISNUMBER(MATCH(31248,Max!$A:$A,0)), IF(OR(INDEX(Max!$D:$D,MATCH(31248,Max!$A:$A,0))=1, INDEX(Max!$D:$D,MATCH(31248,Max!$A:$A,0))=2), INDEX(Max!$D:$D,MATCH(31248,Max!$A:$A,0)), 0), 0)</f>
        <v>0</v>
      </c>
    </row>
    <row r="261" spans="1:9" ht="15.75" customHeight="1" x14ac:dyDescent="0.2">
      <c r="A261" s="1">
        <v>6665</v>
      </c>
      <c r="B261" s="1" t="s">
        <v>524</v>
      </c>
      <c r="C261" s="1" t="s">
        <v>683</v>
      </c>
      <c r="D261" s="1" t="str">
        <f t="shared" si="1"/>
        <v>2</v>
      </c>
      <c r="E261" s="1" t="s">
        <v>684</v>
      </c>
      <c r="G261" s="1">
        <f t="array" ref="G261">IF(ISNUMBER(MATCH(6665,Camille!$A:$A,0)), IF(OR(INDEX(Camille!$D:$D,MATCH(6665,Camille!$A:$A,0))=1, INDEX(Camille!$D:$D,MATCH(6665,Camille!$A:$A,0))=2), INDEX(Camille!$D:$D,MATCH(6665,Camille!$A:$A,0)), 0), 0)</f>
        <v>2</v>
      </c>
      <c r="H261" s="1">
        <f t="array" ref="H261">IF(ISNUMBER(MATCH(6665,Telmo!$A:$A,0)), IF(OR(INDEX(Telmo!$D:$D,MATCH(6665,Telmo!$A:$A,0))=1, INDEX(Telmo!$D:$D,MATCH(6665,Telmo!$A:$A,0))=2), INDEX(Telmo!$D:$D,MATCH(6665,Telmo!$A:$A,0)), 0), 0)</f>
        <v>0</v>
      </c>
      <c r="I261" s="1">
        <f t="array" ref="I261">IF(ISNUMBER(MATCH(6665,Max!$A:$A,0)), IF(OR(INDEX(Max!$D:$D,MATCH(6665,Max!$A:$A,0))=1, INDEX(Max!$D:$D,MATCH(6665,Max!$A:$A,0))=2), INDEX(Max!$D:$D,MATCH(6665,Max!$A:$A,0)), 0), 0)</f>
        <v>0</v>
      </c>
    </row>
    <row r="262" spans="1:9" ht="15.75" customHeight="1" x14ac:dyDescent="0.2">
      <c r="A262" s="1">
        <v>22016</v>
      </c>
      <c r="B262" s="1" t="s">
        <v>172</v>
      </c>
      <c r="C262" s="1" t="s">
        <v>685</v>
      </c>
      <c r="D262" s="1" t="str">
        <f t="shared" si="1"/>
        <v>2</v>
      </c>
      <c r="E262" s="1" t="s">
        <v>686</v>
      </c>
      <c r="G262" s="1">
        <f t="array" ref="G262">IF(ISNUMBER(MATCH(22016,Camille!$A:$A,0)), IF(OR(INDEX(Camille!$D:$D,MATCH(22016,Camille!$A:$A,0))=1, INDEX(Camille!$D:$D,MATCH(22016,Camille!$A:$A,0))=2), INDEX(Camille!$D:$D,MATCH(22016,Camille!$A:$A,0)), 0), 0)</f>
        <v>2</v>
      </c>
      <c r="H262" s="1">
        <f t="array" ref="H262">IF(ISNUMBER(MATCH(22016,Telmo!$A:$A,0)), IF(OR(INDEX(Telmo!$D:$D,MATCH(22016,Telmo!$A:$A,0))=1, INDEX(Telmo!$D:$D,MATCH(22016,Telmo!$A:$A,0))=2), INDEX(Telmo!$D:$D,MATCH(22016,Telmo!$A:$A,0)), 0), 0)</f>
        <v>0</v>
      </c>
      <c r="I262" s="1">
        <f t="array" ref="I262">IF(ISNUMBER(MATCH(22016,Max!$A:$A,0)), IF(OR(INDEX(Max!$D:$D,MATCH(22016,Max!$A:$A,0))=1, INDEX(Max!$D:$D,MATCH(22016,Max!$A:$A,0))=2), INDEX(Max!$D:$D,MATCH(22016,Max!$A:$A,0)), 0), 0)</f>
        <v>0</v>
      </c>
    </row>
    <row r="263" spans="1:9" ht="15.75" customHeight="1" x14ac:dyDescent="0.2">
      <c r="A263" s="1">
        <v>785</v>
      </c>
      <c r="B263" s="1" t="s">
        <v>687</v>
      </c>
      <c r="C263" s="1" t="s">
        <v>688</v>
      </c>
      <c r="D263" s="1" t="str">
        <f t="shared" si="1"/>
        <v>1</v>
      </c>
      <c r="E263" s="1" t="s">
        <v>689</v>
      </c>
      <c r="G263" s="1">
        <f t="array" ref="G263">IF(ISNUMBER(MATCH(785,Camille!$A:$A,0)), IF(OR(INDEX(Camille!$D:$D,MATCH(785,Camille!$A:$A,0))=1, INDEX(Camille!$D:$D,MATCH(785,Camille!$A:$A,0))=2), INDEX(Camille!$D:$D,MATCH(785,Camille!$A:$A,0)), 0), 0)</f>
        <v>1</v>
      </c>
      <c r="H263" s="1">
        <f t="array" ref="H263">IF(ISNUMBER(MATCH(785,Telmo!$A:$A,0)), IF(OR(INDEX(Telmo!$D:$D,MATCH(785,Telmo!$A:$A,0))=1, INDEX(Telmo!$D:$D,MATCH(785,Telmo!$A:$A,0))=2), INDEX(Telmo!$D:$D,MATCH(785,Telmo!$A:$A,0)), 0), 0)</f>
        <v>0</v>
      </c>
      <c r="I263" s="1">
        <f t="array" ref="I263">IF(ISNUMBER(MATCH(785,Max!$A:$A,0)), IF(OR(INDEX(Max!$D:$D,MATCH(785,Max!$A:$A,0))=1, INDEX(Max!$D:$D,MATCH(785,Max!$A:$A,0))=2), INDEX(Max!$D:$D,MATCH(785,Max!$A:$A,0)), 0), 0)</f>
        <v>0</v>
      </c>
    </row>
    <row r="264" spans="1:9" ht="15.75" customHeight="1" x14ac:dyDescent="0.2">
      <c r="A264" s="1">
        <v>24309</v>
      </c>
      <c r="B264" s="1" t="s">
        <v>144</v>
      </c>
      <c r="C264" s="1" t="s">
        <v>690</v>
      </c>
      <c r="D264" s="1" t="str">
        <f t="shared" si="1"/>
        <v>1</v>
      </c>
      <c r="E264" s="1" t="s">
        <v>691</v>
      </c>
      <c r="G264" s="1">
        <f t="array" ref="G264">IF(ISNUMBER(MATCH(24309,Camille!$A:$A,0)), IF(OR(INDEX(Camille!$D:$D,MATCH(24309,Camille!$A:$A,0))=1, INDEX(Camille!$D:$D,MATCH(24309,Camille!$A:$A,0))=2), INDEX(Camille!$D:$D,MATCH(24309,Camille!$A:$A,0)), 0), 0)</f>
        <v>1</v>
      </c>
      <c r="H264" s="1">
        <f t="array" ref="H264">IF(ISNUMBER(MATCH(24309,Telmo!$A:$A,0)), IF(OR(INDEX(Telmo!$D:$D,MATCH(24309,Telmo!$A:$A,0))=1, INDEX(Telmo!$D:$D,MATCH(24309,Telmo!$A:$A,0))=2), INDEX(Telmo!$D:$D,MATCH(24309,Telmo!$A:$A,0)), 0), 0)</f>
        <v>0</v>
      </c>
      <c r="I264" s="1">
        <f t="array" ref="I264">IF(ISNUMBER(MATCH(24309,Max!$A:$A,0)), IF(OR(INDEX(Max!$D:$D,MATCH(24309,Max!$A:$A,0))=1, INDEX(Max!$D:$D,MATCH(24309,Max!$A:$A,0))=2), INDEX(Max!$D:$D,MATCH(24309,Max!$A:$A,0)), 0), 0)</f>
        <v>0</v>
      </c>
    </row>
    <row r="265" spans="1:9" ht="15.75" customHeight="1" x14ac:dyDescent="0.2">
      <c r="A265" s="1">
        <v>14994</v>
      </c>
      <c r="B265" s="1" t="s">
        <v>315</v>
      </c>
      <c r="C265" s="1" t="s">
        <v>692</v>
      </c>
      <c r="D265" s="1" t="str">
        <f t="shared" si="1"/>
        <v>2</v>
      </c>
      <c r="E265" s="1" t="s">
        <v>693</v>
      </c>
      <c r="G265" s="1">
        <f t="array" ref="G265">IF(ISNUMBER(MATCH(14994,Camille!$A:$A,0)), IF(OR(INDEX(Camille!$D:$D,MATCH(14994,Camille!$A:$A,0))=1, INDEX(Camille!$D:$D,MATCH(14994,Camille!$A:$A,0))=2), INDEX(Camille!$D:$D,MATCH(14994,Camille!$A:$A,0)), 0), 0)</f>
        <v>2</v>
      </c>
      <c r="H265" s="1">
        <f t="array" ref="H265">IF(ISNUMBER(MATCH(14994,Telmo!$A:$A,0)), IF(OR(INDEX(Telmo!$D:$D,MATCH(14994,Telmo!$A:$A,0))=1, INDEX(Telmo!$D:$D,MATCH(14994,Telmo!$A:$A,0))=2), INDEX(Telmo!$D:$D,MATCH(14994,Telmo!$A:$A,0)), 0), 0)</f>
        <v>0</v>
      </c>
      <c r="I265" s="1">
        <f t="array" ref="I265">IF(ISNUMBER(MATCH(14994,Max!$A:$A,0)), IF(OR(INDEX(Max!$D:$D,MATCH(14994,Max!$A:$A,0))=1, INDEX(Max!$D:$D,MATCH(14994,Max!$A:$A,0))=2), INDEX(Max!$D:$D,MATCH(14994,Max!$A:$A,0)), 0), 0)</f>
        <v>0</v>
      </c>
    </row>
    <row r="266" spans="1:9" ht="15.75" customHeight="1" x14ac:dyDescent="0.2">
      <c r="A266" s="1">
        <v>2087</v>
      </c>
      <c r="B266" s="1" t="s">
        <v>138</v>
      </c>
      <c r="C266" s="1" t="s">
        <v>694</v>
      </c>
      <c r="D266" s="1" t="str">
        <f t="shared" si="1"/>
        <v>2</v>
      </c>
      <c r="E266" s="1" t="s">
        <v>695</v>
      </c>
      <c r="G266" s="1">
        <f t="array" ref="G266">IF(ISNUMBER(MATCH(2087,Camille!$A:$A,0)), IF(OR(INDEX(Camille!$D:$D,MATCH(2087,Camille!$A:$A,0))=1, INDEX(Camille!$D:$D,MATCH(2087,Camille!$A:$A,0))=2), INDEX(Camille!$D:$D,MATCH(2087,Camille!$A:$A,0)), 0), 0)</f>
        <v>2</v>
      </c>
      <c r="H266" s="1">
        <f t="array" ref="H266">IF(ISNUMBER(MATCH(2087,Telmo!$A:$A,0)), IF(OR(INDEX(Telmo!$D:$D,MATCH(2087,Telmo!$A:$A,0))=1, INDEX(Telmo!$D:$D,MATCH(2087,Telmo!$A:$A,0))=2), INDEX(Telmo!$D:$D,MATCH(2087,Telmo!$A:$A,0)), 0), 0)</f>
        <v>0</v>
      </c>
      <c r="I266" s="1">
        <f t="array" ref="I266">IF(ISNUMBER(MATCH(2087,Max!$A:$A,0)), IF(OR(INDEX(Max!$D:$D,MATCH(2087,Max!$A:$A,0))=1, INDEX(Max!$D:$D,MATCH(2087,Max!$A:$A,0))=2), INDEX(Max!$D:$D,MATCH(2087,Max!$A:$A,0)), 0), 0)</f>
        <v>0</v>
      </c>
    </row>
    <row r="267" spans="1:9" ht="15.75" customHeight="1" x14ac:dyDescent="0.2">
      <c r="A267" s="1">
        <v>8286</v>
      </c>
      <c r="B267" s="1" t="s">
        <v>696</v>
      </c>
      <c r="C267" s="1" t="s">
        <v>697</v>
      </c>
      <c r="D267" s="1" t="str">
        <f t="shared" si="1"/>
        <v>2</v>
      </c>
      <c r="E267" s="1" t="s">
        <v>698</v>
      </c>
      <c r="G267" s="1">
        <f t="array" ref="G267">IF(ISNUMBER(MATCH(8286,Camille!$A:$A,0)), IF(OR(INDEX(Camille!$D:$D,MATCH(8286,Camille!$A:$A,0))=1, INDEX(Camille!$D:$D,MATCH(8286,Camille!$A:$A,0))=2), INDEX(Camille!$D:$D,MATCH(8286,Camille!$A:$A,0)), 0), 0)</f>
        <v>2</v>
      </c>
      <c r="H267" s="1">
        <f t="array" ref="H267">IF(ISNUMBER(MATCH(8286,Telmo!$A:$A,0)), IF(OR(INDEX(Telmo!$D:$D,MATCH(8286,Telmo!$A:$A,0))=1, INDEX(Telmo!$D:$D,MATCH(8286,Telmo!$A:$A,0))=2), INDEX(Telmo!$D:$D,MATCH(8286,Telmo!$A:$A,0)), 0), 0)</f>
        <v>0</v>
      </c>
      <c r="I267" s="1">
        <f t="array" ref="I267">IF(ISNUMBER(MATCH(8286,Max!$A:$A,0)), IF(OR(INDEX(Max!$D:$D,MATCH(8286,Max!$A:$A,0))=1, INDEX(Max!$D:$D,MATCH(8286,Max!$A:$A,0))=2), INDEX(Max!$D:$D,MATCH(8286,Max!$A:$A,0)), 0), 0)</f>
        <v>0</v>
      </c>
    </row>
    <row r="268" spans="1:9" ht="15.75" customHeight="1" x14ac:dyDescent="0.2">
      <c r="A268" s="1">
        <v>70750</v>
      </c>
      <c r="B268" s="1" t="s">
        <v>326</v>
      </c>
      <c r="C268" s="1" t="s">
        <v>699</v>
      </c>
      <c r="D268" s="1" t="str">
        <f t="shared" si="1"/>
        <v>2</v>
      </c>
      <c r="E268" s="1" t="s">
        <v>700</v>
      </c>
      <c r="G268" s="1">
        <f t="array" ref="G268">IF(ISNUMBER(MATCH(70750,Camille!$A:$A,0)), IF(OR(INDEX(Camille!$D:$D,MATCH(70750,Camille!$A:$A,0))=1, INDEX(Camille!$D:$D,MATCH(70750,Camille!$A:$A,0))=2), INDEX(Camille!$D:$D,MATCH(70750,Camille!$A:$A,0)), 0), 0)</f>
        <v>2</v>
      </c>
      <c r="H268" s="1">
        <f t="array" ref="H268">IF(ISNUMBER(MATCH(70750,Telmo!$A:$A,0)), IF(OR(INDEX(Telmo!$D:$D,MATCH(70750,Telmo!$A:$A,0))=1, INDEX(Telmo!$D:$D,MATCH(70750,Telmo!$A:$A,0))=2), INDEX(Telmo!$D:$D,MATCH(70750,Telmo!$A:$A,0)), 0), 0)</f>
        <v>0</v>
      </c>
      <c r="I268" s="1">
        <f t="array" ref="I268">IF(ISNUMBER(MATCH(70750,Max!$A:$A,0)), IF(OR(INDEX(Max!$D:$D,MATCH(70750,Max!$A:$A,0))=1, INDEX(Max!$D:$D,MATCH(70750,Max!$A:$A,0))=2), INDEX(Max!$D:$D,MATCH(70750,Max!$A:$A,0)), 0), 0)</f>
        <v>0</v>
      </c>
    </row>
    <row r="269" spans="1:9" ht="15.75" customHeight="1" x14ac:dyDescent="0.2">
      <c r="A269" s="1">
        <v>39894</v>
      </c>
      <c r="B269" s="1" t="s">
        <v>701</v>
      </c>
      <c r="C269" s="1" t="s">
        <v>702</v>
      </c>
      <c r="D269" s="1" t="str">
        <f t="shared" si="1"/>
        <v>2</v>
      </c>
      <c r="E269" s="1" t="s">
        <v>703</v>
      </c>
      <c r="G269" s="1">
        <f t="array" ref="G269">IF(ISNUMBER(MATCH(39894,Camille!$A:$A,0)), IF(OR(INDEX(Camille!$D:$D,MATCH(39894,Camille!$A:$A,0))=1, INDEX(Camille!$D:$D,MATCH(39894,Camille!$A:$A,0))=2), INDEX(Camille!$D:$D,MATCH(39894,Camille!$A:$A,0)), 0), 0)</f>
        <v>2</v>
      </c>
      <c r="H269" s="1">
        <f t="array" ref="H269">IF(ISNUMBER(MATCH(39894,Telmo!$A:$A,0)), IF(OR(INDEX(Telmo!$D:$D,MATCH(39894,Telmo!$A:$A,0))=1, INDEX(Telmo!$D:$D,MATCH(39894,Telmo!$A:$A,0))=2), INDEX(Telmo!$D:$D,MATCH(39894,Telmo!$A:$A,0)), 0), 0)</f>
        <v>0</v>
      </c>
      <c r="I269" s="1">
        <f t="array" ref="I269">IF(ISNUMBER(MATCH(39894,Max!$A:$A,0)), IF(OR(INDEX(Max!$D:$D,MATCH(39894,Max!$A:$A,0))=1, INDEX(Max!$D:$D,MATCH(39894,Max!$A:$A,0))=2), INDEX(Max!$D:$D,MATCH(39894,Max!$A:$A,0)), 0), 0)</f>
        <v>0</v>
      </c>
    </row>
    <row r="270" spans="1:9" ht="15.75" customHeight="1" x14ac:dyDescent="0.2">
      <c r="A270" s="1">
        <v>48531</v>
      </c>
      <c r="B270" s="1" t="s">
        <v>405</v>
      </c>
      <c r="C270" s="1" t="s">
        <v>704</v>
      </c>
      <c r="D270" s="1" t="str">
        <f t="shared" si="1"/>
        <v>2</v>
      </c>
      <c r="E270" s="1" t="s">
        <v>705</v>
      </c>
      <c r="G270" s="1">
        <f t="array" ref="G270">IF(ISNUMBER(MATCH(48531,Camille!$A:$A,0)), IF(OR(INDEX(Camille!$D:$D,MATCH(48531,Camille!$A:$A,0))=1, INDEX(Camille!$D:$D,MATCH(48531,Camille!$A:$A,0))=2), INDEX(Camille!$D:$D,MATCH(48531,Camille!$A:$A,0)), 0), 0)</f>
        <v>2</v>
      </c>
      <c r="H270" s="1">
        <f t="array" ref="H270">IF(ISNUMBER(MATCH(48531,Telmo!$A:$A,0)), IF(OR(INDEX(Telmo!$D:$D,MATCH(48531,Telmo!$A:$A,0))=1, INDEX(Telmo!$D:$D,MATCH(48531,Telmo!$A:$A,0))=2), INDEX(Telmo!$D:$D,MATCH(48531,Telmo!$A:$A,0)), 0), 0)</f>
        <v>0</v>
      </c>
      <c r="I270" s="1">
        <f t="array" ref="I270">IF(ISNUMBER(MATCH(48531,Max!$A:$A,0)), IF(OR(INDEX(Max!$D:$D,MATCH(48531,Max!$A:$A,0))=1, INDEX(Max!$D:$D,MATCH(48531,Max!$A:$A,0))=2), INDEX(Max!$D:$D,MATCH(48531,Max!$A:$A,0)), 0), 0)</f>
        <v>0</v>
      </c>
    </row>
    <row r="271" spans="1:9" ht="15.75" customHeight="1" x14ac:dyDescent="0.2">
      <c r="A271" s="1">
        <v>21607</v>
      </c>
      <c r="B271" s="1" t="s">
        <v>706</v>
      </c>
      <c r="C271" s="1" t="s">
        <v>707</v>
      </c>
      <c r="D271" s="1" t="str">
        <f t="shared" si="1"/>
        <v>2</v>
      </c>
      <c r="E271" s="1" t="s">
        <v>708</v>
      </c>
      <c r="G271" s="1">
        <f t="array" ref="G271">IF(ISNUMBER(MATCH(21607,Camille!$A:$A,0)), IF(OR(INDEX(Camille!$D:$D,MATCH(21607,Camille!$A:$A,0))=1, INDEX(Camille!$D:$D,MATCH(21607,Camille!$A:$A,0))=2), INDEX(Camille!$D:$D,MATCH(21607,Camille!$A:$A,0)), 0), 0)</f>
        <v>2</v>
      </c>
      <c r="H271" s="1">
        <f t="array" ref="H271">IF(ISNUMBER(MATCH(21607,Telmo!$A:$A,0)), IF(OR(INDEX(Telmo!$D:$D,MATCH(21607,Telmo!$A:$A,0))=1, INDEX(Telmo!$D:$D,MATCH(21607,Telmo!$A:$A,0))=2), INDEX(Telmo!$D:$D,MATCH(21607,Telmo!$A:$A,0)), 0), 0)</f>
        <v>0</v>
      </c>
      <c r="I271" s="1">
        <f t="array" ref="I271">IF(ISNUMBER(MATCH(21607,Max!$A:$A,0)), IF(OR(INDEX(Max!$D:$D,MATCH(21607,Max!$A:$A,0))=1, INDEX(Max!$D:$D,MATCH(21607,Max!$A:$A,0))=2), INDEX(Max!$D:$D,MATCH(21607,Max!$A:$A,0)), 0), 0)</f>
        <v>0</v>
      </c>
    </row>
    <row r="272" spans="1:9" ht="15.75" customHeight="1" x14ac:dyDescent="0.2">
      <c r="A272" s="1">
        <v>33710</v>
      </c>
      <c r="B272" s="1" t="s">
        <v>225</v>
      </c>
      <c r="C272" s="1" t="s">
        <v>709</v>
      </c>
      <c r="D272" s="1" t="str">
        <f t="shared" si="1"/>
        <v>2</v>
      </c>
      <c r="E272" s="1" t="s">
        <v>710</v>
      </c>
      <c r="G272" s="1">
        <f t="array" ref="G272">IF(ISNUMBER(MATCH(33710,Camille!$A:$A,0)), IF(OR(INDEX(Camille!$D:$D,MATCH(33710,Camille!$A:$A,0))=1, INDEX(Camille!$D:$D,MATCH(33710,Camille!$A:$A,0))=2), INDEX(Camille!$D:$D,MATCH(33710,Camille!$A:$A,0)), 0), 0)</f>
        <v>2</v>
      </c>
      <c r="H272" s="1">
        <f t="array" ref="H272">IF(ISNUMBER(MATCH(33710,Telmo!$A:$A,0)), IF(OR(INDEX(Telmo!$D:$D,MATCH(33710,Telmo!$A:$A,0))=1, INDEX(Telmo!$D:$D,MATCH(33710,Telmo!$A:$A,0))=2), INDEX(Telmo!$D:$D,MATCH(33710,Telmo!$A:$A,0)), 0), 0)</f>
        <v>0</v>
      </c>
      <c r="I272" s="1">
        <f t="array" ref="I272">IF(ISNUMBER(MATCH(33710,Max!$A:$A,0)), IF(OR(INDEX(Max!$D:$D,MATCH(33710,Max!$A:$A,0))=1, INDEX(Max!$D:$D,MATCH(33710,Max!$A:$A,0))=2), INDEX(Max!$D:$D,MATCH(33710,Max!$A:$A,0)), 0), 0)</f>
        <v>0</v>
      </c>
    </row>
    <row r="273" spans="1:9" ht="15.75" customHeight="1" x14ac:dyDescent="0.2">
      <c r="A273" s="1">
        <v>26450</v>
      </c>
      <c r="B273" s="1" t="s">
        <v>571</v>
      </c>
      <c r="C273" s="1" t="s">
        <v>711</v>
      </c>
      <c r="D273" s="1" t="str">
        <f t="shared" si="1"/>
        <v>1</v>
      </c>
      <c r="E273" s="1" t="s">
        <v>712</v>
      </c>
      <c r="G273" s="1">
        <f t="array" ref="G273">IF(ISNUMBER(MATCH(26450,Camille!$A:$A,0)), IF(OR(INDEX(Camille!$D:$D,MATCH(26450,Camille!$A:$A,0))=1, INDEX(Camille!$D:$D,MATCH(26450,Camille!$A:$A,0))=2), INDEX(Camille!$D:$D,MATCH(26450,Camille!$A:$A,0)), 0), 0)</f>
        <v>1</v>
      </c>
      <c r="H273" s="1">
        <f t="array" ref="H273">IF(ISNUMBER(MATCH(26450,Telmo!$A:$A,0)), IF(OR(INDEX(Telmo!$D:$D,MATCH(26450,Telmo!$A:$A,0))=1, INDEX(Telmo!$D:$D,MATCH(26450,Telmo!$A:$A,0))=2), INDEX(Telmo!$D:$D,MATCH(26450,Telmo!$A:$A,0)), 0), 0)</f>
        <v>0</v>
      </c>
      <c r="I273" s="1">
        <f t="array" ref="I273">IF(ISNUMBER(MATCH(26450,Max!$A:$A,0)), IF(OR(INDEX(Max!$D:$D,MATCH(26450,Max!$A:$A,0))=1, INDEX(Max!$D:$D,MATCH(26450,Max!$A:$A,0))=2), INDEX(Max!$D:$D,MATCH(26450,Max!$A:$A,0)), 0), 0)</f>
        <v>0</v>
      </c>
    </row>
    <row r="274" spans="1:9" ht="15.75" customHeight="1" x14ac:dyDescent="0.2">
      <c r="A274" s="1">
        <v>65696</v>
      </c>
      <c r="B274" s="1" t="s">
        <v>713</v>
      </c>
      <c r="C274" s="1" t="s">
        <v>714</v>
      </c>
      <c r="D274" s="1" t="str">
        <f t="shared" si="1"/>
        <v>2</v>
      </c>
      <c r="E274" s="1" t="s">
        <v>715</v>
      </c>
      <c r="G274" s="1">
        <f t="array" ref="G274">IF(ISNUMBER(MATCH(65696,Camille!$A:$A,0)), IF(OR(INDEX(Camille!$D:$D,MATCH(65696,Camille!$A:$A,0))=1, INDEX(Camille!$D:$D,MATCH(65696,Camille!$A:$A,0))=2), INDEX(Camille!$D:$D,MATCH(65696,Camille!$A:$A,0)), 0), 0)</f>
        <v>2</v>
      </c>
      <c r="H274" s="1">
        <f t="array" ref="H274">IF(ISNUMBER(MATCH(65696,Telmo!$A:$A,0)), IF(OR(INDEX(Telmo!$D:$D,MATCH(65696,Telmo!$A:$A,0))=1, INDEX(Telmo!$D:$D,MATCH(65696,Telmo!$A:$A,0))=2), INDEX(Telmo!$D:$D,MATCH(65696,Telmo!$A:$A,0)), 0), 0)</f>
        <v>0</v>
      </c>
      <c r="I274" s="1">
        <f t="array" ref="I274">IF(ISNUMBER(MATCH(65696,Max!$A:$A,0)), IF(OR(INDEX(Max!$D:$D,MATCH(65696,Max!$A:$A,0))=1, INDEX(Max!$D:$D,MATCH(65696,Max!$A:$A,0))=2), INDEX(Max!$D:$D,MATCH(65696,Max!$A:$A,0)), 0), 0)</f>
        <v>0</v>
      </c>
    </row>
    <row r="275" spans="1:9" ht="15.75" customHeight="1" x14ac:dyDescent="0.2">
      <c r="A275" s="1">
        <v>25541</v>
      </c>
      <c r="B275" s="1" t="s">
        <v>298</v>
      </c>
      <c r="C275" s="1" t="s">
        <v>716</v>
      </c>
      <c r="D275" s="1" t="str">
        <f t="shared" si="1"/>
        <v>2</v>
      </c>
      <c r="E275" s="1" t="s">
        <v>717</v>
      </c>
      <c r="G275" s="1">
        <f t="array" ref="G275">IF(ISNUMBER(MATCH(25541,Camille!$A:$A,0)), IF(OR(INDEX(Camille!$D:$D,MATCH(25541,Camille!$A:$A,0))=1, INDEX(Camille!$D:$D,MATCH(25541,Camille!$A:$A,0))=2), INDEX(Camille!$D:$D,MATCH(25541,Camille!$A:$A,0)), 0), 0)</f>
        <v>2</v>
      </c>
      <c r="H275" s="1">
        <f t="array" ref="H275">IF(ISNUMBER(MATCH(25541,Telmo!$A:$A,0)), IF(OR(INDEX(Telmo!$D:$D,MATCH(25541,Telmo!$A:$A,0))=1, INDEX(Telmo!$D:$D,MATCH(25541,Telmo!$A:$A,0))=2), INDEX(Telmo!$D:$D,MATCH(25541,Telmo!$A:$A,0)), 0), 0)</f>
        <v>0</v>
      </c>
      <c r="I275" s="1">
        <f t="array" ref="I275">IF(ISNUMBER(MATCH(25541,Max!$A:$A,0)), IF(OR(INDEX(Max!$D:$D,MATCH(25541,Max!$A:$A,0))=1, INDEX(Max!$D:$D,MATCH(25541,Max!$A:$A,0))=2), INDEX(Max!$D:$D,MATCH(25541,Max!$A:$A,0)), 0), 0)</f>
        <v>0</v>
      </c>
    </row>
    <row r="276" spans="1:9" ht="15.75" customHeight="1" x14ac:dyDescent="0.2">
      <c r="A276" s="1">
        <v>12823</v>
      </c>
      <c r="B276" s="1" t="s">
        <v>35</v>
      </c>
      <c r="C276" s="1" t="s">
        <v>718</v>
      </c>
      <c r="D276" s="1" t="str">
        <f t="shared" si="1"/>
        <v>2</v>
      </c>
      <c r="E276" s="1" t="s">
        <v>719</v>
      </c>
      <c r="G276" s="1">
        <f t="array" ref="G276">IF(ISNUMBER(MATCH(12823,Camille!$A:$A,0)), IF(OR(INDEX(Camille!$D:$D,MATCH(12823,Camille!$A:$A,0))=1, INDEX(Camille!$D:$D,MATCH(12823,Camille!$A:$A,0))=2), INDEX(Camille!$D:$D,MATCH(12823,Camille!$A:$A,0)), 0), 0)</f>
        <v>2</v>
      </c>
      <c r="H276" s="1">
        <f t="array" ref="H276">IF(ISNUMBER(MATCH(12823,Telmo!$A:$A,0)), IF(OR(INDEX(Telmo!$D:$D,MATCH(12823,Telmo!$A:$A,0))=1, INDEX(Telmo!$D:$D,MATCH(12823,Telmo!$A:$A,0))=2), INDEX(Telmo!$D:$D,MATCH(12823,Telmo!$A:$A,0)), 0), 0)</f>
        <v>0</v>
      </c>
      <c r="I276" s="1">
        <f t="array" ref="I276">IF(ISNUMBER(MATCH(12823,Max!$A:$A,0)), IF(OR(INDEX(Max!$D:$D,MATCH(12823,Max!$A:$A,0))=1, INDEX(Max!$D:$D,MATCH(12823,Max!$A:$A,0))=2), INDEX(Max!$D:$D,MATCH(12823,Max!$A:$A,0)), 0), 0)</f>
        <v>0</v>
      </c>
    </row>
    <row r="277" spans="1:9" ht="15.75" customHeight="1" x14ac:dyDescent="0.2">
      <c r="A277" s="1">
        <v>18235</v>
      </c>
      <c r="B277" s="1" t="s">
        <v>720</v>
      </c>
      <c r="C277" s="1" t="s">
        <v>721</v>
      </c>
      <c r="D277" s="1" t="str">
        <f t="shared" si="1"/>
        <v>2</v>
      </c>
      <c r="E277" s="1" t="s">
        <v>722</v>
      </c>
      <c r="G277" s="1">
        <f t="array" ref="G277">IF(ISNUMBER(MATCH(18235,Camille!$A:$A,0)), IF(OR(INDEX(Camille!$D:$D,MATCH(18235,Camille!$A:$A,0))=1, INDEX(Camille!$D:$D,MATCH(18235,Camille!$A:$A,0))=2), INDEX(Camille!$D:$D,MATCH(18235,Camille!$A:$A,0)), 0), 0)</f>
        <v>2</v>
      </c>
      <c r="H277" s="1">
        <f t="array" ref="H277">IF(ISNUMBER(MATCH(18235,Telmo!$A:$A,0)), IF(OR(INDEX(Telmo!$D:$D,MATCH(18235,Telmo!$A:$A,0))=1, INDEX(Telmo!$D:$D,MATCH(18235,Telmo!$A:$A,0))=2), INDEX(Telmo!$D:$D,MATCH(18235,Telmo!$A:$A,0)), 0), 0)</f>
        <v>0</v>
      </c>
      <c r="I277" s="1">
        <f t="array" ref="I277">IF(ISNUMBER(MATCH(18235,Max!$A:$A,0)), IF(OR(INDEX(Max!$D:$D,MATCH(18235,Max!$A:$A,0))=1, INDEX(Max!$D:$D,MATCH(18235,Max!$A:$A,0))=2), INDEX(Max!$D:$D,MATCH(18235,Max!$A:$A,0)), 0), 0)</f>
        <v>0</v>
      </c>
    </row>
    <row r="278" spans="1:9" ht="15.75" customHeight="1" x14ac:dyDescent="0.2">
      <c r="A278" s="1">
        <v>31352</v>
      </c>
      <c r="B278" s="1" t="s">
        <v>723</v>
      </c>
      <c r="C278" s="1" t="s">
        <v>724</v>
      </c>
      <c r="D278" s="1" t="str">
        <f t="shared" si="1"/>
        <v>2</v>
      </c>
      <c r="E278" s="1" t="s">
        <v>725</v>
      </c>
      <c r="G278" s="1">
        <f t="array" ref="G278">IF(ISNUMBER(MATCH(31352,Camille!$A:$A,0)), IF(OR(INDEX(Camille!$D:$D,MATCH(31352,Camille!$A:$A,0))=1, INDEX(Camille!$D:$D,MATCH(31352,Camille!$A:$A,0))=2), INDEX(Camille!$D:$D,MATCH(31352,Camille!$A:$A,0)), 0), 0)</f>
        <v>2</v>
      </c>
      <c r="H278" s="1">
        <f t="array" ref="H278">IF(ISNUMBER(MATCH(31352,Telmo!$A:$A,0)), IF(OR(INDEX(Telmo!$D:$D,MATCH(31352,Telmo!$A:$A,0))=1, INDEX(Telmo!$D:$D,MATCH(31352,Telmo!$A:$A,0))=2), INDEX(Telmo!$D:$D,MATCH(31352,Telmo!$A:$A,0)), 0), 0)</f>
        <v>0</v>
      </c>
      <c r="I278" s="1">
        <f t="array" ref="I278">IF(ISNUMBER(MATCH(31352,Max!$A:$A,0)), IF(OR(INDEX(Max!$D:$D,MATCH(31352,Max!$A:$A,0))=1, INDEX(Max!$D:$D,MATCH(31352,Max!$A:$A,0))=2), INDEX(Max!$D:$D,MATCH(31352,Max!$A:$A,0)), 0), 0)</f>
        <v>0</v>
      </c>
    </row>
    <row r="279" spans="1:9" ht="15.75" customHeight="1" x14ac:dyDescent="0.2">
      <c r="A279" s="1">
        <v>40659</v>
      </c>
      <c r="B279" s="1" t="s">
        <v>87</v>
      </c>
      <c r="C279" s="1" t="s">
        <v>726</v>
      </c>
      <c r="D279" s="1" t="str">
        <f t="shared" si="1"/>
        <v>2</v>
      </c>
      <c r="E279" s="1" t="s">
        <v>727</v>
      </c>
      <c r="G279" s="1">
        <f t="array" ref="G279">IF(ISNUMBER(MATCH(40659,Camille!$A:$A,0)), IF(OR(INDEX(Camille!$D:$D,MATCH(40659,Camille!$A:$A,0))=1, INDEX(Camille!$D:$D,MATCH(40659,Camille!$A:$A,0))=2), INDEX(Camille!$D:$D,MATCH(40659,Camille!$A:$A,0)), 0), 0)</f>
        <v>2</v>
      </c>
      <c r="H279" s="1">
        <f t="array" ref="H279">IF(ISNUMBER(MATCH(40659,Telmo!$A:$A,0)), IF(OR(INDEX(Telmo!$D:$D,MATCH(40659,Telmo!$A:$A,0))=1, INDEX(Telmo!$D:$D,MATCH(40659,Telmo!$A:$A,0))=2), INDEX(Telmo!$D:$D,MATCH(40659,Telmo!$A:$A,0)), 0), 0)</f>
        <v>0</v>
      </c>
      <c r="I279" s="1">
        <f t="array" ref="I279">IF(ISNUMBER(MATCH(40659,Max!$A:$A,0)), IF(OR(INDEX(Max!$D:$D,MATCH(40659,Max!$A:$A,0))=1, INDEX(Max!$D:$D,MATCH(40659,Max!$A:$A,0))=2), INDEX(Max!$D:$D,MATCH(40659,Max!$A:$A,0)), 0), 0)</f>
        <v>0</v>
      </c>
    </row>
    <row r="280" spans="1:9" ht="15.75" customHeight="1" x14ac:dyDescent="0.2">
      <c r="A280" s="1">
        <v>70647</v>
      </c>
      <c r="B280" s="1" t="s">
        <v>728</v>
      </c>
      <c r="C280" s="1" t="s">
        <v>729</v>
      </c>
      <c r="D280" s="1" t="str">
        <f t="shared" si="1"/>
        <v>2</v>
      </c>
      <c r="E280" s="1" t="s">
        <v>730</v>
      </c>
      <c r="G280" s="1">
        <f t="array" ref="G280">IF(ISNUMBER(MATCH(70647,Camille!$A:$A,0)), IF(OR(INDEX(Camille!$D:$D,MATCH(70647,Camille!$A:$A,0))=1, INDEX(Camille!$D:$D,MATCH(70647,Camille!$A:$A,0))=2), INDEX(Camille!$D:$D,MATCH(70647,Camille!$A:$A,0)), 0), 0)</f>
        <v>2</v>
      </c>
      <c r="H280" s="1">
        <f t="array" ref="H280">IF(ISNUMBER(MATCH(70647,Telmo!$A:$A,0)), IF(OR(INDEX(Telmo!$D:$D,MATCH(70647,Telmo!$A:$A,0))=1, INDEX(Telmo!$D:$D,MATCH(70647,Telmo!$A:$A,0))=2), INDEX(Telmo!$D:$D,MATCH(70647,Telmo!$A:$A,0)), 0), 0)</f>
        <v>0</v>
      </c>
      <c r="I280" s="1">
        <f t="array" ref="I280">IF(ISNUMBER(MATCH(70647,Max!$A:$A,0)), IF(OR(INDEX(Max!$D:$D,MATCH(70647,Max!$A:$A,0))=1, INDEX(Max!$D:$D,MATCH(70647,Max!$A:$A,0))=2), INDEX(Max!$D:$D,MATCH(70647,Max!$A:$A,0)), 0), 0)</f>
        <v>0</v>
      </c>
    </row>
    <row r="281" spans="1:9" ht="15.75" customHeight="1" x14ac:dyDescent="0.2">
      <c r="A281" s="1">
        <v>15989</v>
      </c>
      <c r="B281" s="1" t="s">
        <v>731</v>
      </c>
      <c r="C281" s="1" t="s">
        <v>732</v>
      </c>
      <c r="D281" s="1" t="str">
        <f t="shared" si="1"/>
        <v>2</v>
      </c>
      <c r="E281" s="1" t="s">
        <v>733</v>
      </c>
      <c r="G281" s="1">
        <f t="array" ref="G281">IF(ISNUMBER(MATCH(15989,Camille!$A:$A,0)), IF(OR(INDEX(Camille!$D:$D,MATCH(15989,Camille!$A:$A,0))=1, INDEX(Camille!$D:$D,MATCH(15989,Camille!$A:$A,0))=2), INDEX(Camille!$D:$D,MATCH(15989,Camille!$A:$A,0)), 0), 0)</f>
        <v>2</v>
      </c>
      <c r="H281" s="1">
        <f t="array" ref="H281">IF(ISNUMBER(MATCH(15989,Telmo!$A:$A,0)), IF(OR(INDEX(Telmo!$D:$D,MATCH(15989,Telmo!$A:$A,0))=1, INDEX(Telmo!$D:$D,MATCH(15989,Telmo!$A:$A,0))=2), INDEX(Telmo!$D:$D,MATCH(15989,Telmo!$A:$A,0)), 0), 0)</f>
        <v>0</v>
      </c>
      <c r="I281" s="1">
        <f t="array" ref="I281">IF(ISNUMBER(MATCH(15989,Max!$A:$A,0)), IF(OR(INDEX(Max!$D:$D,MATCH(15989,Max!$A:$A,0))=1, INDEX(Max!$D:$D,MATCH(15989,Max!$A:$A,0))=2), INDEX(Max!$D:$D,MATCH(15989,Max!$A:$A,0)), 0), 0)</f>
        <v>0</v>
      </c>
    </row>
    <row r="282" spans="1:9" ht="15.75" customHeight="1" x14ac:dyDescent="0.2">
      <c r="A282" s="1">
        <v>14514</v>
      </c>
      <c r="B282" s="1" t="s">
        <v>61</v>
      </c>
      <c r="C282" s="1" t="s">
        <v>734</v>
      </c>
      <c r="D282" s="1" t="str">
        <f t="shared" si="1"/>
        <v>2</v>
      </c>
      <c r="E282" s="1" t="s">
        <v>735</v>
      </c>
      <c r="G282" s="1">
        <f t="array" ref="G282">IF(ISNUMBER(MATCH(14514,Camille!$A:$A,0)), IF(OR(INDEX(Camille!$D:$D,MATCH(14514,Camille!$A:$A,0))=1, INDEX(Camille!$D:$D,MATCH(14514,Camille!$A:$A,0))=2), INDEX(Camille!$D:$D,MATCH(14514,Camille!$A:$A,0)), 0), 0)</f>
        <v>2</v>
      </c>
      <c r="H282" s="1">
        <f t="array" ref="H282">IF(ISNUMBER(MATCH(14514,Telmo!$A:$A,0)), IF(OR(INDEX(Telmo!$D:$D,MATCH(14514,Telmo!$A:$A,0))=1, INDEX(Telmo!$D:$D,MATCH(14514,Telmo!$A:$A,0))=2), INDEX(Telmo!$D:$D,MATCH(14514,Telmo!$A:$A,0)), 0), 0)</f>
        <v>0</v>
      </c>
      <c r="I282" s="1">
        <f t="array" ref="I282">IF(ISNUMBER(MATCH(14514,Max!$A:$A,0)), IF(OR(INDEX(Max!$D:$D,MATCH(14514,Max!$A:$A,0))=1, INDEX(Max!$D:$D,MATCH(14514,Max!$A:$A,0))=2), INDEX(Max!$D:$D,MATCH(14514,Max!$A:$A,0)), 0), 0)</f>
        <v>0</v>
      </c>
    </row>
    <row r="283" spans="1:9" ht="15.75" customHeight="1" x14ac:dyDescent="0.2">
      <c r="A283" s="1">
        <v>67257</v>
      </c>
      <c r="B283" s="1" t="s">
        <v>736</v>
      </c>
      <c r="C283" s="1" t="s">
        <v>737</v>
      </c>
      <c r="D283" s="1" t="str">
        <f t="shared" si="1"/>
        <v>2</v>
      </c>
      <c r="E283" s="1" t="s">
        <v>738</v>
      </c>
      <c r="G283" s="1">
        <f t="array" ref="G283">IF(ISNUMBER(MATCH(67257,Camille!$A:$A,0)), IF(OR(INDEX(Camille!$D:$D,MATCH(67257,Camille!$A:$A,0))=1, INDEX(Camille!$D:$D,MATCH(67257,Camille!$A:$A,0))=2), INDEX(Camille!$D:$D,MATCH(67257,Camille!$A:$A,0)), 0), 0)</f>
        <v>2</v>
      </c>
      <c r="H283" s="1">
        <f t="array" ref="H283">IF(ISNUMBER(MATCH(67257,Telmo!$A:$A,0)), IF(OR(INDEX(Telmo!$D:$D,MATCH(67257,Telmo!$A:$A,0))=1, INDEX(Telmo!$D:$D,MATCH(67257,Telmo!$A:$A,0))=2), INDEX(Telmo!$D:$D,MATCH(67257,Telmo!$A:$A,0)), 0), 0)</f>
        <v>0</v>
      </c>
      <c r="I283" s="1">
        <f t="array" ref="I283">IF(ISNUMBER(MATCH(67257,Max!$A:$A,0)), IF(OR(INDEX(Max!$D:$D,MATCH(67257,Max!$A:$A,0))=1, INDEX(Max!$D:$D,MATCH(67257,Max!$A:$A,0))=2), INDEX(Max!$D:$D,MATCH(67257,Max!$A:$A,0)), 0), 0)</f>
        <v>0</v>
      </c>
    </row>
    <row r="284" spans="1:9" ht="15.75" customHeight="1" x14ac:dyDescent="0.2">
      <c r="A284" s="1">
        <v>39112</v>
      </c>
      <c r="B284" s="1" t="s">
        <v>408</v>
      </c>
      <c r="C284" s="1" t="s">
        <v>739</v>
      </c>
      <c r="D284" s="1" t="str">
        <f t="shared" si="1"/>
        <v>2</v>
      </c>
      <c r="E284" s="1" t="s">
        <v>740</v>
      </c>
      <c r="G284" s="1">
        <f t="array" ref="G284">IF(ISNUMBER(MATCH(39112,Camille!$A:$A,0)), IF(OR(INDEX(Camille!$D:$D,MATCH(39112,Camille!$A:$A,0))=1, INDEX(Camille!$D:$D,MATCH(39112,Camille!$A:$A,0))=2), INDEX(Camille!$D:$D,MATCH(39112,Camille!$A:$A,0)), 0), 0)</f>
        <v>2</v>
      </c>
      <c r="H284" s="1">
        <f t="array" ref="H284">IF(ISNUMBER(MATCH(39112,Telmo!$A:$A,0)), IF(OR(INDEX(Telmo!$D:$D,MATCH(39112,Telmo!$A:$A,0))=1, INDEX(Telmo!$D:$D,MATCH(39112,Telmo!$A:$A,0))=2), INDEX(Telmo!$D:$D,MATCH(39112,Telmo!$A:$A,0)), 0), 0)</f>
        <v>0</v>
      </c>
      <c r="I284" s="1">
        <f t="array" ref="I284">IF(ISNUMBER(MATCH(39112,Max!$A:$A,0)), IF(OR(INDEX(Max!$D:$D,MATCH(39112,Max!$A:$A,0))=1, INDEX(Max!$D:$D,MATCH(39112,Max!$A:$A,0))=2), INDEX(Max!$D:$D,MATCH(39112,Max!$A:$A,0)), 0), 0)</f>
        <v>0</v>
      </c>
    </row>
    <row r="285" spans="1:9" ht="15.75" customHeight="1" x14ac:dyDescent="0.2">
      <c r="A285" s="1">
        <v>67316</v>
      </c>
      <c r="B285" s="1" t="s">
        <v>336</v>
      </c>
      <c r="C285" s="1" t="s">
        <v>741</v>
      </c>
      <c r="D285" s="1" t="str">
        <f t="shared" si="1"/>
        <v>2</v>
      </c>
      <c r="E285" s="1" t="s">
        <v>742</v>
      </c>
      <c r="G285" s="1">
        <f t="array" ref="G285">IF(ISNUMBER(MATCH(67316,Camille!$A:$A,0)), IF(OR(INDEX(Camille!$D:$D,MATCH(67316,Camille!$A:$A,0))=1, INDEX(Camille!$D:$D,MATCH(67316,Camille!$A:$A,0))=2), INDEX(Camille!$D:$D,MATCH(67316,Camille!$A:$A,0)), 0), 0)</f>
        <v>2</v>
      </c>
      <c r="H285" s="1">
        <f t="array" ref="H285">IF(ISNUMBER(MATCH(67316,Telmo!$A:$A,0)), IF(OR(INDEX(Telmo!$D:$D,MATCH(67316,Telmo!$A:$A,0))=1, INDEX(Telmo!$D:$D,MATCH(67316,Telmo!$A:$A,0))=2), INDEX(Telmo!$D:$D,MATCH(67316,Telmo!$A:$A,0)), 0), 0)</f>
        <v>0</v>
      </c>
      <c r="I285" s="1">
        <f t="array" ref="I285">IF(ISNUMBER(MATCH(67316,Max!$A:$A,0)), IF(OR(INDEX(Max!$D:$D,MATCH(67316,Max!$A:$A,0))=1, INDEX(Max!$D:$D,MATCH(67316,Max!$A:$A,0))=2), INDEX(Max!$D:$D,MATCH(67316,Max!$A:$A,0)), 0), 0)</f>
        <v>0</v>
      </c>
    </row>
    <row r="286" spans="1:9" ht="15.75" customHeight="1" x14ac:dyDescent="0.2">
      <c r="A286" s="1">
        <v>44125</v>
      </c>
      <c r="B286" s="1" t="s">
        <v>276</v>
      </c>
      <c r="C286" s="1" t="s">
        <v>743</v>
      </c>
      <c r="D286" s="1" t="str">
        <f t="shared" si="1"/>
        <v>1</v>
      </c>
      <c r="E286" s="1" t="s">
        <v>744</v>
      </c>
      <c r="G286" s="1">
        <f t="array" ref="G286">IF(ISNUMBER(MATCH(44125,Camille!$A:$A,0)), IF(OR(INDEX(Camille!$D:$D,MATCH(44125,Camille!$A:$A,0))=1, INDEX(Camille!$D:$D,MATCH(44125,Camille!$A:$A,0))=2), INDEX(Camille!$D:$D,MATCH(44125,Camille!$A:$A,0)), 0), 0)</f>
        <v>1</v>
      </c>
      <c r="H286" s="1">
        <f t="array" ref="H286">IF(ISNUMBER(MATCH(44125,Telmo!$A:$A,0)), IF(OR(INDEX(Telmo!$D:$D,MATCH(44125,Telmo!$A:$A,0))=1, INDEX(Telmo!$D:$D,MATCH(44125,Telmo!$A:$A,0))=2), INDEX(Telmo!$D:$D,MATCH(44125,Telmo!$A:$A,0)), 0), 0)</f>
        <v>0</v>
      </c>
      <c r="I286" s="1">
        <f t="array" ref="I286">IF(ISNUMBER(MATCH(44125,Max!$A:$A,0)), IF(OR(INDEX(Max!$D:$D,MATCH(44125,Max!$A:$A,0))=1, INDEX(Max!$D:$D,MATCH(44125,Max!$A:$A,0))=2), INDEX(Max!$D:$D,MATCH(44125,Max!$A:$A,0)), 0), 0)</f>
        <v>0</v>
      </c>
    </row>
    <row r="287" spans="1:9" ht="15.75" customHeight="1" x14ac:dyDescent="0.2">
      <c r="A287" s="1">
        <v>39663</v>
      </c>
      <c r="B287" s="1" t="s">
        <v>745</v>
      </c>
      <c r="C287" s="1" t="s">
        <v>746</v>
      </c>
      <c r="D287" s="1" t="str">
        <f t="shared" si="1"/>
        <v>1</v>
      </c>
      <c r="E287" s="1" t="s">
        <v>747</v>
      </c>
      <c r="G287" s="1">
        <f t="array" ref="G287">IF(ISNUMBER(MATCH(39663,Camille!$A:$A,0)), IF(OR(INDEX(Camille!$D:$D,MATCH(39663,Camille!$A:$A,0))=1, INDEX(Camille!$D:$D,MATCH(39663,Camille!$A:$A,0))=2), INDEX(Camille!$D:$D,MATCH(39663,Camille!$A:$A,0)), 0), 0)</f>
        <v>1</v>
      </c>
      <c r="H287" s="1">
        <f t="array" ref="H287">IF(ISNUMBER(MATCH(39663,Telmo!$A:$A,0)), IF(OR(INDEX(Telmo!$D:$D,MATCH(39663,Telmo!$A:$A,0))=1, INDEX(Telmo!$D:$D,MATCH(39663,Telmo!$A:$A,0))=2), INDEX(Telmo!$D:$D,MATCH(39663,Telmo!$A:$A,0)), 0), 0)</f>
        <v>0</v>
      </c>
      <c r="I287" s="1">
        <f t="array" ref="I287">IF(ISNUMBER(MATCH(39663,Max!$A:$A,0)), IF(OR(INDEX(Max!$D:$D,MATCH(39663,Max!$A:$A,0))=1, INDEX(Max!$D:$D,MATCH(39663,Max!$A:$A,0))=2), INDEX(Max!$D:$D,MATCH(39663,Max!$A:$A,0)), 0), 0)</f>
        <v>0</v>
      </c>
    </row>
    <row r="288" spans="1:9" ht="15.75" customHeight="1" x14ac:dyDescent="0.2">
      <c r="A288" s="1">
        <v>43373</v>
      </c>
      <c r="B288" s="1" t="s">
        <v>748</v>
      </c>
      <c r="C288" s="1" t="s">
        <v>749</v>
      </c>
      <c r="D288" s="1" t="str">
        <f t="shared" si="1"/>
        <v>2</v>
      </c>
      <c r="E288" s="1" t="s">
        <v>750</v>
      </c>
      <c r="G288" s="1">
        <f t="array" ref="G288">IF(ISNUMBER(MATCH(43373,Camille!$A:$A,0)), IF(OR(INDEX(Camille!$D:$D,MATCH(43373,Camille!$A:$A,0))=1, INDEX(Camille!$D:$D,MATCH(43373,Camille!$A:$A,0))=2), INDEX(Camille!$D:$D,MATCH(43373,Camille!$A:$A,0)), 0), 0)</f>
        <v>2</v>
      </c>
      <c r="H288" s="1">
        <f t="array" ref="H288">IF(ISNUMBER(MATCH(43373,Telmo!$A:$A,0)), IF(OR(INDEX(Telmo!$D:$D,MATCH(43373,Telmo!$A:$A,0))=1, INDEX(Telmo!$D:$D,MATCH(43373,Telmo!$A:$A,0))=2), INDEX(Telmo!$D:$D,MATCH(43373,Telmo!$A:$A,0)), 0), 0)</f>
        <v>0</v>
      </c>
      <c r="I288" s="1">
        <f t="array" ref="I288">IF(ISNUMBER(MATCH(43373,Max!$A:$A,0)), IF(OR(INDEX(Max!$D:$D,MATCH(43373,Max!$A:$A,0))=1, INDEX(Max!$D:$D,MATCH(43373,Max!$A:$A,0))=2), INDEX(Max!$D:$D,MATCH(43373,Max!$A:$A,0)), 0), 0)</f>
        <v>0</v>
      </c>
    </row>
    <row r="289" spans="1:9" ht="15.75" customHeight="1" x14ac:dyDescent="0.2">
      <c r="A289" s="1">
        <v>8598</v>
      </c>
      <c r="B289" s="1" t="s">
        <v>751</v>
      </c>
      <c r="C289" s="1" t="s">
        <v>752</v>
      </c>
      <c r="D289" s="1" t="str">
        <f t="shared" si="1"/>
        <v>1</v>
      </c>
      <c r="E289" s="1" t="s">
        <v>753</v>
      </c>
      <c r="G289" s="1">
        <f t="array" ref="G289">IF(ISNUMBER(MATCH(8598,Camille!$A:$A,0)), IF(OR(INDEX(Camille!$D:$D,MATCH(8598,Camille!$A:$A,0))=1, INDEX(Camille!$D:$D,MATCH(8598,Camille!$A:$A,0))=2), INDEX(Camille!$D:$D,MATCH(8598,Camille!$A:$A,0)), 0), 0)</f>
        <v>1</v>
      </c>
      <c r="H289" s="1">
        <f t="array" ref="H289">IF(ISNUMBER(MATCH(8598,Telmo!$A:$A,0)), IF(OR(INDEX(Telmo!$D:$D,MATCH(8598,Telmo!$A:$A,0))=1, INDEX(Telmo!$D:$D,MATCH(8598,Telmo!$A:$A,0))=2), INDEX(Telmo!$D:$D,MATCH(8598,Telmo!$A:$A,0)), 0), 0)</f>
        <v>0</v>
      </c>
      <c r="I289" s="1">
        <f t="array" ref="I289">IF(ISNUMBER(MATCH(8598,Max!$A:$A,0)), IF(OR(INDEX(Max!$D:$D,MATCH(8598,Max!$A:$A,0))=1, INDEX(Max!$D:$D,MATCH(8598,Max!$A:$A,0))=2), INDEX(Max!$D:$D,MATCH(8598,Max!$A:$A,0)), 0), 0)</f>
        <v>0</v>
      </c>
    </row>
    <row r="290" spans="1:9" ht="15.75" customHeight="1" x14ac:dyDescent="0.2">
      <c r="A290" s="1">
        <v>15433</v>
      </c>
      <c r="B290" s="1" t="s">
        <v>600</v>
      </c>
      <c r="C290" s="1" t="s">
        <v>754</v>
      </c>
      <c r="D290" s="1" t="str">
        <f t="shared" si="1"/>
        <v>1</v>
      </c>
      <c r="E290" s="1" t="s">
        <v>755</v>
      </c>
      <c r="G290" s="1">
        <f t="array" ref="G290">IF(ISNUMBER(MATCH(15433,Camille!$A:$A,0)), IF(OR(INDEX(Camille!$D:$D,MATCH(15433,Camille!$A:$A,0))=1, INDEX(Camille!$D:$D,MATCH(15433,Camille!$A:$A,0))=2), INDEX(Camille!$D:$D,MATCH(15433,Camille!$A:$A,0)), 0), 0)</f>
        <v>1</v>
      </c>
      <c r="H290" s="1">
        <f t="array" ref="H290">IF(ISNUMBER(MATCH(15433,Telmo!$A:$A,0)), IF(OR(INDEX(Telmo!$D:$D,MATCH(15433,Telmo!$A:$A,0))=1, INDEX(Telmo!$D:$D,MATCH(15433,Telmo!$A:$A,0))=2), INDEX(Telmo!$D:$D,MATCH(15433,Telmo!$A:$A,0)), 0), 0)</f>
        <v>0</v>
      </c>
      <c r="I290" s="1">
        <f t="array" ref="I290">IF(ISNUMBER(MATCH(15433,Max!$A:$A,0)), IF(OR(INDEX(Max!$D:$D,MATCH(15433,Max!$A:$A,0))=1, INDEX(Max!$D:$D,MATCH(15433,Max!$A:$A,0))=2), INDEX(Max!$D:$D,MATCH(15433,Max!$A:$A,0)), 0), 0)</f>
        <v>0</v>
      </c>
    </row>
    <row r="291" spans="1:9" ht="15.75" customHeight="1" x14ac:dyDescent="0.2">
      <c r="A291" s="1">
        <v>354</v>
      </c>
      <c r="B291" s="1" t="s">
        <v>244</v>
      </c>
      <c r="C291" s="1" t="s">
        <v>756</v>
      </c>
      <c r="D291" s="1" t="str">
        <f t="shared" si="1"/>
        <v>2</v>
      </c>
      <c r="E291" s="1" t="s">
        <v>757</v>
      </c>
      <c r="G291" s="1">
        <f t="array" ref="G291">IF(ISNUMBER(MATCH(354,Camille!$A:$A,0)), IF(OR(INDEX(Camille!$D:$D,MATCH(354,Camille!$A:$A,0))=1, INDEX(Camille!$D:$D,MATCH(354,Camille!$A:$A,0))=2), INDEX(Camille!$D:$D,MATCH(354,Camille!$A:$A,0)), 0), 0)</f>
        <v>2</v>
      </c>
      <c r="H291" s="1">
        <f t="array" ref="H291">IF(ISNUMBER(MATCH(354,Telmo!$A:$A,0)), IF(OR(INDEX(Telmo!$D:$D,MATCH(354,Telmo!$A:$A,0))=1, INDEX(Telmo!$D:$D,MATCH(354,Telmo!$A:$A,0))=2), INDEX(Telmo!$D:$D,MATCH(354,Telmo!$A:$A,0)), 0), 0)</f>
        <v>0</v>
      </c>
      <c r="I291" s="1">
        <f t="array" ref="I291">IF(ISNUMBER(MATCH(354,Max!$A:$A,0)), IF(OR(INDEX(Max!$D:$D,MATCH(354,Max!$A:$A,0))=1, INDEX(Max!$D:$D,MATCH(354,Max!$A:$A,0))=2), INDEX(Max!$D:$D,MATCH(354,Max!$A:$A,0)), 0), 0)</f>
        <v>0</v>
      </c>
    </row>
    <row r="292" spans="1:9" ht="15.75" customHeight="1" x14ac:dyDescent="0.2">
      <c r="A292" s="1">
        <v>21657</v>
      </c>
      <c r="B292" s="1" t="s">
        <v>95</v>
      </c>
      <c r="C292" s="1" t="s">
        <v>758</v>
      </c>
      <c r="D292" s="1" t="str">
        <f t="shared" si="1"/>
        <v>2</v>
      </c>
      <c r="E292" s="1" t="s">
        <v>759</v>
      </c>
      <c r="G292" s="1">
        <f t="array" ref="G292">IF(ISNUMBER(MATCH(21657,Camille!$A:$A,0)), IF(OR(INDEX(Camille!$D:$D,MATCH(21657,Camille!$A:$A,0))=1, INDEX(Camille!$D:$D,MATCH(21657,Camille!$A:$A,0))=2), INDEX(Camille!$D:$D,MATCH(21657,Camille!$A:$A,0)), 0), 0)</f>
        <v>2</v>
      </c>
      <c r="H292" s="1">
        <f t="array" ref="H292">IF(ISNUMBER(MATCH(21657,Telmo!$A:$A,0)), IF(OR(INDEX(Telmo!$D:$D,MATCH(21657,Telmo!$A:$A,0))=1, INDEX(Telmo!$D:$D,MATCH(21657,Telmo!$A:$A,0))=2), INDEX(Telmo!$D:$D,MATCH(21657,Telmo!$A:$A,0)), 0), 0)</f>
        <v>0</v>
      </c>
      <c r="I292" s="1">
        <f t="array" ref="I292">IF(ISNUMBER(MATCH(21657,Max!$A:$A,0)), IF(OR(INDEX(Max!$D:$D,MATCH(21657,Max!$A:$A,0))=1, INDEX(Max!$D:$D,MATCH(21657,Max!$A:$A,0))=2), INDEX(Max!$D:$D,MATCH(21657,Max!$A:$A,0)), 0), 0)</f>
        <v>0</v>
      </c>
    </row>
    <row r="293" spans="1:9" ht="15.75" customHeight="1" x14ac:dyDescent="0.2">
      <c r="A293" s="1">
        <v>49259</v>
      </c>
      <c r="B293" s="1" t="s">
        <v>336</v>
      </c>
      <c r="C293" s="1" t="s">
        <v>760</v>
      </c>
      <c r="D293" s="1" t="str">
        <f t="shared" si="1"/>
        <v>2</v>
      </c>
      <c r="E293" s="1" t="s">
        <v>761</v>
      </c>
      <c r="G293" s="1">
        <f t="array" ref="G293">IF(ISNUMBER(MATCH(49259,Camille!$A:$A,0)), IF(OR(INDEX(Camille!$D:$D,MATCH(49259,Camille!$A:$A,0))=1, INDEX(Camille!$D:$D,MATCH(49259,Camille!$A:$A,0))=2), INDEX(Camille!$D:$D,MATCH(49259,Camille!$A:$A,0)), 0), 0)</f>
        <v>2</v>
      </c>
      <c r="H293" s="1">
        <f t="array" ref="H293">IF(ISNUMBER(MATCH(49259,Telmo!$A:$A,0)), IF(OR(INDEX(Telmo!$D:$D,MATCH(49259,Telmo!$A:$A,0))=1, INDEX(Telmo!$D:$D,MATCH(49259,Telmo!$A:$A,0))=2), INDEX(Telmo!$D:$D,MATCH(49259,Telmo!$A:$A,0)), 0), 0)</f>
        <v>0</v>
      </c>
      <c r="I293" s="1">
        <f t="array" ref="I293">IF(ISNUMBER(MATCH(49259,Max!$A:$A,0)), IF(OR(INDEX(Max!$D:$D,MATCH(49259,Max!$A:$A,0))=1, INDEX(Max!$D:$D,MATCH(49259,Max!$A:$A,0))=2), INDEX(Max!$D:$D,MATCH(49259,Max!$A:$A,0)), 0), 0)</f>
        <v>0</v>
      </c>
    </row>
    <row r="294" spans="1:9" ht="15.75" customHeight="1" x14ac:dyDescent="0.2">
      <c r="A294" s="1">
        <v>67580</v>
      </c>
      <c r="B294" s="1" t="s">
        <v>527</v>
      </c>
      <c r="C294" s="1" t="s">
        <v>762</v>
      </c>
      <c r="D294" s="1" t="str">
        <f t="shared" si="1"/>
        <v>1</v>
      </c>
      <c r="E294" s="1" t="s">
        <v>763</v>
      </c>
      <c r="G294" s="1">
        <f t="array" ref="G294">IF(ISNUMBER(MATCH(67580,Camille!$A:$A,0)), IF(OR(INDEX(Camille!$D:$D,MATCH(67580,Camille!$A:$A,0))=1, INDEX(Camille!$D:$D,MATCH(67580,Camille!$A:$A,0))=2), INDEX(Camille!$D:$D,MATCH(67580,Camille!$A:$A,0)), 0), 0)</f>
        <v>1</v>
      </c>
      <c r="H294" s="1">
        <f t="array" ref="H294">IF(ISNUMBER(MATCH(67580,Telmo!$A:$A,0)), IF(OR(INDEX(Telmo!$D:$D,MATCH(67580,Telmo!$A:$A,0))=1, INDEX(Telmo!$D:$D,MATCH(67580,Telmo!$A:$A,0))=2), INDEX(Telmo!$D:$D,MATCH(67580,Telmo!$A:$A,0)), 0), 0)</f>
        <v>0</v>
      </c>
      <c r="I294" s="1">
        <f t="array" ref="I294">IF(ISNUMBER(MATCH(67580,Max!$A:$A,0)), IF(OR(INDEX(Max!$D:$D,MATCH(67580,Max!$A:$A,0))=1, INDEX(Max!$D:$D,MATCH(67580,Max!$A:$A,0))=2), INDEX(Max!$D:$D,MATCH(67580,Max!$A:$A,0)), 0), 0)</f>
        <v>0</v>
      </c>
    </row>
    <row r="295" spans="1:9" ht="15.75" customHeight="1" x14ac:dyDescent="0.2">
      <c r="A295" s="1">
        <v>59904</v>
      </c>
      <c r="B295" s="1" t="s">
        <v>701</v>
      </c>
      <c r="C295" s="1" t="s">
        <v>764</v>
      </c>
      <c r="D295" s="1" t="str">
        <f t="shared" si="1"/>
        <v>2</v>
      </c>
      <c r="E295" s="1" t="s">
        <v>765</v>
      </c>
      <c r="G295" s="1">
        <f t="array" ref="G295">IF(ISNUMBER(MATCH(59904,Camille!$A:$A,0)), IF(OR(INDEX(Camille!$D:$D,MATCH(59904,Camille!$A:$A,0))=1, INDEX(Camille!$D:$D,MATCH(59904,Camille!$A:$A,0))=2), INDEX(Camille!$D:$D,MATCH(59904,Camille!$A:$A,0)), 0), 0)</f>
        <v>2</v>
      </c>
      <c r="H295" s="1">
        <f t="array" ref="H295">IF(ISNUMBER(MATCH(59904,Telmo!$A:$A,0)), IF(OR(INDEX(Telmo!$D:$D,MATCH(59904,Telmo!$A:$A,0))=1, INDEX(Telmo!$D:$D,MATCH(59904,Telmo!$A:$A,0))=2), INDEX(Telmo!$D:$D,MATCH(59904,Telmo!$A:$A,0)), 0), 0)</f>
        <v>0</v>
      </c>
      <c r="I295" s="1">
        <f t="array" ref="I295">IF(ISNUMBER(MATCH(59904,Max!$A:$A,0)), IF(OR(INDEX(Max!$D:$D,MATCH(59904,Max!$A:$A,0))=1, INDEX(Max!$D:$D,MATCH(59904,Max!$A:$A,0))=2), INDEX(Max!$D:$D,MATCH(59904,Max!$A:$A,0)), 0), 0)</f>
        <v>0</v>
      </c>
    </row>
    <row r="296" spans="1:9" ht="15.75" customHeight="1" x14ac:dyDescent="0.2">
      <c r="A296" s="1">
        <v>29861</v>
      </c>
      <c r="B296" s="1" t="s">
        <v>307</v>
      </c>
      <c r="C296" s="1" t="s">
        <v>766</v>
      </c>
      <c r="D296" s="1" t="str">
        <f t="shared" si="1"/>
        <v>2</v>
      </c>
      <c r="E296" s="1" t="s">
        <v>767</v>
      </c>
      <c r="G296" s="1">
        <f t="array" ref="G296">IF(ISNUMBER(MATCH(29861,Camille!$A:$A,0)), IF(OR(INDEX(Camille!$D:$D,MATCH(29861,Camille!$A:$A,0))=1, INDEX(Camille!$D:$D,MATCH(29861,Camille!$A:$A,0))=2), INDEX(Camille!$D:$D,MATCH(29861,Camille!$A:$A,0)), 0), 0)</f>
        <v>2</v>
      </c>
      <c r="H296" s="1">
        <f t="array" ref="H296">IF(ISNUMBER(MATCH(29861,Telmo!$A:$A,0)), IF(OR(INDEX(Telmo!$D:$D,MATCH(29861,Telmo!$A:$A,0))=1, INDEX(Telmo!$D:$D,MATCH(29861,Telmo!$A:$A,0))=2), INDEX(Telmo!$D:$D,MATCH(29861,Telmo!$A:$A,0)), 0), 0)</f>
        <v>0</v>
      </c>
      <c r="I296" s="1">
        <f t="array" ref="I296">IF(ISNUMBER(MATCH(29861,Max!$A:$A,0)), IF(OR(INDEX(Max!$D:$D,MATCH(29861,Max!$A:$A,0))=1, INDEX(Max!$D:$D,MATCH(29861,Max!$A:$A,0))=2), INDEX(Max!$D:$D,MATCH(29861,Max!$A:$A,0)), 0), 0)</f>
        <v>0</v>
      </c>
    </row>
    <row r="297" spans="1:9" ht="15.75" customHeight="1" x14ac:dyDescent="0.2">
      <c r="A297" s="1">
        <v>41704</v>
      </c>
      <c r="B297" s="1" t="s">
        <v>768</v>
      </c>
      <c r="C297" s="1" t="s">
        <v>769</v>
      </c>
      <c r="D297" s="1" t="str">
        <f t="shared" si="1"/>
        <v>1</v>
      </c>
      <c r="E297" s="1" t="s">
        <v>770</v>
      </c>
      <c r="G297" s="1">
        <f t="array" ref="G297">IF(ISNUMBER(MATCH(41704,Camille!$A:$A,0)), IF(OR(INDEX(Camille!$D:$D,MATCH(41704,Camille!$A:$A,0))=1, INDEX(Camille!$D:$D,MATCH(41704,Camille!$A:$A,0))=2), INDEX(Camille!$D:$D,MATCH(41704,Camille!$A:$A,0)), 0), 0)</f>
        <v>1</v>
      </c>
      <c r="H297" s="1">
        <f t="array" ref="H297">IF(ISNUMBER(MATCH(41704,Telmo!$A:$A,0)), IF(OR(INDEX(Telmo!$D:$D,MATCH(41704,Telmo!$A:$A,0))=1, INDEX(Telmo!$D:$D,MATCH(41704,Telmo!$A:$A,0))=2), INDEX(Telmo!$D:$D,MATCH(41704,Telmo!$A:$A,0)), 0), 0)</f>
        <v>0</v>
      </c>
      <c r="I297" s="1">
        <f t="array" ref="I297">IF(ISNUMBER(MATCH(41704,Max!$A:$A,0)), IF(OR(INDEX(Max!$D:$D,MATCH(41704,Max!$A:$A,0))=1, INDEX(Max!$D:$D,MATCH(41704,Max!$A:$A,0))=2), INDEX(Max!$D:$D,MATCH(41704,Max!$A:$A,0)), 0), 0)</f>
        <v>0</v>
      </c>
    </row>
    <row r="298" spans="1:9" ht="15.75" customHeight="1" x14ac:dyDescent="0.2">
      <c r="A298" s="1">
        <v>19361</v>
      </c>
      <c r="B298" s="1" t="s">
        <v>32</v>
      </c>
      <c r="C298" s="1" t="s">
        <v>771</v>
      </c>
      <c r="D298" s="1" t="str">
        <f t="shared" si="1"/>
        <v>1</v>
      </c>
      <c r="E298" s="1" t="s">
        <v>772</v>
      </c>
      <c r="G298" s="1">
        <f t="array" ref="G298">IF(ISNUMBER(MATCH(19361,Camille!$A:$A,0)), IF(OR(INDEX(Camille!$D:$D,MATCH(19361,Camille!$A:$A,0))=1, INDEX(Camille!$D:$D,MATCH(19361,Camille!$A:$A,0))=2), INDEX(Camille!$D:$D,MATCH(19361,Camille!$A:$A,0)), 0), 0)</f>
        <v>1</v>
      </c>
      <c r="H298" s="1">
        <f t="array" ref="H298">IF(ISNUMBER(MATCH(19361,Telmo!$A:$A,0)), IF(OR(INDEX(Telmo!$D:$D,MATCH(19361,Telmo!$A:$A,0))=1, INDEX(Telmo!$D:$D,MATCH(19361,Telmo!$A:$A,0))=2), INDEX(Telmo!$D:$D,MATCH(19361,Telmo!$A:$A,0)), 0), 0)</f>
        <v>0</v>
      </c>
      <c r="I298" s="1">
        <f t="array" ref="I298">IF(ISNUMBER(MATCH(19361,Max!$A:$A,0)), IF(OR(INDEX(Max!$D:$D,MATCH(19361,Max!$A:$A,0))=1, INDEX(Max!$D:$D,MATCH(19361,Max!$A:$A,0))=2), INDEX(Max!$D:$D,MATCH(19361,Max!$A:$A,0)), 0), 0)</f>
        <v>0</v>
      </c>
    </row>
    <row r="299" spans="1:9" ht="15.75" customHeight="1" x14ac:dyDescent="0.2">
      <c r="A299" s="1">
        <v>41593</v>
      </c>
      <c r="B299" s="1" t="s">
        <v>172</v>
      </c>
      <c r="C299" s="1" t="s">
        <v>773</v>
      </c>
      <c r="D299" s="1" t="str">
        <f t="shared" si="1"/>
        <v>2</v>
      </c>
      <c r="E299" s="1" t="s">
        <v>774</v>
      </c>
      <c r="G299" s="1">
        <f t="array" ref="G299">IF(ISNUMBER(MATCH(41593,Camille!$A:$A,0)), IF(OR(INDEX(Camille!$D:$D,MATCH(41593,Camille!$A:$A,0))=1, INDEX(Camille!$D:$D,MATCH(41593,Camille!$A:$A,0))=2), INDEX(Camille!$D:$D,MATCH(41593,Camille!$A:$A,0)), 0), 0)</f>
        <v>2</v>
      </c>
      <c r="H299" s="1">
        <f t="array" ref="H299">IF(ISNUMBER(MATCH(41593,Telmo!$A:$A,0)), IF(OR(INDEX(Telmo!$D:$D,MATCH(41593,Telmo!$A:$A,0))=1, INDEX(Telmo!$D:$D,MATCH(41593,Telmo!$A:$A,0))=2), INDEX(Telmo!$D:$D,MATCH(41593,Telmo!$A:$A,0)), 0), 0)</f>
        <v>0</v>
      </c>
      <c r="I299" s="1">
        <f t="array" ref="I299">IF(ISNUMBER(MATCH(41593,Max!$A:$A,0)), IF(OR(INDEX(Max!$D:$D,MATCH(41593,Max!$A:$A,0))=1, INDEX(Max!$D:$D,MATCH(41593,Max!$A:$A,0))=2), INDEX(Max!$D:$D,MATCH(41593,Max!$A:$A,0)), 0), 0)</f>
        <v>0</v>
      </c>
    </row>
    <row r="300" spans="1:9" ht="15.75" customHeight="1" x14ac:dyDescent="0.2">
      <c r="A300" s="1">
        <v>62373</v>
      </c>
      <c r="B300" s="1" t="s">
        <v>244</v>
      </c>
      <c r="C300" s="1" t="s">
        <v>775</v>
      </c>
      <c r="D300" s="1" t="str">
        <f t="shared" si="1"/>
        <v>2</v>
      </c>
      <c r="E300" s="1" t="s">
        <v>776</v>
      </c>
      <c r="G300" s="1">
        <f t="array" ref="G300">IF(ISNUMBER(MATCH(62373,Camille!$A:$A,0)), IF(OR(INDEX(Camille!$D:$D,MATCH(62373,Camille!$A:$A,0))=1, INDEX(Camille!$D:$D,MATCH(62373,Camille!$A:$A,0))=2), INDEX(Camille!$D:$D,MATCH(62373,Camille!$A:$A,0)), 0), 0)</f>
        <v>2</v>
      </c>
      <c r="H300" s="1">
        <f t="array" ref="H300">IF(ISNUMBER(MATCH(62373,Telmo!$A:$A,0)), IF(OR(INDEX(Telmo!$D:$D,MATCH(62373,Telmo!$A:$A,0))=1, INDEX(Telmo!$D:$D,MATCH(62373,Telmo!$A:$A,0))=2), INDEX(Telmo!$D:$D,MATCH(62373,Telmo!$A:$A,0)), 0), 0)</f>
        <v>0</v>
      </c>
      <c r="I300" s="1">
        <f t="array" ref="I300">IF(ISNUMBER(MATCH(62373,Max!$A:$A,0)), IF(OR(INDEX(Max!$D:$D,MATCH(62373,Max!$A:$A,0))=1, INDEX(Max!$D:$D,MATCH(62373,Max!$A:$A,0))=2), INDEX(Max!$D:$D,MATCH(62373,Max!$A:$A,0)), 0), 0)</f>
        <v>0</v>
      </c>
    </row>
    <row r="301" spans="1:9" ht="15.75" customHeight="1" x14ac:dyDescent="0.2">
      <c r="A301" s="1">
        <v>3819</v>
      </c>
      <c r="B301" s="1" t="s">
        <v>144</v>
      </c>
      <c r="C301" s="1" t="s">
        <v>777</v>
      </c>
      <c r="D301" s="1" t="str">
        <f t="shared" si="1"/>
        <v>2</v>
      </c>
      <c r="E301" s="1" t="s">
        <v>778</v>
      </c>
      <c r="G301" s="1">
        <f t="array" ref="G301">IF(ISNUMBER(MATCH(3819,Camille!$A:$A,0)), IF(OR(INDEX(Camille!$D:$D,MATCH(3819,Camille!$A:$A,0))=1, INDEX(Camille!$D:$D,MATCH(3819,Camille!$A:$A,0))=2), INDEX(Camille!$D:$D,MATCH(3819,Camille!$A:$A,0)), 0), 0)</f>
        <v>2</v>
      </c>
      <c r="H301" s="1">
        <f t="array" ref="H301">IF(ISNUMBER(MATCH(3819,Telmo!$A:$A,0)), IF(OR(INDEX(Telmo!$D:$D,MATCH(3819,Telmo!$A:$A,0))=1, INDEX(Telmo!$D:$D,MATCH(3819,Telmo!$A:$A,0))=2), INDEX(Telmo!$D:$D,MATCH(3819,Telmo!$A:$A,0)), 0), 0)</f>
        <v>0</v>
      </c>
      <c r="I301" s="1">
        <f t="array" ref="I301">IF(ISNUMBER(MATCH(3819,Max!$A:$A,0)), IF(OR(INDEX(Max!$D:$D,MATCH(3819,Max!$A:$A,0))=1, INDEX(Max!$D:$D,MATCH(3819,Max!$A:$A,0))=2), INDEX(Max!$D:$D,MATCH(3819,Max!$A:$A,0)), 0), 0)</f>
        <v>0</v>
      </c>
    </row>
    <row r="302" spans="1:9" ht="15.75" customHeight="1" x14ac:dyDescent="0.2">
      <c r="A302" s="1">
        <v>32606</v>
      </c>
      <c r="B302" s="1" t="s">
        <v>594</v>
      </c>
      <c r="C302" s="1" t="s">
        <v>779</v>
      </c>
      <c r="D302" s="1" t="str">
        <f t="shared" si="1"/>
        <v>1</v>
      </c>
      <c r="E302" s="1" t="s">
        <v>780</v>
      </c>
      <c r="G302" s="1">
        <f t="array" ref="G302">IF(ISNUMBER(MATCH(32606,Camille!$A:$A,0)), IF(OR(INDEX(Camille!$D:$D,MATCH(32606,Camille!$A:$A,0))=1, INDEX(Camille!$D:$D,MATCH(32606,Camille!$A:$A,0))=2), INDEX(Camille!$D:$D,MATCH(32606,Camille!$A:$A,0)), 0), 0)</f>
        <v>1</v>
      </c>
      <c r="H302" s="1">
        <f t="array" ref="H302">IF(ISNUMBER(MATCH(32606,Telmo!$A:$A,0)), IF(OR(INDEX(Telmo!$D:$D,MATCH(32606,Telmo!$A:$A,0))=1, INDEX(Telmo!$D:$D,MATCH(32606,Telmo!$A:$A,0))=2), INDEX(Telmo!$D:$D,MATCH(32606,Telmo!$A:$A,0)), 0), 0)</f>
        <v>0</v>
      </c>
      <c r="I302" s="1">
        <f t="array" ref="I302">IF(ISNUMBER(MATCH(32606,Max!$A:$A,0)), IF(OR(INDEX(Max!$D:$D,MATCH(32606,Max!$A:$A,0))=1, INDEX(Max!$D:$D,MATCH(32606,Max!$A:$A,0))=2), INDEX(Max!$D:$D,MATCH(32606,Max!$A:$A,0)), 0), 0)</f>
        <v>0</v>
      </c>
    </row>
    <row r="303" spans="1:9" ht="15.75" customHeight="1" x14ac:dyDescent="0.2">
      <c r="A303" s="1">
        <v>6705</v>
      </c>
      <c r="B303" s="1" t="s">
        <v>781</v>
      </c>
      <c r="C303" s="1" t="s">
        <v>782</v>
      </c>
      <c r="D303" s="1" t="str">
        <f t="shared" si="1"/>
        <v>1</v>
      </c>
      <c r="E303" s="1" t="s">
        <v>783</v>
      </c>
      <c r="G303" s="1">
        <f t="array" ref="G303">IF(ISNUMBER(MATCH(6705,Camille!$A:$A,0)), IF(OR(INDEX(Camille!$D:$D,MATCH(6705,Camille!$A:$A,0))=1, INDEX(Camille!$D:$D,MATCH(6705,Camille!$A:$A,0))=2), INDEX(Camille!$D:$D,MATCH(6705,Camille!$A:$A,0)), 0), 0)</f>
        <v>1</v>
      </c>
      <c r="H303" s="1">
        <f t="array" ref="H303">IF(ISNUMBER(MATCH(6705,Telmo!$A:$A,0)), IF(OR(INDEX(Telmo!$D:$D,MATCH(6705,Telmo!$A:$A,0))=1, INDEX(Telmo!$D:$D,MATCH(6705,Telmo!$A:$A,0))=2), INDEX(Telmo!$D:$D,MATCH(6705,Telmo!$A:$A,0)), 0), 0)</f>
        <v>0</v>
      </c>
      <c r="I303" s="1">
        <f t="array" ref="I303">IF(ISNUMBER(MATCH(6705,Max!$A:$A,0)), IF(OR(INDEX(Max!$D:$D,MATCH(6705,Max!$A:$A,0))=1, INDEX(Max!$D:$D,MATCH(6705,Max!$A:$A,0))=2), INDEX(Max!$D:$D,MATCH(6705,Max!$A:$A,0)), 0), 0)</f>
        <v>0</v>
      </c>
    </row>
    <row r="304" spans="1:9" ht="15.75" customHeight="1" x14ac:dyDescent="0.2">
      <c r="A304" s="1">
        <v>40824</v>
      </c>
      <c r="B304" s="1" t="s">
        <v>167</v>
      </c>
      <c r="C304" s="1" t="s">
        <v>784</v>
      </c>
      <c r="D304" s="1" t="str">
        <f t="shared" si="1"/>
        <v>1</v>
      </c>
      <c r="E304" s="1" t="s">
        <v>785</v>
      </c>
      <c r="G304" s="1">
        <f t="array" ref="G304">IF(ISNUMBER(MATCH(40824,Camille!$A:$A,0)), IF(OR(INDEX(Camille!$D:$D,MATCH(40824,Camille!$A:$A,0))=1, INDEX(Camille!$D:$D,MATCH(40824,Camille!$A:$A,0))=2), INDEX(Camille!$D:$D,MATCH(40824,Camille!$A:$A,0)), 0), 0)</f>
        <v>1</v>
      </c>
      <c r="H304" s="1">
        <f t="array" ref="H304">IF(ISNUMBER(MATCH(40824,Telmo!$A:$A,0)), IF(OR(INDEX(Telmo!$D:$D,MATCH(40824,Telmo!$A:$A,0))=1, INDEX(Telmo!$D:$D,MATCH(40824,Telmo!$A:$A,0))=2), INDEX(Telmo!$D:$D,MATCH(40824,Telmo!$A:$A,0)), 0), 0)</f>
        <v>0</v>
      </c>
      <c r="I304" s="1">
        <f t="array" ref="I304">IF(ISNUMBER(MATCH(40824,Max!$A:$A,0)), IF(OR(INDEX(Max!$D:$D,MATCH(40824,Max!$A:$A,0))=1, INDEX(Max!$D:$D,MATCH(40824,Max!$A:$A,0))=2), INDEX(Max!$D:$D,MATCH(40824,Max!$A:$A,0)), 0), 0)</f>
        <v>0</v>
      </c>
    </row>
    <row r="305" spans="1:9" ht="15.75" customHeight="1" x14ac:dyDescent="0.2">
      <c r="A305" s="1">
        <v>49364</v>
      </c>
      <c r="B305" s="1" t="s">
        <v>786</v>
      </c>
      <c r="C305" s="1" t="s">
        <v>787</v>
      </c>
      <c r="D305" s="1" t="str">
        <f t="shared" si="1"/>
        <v>2</v>
      </c>
      <c r="E305" s="1" t="s">
        <v>788</v>
      </c>
      <c r="G305" s="1">
        <f t="array" ref="G305">IF(ISNUMBER(MATCH(49364,Camille!$A:$A,0)), IF(OR(INDEX(Camille!$D:$D,MATCH(49364,Camille!$A:$A,0))=1, INDEX(Camille!$D:$D,MATCH(49364,Camille!$A:$A,0))=2), INDEX(Camille!$D:$D,MATCH(49364,Camille!$A:$A,0)), 0), 0)</f>
        <v>2</v>
      </c>
      <c r="H305" s="1">
        <f t="array" ref="H305">IF(ISNUMBER(MATCH(49364,Telmo!$A:$A,0)), IF(OR(INDEX(Telmo!$D:$D,MATCH(49364,Telmo!$A:$A,0))=1, INDEX(Telmo!$D:$D,MATCH(49364,Telmo!$A:$A,0))=2), INDEX(Telmo!$D:$D,MATCH(49364,Telmo!$A:$A,0)), 0), 0)</f>
        <v>0</v>
      </c>
      <c r="I305" s="1">
        <f t="array" ref="I305">IF(ISNUMBER(MATCH(49364,Max!$A:$A,0)), IF(OR(INDEX(Max!$D:$D,MATCH(49364,Max!$A:$A,0))=1, INDEX(Max!$D:$D,MATCH(49364,Max!$A:$A,0))=2), INDEX(Max!$D:$D,MATCH(49364,Max!$A:$A,0)), 0), 0)</f>
        <v>0</v>
      </c>
    </row>
    <row r="306" spans="1:9" ht="15.75" customHeight="1" x14ac:dyDescent="0.2">
      <c r="A306" s="1">
        <v>4331</v>
      </c>
      <c r="B306" s="1" t="s">
        <v>90</v>
      </c>
      <c r="C306" s="1" t="s">
        <v>789</v>
      </c>
      <c r="D306" s="1" t="str">
        <f t="shared" si="1"/>
        <v>2</v>
      </c>
      <c r="E306" s="1" t="s">
        <v>790</v>
      </c>
      <c r="G306" s="1">
        <f t="array" ref="G306">IF(ISNUMBER(MATCH(4331,Camille!$A:$A,0)), IF(OR(INDEX(Camille!$D:$D,MATCH(4331,Camille!$A:$A,0))=1, INDEX(Camille!$D:$D,MATCH(4331,Camille!$A:$A,0))=2), INDEX(Camille!$D:$D,MATCH(4331,Camille!$A:$A,0)), 0), 0)</f>
        <v>2</v>
      </c>
      <c r="H306" s="1">
        <f t="array" ref="H306">IF(ISNUMBER(MATCH(4331,Telmo!$A:$A,0)), IF(OR(INDEX(Telmo!$D:$D,MATCH(4331,Telmo!$A:$A,0))=1, INDEX(Telmo!$D:$D,MATCH(4331,Telmo!$A:$A,0))=2), INDEX(Telmo!$D:$D,MATCH(4331,Telmo!$A:$A,0)), 0), 0)</f>
        <v>0</v>
      </c>
      <c r="I306" s="1">
        <f t="array" ref="I306">IF(ISNUMBER(MATCH(4331,Max!$A:$A,0)), IF(OR(INDEX(Max!$D:$D,MATCH(4331,Max!$A:$A,0))=1, INDEX(Max!$D:$D,MATCH(4331,Max!$A:$A,0))=2), INDEX(Max!$D:$D,MATCH(4331,Max!$A:$A,0)), 0), 0)</f>
        <v>0</v>
      </c>
    </row>
    <row r="307" spans="1:9" ht="15.75" customHeight="1" x14ac:dyDescent="0.2">
      <c r="A307" s="1">
        <v>3051</v>
      </c>
      <c r="B307" s="1" t="s">
        <v>791</v>
      </c>
      <c r="C307" s="1" t="s">
        <v>792</v>
      </c>
      <c r="D307" s="1" t="str">
        <f t="shared" si="1"/>
        <v>2</v>
      </c>
      <c r="E307" s="1" t="s">
        <v>793</v>
      </c>
      <c r="G307" s="1">
        <f t="array" ref="G307">IF(ISNUMBER(MATCH(3051,Camille!$A:$A,0)), IF(OR(INDEX(Camille!$D:$D,MATCH(3051,Camille!$A:$A,0))=1, INDEX(Camille!$D:$D,MATCH(3051,Camille!$A:$A,0))=2), INDEX(Camille!$D:$D,MATCH(3051,Camille!$A:$A,0)), 0), 0)</f>
        <v>2</v>
      </c>
      <c r="H307" s="1">
        <f t="array" ref="H307">IF(ISNUMBER(MATCH(3051,Telmo!$A:$A,0)), IF(OR(INDEX(Telmo!$D:$D,MATCH(3051,Telmo!$A:$A,0))=1, INDEX(Telmo!$D:$D,MATCH(3051,Telmo!$A:$A,0))=2), INDEX(Telmo!$D:$D,MATCH(3051,Telmo!$A:$A,0)), 0), 0)</f>
        <v>0</v>
      </c>
      <c r="I307" s="1">
        <f t="array" ref="I307">IF(ISNUMBER(MATCH(3051,Max!$A:$A,0)), IF(OR(INDEX(Max!$D:$D,MATCH(3051,Max!$A:$A,0))=1, INDEX(Max!$D:$D,MATCH(3051,Max!$A:$A,0))=2), INDEX(Max!$D:$D,MATCH(3051,Max!$A:$A,0)), 0), 0)</f>
        <v>0</v>
      </c>
    </row>
    <row r="308" spans="1:9" ht="15.75" customHeight="1" x14ac:dyDescent="0.2">
      <c r="A308" s="1">
        <v>19713</v>
      </c>
      <c r="B308" s="1" t="s">
        <v>794</v>
      </c>
      <c r="C308" s="1" t="s">
        <v>795</v>
      </c>
      <c r="D308" s="1" t="str">
        <f t="shared" si="1"/>
        <v>2</v>
      </c>
      <c r="E308" s="1" t="s">
        <v>796</v>
      </c>
      <c r="G308" s="1">
        <f t="array" ref="G308">IF(ISNUMBER(MATCH(19713,Camille!$A:$A,0)), IF(OR(INDEX(Camille!$D:$D,MATCH(19713,Camille!$A:$A,0))=1, INDEX(Camille!$D:$D,MATCH(19713,Camille!$A:$A,0))=2), INDEX(Camille!$D:$D,MATCH(19713,Camille!$A:$A,0)), 0), 0)</f>
        <v>2</v>
      </c>
      <c r="H308" s="1">
        <f t="array" ref="H308">IF(ISNUMBER(MATCH(19713,Telmo!$A:$A,0)), IF(OR(INDEX(Telmo!$D:$D,MATCH(19713,Telmo!$A:$A,0))=1, INDEX(Telmo!$D:$D,MATCH(19713,Telmo!$A:$A,0))=2), INDEX(Telmo!$D:$D,MATCH(19713,Telmo!$A:$A,0)), 0), 0)</f>
        <v>0</v>
      </c>
      <c r="I308" s="1">
        <f t="array" ref="I308">IF(ISNUMBER(MATCH(19713,Max!$A:$A,0)), IF(OR(INDEX(Max!$D:$D,MATCH(19713,Max!$A:$A,0))=1, INDEX(Max!$D:$D,MATCH(19713,Max!$A:$A,0))=2), INDEX(Max!$D:$D,MATCH(19713,Max!$A:$A,0)), 0), 0)</f>
        <v>0</v>
      </c>
    </row>
    <row r="309" spans="1:9" ht="15.75" customHeight="1" x14ac:dyDescent="0.2">
      <c r="A309" s="1">
        <v>40691</v>
      </c>
      <c r="B309" s="1" t="s">
        <v>797</v>
      </c>
      <c r="C309" s="1" t="s">
        <v>798</v>
      </c>
      <c r="D309" s="1" t="str">
        <f t="shared" si="1"/>
        <v>2</v>
      </c>
      <c r="E309" s="1" t="s">
        <v>799</v>
      </c>
      <c r="G309" s="1">
        <f t="array" ref="G309">IF(ISNUMBER(MATCH(40691,Camille!$A:$A,0)), IF(OR(INDEX(Camille!$D:$D,MATCH(40691,Camille!$A:$A,0))=1, INDEX(Camille!$D:$D,MATCH(40691,Camille!$A:$A,0))=2), INDEX(Camille!$D:$D,MATCH(40691,Camille!$A:$A,0)), 0), 0)</f>
        <v>2</v>
      </c>
      <c r="H309" s="1">
        <f t="array" ref="H309">IF(ISNUMBER(MATCH(40691,Telmo!$A:$A,0)), IF(OR(INDEX(Telmo!$D:$D,MATCH(40691,Telmo!$A:$A,0))=1, INDEX(Telmo!$D:$D,MATCH(40691,Telmo!$A:$A,0))=2), INDEX(Telmo!$D:$D,MATCH(40691,Telmo!$A:$A,0)), 0), 0)</f>
        <v>0</v>
      </c>
      <c r="I309" s="1">
        <f t="array" ref="I309">IF(ISNUMBER(MATCH(40691,Max!$A:$A,0)), IF(OR(INDEX(Max!$D:$D,MATCH(40691,Max!$A:$A,0))=1, INDEX(Max!$D:$D,MATCH(40691,Max!$A:$A,0))=2), INDEX(Max!$D:$D,MATCH(40691,Max!$A:$A,0)), 0), 0)</f>
        <v>0</v>
      </c>
    </row>
    <row r="310" spans="1:9" ht="15.75" customHeight="1" x14ac:dyDescent="0.2">
      <c r="A310" s="1">
        <v>7255</v>
      </c>
      <c r="B310" s="1" t="s">
        <v>800</v>
      </c>
      <c r="C310" s="1" t="s">
        <v>801</v>
      </c>
      <c r="D310" s="1" t="str">
        <f t="shared" si="1"/>
        <v>2</v>
      </c>
      <c r="E310" s="1" t="s">
        <v>802</v>
      </c>
      <c r="G310" s="1">
        <f t="array" ref="G310">IF(ISNUMBER(MATCH(7255,Camille!$A:$A,0)), IF(OR(INDEX(Camille!$D:$D,MATCH(7255,Camille!$A:$A,0))=1, INDEX(Camille!$D:$D,MATCH(7255,Camille!$A:$A,0))=2), INDEX(Camille!$D:$D,MATCH(7255,Camille!$A:$A,0)), 0), 0)</f>
        <v>2</v>
      </c>
      <c r="H310" s="1">
        <f t="array" ref="H310">IF(ISNUMBER(MATCH(7255,Telmo!$A:$A,0)), IF(OR(INDEX(Telmo!$D:$D,MATCH(7255,Telmo!$A:$A,0))=1, INDEX(Telmo!$D:$D,MATCH(7255,Telmo!$A:$A,0))=2), INDEX(Telmo!$D:$D,MATCH(7255,Telmo!$A:$A,0)), 0), 0)</f>
        <v>0</v>
      </c>
      <c r="I310" s="1">
        <f t="array" ref="I310">IF(ISNUMBER(MATCH(7255,Max!$A:$A,0)), IF(OR(INDEX(Max!$D:$D,MATCH(7255,Max!$A:$A,0))=1, INDEX(Max!$D:$D,MATCH(7255,Max!$A:$A,0))=2), INDEX(Max!$D:$D,MATCH(7255,Max!$A:$A,0)), 0), 0)</f>
        <v>0</v>
      </c>
    </row>
    <row r="311" spans="1:9" ht="15.75" customHeight="1" x14ac:dyDescent="0.2">
      <c r="A311" s="1">
        <v>29627</v>
      </c>
      <c r="B311" s="1" t="s">
        <v>180</v>
      </c>
      <c r="C311" s="1" t="s">
        <v>803</v>
      </c>
      <c r="D311" s="1" t="str">
        <f t="shared" si="1"/>
        <v>2</v>
      </c>
      <c r="E311" s="1" t="s">
        <v>804</v>
      </c>
      <c r="G311" s="1">
        <f t="array" ref="G311">IF(ISNUMBER(MATCH(29627,Camille!$A:$A,0)), IF(OR(INDEX(Camille!$D:$D,MATCH(29627,Camille!$A:$A,0))=1, INDEX(Camille!$D:$D,MATCH(29627,Camille!$A:$A,0))=2), INDEX(Camille!$D:$D,MATCH(29627,Camille!$A:$A,0)), 0), 0)</f>
        <v>2</v>
      </c>
      <c r="H311" s="1">
        <f t="array" ref="H311">IF(ISNUMBER(MATCH(29627,Telmo!$A:$A,0)), IF(OR(INDEX(Telmo!$D:$D,MATCH(29627,Telmo!$A:$A,0))=1, INDEX(Telmo!$D:$D,MATCH(29627,Telmo!$A:$A,0))=2), INDEX(Telmo!$D:$D,MATCH(29627,Telmo!$A:$A,0)), 0), 0)</f>
        <v>0</v>
      </c>
      <c r="I311" s="1">
        <f t="array" ref="I311">IF(ISNUMBER(MATCH(29627,Max!$A:$A,0)), IF(OR(INDEX(Max!$D:$D,MATCH(29627,Max!$A:$A,0))=1, INDEX(Max!$D:$D,MATCH(29627,Max!$A:$A,0))=2), INDEX(Max!$D:$D,MATCH(29627,Max!$A:$A,0)), 0), 0)</f>
        <v>0</v>
      </c>
    </row>
    <row r="312" spans="1:9" ht="15.75" customHeight="1" x14ac:dyDescent="0.2">
      <c r="A312" s="1">
        <v>50147</v>
      </c>
      <c r="B312" s="1" t="s">
        <v>805</v>
      </c>
      <c r="C312" s="1" t="s">
        <v>806</v>
      </c>
      <c r="D312" s="1" t="str">
        <f t="shared" si="1"/>
        <v>1</v>
      </c>
      <c r="E312" s="1" t="s">
        <v>807</v>
      </c>
      <c r="G312" s="1">
        <f t="array" ref="G312">IF(ISNUMBER(MATCH(50147,Camille!$A:$A,0)), IF(OR(INDEX(Camille!$D:$D,MATCH(50147,Camille!$A:$A,0))=1, INDEX(Camille!$D:$D,MATCH(50147,Camille!$A:$A,0))=2), INDEX(Camille!$D:$D,MATCH(50147,Camille!$A:$A,0)), 0), 0)</f>
        <v>1</v>
      </c>
      <c r="H312" s="1">
        <f t="array" ref="H312">IF(ISNUMBER(MATCH(50147,Telmo!$A:$A,0)), IF(OR(INDEX(Telmo!$D:$D,MATCH(50147,Telmo!$A:$A,0))=1, INDEX(Telmo!$D:$D,MATCH(50147,Telmo!$A:$A,0))=2), INDEX(Telmo!$D:$D,MATCH(50147,Telmo!$A:$A,0)), 0), 0)</f>
        <v>0</v>
      </c>
      <c r="I312" s="1">
        <f t="array" ref="I312">IF(ISNUMBER(MATCH(50147,Max!$A:$A,0)), IF(OR(INDEX(Max!$D:$D,MATCH(50147,Max!$A:$A,0))=1, INDEX(Max!$D:$D,MATCH(50147,Max!$A:$A,0))=2), INDEX(Max!$D:$D,MATCH(50147,Max!$A:$A,0)), 0), 0)</f>
        <v>0</v>
      </c>
    </row>
    <row r="313" spans="1:9" ht="15.75" customHeight="1" x14ac:dyDescent="0.2">
      <c r="A313" s="1">
        <v>29546</v>
      </c>
      <c r="B313" s="1" t="s">
        <v>808</v>
      </c>
      <c r="C313" s="1" t="s">
        <v>809</v>
      </c>
      <c r="D313" s="1" t="str">
        <f t="shared" si="1"/>
        <v>2</v>
      </c>
      <c r="E313" s="1" t="s">
        <v>810</v>
      </c>
      <c r="G313" s="1">
        <f t="array" ref="G313">IF(ISNUMBER(MATCH(29546,Camille!$A:$A,0)), IF(OR(INDEX(Camille!$D:$D,MATCH(29546,Camille!$A:$A,0))=1, INDEX(Camille!$D:$D,MATCH(29546,Camille!$A:$A,0))=2), INDEX(Camille!$D:$D,MATCH(29546,Camille!$A:$A,0)), 0), 0)</f>
        <v>2</v>
      </c>
      <c r="H313" s="1">
        <f t="array" ref="H313">IF(ISNUMBER(MATCH(29546,Telmo!$A:$A,0)), IF(OR(INDEX(Telmo!$D:$D,MATCH(29546,Telmo!$A:$A,0))=1, INDEX(Telmo!$D:$D,MATCH(29546,Telmo!$A:$A,0))=2), INDEX(Telmo!$D:$D,MATCH(29546,Telmo!$A:$A,0)), 0), 0)</f>
        <v>0</v>
      </c>
      <c r="I313" s="1">
        <f t="array" ref="I313">IF(ISNUMBER(MATCH(29546,Max!$A:$A,0)), IF(OR(INDEX(Max!$D:$D,MATCH(29546,Max!$A:$A,0))=1, INDEX(Max!$D:$D,MATCH(29546,Max!$A:$A,0))=2), INDEX(Max!$D:$D,MATCH(29546,Max!$A:$A,0)), 0), 0)</f>
        <v>0</v>
      </c>
    </row>
    <row r="314" spans="1:9" ht="15.75" customHeight="1" x14ac:dyDescent="0.2">
      <c r="A314" s="1">
        <v>65070</v>
      </c>
      <c r="B314" s="1" t="s">
        <v>282</v>
      </c>
      <c r="C314" s="1" t="s">
        <v>811</v>
      </c>
      <c r="D314" s="1" t="str">
        <f t="shared" si="1"/>
        <v>2</v>
      </c>
      <c r="E314" s="1" t="s">
        <v>812</v>
      </c>
      <c r="G314" s="1">
        <f t="array" ref="G314">IF(ISNUMBER(MATCH(65070,Camille!$A:$A,0)), IF(OR(INDEX(Camille!$D:$D,MATCH(65070,Camille!$A:$A,0))=1, INDEX(Camille!$D:$D,MATCH(65070,Camille!$A:$A,0))=2), INDEX(Camille!$D:$D,MATCH(65070,Camille!$A:$A,0)), 0), 0)</f>
        <v>2</v>
      </c>
      <c r="H314" s="1">
        <f t="array" ref="H314">IF(ISNUMBER(MATCH(65070,Telmo!$A:$A,0)), IF(OR(INDEX(Telmo!$D:$D,MATCH(65070,Telmo!$A:$A,0))=1, INDEX(Telmo!$D:$D,MATCH(65070,Telmo!$A:$A,0))=2), INDEX(Telmo!$D:$D,MATCH(65070,Telmo!$A:$A,0)), 0), 0)</f>
        <v>0</v>
      </c>
      <c r="I314" s="1">
        <f t="array" ref="I314">IF(ISNUMBER(MATCH(65070,Max!$A:$A,0)), IF(OR(INDEX(Max!$D:$D,MATCH(65070,Max!$A:$A,0))=1, INDEX(Max!$D:$D,MATCH(65070,Max!$A:$A,0))=2), INDEX(Max!$D:$D,MATCH(65070,Max!$A:$A,0)), 0), 0)</f>
        <v>0</v>
      </c>
    </row>
    <row r="315" spans="1:9" ht="15.75" customHeight="1" x14ac:dyDescent="0.2">
      <c r="A315" s="1">
        <v>26917</v>
      </c>
      <c r="B315" s="1" t="s">
        <v>254</v>
      </c>
      <c r="C315" s="1" t="s">
        <v>813</v>
      </c>
      <c r="D315" s="1" t="str">
        <f t="shared" si="1"/>
        <v>2</v>
      </c>
      <c r="E315" s="1" t="s">
        <v>814</v>
      </c>
      <c r="G315" s="1">
        <f t="array" ref="G315">IF(ISNUMBER(MATCH(26917,Camille!$A:$A,0)), IF(OR(INDEX(Camille!$D:$D,MATCH(26917,Camille!$A:$A,0))=1, INDEX(Camille!$D:$D,MATCH(26917,Camille!$A:$A,0))=2), INDEX(Camille!$D:$D,MATCH(26917,Camille!$A:$A,0)), 0), 0)</f>
        <v>2</v>
      </c>
      <c r="H315" s="1">
        <f t="array" ref="H315">IF(ISNUMBER(MATCH(26917,Telmo!$A:$A,0)), IF(OR(INDEX(Telmo!$D:$D,MATCH(26917,Telmo!$A:$A,0))=1, INDEX(Telmo!$D:$D,MATCH(26917,Telmo!$A:$A,0))=2), INDEX(Telmo!$D:$D,MATCH(26917,Telmo!$A:$A,0)), 0), 0)</f>
        <v>0</v>
      </c>
      <c r="I315" s="1">
        <f t="array" ref="I315">IF(ISNUMBER(MATCH(26917,Max!$A:$A,0)), IF(OR(INDEX(Max!$D:$D,MATCH(26917,Max!$A:$A,0))=1, INDEX(Max!$D:$D,MATCH(26917,Max!$A:$A,0))=2), INDEX(Max!$D:$D,MATCH(26917,Max!$A:$A,0)), 0), 0)</f>
        <v>0</v>
      </c>
    </row>
    <row r="316" spans="1:9" ht="15.75" customHeight="1" x14ac:dyDescent="0.2">
      <c r="A316" s="1">
        <v>53858</v>
      </c>
      <c r="B316" s="1" t="s">
        <v>336</v>
      </c>
      <c r="C316" s="1" t="s">
        <v>815</v>
      </c>
      <c r="D316" s="1" t="str">
        <f t="shared" si="1"/>
        <v>1</v>
      </c>
      <c r="E316" s="1" t="s">
        <v>816</v>
      </c>
      <c r="G316" s="1">
        <f t="array" ref="G316">IF(ISNUMBER(MATCH(53858,Camille!$A:$A,0)), IF(OR(INDEX(Camille!$D:$D,MATCH(53858,Camille!$A:$A,0))=1, INDEX(Camille!$D:$D,MATCH(53858,Camille!$A:$A,0))=2), INDEX(Camille!$D:$D,MATCH(53858,Camille!$A:$A,0)), 0), 0)</f>
        <v>1</v>
      </c>
      <c r="H316" s="1">
        <f t="array" ref="H316">IF(ISNUMBER(MATCH(53858,Telmo!$A:$A,0)), IF(OR(INDEX(Telmo!$D:$D,MATCH(53858,Telmo!$A:$A,0))=1, INDEX(Telmo!$D:$D,MATCH(53858,Telmo!$A:$A,0))=2), INDEX(Telmo!$D:$D,MATCH(53858,Telmo!$A:$A,0)), 0), 0)</f>
        <v>0</v>
      </c>
      <c r="I316" s="1">
        <f t="array" ref="I316">IF(ISNUMBER(MATCH(53858,Max!$A:$A,0)), IF(OR(INDEX(Max!$D:$D,MATCH(53858,Max!$A:$A,0))=1, INDEX(Max!$D:$D,MATCH(53858,Max!$A:$A,0))=2), INDEX(Max!$D:$D,MATCH(53858,Max!$A:$A,0)), 0), 0)</f>
        <v>0</v>
      </c>
    </row>
    <row r="317" spans="1:9" ht="15.75" customHeight="1" x14ac:dyDescent="0.2">
      <c r="A317" s="1">
        <v>51982</v>
      </c>
      <c r="B317" s="1" t="s">
        <v>188</v>
      </c>
      <c r="C317" s="1" t="s">
        <v>817</v>
      </c>
      <c r="D317" s="1" t="str">
        <f t="shared" si="1"/>
        <v>1</v>
      </c>
      <c r="E317" s="1" t="s">
        <v>818</v>
      </c>
      <c r="G317" s="1">
        <f t="array" ref="G317">IF(ISNUMBER(MATCH(51982,Camille!$A:$A,0)), IF(OR(INDEX(Camille!$D:$D,MATCH(51982,Camille!$A:$A,0))=1, INDEX(Camille!$D:$D,MATCH(51982,Camille!$A:$A,0))=2), INDEX(Camille!$D:$D,MATCH(51982,Camille!$A:$A,0)), 0), 0)</f>
        <v>1</v>
      </c>
      <c r="H317" s="1">
        <f t="array" ref="H317">IF(ISNUMBER(MATCH(51982,Telmo!$A:$A,0)), IF(OR(INDEX(Telmo!$D:$D,MATCH(51982,Telmo!$A:$A,0))=1, INDEX(Telmo!$D:$D,MATCH(51982,Telmo!$A:$A,0))=2), INDEX(Telmo!$D:$D,MATCH(51982,Telmo!$A:$A,0)), 0), 0)</f>
        <v>0</v>
      </c>
      <c r="I317" s="1">
        <f t="array" ref="I317">IF(ISNUMBER(MATCH(51982,Max!$A:$A,0)), IF(OR(INDEX(Max!$D:$D,MATCH(51982,Max!$A:$A,0))=1, INDEX(Max!$D:$D,MATCH(51982,Max!$A:$A,0))=2), INDEX(Max!$D:$D,MATCH(51982,Max!$A:$A,0)), 0), 0)</f>
        <v>0</v>
      </c>
    </row>
    <row r="318" spans="1:9" ht="15.75" customHeight="1" x14ac:dyDescent="0.2">
      <c r="A318" s="1">
        <v>15014</v>
      </c>
      <c r="B318" s="1" t="s">
        <v>819</v>
      </c>
      <c r="C318" s="1" t="s">
        <v>820</v>
      </c>
      <c r="D318" s="1" t="str">
        <f t="shared" si="1"/>
        <v>1</v>
      </c>
      <c r="E318" s="1" t="s">
        <v>821</v>
      </c>
      <c r="G318" s="1">
        <f t="array" ref="G318">IF(ISNUMBER(MATCH(15014,Camille!$A:$A,0)), IF(OR(INDEX(Camille!$D:$D,MATCH(15014,Camille!$A:$A,0))=1, INDEX(Camille!$D:$D,MATCH(15014,Camille!$A:$A,0))=2), INDEX(Camille!$D:$D,MATCH(15014,Camille!$A:$A,0)), 0), 0)</f>
        <v>1</v>
      </c>
      <c r="H318" s="1">
        <f t="array" ref="H318">IF(ISNUMBER(MATCH(15014,Telmo!$A:$A,0)), IF(OR(INDEX(Telmo!$D:$D,MATCH(15014,Telmo!$A:$A,0))=1, INDEX(Telmo!$D:$D,MATCH(15014,Telmo!$A:$A,0))=2), INDEX(Telmo!$D:$D,MATCH(15014,Telmo!$A:$A,0)), 0), 0)</f>
        <v>0</v>
      </c>
      <c r="I318" s="1">
        <f t="array" ref="I318">IF(ISNUMBER(MATCH(15014,Max!$A:$A,0)), IF(OR(INDEX(Max!$D:$D,MATCH(15014,Max!$A:$A,0))=1, INDEX(Max!$D:$D,MATCH(15014,Max!$A:$A,0))=2), INDEX(Max!$D:$D,MATCH(15014,Max!$A:$A,0)), 0), 0)</f>
        <v>0</v>
      </c>
    </row>
    <row r="319" spans="1:9" ht="15.75" customHeight="1" x14ac:dyDescent="0.2">
      <c r="A319" s="1">
        <v>64903</v>
      </c>
      <c r="B319" s="1" t="s">
        <v>32</v>
      </c>
      <c r="C319" s="1" t="s">
        <v>822</v>
      </c>
      <c r="D319" s="1" t="str">
        <f t="shared" si="1"/>
        <v>1</v>
      </c>
      <c r="E319" s="1" t="s">
        <v>823</v>
      </c>
      <c r="G319" s="1">
        <f t="array" ref="G319">IF(ISNUMBER(MATCH(64903,Camille!$A:$A,0)), IF(OR(INDEX(Camille!$D:$D,MATCH(64903,Camille!$A:$A,0))=1, INDEX(Camille!$D:$D,MATCH(64903,Camille!$A:$A,0))=2), INDEX(Camille!$D:$D,MATCH(64903,Camille!$A:$A,0)), 0), 0)</f>
        <v>1</v>
      </c>
      <c r="H319" s="1">
        <f t="array" ref="H319">IF(ISNUMBER(MATCH(64903,Telmo!$A:$A,0)), IF(OR(INDEX(Telmo!$D:$D,MATCH(64903,Telmo!$A:$A,0))=1, INDEX(Telmo!$D:$D,MATCH(64903,Telmo!$A:$A,0))=2), INDEX(Telmo!$D:$D,MATCH(64903,Telmo!$A:$A,0)), 0), 0)</f>
        <v>0</v>
      </c>
      <c r="I319" s="1">
        <f t="array" ref="I319">IF(ISNUMBER(MATCH(64903,Max!$A:$A,0)), IF(OR(INDEX(Max!$D:$D,MATCH(64903,Max!$A:$A,0))=1, INDEX(Max!$D:$D,MATCH(64903,Max!$A:$A,0))=2), INDEX(Max!$D:$D,MATCH(64903,Max!$A:$A,0)), 0), 0)</f>
        <v>0</v>
      </c>
    </row>
    <row r="320" spans="1:9" ht="15.75" customHeight="1" x14ac:dyDescent="0.2">
      <c r="A320" s="1">
        <v>9424</v>
      </c>
      <c r="B320" s="1" t="s">
        <v>268</v>
      </c>
      <c r="C320" s="1" t="s">
        <v>824</v>
      </c>
      <c r="D320" s="1" t="str">
        <f t="shared" si="1"/>
        <v>2</v>
      </c>
      <c r="E320" s="1" t="s">
        <v>825</v>
      </c>
      <c r="G320" s="1">
        <f t="array" ref="G320">IF(ISNUMBER(MATCH(9424,Camille!$A:$A,0)), IF(OR(INDEX(Camille!$D:$D,MATCH(9424,Camille!$A:$A,0))=1, INDEX(Camille!$D:$D,MATCH(9424,Camille!$A:$A,0))=2), INDEX(Camille!$D:$D,MATCH(9424,Camille!$A:$A,0)), 0), 0)</f>
        <v>2</v>
      </c>
      <c r="H320" s="1">
        <f t="array" ref="H320">IF(ISNUMBER(MATCH(9424,Telmo!$A:$A,0)), IF(OR(INDEX(Telmo!$D:$D,MATCH(9424,Telmo!$A:$A,0))=1, INDEX(Telmo!$D:$D,MATCH(9424,Telmo!$A:$A,0))=2), INDEX(Telmo!$D:$D,MATCH(9424,Telmo!$A:$A,0)), 0), 0)</f>
        <v>0</v>
      </c>
      <c r="I320" s="1">
        <f t="array" ref="I320">IF(ISNUMBER(MATCH(9424,Max!$A:$A,0)), IF(OR(INDEX(Max!$D:$D,MATCH(9424,Max!$A:$A,0))=1, INDEX(Max!$D:$D,MATCH(9424,Max!$A:$A,0))=2), INDEX(Max!$D:$D,MATCH(9424,Max!$A:$A,0)), 0), 0)</f>
        <v>0</v>
      </c>
    </row>
    <row r="321" spans="1:9" ht="15.75" customHeight="1" x14ac:dyDescent="0.2">
      <c r="A321" s="1">
        <v>43958</v>
      </c>
      <c r="B321" s="1" t="s">
        <v>32</v>
      </c>
      <c r="C321" s="1" t="s">
        <v>826</v>
      </c>
      <c r="D321" s="1" t="str">
        <f t="shared" si="1"/>
        <v>1</v>
      </c>
      <c r="E321" s="1" t="s">
        <v>827</v>
      </c>
      <c r="G321" s="1">
        <f t="array" ref="G321">IF(ISNUMBER(MATCH(43958,Camille!$A:$A,0)), IF(OR(INDEX(Camille!$D:$D,MATCH(43958,Camille!$A:$A,0))=1, INDEX(Camille!$D:$D,MATCH(43958,Camille!$A:$A,0))=2), INDEX(Camille!$D:$D,MATCH(43958,Camille!$A:$A,0)), 0), 0)</f>
        <v>1</v>
      </c>
      <c r="H321" s="1">
        <f t="array" ref="H321">IF(ISNUMBER(MATCH(43958,Telmo!$A:$A,0)), IF(OR(INDEX(Telmo!$D:$D,MATCH(43958,Telmo!$A:$A,0))=1, INDEX(Telmo!$D:$D,MATCH(43958,Telmo!$A:$A,0))=2), INDEX(Telmo!$D:$D,MATCH(43958,Telmo!$A:$A,0)), 0), 0)</f>
        <v>0</v>
      </c>
      <c r="I321" s="1">
        <f t="array" ref="I321">IF(ISNUMBER(MATCH(43958,Max!$A:$A,0)), IF(OR(INDEX(Max!$D:$D,MATCH(43958,Max!$A:$A,0))=1, INDEX(Max!$D:$D,MATCH(43958,Max!$A:$A,0))=2), INDEX(Max!$D:$D,MATCH(43958,Max!$A:$A,0)), 0), 0)</f>
        <v>0</v>
      </c>
    </row>
    <row r="322" spans="1:9" ht="15.75" customHeight="1" x14ac:dyDescent="0.2">
      <c r="A322" s="1">
        <v>19098</v>
      </c>
      <c r="B322" s="1" t="s">
        <v>23</v>
      </c>
      <c r="C322" s="1" t="s">
        <v>828</v>
      </c>
      <c r="D322" s="1" t="str">
        <f t="shared" si="1"/>
        <v>1</v>
      </c>
      <c r="E322" s="1" t="s">
        <v>829</v>
      </c>
      <c r="G322" s="1">
        <f t="array" ref="G322">IF(ISNUMBER(MATCH(19098,Camille!$A:$A,0)), IF(OR(INDEX(Camille!$D:$D,MATCH(19098,Camille!$A:$A,0))=1, INDEX(Camille!$D:$D,MATCH(19098,Camille!$A:$A,0))=2), INDEX(Camille!$D:$D,MATCH(19098,Camille!$A:$A,0)), 0), 0)</f>
        <v>1</v>
      </c>
      <c r="H322" s="1">
        <f t="array" ref="H322">IF(ISNUMBER(MATCH(19098,Telmo!$A:$A,0)), IF(OR(INDEX(Telmo!$D:$D,MATCH(19098,Telmo!$A:$A,0))=1, INDEX(Telmo!$D:$D,MATCH(19098,Telmo!$A:$A,0))=2), INDEX(Telmo!$D:$D,MATCH(19098,Telmo!$A:$A,0)), 0), 0)</f>
        <v>0</v>
      </c>
      <c r="I322" s="1">
        <f t="array" ref="I322">IF(ISNUMBER(MATCH(19098,Max!$A:$A,0)), IF(OR(INDEX(Max!$D:$D,MATCH(19098,Max!$A:$A,0))=1, INDEX(Max!$D:$D,MATCH(19098,Max!$A:$A,0))=2), INDEX(Max!$D:$D,MATCH(19098,Max!$A:$A,0)), 0), 0)</f>
        <v>0</v>
      </c>
    </row>
    <row r="323" spans="1:9" ht="15.75" customHeight="1" x14ac:dyDescent="0.2">
      <c r="A323" s="1">
        <v>21053</v>
      </c>
      <c r="B323" s="1" t="s">
        <v>38</v>
      </c>
      <c r="C323" s="1" t="s">
        <v>830</v>
      </c>
      <c r="D323" s="1" t="str">
        <f t="shared" si="1"/>
        <v>2</v>
      </c>
      <c r="E323" s="1" t="s">
        <v>831</v>
      </c>
      <c r="G323" s="1">
        <f t="array" ref="G323">IF(ISNUMBER(MATCH(21053,Camille!$A:$A,0)), IF(OR(INDEX(Camille!$D:$D,MATCH(21053,Camille!$A:$A,0))=1, INDEX(Camille!$D:$D,MATCH(21053,Camille!$A:$A,0))=2), INDEX(Camille!$D:$D,MATCH(21053,Camille!$A:$A,0)), 0), 0)</f>
        <v>2</v>
      </c>
      <c r="H323" s="1">
        <f t="array" ref="H323">IF(ISNUMBER(MATCH(21053,Telmo!$A:$A,0)), IF(OR(INDEX(Telmo!$D:$D,MATCH(21053,Telmo!$A:$A,0))=1, INDEX(Telmo!$D:$D,MATCH(21053,Telmo!$A:$A,0))=2), INDEX(Telmo!$D:$D,MATCH(21053,Telmo!$A:$A,0)), 0), 0)</f>
        <v>0</v>
      </c>
      <c r="I323" s="1">
        <f t="array" ref="I323">IF(ISNUMBER(MATCH(21053,Max!$A:$A,0)), IF(OR(INDEX(Max!$D:$D,MATCH(21053,Max!$A:$A,0))=1, INDEX(Max!$D:$D,MATCH(21053,Max!$A:$A,0))=2), INDEX(Max!$D:$D,MATCH(21053,Max!$A:$A,0)), 0), 0)</f>
        <v>0</v>
      </c>
    </row>
    <row r="324" spans="1:9" ht="15.75" customHeight="1" x14ac:dyDescent="0.2">
      <c r="A324" s="1">
        <v>2082</v>
      </c>
      <c r="B324" s="1" t="s">
        <v>524</v>
      </c>
      <c r="C324" s="1" t="s">
        <v>832</v>
      </c>
      <c r="D324" s="1" t="str">
        <f t="shared" si="1"/>
        <v>2</v>
      </c>
      <c r="E324" s="1" t="s">
        <v>833</v>
      </c>
      <c r="G324" s="1">
        <f t="array" ref="G324">IF(ISNUMBER(MATCH(2082,Camille!$A:$A,0)), IF(OR(INDEX(Camille!$D:$D,MATCH(2082,Camille!$A:$A,0))=1, INDEX(Camille!$D:$D,MATCH(2082,Camille!$A:$A,0))=2), INDEX(Camille!$D:$D,MATCH(2082,Camille!$A:$A,0)), 0), 0)</f>
        <v>2</v>
      </c>
      <c r="H324" s="1">
        <f t="array" ref="H324">IF(ISNUMBER(MATCH(2082,Telmo!$A:$A,0)), IF(OR(INDEX(Telmo!$D:$D,MATCH(2082,Telmo!$A:$A,0))=1, INDEX(Telmo!$D:$D,MATCH(2082,Telmo!$A:$A,0))=2), INDEX(Telmo!$D:$D,MATCH(2082,Telmo!$A:$A,0)), 0), 0)</f>
        <v>0</v>
      </c>
      <c r="I324" s="1">
        <f t="array" ref="I324">IF(ISNUMBER(MATCH(2082,Max!$A:$A,0)), IF(OR(INDEX(Max!$D:$D,MATCH(2082,Max!$A:$A,0))=1, INDEX(Max!$D:$D,MATCH(2082,Max!$A:$A,0))=2), INDEX(Max!$D:$D,MATCH(2082,Max!$A:$A,0)), 0), 0)</f>
        <v>0</v>
      </c>
    </row>
    <row r="325" spans="1:9" ht="15.75" customHeight="1" x14ac:dyDescent="0.2">
      <c r="A325" s="1">
        <v>62272</v>
      </c>
      <c r="B325" s="1" t="s">
        <v>301</v>
      </c>
      <c r="C325" s="1" t="s">
        <v>834</v>
      </c>
      <c r="D325" s="1" t="str">
        <f t="shared" si="1"/>
        <v>2</v>
      </c>
      <c r="E325" s="1" t="s">
        <v>835</v>
      </c>
      <c r="G325" s="1">
        <f t="array" ref="G325">IF(ISNUMBER(MATCH(62272,Camille!$A:$A,0)), IF(OR(INDEX(Camille!$D:$D,MATCH(62272,Camille!$A:$A,0))=1, INDEX(Camille!$D:$D,MATCH(62272,Camille!$A:$A,0))=2), INDEX(Camille!$D:$D,MATCH(62272,Camille!$A:$A,0)), 0), 0)</f>
        <v>2</v>
      </c>
      <c r="H325" s="1">
        <f t="array" ref="H325">IF(ISNUMBER(MATCH(62272,Telmo!$A:$A,0)), IF(OR(INDEX(Telmo!$D:$D,MATCH(62272,Telmo!$A:$A,0))=1, INDEX(Telmo!$D:$D,MATCH(62272,Telmo!$A:$A,0))=2), INDEX(Telmo!$D:$D,MATCH(62272,Telmo!$A:$A,0)), 0), 0)</f>
        <v>0</v>
      </c>
      <c r="I325" s="1">
        <f t="array" ref="I325">IF(ISNUMBER(MATCH(62272,Max!$A:$A,0)), IF(OR(INDEX(Max!$D:$D,MATCH(62272,Max!$A:$A,0))=1, INDEX(Max!$D:$D,MATCH(62272,Max!$A:$A,0))=2), INDEX(Max!$D:$D,MATCH(62272,Max!$A:$A,0)), 0), 0)</f>
        <v>0</v>
      </c>
    </row>
    <row r="326" spans="1:9" ht="15.75" customHeight="1" x14ac:dyDescent="0.2">
      <c r="A326" s="1">
        <v>42161</v>
      </c>
      <c r="B326" s="1" t="s">
        <v>382</v>
      </c>
      <c r="C326" s="1" t="s">
        <v>836</v>
      </c>
      <c r="D326" s="1" t="str">
        <f t="shared" si="1"/>
        <v>1</v>
      </c>
      <c r="E326" s="1" t="s">
        <v>837</v>
      </c>
      <c r="G326" s="1">
        <f t="array" ref="G326">IF(ISNUMBER(MATCH(42161,Camille!$A:$A,0)), IF(OR(INDEX(Camille!$D:$D,MATCH(42161,Camille!$A:$A,0))=1, INDEX(Camille!$D:$D,MATCH(42161,Camille!$A:$A,0))=2), INDEX(Camille!$D:$D,MATCH(42161,Camille!$A:$A,0)), 0), 0)</f>
        <v>1</v>
      </c>
      <c r="H326" s="1">
        <f t="array" ref="H326">IF(ISNUMBER(MATCH(42161,Telmo!$A:$A,0)), IF(OR(INDEX(Telmo!$D:$D,MATCH(42161,Telmo!$A:$A,0))=1, INDEX(Telmo!$D:$D,MATCH(42161,Telmo!$A:$A,0))=2), INDEX(Telmo!$D:$D,MATCH(42161,Telmo!$A:$A,0)), 0), 0)</f>
        <v>0</v>
      </c>
      <c r="I326" s="1">
        <f t="array" ref="I326">IF(ISNUMBER(MATCH(42161,Max!$A:$A,0)), IF(OR(INDEX(Max!$D:$D,MATCH(42161,Max!$A:$A,0))=1, INDEX(Max!$D:$D,MATCH(42161,Max!$A:$A,0))=2), INDEX(Max!$D:$D,MATCH(42161,Max!$A:$A,0)), 0), 0)</f>
        <v>0</v>
      </c>
    </row>
    <row r="327" spans="1:9" ht="15.75" customHeight="1" x14ac:dyDescent="0.2">
      <c r="A327" s="1">
        <v>17861</v>
      </c>
      <c r="B327" s="1" t="s">
        <v>838</v>
      </c>
      <c r="C327" s="1" t="s">
        <v>839</v>
      </c>
      <c r="D327" s="1" t="str">
        <f t="shared" si="1"/>
        <v>2</v>
      </c>
      <c r="E327" s="1" t="s">
        <v>840</v>
      </c>
      <c r="G327" s="1">
        <f t="array" ref="G327">IF(ISNUMBER(MATCH(17861,Camille!$A:$A,0)), IF(OR(INDEX(Camille!$D:$D,MATCH(17861,Camille!$A:$A,0))=1, INDEX(Camille!$D:$D,MATCH(17861,Camille!$A:$A,0))=2), INDEX(Camille!$D:$D,MATCH(17861,Camille!$A:$A,0)), 0), 0)</f>
        <v>2</v>
      </c>
      <c r="H327" s="1">
        <f t="array" ref="H327">IF(ISNUMBER(MATCH(17861,Telmo!$A:$A,0)), IF(OR(INDEX(Telmo!$D:$D,MATCH(17861,Telmo!$A:$A,0))=1, INDEX(Telmo!$D:$D,MATCH(17861,Telmo!$A:$A,0))=2), INDEX(Telmo!$D:$D,MATCH(17861,Telmo!$A:$A,0)), 0), 0)</f>
        <v>0</v>
      </c>
      <c r="I327" s="1">
        <f t="array" ref="I327">IF(ISNUMBER(MATCH(17861,Max!$A:$A,0)), IF(OR(INDEX(Max!$D:$D,MATCH(17861,Max!$A:$A,0))=1, INDEX(Max!$D:$D,MATCH(17861,Max!$A:$A,0))=2), INDEX(Max!$D:$D,MATCH(17861,Max!$A:$A,0)), 0), 0)</f>
        <v>0</v>
      </c>
    </row>
    <row r="328" spans="1:9" ht="15.75" customHeight="1" x14ac:dyDescent="0.2">
      <c r="A328" s="1">
        <v>37119</v>
      </c>
      <c r="B328" s="1" t="s">
        <v>841</v>
      </c>
      <c r="C328" s="1" t="s">
        <v>842</v>
      </c>
      <c r="D328" s="1" t="str">
        <f t="shared" si="1"/>
        <v>2</v>
      </c>
      <c r="E328" s="1" t="s">
        <v>843</v>
      </c>
      <c r="G328" s="1">
        <f t="array" ref="G328">IF(ISNUMBER(MATCH(37119,Camille!$A:$A,0)), IF(OR(INDEX(Camille!$D:$D,MATCH(37119,Camille!$A:$A,0))=1, INDEX(Camille!$D:$D,MATCH(37119,Camille!$A:$A,0))=2), INDEX(Camille!$D:$D,MATCH(37119,Camille!$A:$A,0)), 0), 0)</f>
        <v>2</v>
      </c>
      <c r="H328" s="1">
        <f t="array" ref="H328">IF(ISNUMBER(MATCH(37119,Telmo!$A:$A,0)), IF(OR(INDEX(Telmo!$D:$D,MATCH(37119,Telmo!$A:$A,0))=1, INDEX(Telmo!$D:$D,MATCH(37119,Telmo!$A:$A,0))=2), INDEX(Telmo!$D:$D,MATCH(37119,Telmo!$A:$A,0)), 0), 0)</f>
        <v>0</v>
      </c>
      <c r="I328" s="1">
        <f t="array" ref="I328">IF(ISNUMBER(MATCH(37119,Max!$A:$A,0)), IF(OR(INDEX(Max!$D:$D,MATCH(37119,Max!$A:$A,0))=1, INDEX(Max!$D:$D,MATCH(37119,Max!$A:$A,0))=2), INDEX(Max!$D:$D,MATCH(37119,Max!$A:$A,0)), 0), 0)</f>
        <v>0</v>
      </c>
    </row>
    <row r="329" spans="1:9" ht="15.75" customHeight="1" x14ac:dyDescent="0.2">
      <c r="A329" s="1">
        <v>48971</v>
      </c>
      <c r="B329" s="1" t="s">
        <v>109</v>
      </c>
      <c r="C329" s="1" t="s">
        <v>844</v>
      </c>
      <c r="D329" s="1" t="str">
        <f t="shared" si="1"/>
        <v>2</v>
      </c>
      <c r="E329" s="1" t="s">
        <v>845</v>
      </c>
      <c r="G329" s="1">
        <f t="array" ref="G329">IF(ISNUMBER(MATCH(48971,Camille!$A:$A,0)), IF(OR(INDEX(Camille!$D:$D,MATCH(48971,Camille!$A:$A,0))=1, INDEX(Camille!$D:$D,MATCH(48971,Camille!$A:$A,0))=2), INDEX(Camille!$D:$D,MATCH(48971,Camille!$A:$A,0)), 0), 0)</f>
        <v>2</v>
      </c>
      <c r="H329" s="1">
        <f t="array" ref="H329">IF(ISNUMBER(MATCH(48971,Telmo!$A:$A,0)), IF(OR(INDEX(Telmo!$D:$D,MATCH(48971,Telmo!$A:$A,0))=1, INDEX(Telmo!$D:$D,MATCH(48971,Telmo!$A:$A,0))=2), INDEX(Telmo!$D:$D,MATCH(48971,Telmo!$A:$A,0)), 0), 0)</f>
        <v>0</v>
      </c>
      <c r="I329" s="1">
        <f t="array" ref="I329">IF(ISNUMBER(MATCH(48971,Max!$A:$A,0)), IF(OR(INDEX(Max!$D:$D,MATCH(48971,Max!$A:$A,0))=1, INDEX(Max!$D:$D,MATCH(48971,Max!$A:$A,0))=2), INDEX(Max!$D:$D,MATCH(48971,Max!$A:$A,0)), 0), 0)</f>
        <v>0</v>
      </c>
    </row>
    <row r="330" spans="1:9" ht="15.75" customHeight="1" x14ac:dyDescent="0.2">
      <c r="A330" s="1">
        <v>31375</v>
      </c>
      <c r="B330" s="1" t="s">
        <v>405</v>
      </c>
      <c r="C330" s="1" t="s">
        <v>846</v>
      </c>
      <c r="D330" s="1" t="str">
        <f t="shared" si="1"/>
        <v>2</v>
      </c>
      <c r="E330" s="1" t="s">
        <v>847</v>
      </c>
      <c r="G330" s="1">
        <f t="array" ref="G330">IF(ISNUMBER(MATCH(31375,Camille!$A:$A,0)), IF(OR(INDEX(Camille!$D:$D,MATCH(31375,Camille!$A:$A,0))=1, INDEX(Camille!$D:$D,MATCH(31375,Camille!$A:$A,0))=2), INDEX(Camille!$D:$D,MATCH(31375,Camille!$A:$A,0)), 0), 0)</f>
        <v>2</v>
      </c>
      <c r="H330" s="1">
        <f t="array" ref="H330">IF(ISNUMBER(MATCH(31375,Telmo!$A:$A,0)), IF(OR(INDEX(Telmo!$D:$D,MATCH(31375,Telmo!$A:$A,0))=1, INDEX(Telmo!$D:$D,MATCH(31375,Telmo!$A:$A,0))=2), INDEX(Telmo!$D:$D,MATCH(31375,Telmo!$A:$A,0)), 0), 0)</f>
        <v>0</v>
      </c>
      <c r="I330" s="1">
        <f t="array" ref="I330">IF(ISNUMBER(MATCH(31375,Max!$A:$A,0)), IF(OR(INDEX(Max!$D:$D,MATCH(31375,Max!$A:$A,0))=1, INDEX(Max!$D:$D,MATCH(31375,Max!$A:$A,0))=2), INDEX(Max!$D:$D,MATCH(31375,Max!$A:$A,0)), 0), 0)</f>
        <v>0</v>
      </c>
    </row>
    <row r="331" spans="1:9" ht="15.75" customHeight="1" x14ac:dyDescent="0.2">
      <c r="A331" s="1">
        <v>9706</v>
      </c>
      <c r="B331" s="1" t="s">
        <v>848</v>
      </c>
      <c r="C331" s="1" t="s">
        <v>849</v>
      </c>
      <c r="D331" s="1" t="str">
        <f t="shared" si="1"/>
        <v>2</v>
      </c>
      <c r="E331" s="1" t="s">
        <v>850</v>
      </c>
      <c r="G331" s="1">
        <f t="array" ref="G331">IF(ISNUMBER(MATCH(9706,Camille!$A:$A,0)), IF(OR(INDEX(Camille!$D:$D,MATCH(9706,Camille!$A:$A,0))=1, INDEX(Camille!$D:$D,MATCH(9706,Camille!$A:$A,0))=2), INDEX(Camille!$D:$D,MATCH(9706,Camille!$A:$A,0)), 0), 0)</f>
        <v>2</v>
      </c>
      <c r="H331" s="1">
        <f t="array" ref="H331">IF(ISNUMBER(MATCH(9706,Telmo!$A:$A,0)), IF(OR(INDEX(Telmo!$D:$D,MATCH(9706,Telmo!$A:$A,0))=1, INDEX(Telmo!$D:$D,MATCH(9706,Telmo!$A:$A,0))=2), INDEX(Telmo!$D:$D,MATCH(9706,Telmo!$A:$A,0)), 0), 0)</f>
        <v>0</v>
      </c>
      <c r="I331" s="1">
        <f t="array" ref="I331">IF(ISNUMBER(MATCH(9706,Max!$A:$A,0)), IF(OR(INDEX(Max!$D:$D,MATCH(9706,Max!$A:$A,0))=1, INDEX(Max!$D:$D,MATCH(9706,Max!$A:$A,0))=2), INDEX(Max!$D:$D,MATCH(9706,Max!$A:$A,0)), 0), 0)</f>
        <v>0</v>
      </c>
    </row>
    <row r="332" spans="1:9" ht="15.75" customHeight="1" x14ac:dyDescent="0.2">
      <c r="A332" s="1">
        <v>71071</v>
      </c>
      <c r="B332" s="1" t="s">
        <v>377</v>
      </c>
      <c r="C332" s="1" t="s">
        <v>851</v>
      </c>
      <c r="D332" s="1" t="str">
        <f t="shared" si="1"/>
        <v>1</v>
      </c>
      <c r="E332" s="1" t="s">
        <v>852</v>
      </c>
      <c r="G332" s="1">
        <f t="array" ref="G332">IF(ISNUMBER(MATCH(71071,Camille!$A:$A,0)), IF(OR(INDEX(Camille!$D:$D,MATCH(71071,Camille!$A:$A,0))=1, INDEX(Camille!$D:$D,MATCH(71071,Camille!$A:$A,0))=2), INDEX(Camille!$D:$D,MATCH(71071,Camille!$A:$A,0)), 0), 0)</f>
        <v>1</v>
      </c>
      <c r="H332" s="1">
        <f t="array" ref="H332">IF(ISNUMBER(MATCH(71071,Telmo!$A:$A,0)), IF(OR(INDEX(Telmo!$D:$D,MATCH(71071,Telmo!$A:$A,0))=1, INDEX(Telmo!$D:$D,MATCH(71071,Telmo!$A:$A,0))=2), INDEX(Telmo!$D:$D,MATCH(71071,Telmo!$A:$A,0)), 0), 0)</f>
        <v>0</v>
      </c>
      <c r="I332" s="1">
        <f t="array" ref="I332">IF(ISNUMBER(MATCH(71071,Max!$A:$A,0)), IF(OR(INDEX(Max!$D:$D,MATCH(71071,Max!$A:$A,0))=1, INDEX(Max!$D:$D,MATCH(71071,Max!$A:$A,0))=2), INDEX(Max!$D:$D,MATCH(71071,Max!$A:$A,0)), 0), 0)</f>
        <v>0</v>
      </c>
    </row>
    <row r="333" spans="1:9" ht="15.75" customHeight="1" x14ac:dyDescent="0.2">
      <c r="A333" s="1">
        <v>56693</v>
      </c>
      <c r="B333" s="1" t="s">
        <v>301</v>
      </c>
      <c r="C333" s="1" t="s">
        <v>853</v>
      </c>
      <c r="D333" s="1" t="str">
        <f t="shared" si="1"/>
        <v>2</v>
      </c>
      <c r="E333" s="1" t="s">
        <v>854</v>
      </c>
      <c r="G333" s="1">
        <f t="array" ref="G333">IF(ISNUMBER(MATCH(56693,Camille!$A:$A,0)), IF(OR(INDEX(Camille!$D:$D,MATCH(56693,Camille!$A:$A,0))=1, INDEX(Camille!$D:$D,MATCH(56693,Camille!$A:$A,0))=2), INDEX(Camille!$D:$D,MATCH(56693,Camille!$A:$A,0)), 0), 0)</f>
        <v>2</v>
      </c>
      <c r="H333" s="1">
        <f t="array" ref="H333">IF(ISNUMBER(MATCH(56693,Telmo!$A:$A,0)), IF(OR(INDEX(Telmo!$D:$D,MATCH(56693,Telmo!$A:$A,0))=1, INDEX(Telmo!$D:$D,MATCH(56693,Telmo!$A:$A,0))=2), INDEX(Telmo!$D:$D,MATCH(56693,Telmo!$A:$A,0)), 0), 0)</f>
        <v>0</v>
      </c>
      <c r="I333" s="1">
        <f t="array" ref="I333">IF(ISNUMBER(MATCH(56693,Max!$A:$A,0)), IF(OR(INDEX(Max!$D:$D,MATCH(56693,Max!$A:$A,0))=1, INDEX(Max!$D:$D,MATCH(56693,Max!$A:$A,0))=2), INDEX(Max!$D:$D,MATCH(56693,Max!$A:$A,0)), 0), 0)</f>
        <v>0</v>
      </c>
    </row>
    <row r="334" spans="1:9" ht="15.75" customHeight="1" x14ac:dyDescent="0.2">
      <c r="A334" s="1">
        <v>2791</v>
      </c>
      <c r="B334" s="1" t="s">
        <v>855</v>
      </c>
      <c r="C334" s="1" t="s">
        <v>856</v>
      </c>
      <c r="D334" s="1" t="str">
        <f t="shared" si="1"/>
        <v>2</v>
      </c>
      <c r="E334" s="1" t="s">
        <v>857</v>
      </c>
      <c r="G334" s="1">
        <f t="array" ref="G334">IF(ISNUMBER(MATCH(2791,Camille!$A:$A,0)), IF(OR(INDEX(Camille!$D:$D,MATCH(2791,Camille!$A:$A,0))=1, INDEX(Camille!$D:$D,MATCH(2791,Camille!$A:$A,0))=2), INDEX(Camille!$D:$D,MATCH(2791,Camille!$A:$A,0)), 0), 0)</f>
        <v>2</v>
      </c>
      <c r="H334" s="1">
        <f t="array" ref="H334">IF(ISNUMBER(MATCH(2791,Telmo!$A:$A,0)), IF(OR(INDEX(Telmo!$D:$D,MATCH(2791,Telmo!$A:$A,0))=1, INDEX(Telmo!$D:$D,MATCH(2791,Telmo!$A:$A,0))=2), INDEX(Telmo!$D:$D,MATCH(2791,Telmo!$A:$A,0)), 0), 0)</f>
        <v>0</v>
      </c>
      <c r="I334" s="1">
        <f t="array" ref="I334">IF(ISNUMBER(MATCH(2791,Max!$A:$A,0)), IF(OR(INDEX(Max!$D:$D,MATCH(2791,Max!$A:$A,0))=1, INDEX(Max!$D:$D,MATCH(2791,Max!$A:$A,0))=2), INDEX(Max!$D:$D,MATCH(2791,Max!$A:$A,0)), 0), 0)</f>
        <v>0</v>
      </c>
    </row>
    <row r="335" spans="1:9" ht="15.75" customHeight="1" x14ac:dyDescent="0.2">
      <c r="A335" s="1">
        <v>28227</v>
      </c>
      <c r="B335" s="1" t="s">
        <v>751</v>
      </c>
      <c r="C335" s="1" t="s">
        <v>858</v>
      </c>
      <c r="D335" s="1" t="str">
        <f t="shared" si="1"/>
        <v>2</v>
      </c>
      <c r="E335" s="1" t="s">
        <v>859</v>
      </c>
      <c r="G335" s="1">
        <f t="array" ref="G335">IF(ISNUMBER(MATCH(28227,Camille!$A:$A,0)), IF(OR(INDEX(Camille!$D:$D,MATCH(28227,Camille!$A:$A,0))=1, INDEX(Camille!$D:$D,MATCH(28227,Camille!$A:$A,0))=2), INDEX(Camille!$D:$D,MATCH(28227,Camille!$A:$A,0)), 0), 0)</f>
        <v>2</v>
      </c>
      <c r="H335" s="1">
        <f t="array" ref="H335">IF(ISNUMBER(MATCH(28227,Telmo!$A:$A,0)), IF(OR(INDEX(Telmo!$D:$D,MATCH(28227,Telmo!$A:$A,0))=1, INDEX(Telmo!$D:$D,MATCH(28227,Telmo!$A:$A,0))=2), INDEX(Telmo!$D:$D,MATCH(28227,Telmo!$A:$A,0)), 0), 0)</f>
        <v>0</v>
      </c>
      <c r="I335" s="1">
        <f t="array" ref="I335">IF(ISNUMBER(MATCH(28227,Max!$A:$A,0)), IF(OR(INDEX(Max!$D:$D,MATCH(28227,Max!$A:$A,0))=1, INDEX(Max!$D:$D,MATCH(28227,Max!$A:$A,0))=2), INDEX(Max!$D:$D,MATCH(28227,Max!$A:$A,0)), 0), 0)</f>
        <v>0</v>
      </c>
    </row>
    <row r="336" spans="1:9" ht="15.75" customHeight="1" x14ac:dyDescent="0.2">
      <c r="A336" s="1">
        <v>60795</v>
      </c>
      <c r="B336" s="1" t="s">
        <v>860</v>
      </c>
      <c r="C336" s="1" t="s">
        <v>861</v>
      </c>
      <c r="D336" s="1" t="str">
        <f t="shared" si="1"/>
        <v>2</v>
      </c>
      <c r="E336" s="1" t="s">
        <v>862</v>
      </c>
      <c r="G336" s="1">
        <f t="array" ref="G336">IF(ISNUMBER(MATCH(60795,Camille!$A:$A,0)), IF(OR(INDEX(Camille!$D:$D,MATCH(60795,Camille!$A:$A,0))=1, INDEX(Camille!$D:$D,MATCH(60795,Camille!$A:$A,0))=2), INDEX(Camille!$D:$D,MATCH(60795,Camille!$A:$A,0)), 0), 0)</f>
        <v>2</v>
      </c>
      <c r="H336" s="1">
        <f t="array" ref="H336">IF(ISNUMBER(MATCH(60795,Telmo!$A:$A,0)), IF(OR(INDEX(Telmo!$D:$D,MATCH(60795,Telmo!$A:$A,0))=1, INDEX(Telmo!$D:$D,MATCH(60795,Telmo!$A:$A,0))=2), INDEX(Telmo!$D:$D,MATCH(60795,Telmo!$A:$A,0)), 0), 0)</f>
        <v>0</v>
      </c>
      <c r="I336" s="1">
        <f t="array" ref="I336">IF(ISNUMBER(MATCH(60795,Max!$A:$A,0)), IF(OR(INDEX(Max!$D:$D,MATCH(60795,Max!$A:$A,0))=1, INDEX(Max!$D:$D,MATCH(60795,Max!$A:$A,0))=2), INDEX(Max!$D:$D,MATCH(60795,Max!$A:$A,0)), 0), 0)</f>
        <v>0</v>
      </c>
    </row>
    <row r="337" spans="1:9" ht="15.75" customHeight="1" x14ac:dyDescent="0.2">
      <c r="A337" s="1">
        <v>61987</v>
      </c>
      <c r="B337" s="1" t="s">
        <v>863</v>
      </c>
      <c r="C337" s="1" t="s">
        <v>864</v>
      </c>
      <c r="D337" s="1" t="str">
        <f t="shared" si="1"/>
        <v>2</v>
      </c>
      <c r="E337" s="1" t="s">
        <v>865</v>
      </c>
      <c r="G337" s="1">
        <f t="array" ref="G337">IF(ISNUMBER(MATCH(61987,Camille!$A:$A,0)), IF(OR(INDEX(Camille!$D:$D,MATCH(61987,Camille!$A:$A,0))=1, INDEX(Camille!$D:$D,MATCH(61987,Camille!$A:$A,0))=2), INDEX(Camille!$D:$D,MATCH(61987,Camille!$A:$A,0)), 0), 0)</f>
        <v>2</v>
      </c>
      <c r="H337" s="1">
        <f t="array" ref="H337">IF(ISNUMBER(MATCH(61987,Telmo!$A:$A,0)), IF(OR(INDEX(Telmo!$D:$D,MATCH(61987,Telmo!$A:$A,0))=1, INDEX(Telmo!$D:$D,MATCH(61987,Telmo!$A:$A,0))=2), INDEX(Telmo!$D:$D,MATCH(61987,Telmo!$A:$A,0)), 0), 0)</f>
        <v>0</v>
      </c>
      <c r="I337" s="1">
        <f t="array" ref="I337">IF(ISNUMBER(MATCH(61987,Max!$A:$A,0)), IF(OR(INDEX(Max!$D:$D,MATCH(61987,Max!$A:$A,0))=1, INDEX(Max!$D:$D,MATCH(61987,Max!$A:$A,0))=2), INDEX(Max!$D:$D,MATCH(61987,Max!$A:$A,0)), 0), 0)</f>
        <v>0</v>
      </c>
    </row>
    <row r="338" spans="1:9" ht="15.75" customHeight="1" x14ac:dyDescent="0.2">
      <c r="A338" s="1">
        <v>19038</v>
      </c>
      <c r="B338" s="1" t="s">
        <v>866</v>
      </c>
      <c r="C338" s="1" t="s">
        <v>867</v>
      </c>
      <c r="D338" s="1" t="str">
        <f t="shared" si="1"/>
        <v>2</v>
      </c>
      <c r="E338" s="1" t="s">
        <v>868</v>
      </c>
      <c r="G338" s="1">
        <f t="array" ref="G338">IF(ISNUMBER(MATCH(19038,Camille!$A:$A,0)), IF(OR(INDEX(Camille!$D:$D,MATCH(19038,Camille!$A:$A,0))=1, INDEX(Camille!$D:$D,MATCH(19038,Camille!$A:$A,0))=2), INDEX(Camille!$D:$D,MATCH(19038,Camille!$A:$A,0)), 0), 0)</f>
        <v>2</v>
      </c>
      <c r="H338" s="1">
        <f t="array" ref="H338">IF(ISNUMBER(MATCH(19038,Telmo!$A:$A,0)), IF(OR(INDEX(Telmo!$D:$D,MATCH(19038,Telmo!$A:$A,0))=1, INDEX(Telmo!$D:$D,MATCH(19038,Telmo!$A:$A,0))=2), INDEX(Telmo!$D:$D,MATCH(19038,Telmo!$A:$A,0)), 0), 0)</f>
        <v>0</v>
      </c>
      <c r="I338" s="1">
        <f t="array" ref="I338">IF(ISNUMBER(MATCH(19038,Max!$A:$A,0)), IF(OR(INDEX(Max!$D:$D,MATCH(19038,Max!$A:$A,0))=1, INDEX(Max!$D:$D,MATCH(19038,Max!$A:$A,0))=2), INDEX(Max!$D:$D,MATCH(19038,Max!$A:$A,0)), 0), 0)</f>
        <v>0</v>
      </c>
    </row>
    <row r="339" spans="1:9" ht="15.75" customHeight="1" x14ac:dyDescent="0.2">
      <c r="A339" s="1">
        <v>50888</v>
      </c>
      <c r="B339" s="1" t="s">
        <v>552</v>
      </c>
      <c r="C339" s="1" t="s">
        <v>869</v>
      </c>
      <c r="D339" s="1" t="str">
        <f t="shared" si="1"/>
        <v>1</v>
      </c>
      <c r="E339" s="1" t="s">
        <v>870</v>
      </c>
      <c r="G339" s="1">
        <f t="array" ref="G339">IF(ISNUMBER(MATCH(50888,Camille!$A:$A,0)), IF(OR(INDEX(Camille!$D:$D,MATCH(50888,Camille!$A:$A,0))=1, INDEX(Camille!$D:$D,MATCH(50888,Camille!$A:$A,0))=2), INDEX(Camille!$D:$D,MATCH(50888,Camille!$A:$A,0)), 0), 0)</f>
        <v>1</v>
      </c>
      <c r="H339" s="1">
        <f t="array" ref="H339">IF(ISNUMBER(MATCH(50888,Telmo!$A:$A,0)), IF(OR(INDEX(Telmo!$D:$D,MATCH(50888,Telmo!$A:$A,0))=1, INDEX(Telmo!$D:$D,MATCH(50888,Telmo!$A:$A,0))=2), INDEX(Telmo!$D:$D,MATCH(50888,Telmo!$A:$A,0)), 0), 0)</f>
        <v>0</v>
      </c>
      <c r="I339" s="1">
        <f t="array" ref="I339">IF(ISNUMBER(MATCH(50888,Max!$A:$A,0)), IF(OR(INDEX(Max!$D:$D,MATCH(50888,Max!$A:$A,0))=1, INDEX(Max!$D:$D,MATCH(50888,Max!$A:$A,0))=2), INDEX(Max!$D:$D,MATCH(50888,Max!$A:$A,0)), 0), 0)</f>
        <v>0</v>
      </c>
    </row>
    <row r="340" spans="1:9" ht="15.75" customHeight="1" x14ac:dyDescent="0.2">
      <c r="A340" s="1">
        <v>36696</v>
      </c>
      <c r="B340" s="1" t="s">
        <v>385</v>
      </c>
      <c r="C340" s="1" t="s">
        <v>871</v>
      </c>
      <c r="D340" s="1" t="str">
        <f t="shared" si="1"/>
        <v>2</v>
      </c>
      <c r="E340" s="1" t="s">
        <v>872</v>
      </c>
      <c r="G340" s="1">
        <f t="array" ref="G340">IF(ISNUMBER(MATCH(36696,Camille!$A:$A,0)), IF(OR(INDEX(Camille!$D:$D,MATCH(36696,Camille!$A:$A,0))=1, INDEX(Camille!$D:$D,MATCH(36696,Camille!$A:$A,0))=2), INDEX(Camille!$D:$D,MATCH(36696,Camille!$A:$A,0)), 0), 0)</f>
        <v>2</v>
      </c>
      <c r="H340" s="1">
        <f t="array" ref="H340">IF(ISNUMBER(MATCH(36696,Telmo!$A:$A,0)), IF(OR(INDEX(Telmo!$D:$D,MATCH(36696,Telmo!$A:$A,0))=1, INDEX(Telmo!$D:$D,MATCH(36696,Telmo!$A:$A,0))=2), INDEX(Telmo!$D:$D,MATCH(36696,Telmo!$A:$A,0)), 0), 0)</f>
        <v>0</v>
      </c>
      <c r="I340" s="1">
        <f t="array" ref="I340">IF(ISNUMBER(MATCH(36696,Max!$A:$A,0)), IF(OR(INDEX(Max!$D:$D,MATCH(36696,Max!$A:$A,0))=1, INDEX(Max!$D:$D,MATCH(36696,Max!$A:$A,0))=2), INDEX(Max!$D:$D,MATCH(36696,Max!$A:$A,0)), 0), 0)</f>
        <v>0</v>
      </c>
    </row>
    <row r="341" spans="1:9" ht="15.75" customHeight="1" x14ac:dyDescent="0.2">
      <c r="A341" s="1">
        <v>40810</v>
      </c>
      <c r="B341" s="1" t="s">
        <v>873</v>
      </c>
      <c r="C341" s="1" t="s">
        <v>874</v>
      </c>
      <c r="D341" s="1" t="str">
        <f t="shared" si="1"/>
        <v>2</v>
      </c>
      <c r="E341" s="1" t="s">
        <v>875</v>
      </c>
      <c r="G341" s="1">
        <f t="array" ref="G341">IF(ISNUMBER(MATCH(40810,Camille!$A:$A,0)), IF(OR(INDEX(Camille!$D:$D,MATCH(40810,Camille!$A:$A,0))=1, INDEX(Camille!$D:$D,MATCH(40810,Camille!$A:$A,0))=2), INDEX(Camille!$D:$D,MATCH(40810,Camille!$A:$A,0)), 0), 0)</f>
        <v>2</v>
      </c>
      <c r="H341" s="1">
        <f t="array" ref="H341">IF(ISNUMBER(MATCH(40810,Telmo!$A:$A,0)), IF(OR(INDEX(Telmo!$D:$D,MATCH(40810,Telmo!$A:$A,0))=1, INDEX(Telmo!$D:$D,MATCH(40810,Telmo!$A:$A,0))=2), INDEX(Telmo!$D:$D,MATCH(40810,Telmo!$A:$A,0)), 0), 0)</f>
        <v>0</v>
      </c>
      <c r="I341" s="1">
        <f t="array" ref="I341">IF(ISNUMBER(MATCH(40810,Max!$A:$A,0)), IF(OR(INDEX(Max!$D:$D,MATCH(40810,Max!$A:$A,0))=1, INDEX(Max!$D:$D,MATCH(40810,Max!$A:$A,0))=2), INDEX(Max!$D:$D,MATCH(40810,Max!$A:$A,0)), 0), 0)</f>
        <v>0</v>
      </c>
    </row>
    <row r="342" spans="1:9" ht="15.75" customHeight="1" x14ac:dyDescent="0.2">
      <c r="A342" s="1">
        <v>71670</v>
      </c>
      <c r="B342" s="1" t="s">
        <v>53</v>
      </c>
      <c r="C342" s="1" t="s">
        <v>876</v>
      </c>
      <c r="D342" s="1" t="str">
        <f t="shared" si="1"/>
        <v>2</v>
      </c>
      <c r="E342" s="1" t="s">
        <v>877</v>
      </c>
      <c r="G342" s="1">
        <f t="array" ref="G342">IF(ISNUMBER(MATCH(71670,Camille!$A:$A,0)), IF(OR(INDEX(Camille!$D:$D,MATCH(71670,Camille!$A:$A,0))=1, INDEX(Camille!$D:$D,MATCH(71670,Camille!$A:$A,0))=2), INDEX(Camille!$D:$D,MATCH(71670,Camille!$A:$A,0)), 0), 0)</f>
        <v>2</v>
      </c>
      <c r="H342" s="1">
        <f t="array" ref="H342">IF(ISNUMBER(MATCH(71670,Telmo!$A:$A,0)), IF(OR(INDEX(Telmo!$D:$D,MATCH(71670,Telmo!$A:$A,0))=1, INDEX(Telmo!$D:$D,MATCH(71670,Telmo!$A:$A,0))=2), INDEX(Telmo!$D:$D,MATCH(71670,Telmo!$A:$A,0)), 0), 0)</f>
        <v>0</v>
      </c>
      <c r="I342" s="1">
        <f t="array" ref="I342">IF(ISNUMBER(MATCH(71670,Max!$A:$A,0)), IF(OR(INDEX(Max!$D:$D,MATCH(71670,Max!$A:$A,0))=1, INDEX(Max!$D:$D,MATCH(71670,Max!$A:$A,0))=2), INDEX(Max!$D:$D,MATCH(71670,Max!$A:$A,0)), 0), 0)</f>
        <v>0</v>
      </c>
    </row>
    <row r="343" spans="1:9" ht="15.75" customHeight="1" x14ac:dyDescent="0.2">
      <c r="A343" s="1">
        <v>38285</v>
      </c>
      <c r="B343" s="1" t="s">
        <v>805</v>
      </c>
      <c r="C343" s="1" t="s">
        <v>878</v>
      </c>
      <c r="D343" s="1" t="str">
        <f t="shared" si="1"/>
        <v>1</v>
      </c>
      <c r="E343" s="1" t="s">
        <v>879</v>
      </c>
      <c r="G343" s="1">
        <f t="array" ref="G343">IF(ISNUMBER(MATCH(38285,Camille!$A:$A,0)), IF(OR(INDEX(Camille!$D:$D,MATCH(38285,Camille!$A:$A,0))=1, INDEX(Camille!$D:$D,MATCH(38285,Camille!$A:$A,0))=2), INDEX(Camille!$D:$D,MATCH(38285,Camille!$A:$A,0)), 0), 0)</f>
        <v>1</v>
      </c>
      <c r="H343" s="1">
        <f t="array" ref="H343">IF(ISNUMBER(MATCH(38285,Telmo!$A:$A,0)), IF(OR(INDEX(Telmo!$D:$D,MATCH(38285,Telmo!$A:$A,0))=1, INDEX(Telmo!$D:$D,MATCH(38285,Telmo!$A:$A,0))=2), INDEX(Telmo!$D:$D,MATCH(38285,Telmo!$A:$A,0)), 0), 0)</f>
        <v>0</v>
      </c>
      <c r="I343" s="1">
        <f t="array" ref="I343">IF(ISNUMBER(MATCH(38285,Max!$A:$A,0)), IF(OR(INDEX(Max!$D:$D,MATCH(38285,Max!$A:$A,0))=1, INDEX(Max!$D:$D,MATCH(38285,Max!$A:$A,0))=2), INDEX(Max!$D:$D,MATCH(38285,Max!$A:$A,0)), 0), 0)</f>
        <v>0</v>
      </c>
    </row>
    <row r="344" spans="1:9" ht="15.75" customHeight="1" x14ac:dyDescent="0.2">
      <c r="A344" s="1">
        <v>6983</v>
      </c>
      <c r="B344" s="1" t="s">
        <v>552</v>
      </c>
      <c r="C344" s="1" t="s">
        <v>880</v>
      </c>
      <c r="D344" s="1" t="str">
        <f t="shared" si="1"/>
        <v>1</v>
      </c>
      <c r="E344" s="1" t="s">
        <v>881</v>
      </c>
      <c r="G344" s="1">
        <f t="array" ref="G344">IF(ISNUMBER(MATCH(6983,Camille!$A:$A,0)), IF(OR(INDEX(Camille!$D:$D,MATCH(6983,Camille!$A:$A,0))=1, INDEX(Camille!$D:$D,MATCH(6983,Camille!$A:$A,0))=2), INDEX(Camille!$D:$D,MATCH(6983,Camille!$A:$A,0)), 0), 0)</f>
        <v>1</v>
      </c>
      <c r="H344" s="1">
        <f t="array" ref="H344">IF(ISNUMBER(MATCH(6983,Telmo!$A:$A,0)), IF(OR(INDEX(Telmo!$D:$D,MATCH(6983,Telmo!$A:$A,0))=1, INDEX(Telmo!$D:$D,MATCH(6983,Telmo!$A:$A,0))=2), INDEX(Telmo!$D:$D,MATCH(6983,Telmo!$A:$A,0)), 0), 0)</f>
        <v>0</v>
      </c>
      <c r="I344" s="1">
        <f t="array" ref="I344">IF(ISNUMBER(MATCH(6983,Max!$A:$A,0)), IF(OR(INDEX(Max!$D:$D,MATCH(6983,Max!$A:$A,0))=1, INDEX(Max!$D:$D,MATCH(6983,Max!$A:$A,0))=2), INDEX(Max!$D:$D,MATCH(6983,Max!$A:$A,0)), 0), 0)</f>
        <v>0</v>
      </c>
    </row>
    <row r="345" spans="1:9" ht="15.75" customHeight="1" x14ac:dyDescent="0.2">
      <c r="A345" s="1">
        <v>51886</v>
      </c>
      <c r="B345" s="1" t="s">
        <v>882</v>
      </c>
      <c r="C345" s="1" t="s">
        <v>883</v>
      </c>
      <c r="D345" s="1" t="str">
        <f t="shared" si="1"/>
        <v>2</v>
      </c>
      <c r="E345" s="1" t="s">
        <v>884</v>
      </c>
      <c r="G345" s="1">
        <f t="array" ref="G345">IF(ISNUMBER(MATCH(51886,Camille!$A:$A,0)), IF(OR(INDEX(Camille!$D:$D,MATCH(51886,Camille!$A:$A,0))=1, INDEX(Camille!$D:$D,MATCH(51886,Camille!$A:$A,0))=2), INDEX(Camille!$D:$D,MATCH(51886,Camille!$A:$A,0)), 0), 0)</f>
        <v>2</v>
      </c>
      <c r="H345" s="1">
        <f t="array" ref="H345">IF(ISNUMBER(MATCH(51886,Telmo!$A:$A,0)), IF(OR(INDEX(Telmo!$D:$D,MATCH(51886,Telmo!$A:$A,0))=1, INDEX(Telmo!$D:$D,MATCH(51886,Telmo!$A:$A,0))=2), INDEX(Telmo!$D:$D,MATCH(51886,Telmo!$A:$A,0)), 0), 0)</f>
        <v>0</v>
      </c>
      <c r="I345" s="1">
        <f t="array" ref="I345">IF(ISNUMBER(MATCH(51886,Max!$A:$A,0)), IF(OR(INDEX(Max!$D:$D,MATCH(51886,Max!$A:$A,0))=1, INDEX(Max!$D:$D,MATCH(51886,Max!$A:$A,0))=2), INDEX(Max!$D:$D,MATCH(51886,Max!$A:$A,0)), 0), 0)</f>
        <v>0</v>
      </c>
    </row>
    <row r="346" spans="1:9" ht="15.75" customHeight="1" x14ac:dyDescent="0.2">
      <c r="A346" s="1">
        <v>46945</v>
      </c>
      <c r="B346" s="1" t="s">
        <v>254</v>
      </c>
      <c r="C346" s="1" t="s">
        <v>885</v>
      </c>
      <c r="D346" s="1" t="str">
        <f t="shared" si="1"/>
        <v>2</v>
      </c>
      <c r="E346" s="1" t="s">
        <v>886</v>
      </c>
      <c r="G346" s="1">
        <f t="array" ref="G346">IF(ISNUMBER(MATCH(46945,Camille!$A:$A,0)), IF(OR(INDEX(Camille!$D:$D,MATCH(46945,Camille!$A:$A,0))=1, INDEX(Camille!$D:$D,MATCH(46945,Camille!$A:$A,0))=2), INDEX(Camille!$D:$D,MATCH(46945,Camille!$A:$A,0)), 0), 0)</f>
        <v>2</v>
      </c>
      <c r="H346" s="1">
        <f t="array" ref="H346">IF(ISNUMBER(MATCH(46945,Telmo!$A:$A,0)), IF(OR(INDEX(Telmo!$D:$D,MATCH(46945,Telmo!$A:$A,0))=1, INDEX(Telmo!$D:$D,MATCH(46945,Telmo!$A:$A,0))=2), INDEX(Telmo!$D:$D,MATCH(46945,Telmo!$A:$A,0)), 0), 0)</f>
        <v>0</v>
      </c>
      <c r="I346" s="1">
        <f t="array" ref="I346">IF(ISNUMBER(MATCH(46945,Max!$A:$A,0)), IF(OR(INDEX(Max!$D:$D,MATCH(46945,Max!$A:$A,0))=1, INDEX(Max!$D:$D,MATCH(46945,Max!$A:$A,0))=2), INDEX(Max!$D:$D,MATCH(46945,Max!$A:$A,0)), 0), 0)</f>
        <v>0</v>
      </c>
    </row>
    <row r="347" spans="1:9" ht="15.75" customHeight="1" x14ac:dyDescent="0.2">
      <c r="A347" s="1">
        <v>12514</v>
      </c>
      <c r="B347" s="1" t="s">
        <v>14</v>
      </c>
      <c r="C347" s="1" t="s">
        <v>887</v>
      </c>
      <c r="D347" s="1" t="str">
        <f t="shared" si="1"/>
        <v>2</v>
      </c>
      <c r="E347" s="1" t="s">
        <v>888</v>
      </c>
      <c r="G347" s="1">
        <f t="array" ref="G347">IF(ISNUMBER(MATCH(12514,Camille!$A:$A,0)), IF(OR(INDEX(Camille!$D:$D,MATCH(12514,Camille!$A:$A,0))=1, INDEX(Camille!$D:$D,MATCH(12514,Camille!$A:$A,0))=2), INDEX(Camille!$D:$D,MATCH(12514,Camille!$A:$A,0)), 0), 0)</f>
        <v>2</v>
      </c>
      <c r="H347" s="1">
        <f t="array" ref="H347">IF(ISNUMBER(MATCH(12514,Telmo!$A:$A,0)), IF(OR(INDEX(Telmo!$D:$D,MATCH(12514,Telmo!$A:$A,0))=1, INDEX(Telmo!$D:$D,MATCH(12514,Telmo!$A:$A,0))=2), INDEX(Telmo!$D:$D,MATCH(12514,Telmo!$A:$A,0)), 0), 0)</f>
        <v>0</v>
      </c>
      <c r="I347" s="1">
        <f t="array" ref="I347">IF(ISNUMBER(MATCH(12514,Max!$A:$A,0)), IF(OR(INDEX(Max!$D:$D,MATCH(12514,Max!$A:$A,0))=1, INDEX(Max!$D:$D,MATCH(12514,Max!$A:$A,0))=2), INDEX(Max!$D:$D,MATCH(12514,Max!$A:$A,0)), 0), 0)</f>
        <v>0</v>
      </c>
    </row>
    <row r="348" spans="1:9" ht="15.75" customHeight="1" x14ac:dyDescent="0.2">
      <c r="A348" s="1">
        <v>59376</v>
      </c>
      <c r="B348" s="1" t="s">
        <v>552</v>
      </c>
      <c r="C348" s="1" t="s">
        <v>889</v>
      </c>
      <c r="D348" s="1" t="str">
        <f t="shared" si="1"/>
        <v>1</v>
      </c>
      <c r="E348" s="1" t="s">
        <v>890</v>
      </c>
      <c r="G348" s="1">
        <f t="array" ref="G348">IF(ISNUMBER(MATCH(59376,Camille!$A:$A,0)), IF(OR(INDEX(Camille!$D:$D,MATCH(59376,Camille!$A:$A,0))=1, INDEX(Camille!$D:$D,MATCH(59376,Camille!$A:$A,0))=2), INDEX(Camille!$D:$D,MATCH(59376,Camille!$A:$A,0)), 0), 0)</f>
        <v>1</v>
      </c>
      <c r="H348" s="1">
        <f t="array" ref="H348">IF(ISNUMBER(MATCH(59376,Telmo!$A:$A,0)), IF(OR(INDEX(Telmo!$D:$D,MATCH(59376,Telmo!$A:$A,0))=1, INDEX(Telmo!$D:$D,MATCH(59376,Telmo!$A:$A,0))=2), INDEX(Telmo!$D:$D,MATCH(59376,Telmo!$A:$A,0)), 0), 0)</f>
        <v>0</v>
      </c>
      <c r="I348" s="1">
        <f t="array" ref="I348">IF(ISNUMBER(MATCH(59376,Max!$A:$A,0)), IF(OR(INDEX(Max!$D:$D,MATCH(59376,Max!$A:$A,0))=1, INDEX(Max!$D:$D,MATCH(59376,Max!$A:$A,0))=2), INDEX(Max!$D:$D,MATCH(59376,Max!$A:$A,0)), 0), 0)</f>
        <v>0</v>
      </c>
    </row>
    <row r="349" spans="1:9" ht="15.75" customHeight="1" x14ac:dyDescent="0.2">
      <c r="A349" s="1">
        <v>33850</v>
      </c>
      <c r="B349" s="1" t="s">
        <v>244</v>
      </c>
      <c r="C349" s="1" t="s">
        <v>891</v>
      </c>
      <c r="D349" s="1" t="str">
        <f t="shared" si="1"/>
        <v>2</v>
      </c>
      <c r="E349" s="1" t="s">
        <v>892</v>
      </c>
      <c r="G349" s="1">
        <f t="array" ref="G349">IF(ISNUMBER(MATCH(33850,Camille!$A:$A,0)), IF(OR(INDEX(Camille!$D:$D,MATCH(33850,Camille!$A:$A,0))=1, INDEX(Camille!$D:$D,MATCH(33850,Camille!$A:$A,0))=2), INDEX(Camille!$D:$D,MATCH(33850,Camille!$A:$A,0)), 0), 0)</f>
        <v>2</v>
      </c>
      <c r="H349" s="1">
        <f t="array" ref="H349">IF(ISNUMBER(MATCH(33850,Telmo!$A:$A,0)), IF(OR(INDEX(Telmo!$D:$D,MATCH(33850,Telmo!$A:$A,0))=1, INDEX(Telmo!$D:$D,MATCH(33850,Telmo!$A:$A,0))=2), INDEX(Telmo!$D:$D,MATCH(33850,Telmo!$A:$A,0)), 0), 0)</f>
        <v>0</v>
      </c>
      <c r="I349" s="1">
        <f t="array" ref="I349">IF(ISNUMBER(MATCH(33850,Max!$A:$A,0)), IF(OR(INDEX(Max!$D:$D,MATCH(33850,Max!$A:$A,0))=1, INDEX(Max!$D:$D,MATCH(33850,Max!$A:$A,0))=2), INDEX(Max!$D:$D,MATCH(33850,Max!$A:$A,0)), 0), 0)</f>
        <v>0</v>
      </c>
    </row>
    <row r="350" spans="1:9" ht="15.75" customHeight="1" x14ac:dyDescent="0.2">
      <c r="A350" s="1">
        <v>64039</v>
      </c>
      <c r="B350" s="1" t="s">
        <v>893</v>
      </c>
      <c r="C350" s="1" t="s">
        <v>894</v>
      </c>
      <c r="D350" s="1" t="str">
        <f t="shared" si="1"/>
        <v>1</v>
      </c>
      <c r="E350" s="1" t="s">
        <v>895</v>
      </c>
      <c r="G350" s="1">
        <f t="array" ref="G350">IF(ISNUMBER(MATCH(64039,Camille!$A:$A,0)), IF(OR(INDEX(Camille!$D:$D,MATCH(64039,Camille!$A:$A,0))=1, INDEX(Camille!$D:$D,MATCH(64039,Camille!$A:$A,0))=2), INDEX(Camille!$D:$D,MATCH(64039,Camille!$A:$A,0)), 0), 0)</f>
        <v>1</v>
      </c>
      <c r="H350" s="1">
        <f t="array" ref="H350">IF(ISNUMBER(MATCH(64039,Telmo!$A:$A,0)), IF(OR(INDEX(Telmo!$D:$D,MATCH(64039,Telmo!$A:$A,0))=1, INDEX(Telmo!$D:$D,MATCH(64039,Telmo!$A:$A,0))=2), INDEX(Telmo!$D:$D,MATCH(64039,Telmo!$A:$A,0)), 0), 0)</f>
        <v>0</v>
      </c>
      <c r="I350" s="1">
        <f t="array" ref="I350">IF(ISNUMBER(MATCH(64039,Max!$A:$A,0)), IF(OR(INDEX(Max!$D:$D,MATCH(64039,Max!$A:$A,0))=1, INDEX(Max!$D:$D,MATCH(64039,Max!$A:$A,0))=2), INDEX(Max!$D:$D,MATCH(64039,Max!$A:$A,0)), 0), 0)</f>
        <v>0</v>
      </c>
    </row>
    <row r="351" spans="1:9" ht="15.75" customHeight="1" x14ac:dyDescent="0.2">
      <c r="A351" s="1">
        <v>25470</v>
      </c>
      <c r="B351" s="1" t="s">
        <v>524</v>
      </c>
      <c r="C351" s="1" t="s">
        <v>896</v>
      </c>
      <c r="D351" s="1" t="str">
        <f t="shared" si="1"/>
        <v>2</v>
      </c>
      <c r="E351" s="1" t="s">
        <v>897</v>
      </c>
      <c r="G351" s="1">
        <f t="array" ref="G351">IF(ISNUMBER(MATCH(25470,Camille!$A:$A,0)), IF(OR(INDEX(Camille!$D:$D,MATCH(25470,Camille!$A:$A,0))=1, INDEX(Camille!$D:$D,MATCH(25470,Camille!$A:$A,0))=2), INDEX(Camille!$D:$D,MATCH(25470,Camille!$A:$A,0)), 0), 0)</f>
        <v>2</v>
      </c>
      <c r="H351" s="1">
        <f t="array" ref="H351">IF(ISNUMBER(MATCH(25470,Telmo!$A:$A,0)), IF(OR(INDEX(Telmo!$D:$D,MATCH(25470,Telmo!$A:$A,0))=1, INDEX(Telmo!$D:$D,MATCH(25470,Telmo!$A:$A,0))=2), INDEX(Telmo!$D:$D,MATCH(25470,Telmo!$A:$A,0)), 0), 0)</f>
        <v>0</v>
      </c>
      <c r="I351" s="1">
        <f t="array" ref="I351">IF(ISNUMBER(MATCH(25470,Max!$A:$A,0)), IF(OR(INDEX(Max!$D:$D,MATCH(25470,Max!$A:$A,0))=1, INDEX(Max!$D:$D,MATCH(25470,Max!$A:$A,0))=2), INDEX(Max!$D:$D,MATCH(25470,Max!$A:$A,0)), 0), 0)</f>
        <v>0</v>
      </c>
    </row>
    <row r="352" spans="1:9" ht="15.75" customHeight="1" x14ac:dyDescent="0.2">
      <c r="A352" s="1">
        <v>41063</v>
      </c>
      <c r="B352" s="1" t="s">
        <v>64</v>
      </c>
      <c r="C352" s="1" t="s">
        <v>898</v>
      </c>
      <c r="D352" s="1" t="str">
        <f t="shared" si="1"/>
        <v>1</v>
      </c>
      <c r="E352" s="1" t="s">
        <v>899</v>
      </c>
      <c r="G352" s="1">
        <f t="array" ref="G352">IF(ISNUMBER(MATCH(41063,Camille!$A:$A,0)), IF(OR(INDEX(Camille!$D:$D,MATCH(41063,Camille!$A:$A,0))=1, INDEX(Camille!$D:$D,MATCH(41063,Camille!$A:$A,0))=2), INDEX(Camille!$D:$D,MATCH(41063,Camille!$A:$A,0)), 0), 0)</f>
        <v>1</v>
      </c>
      <c r="H352" s="1">
        <f t="array" ref="H352">IF(ISNUMBER(MATCH(41063,Telmo!$A:$A,0)), IF(OR(INDEX(Telmo!$D:$D,MATCH(41063,Telmo!$A:$A,0))=1, INDEX(Telmo!$D:$D,MATCH(41063,Telmo!$A:$A,0))=2), INDEX(Telmo!$D:$D,MATCH(41063,Telmo!$A:$A,0)), 0), 0)</f>
        <v>0</v>
      </c>
      <c r="I352" s="1">
        <f t="array" ref="I352">IF(ISNUMBER(MATCH(41063,Max!$A:$A,0)), IF(OR(INDEX(Max!$D:$D,MATCH(41063,Max!$A:$A,0))=1, INDEX(Max!$D:$D,MATCH(41063,Max!$A:$A,0))=2), INDEX(Max!$D:$D,MATCH(41063,Max!$A:$A,0)), 0), 0)</f>
        <v>0</v>
      </c>
    </row>
    <row r="353" spans="1:9" ht="15.75" customHeight="1" x14ac:dyDescent="0.2">
      <c r="A353" s="1">
        <v>36798</v>
      </c>
      <c r="B353" s="1" t="s">
        <v>244</v>
      </c>
      <c r="C353" s="1" t="s">
        <v>900</v>
      </c>
      <c r="D353" s="1" t="str">
        <f t="shared" si="1"/>
        <v>1</v>
      </c>
      <c r="E353" s="1" t="s">
        <v>901</v>
      </c>
      <c r="G353" s="1">
        <f t="array" ref="G353">IF(ISNUMBER(MATCH(36798,Camille!$A:$A,0)), IF(OR(INDEX(Camille!$D:$D,MATCH(36798,Camille!$A:$A,0))=1, INDEX(Camille!$D:$D,MATCH(36798,Camille!$A:$A,0))=2), INDEX(Camille!$D:$D,MATCH(36798,Camille!$A:$A,0)), 0), 0)</f>
        <v>1</v>
      </c>
      <c r="H353" s="1">
        <f t="array" ref="H353">IF(ISNUMBER(MATCH(36798,Telmo!$A:$A,0)), IF(OR(INDEX(Telmo!$D:$D,MATCH(36798,Telmo!$A:$A,0))=1, INDEX(Telmo!$D:$D,MATCH(36798,Telmo!$A:$A,0))=2), INDEX(Telmo!$D:$D,MATCH(36798,Telmo!$A:$A,0)), 0), 0)</f>
        <v>0</v>
      </c>
      <c r="I353" s="1">
        <f t="array" ref="I353">IF(ISNUMBER(MATCH(36798,Max!$A:$A,0)), IF(OR(INDEX(Max!$D:$D,MATCH(36798,Max!$A:$A,0))=1, INDEX(Max!$D:$D,MATCH(36798,Max!$A:$A,0))=2), INDEX(Max!$D:$D,MATCH(36798,Max!$A:$A,0)), 0), 0)</f>
        <v>0</v>
      </c>
    </row>
    <row r="354" spans="1:9" ht="15.75" customHeight="1" x14ac:dyDescent="0.2">
      <c r="A354" s="1">
        <v>53951</v>
      </c>
      <c r="B354" s="1" t="s">
        <v>38</v>
      </c>
      <c r="C354" s="1" t="s">
        <v>902</v>
      </c>
      <c r="D354" s="1" t="str">
        <f t="shared" si="1"/>
        <v>2</v>
      </c>
      <c r="E354" s="1" t="s">
        <v>903</v>
      </c>
      <c r="G354" s="1">
        <f t="array" ref="G354">IF(ISNUMBER(MATCH(53951,Camille!$A:$A,0)), IF(OR(INDEX(Camille!$D:$D,MATCH(53951,Camille!$A:$A,0))=1, INDEX(Camille!$D:$D,MATCH(53951,Camille!$A:$A,0))=2), INDEX(Camille!$D:$D,MATCH(53951,Camille!$A:$A,0)), 0), 0)</f>
        <v>2</v>
      </c>
      <c r="H354" s="1">
        <f t="array" ref="H354">IF(ISNUMBER(MATCH(53951,Telmo!$A:$A,0)), IF(OR(INDEX(Telmo!$D:$D,MATCH(53951,Telmo!$A:$A,0))=1, INDEX(Telmo!$D:$D,MATCH(53951,Telmo!$A:$A,0))=2), INDEX(Telmo!$D:$D,MATCH(53951,Telmo!$A:$A,0)), 0), 0)</f>
        <v>0</v>
      </c>
      <c r="I354" s="1">
        <f t="array" ref="I354">IF(ISNUMBER(MATCH(53951,Max!$A:$A,0)), IF(OR(INDEX(Max!$D:$D,MATCH(53951,Max!$A:$A,0))=1, INDEX(Max!$D:$D,MATCH(53951,Max!$A:$A,0))=2), INDEX(Max!$D:$D,MATCH(53951,Max!$A:$A,0)), 0), 0)</f>
        <v>0</v>
      </c>
    </row>
    <row r="355" spans="1:9" ht="15.75" customHeight="1" x14ac:dyDescent="0.2">
      <c r="A355" s="1">
        <v>28806</v>
      </c>
      <c r="B355" s="1" t="s">
        <v>32</v>
      </c>
      <c r="C355" s="1" t="s">
        <v>904</v>
      </c>
      <c r="D355" s="1" t="str">
        <f t="shared" si="1"/>
        <v>2</v>
      </c>
      <c r="E355" s="1" t="s">
        <v>905</v>
      </c>
      <c r="G355" s="1">
        <f t="array" ref="G355">IF(ISNUMBER(MATCH(28806,Camille!$A:$A,0)), IF(OR(INDEX(Camille!$D:$D,MATCH(28806,Camille!$A:$A,0))=1, INDEX(Camille!$D:$D,MATCH(28806,Camille!$A:$A,0))=2), INDEX(Camille!$D:$D,MATCH(28806,Camille!$A:$A,0)), 0), 0)</f>
        <v>2</v>
      </c>
      <c r="H355" s="1">
        <f t="array" ref="H355">IF(ISNUMBER(MATCH(28806,Telmo!$A:$A,0)), IF(OR(INDEX(Telmo!$D:$D,MATCH(28806,Telmo!$A:$A,0))=1, INDEX(Telmo!$D:$D,MATCH(28806,Telmo!$A:$A,0))=2), INDEX(Telmo!$D:$D,MATCH(28806,Telmo!$A:$A,0)), 0), 0)</f>
        <v>0</v>
      </c>
      <c r="I355" s="1">
        <f t="array" ref="I355">IF(ISNUMBER(MATCH(28806,Max!$A:$A,0)), IF(OR(INDEX(Max!$D:$D,MATCH(28806,Max!$A:$A,0))=1, INDEX(Max!$D:$D,MATCH(28806,Max!$A:$A,0))=2), INDEX(Max!$D:$D,MATCH(28806,Max!$A:$A,0)), 0), 0)</f>
        <v>0</v>
      </c>
    </row>
    <row r="356" spans="1:9" ht="15.75" customHeight="1" x14ac:dyDescent="0.2">
      <c r="A356" s="1">
        <v>34144</v>
      </c>
      <c r="B356" s="1" t="s">
        <v>906</v>
      </c>
      <c r="C356" s="1" t="s">
        <v>907</v>
      </c>
      <c r="D356" s="1" t="str">
        <f t="shared" si="1"/>
        <v>1</v>
      </c>
      <c r="E356" s="1" t="s">
        <v>908</v>
      </c>
      <c r="G356" s="1">
        <f t="array" ref="G356">IF(ISNUMBER(MATCH(34144,Camille!$A:$A,0)), IF(OR(INDEX(Camille!$D:$D,MATCH(34144,Camille!$A:$A,0))=1, INDEX(Camille!$D:$D,MATCH(34144,Camille!$A:$A,0))=2), INDEX(Camille!$D:$D,MATCH(34144,Camille!$A:$A,0)), 0), 0)</f>
        <v>1</v>
      </c>
      <c r="H356" s="1">
        <f t="array" ref="H356">IF(ISNUMBER(MATCH(34144,Telmo!$A:$A,0)), IF(OR(INDEX(Telmo!$D:$D,MATCH(34144,Telmo!$A:$A,0))=1, INDEX(Telmo!$D:$D,MATCH(34144,Telmo!$A:$A,0))=2), INDEX(Telmo!$D:$D,MATCH(34144,Telmo!$A:$A,0)), 0), 0)</f>
        <v>0</v>
      </c>
      <c r="I356" s="1">
        <f t="array" ref="I356">IF(ISNUMBER(MATCH(34144,Max!$A:$A,0)), IF(OR(INDEX(Max!$D:$D,MATCH(34144,Max!$A:$A,0))=1, INDEX(Max!$D:$D,MATCH(34144,Max!$A:$A,0))=2), INDEX(Max!$D:$D,MATCH(34144,Max!$A:$A,0)), 0), 0)</f>
        <v>0</v>
      </c>
    </row>
    <row r="357" spans="1:9" ht="15.75" customHeight="1" x14ac:dyDescent="0.2">
      <c r="A357" s="1">
        <v>35420</v>
      </c>
      <c r="B357" s="1" t="s">
        <v>666</v>
      </c>
      <c r="C357" s="1" t="s">
        <v>909</v>
      </c>
      <c r="D357" s="1" t="str">
        <f t="shared" si="1"/>
        <v>2</v>
      </c>
      <c r="E357" s="1" t="s">
        <v>910</v>
      </c>
      <c r="G357" s="1">
        <f t="array" ref="G357">IF(ISNUMBER(MATCH(35420,Camille!$A:$A,0)), IF(OR(INDEX(Camille!$D:$D,MATCH(35420,Camille!$A:$A,0))=1, INDEX(Camille!$D:$D,MATCH(35420,Camille!$A:$A,0))=2), INDEX(Camille!$D:$D,MATCH(35420,Camille!$A:$A,0)), 0), 0)</f>
        <v>2</v>
      </c>
      <c r="H357" s="1">
        <f t="array" ref="H357">IF(ISNUMBER(MATCH(35420,Telmo!$A:$A,0)), IF(OR(INDEX(Telmo!$D:$D,MATCH(35420,Telmo!$A:$A,0))=1, INDEX(Telmo!$D:$D,MATCH(35420,Telmo!$A:$A,0))=2), INDEX(Telmo!$D:$D,MATCH(35420,Telmo!$A:$A,0)), 0), 0)</f>
        <v>0</v>
      </c>
      <c r="I357" s="1">
        <f t="array" ref="I357">IF(ISNUMBER(MATCH(35420,Max!$A:$A,0)), IF(OR(INDEX(Max!$D:$D,MATCH(35420,Max!$A:$A,0))=1, INDEX(Max!$D:$D,MATCH(35420,Max!$A:$A,0))=2), INDEX(Max!$D:$D,MATCH(35420,Max!$A:$A,0)), 0), 0)</f>
        <v>0</v>
      </c>
    </row>
    <row r="358" spans="1:9" ht="15.75" customHeight="1" x14ac:dyDescent="0.2">
      <c r="A358" s="1">
        <v>13300</v>
      </c>
      <c r="B358" s="1" t="s">
        <v>597</v>
      </c>
      <c r="C358" s="1" t="s">
        <v>911</v>
      </c>
      <c r="D358" s="1" t="str">
        <f t="shared" si="1"/>
        <v>1</v>
      </c>
      <c r="E358" s="1" t="s">
        <v>912</v>
      </c>
      <c r="G358" s="1">
        <f t="array" ref="G358">IF(ISNUMBER(MATCH(13300,Camille!$A:$A,0)), IF(OR(INDEX(Camille!$D:$D,MATCH(13300,Camille!$A:$A,0))=1, INDEX(Camille!$D:$D,MATCH(13300,Camille!$A:$A,0))=2), INDEX(Camille!$D:$D,MATCH(13300,Camille!$A:$A,0)), 0), 0)</f>
        <v>1</v>
      </c>
      <c r="H358" s="1">
        <f t="array" ref="H358">IF(ISNUMBER(MATCH(13300,Telmo!$A:$A,0)), IF(OR(INDEX(Telmo!$D:$D,MATCH(13300,Telmo!$A:$A,0))=1, INDEX(Telmo!$D:$D,MATCH(13300,Telmo!$A:$A,0))=2), INDEX(Telmo!$D:$D,MATCH(13300,Telmo!$A:$A,0)), 0), 0)</f>
        <v>0</v>
      </c>
      <c r="I358" s="1">
        <f t="array" ref="I358">IF(ISNUMBER(MATCH(13300,Max!$A:$A,0)), IF(OR(INDEX(Max!$D:$D,MATCH(13300,Max!$A:$A,0))=1, INDEX(Max!$D:$D,MATCH(13300,Max!$A:$A,0))=2), INDEX(Max!$D:$D,MATCH(13300,Max!$A:$A,0)), 0), 0)</f>
        <v>0</v>
      </c>
    </row>
    <row r="359" spans="1:9" ht="15.75" customHeight="1" x14ac:dyDescent="0.2">
      <c r="A359" s="1">
        <v>47037</v>
      </c>
      <c r="B359" s="1" t="s">
        <v>597</v>
      </c>
      <c r="C359" s="1" t="s">
        <v>913</v>
      </c>
      <c r="D359" s="1" t="str">
        <f t="shared" si="1"/>
        <v>1</v>
      </c>
      <c r="E359" s="1" t="s">
        <v>914</v>
      </c>
      <c r="G359" s="1">
        <f t="array" ref="G359">IF(ISNUMBER(MATCH(47037,Camille!$A:$A,0)), IF(OR(INDEX(Camille!$D:$D,MATCH(47037,Camille!$A:$A,0))=1, INDEX(Camille!$D:$D,MATCH(47037,Camille!$A:$A,0))=2), INDEX(Camille!$D:$D,MATCH(47037,Camille!$A:$A,0)), 0), 0)</f>
        <v>1</v>
      </c>
      <c r="H359" s="1">
        <f t="array" ref="H359">IF(ISNUMBER(MATCH(47037,Telmo!$A:$A,0)), IF(OR(INDEX(Telmo!$D:$D,MATCH(47037,Telmo!$A:$A,0))=1, INDEX(Telmo!$D:$D,MATCH(47037,Telmo!$A:$A,0))=2), INDEX(Telmo!$D:$D,MATCH(47037,Telmo!$A:$A,0)), 0), 0)</f>
        <v>0</v>
      </c>
      <c r="I359" s="1">
        <f t="array" ref="I359">IF(ISNUMBER(MATCH(47037,Max!$A:$A,0)), IF(OR(INDEX(Max!$D:$D,MATCH(47037,Max!$A:$A,0))=1, INDEX(Max!$D:$D,MATCH(47037,Max!$A:$A,0))=2), INDEX(Max!$D:$D,MATCH(47037,Max!$A:$A,0)), 0), 0)</f>
        <v>0</v>
      </c>
    </row>
    <row r="360" spans="1:9" ht="15.75" customHeight="1" x14ac:dyDescent="0.2">
      <c r="A360" s="1">
        <v>18107</v>
      </c>
      <c r="B360" s="1" t="s">
        <v>466</v>
      </c>
      <c r="C360" s="1" t="s">
        <v>915</v>
      </c>
      <c r="D360" s="1" t="str">
        <f t="shared" si="1"/>
        <v>2</v>
      </c>
      <c r="E360" s="1" t="s">
        <v>916</v>
      </c>
      <c r="G360" s="1">
        <f t="array" ref="G360">IF(ISNUMBER(MATCH(18107,Camille!$A:$A,0)), IF(OR(INDEX(Camille!$D:$D,MATCH(18107,Camille!$A:$A,0))=1, INDEX(Camille!$D:$D,MATCH(18107,Camille!$A:$A,0))=2), INDEX(Camille!$D:$D,MATCH(18107,Camille!$A:$A,0)), 0), 0)</f>
        <v>2</v>
      </c>
      <c r="H360" s="1">
        <f t="array" ref="H360">IF(ISNUMBER(MATCH(18107,Telmo!$A:$A,0)), IF(OR(INDEX(Telmo!$D:$D,MATCH(18107,Telmo!$A:$A,0))=1, INDEX(Telmo!$D:$D,MATCH(18107,Telmo!$A:$A,0))=2), INDEX(Telmo!$D:$D,MATCH(18107,Telmo!$A:$A,0)), 0), 0)</f>
        <v>0</v>
      </c>
      <c r="I360" s="1">
        <f t="array" ref="I360">IF(ISNUMBER(MATCH(18107,Max!$A:$A,0)), IF(OR(INDEX(Max!$D:$D,MATCH(18107,Max!$A:$A,0))=1, INDEX(Max!$D:$D,MATCH(18107,Max!$A:$A,0))=2), INDEX(Max!$D:$D,MATCH(18107,Max!$A:$A,0)), 0), 0)</f>
        <v>0</v>
      </c>
    </row>
    <row r="361" spans="1:9" ht="15.75" customHeight="1" x14ac:dyDescent="0.2">
      <c r="A361" s="1">
        <v>7667</v>
      </c>
      <c r="B361" s="1" t="s">
        <v>917</v>
      </c>
      <c r="C361" s="1" t="s">
        <v>918</v>
      </c>
      <c r="D361" s="1" t="str">
        <f t="shared" si="1"/>
        <v>1</v>
      </c>
      <c r="E361" s="1" t="s">
        <v>919</v>
      </c>
      <c r="G361" s="1">
        <f t="array" ref="G361">IF(ISNUMBER(MATCH(7667,Camille!$A:$A,0)), IF(OR(INDEX(Camille!$D:$D,MATCH(7667,Camille!$A:$A,0))=1, INDEX(Camille!$D:$D,MATCH(7667,Camille!$A:$A,0))=2), INDEX(Camille!$D:$D,MATCH(7667,Camille!$A:$A,0)), 0), 0)</f>
        <v>1</v>
      </c>
      <c r="H361" s="1">
        <f t="array" ref="H361">IF(ISNUMBER(MATCH(7667,Telmo!$A:$A,0)), IF(OR(INDEX(Telmo!$D:$D,MATCH(7667,Telmo!$A:$A,0))=1, INDEX(Telmo!$D:$D,MATCH(7667,Telmo!$A:$A,0))=2), INDEX(Telmo!$D:$D,MATCH(7667,Telmo!$A:$A,0)), 0), 0)</f>
        <v>0</v>
      </c>
      <c r="I361" s="1">
        <f t="array" ref="I361">IF(ISNUMBER(MATCH(7667,Max!$A:$A,0)), IF(OR(INDEX(Max!$D:$D,MATCH(7667,Max!$A:$A,0))=1, INDEX(Max!$D:$D,MATCH(7667,Max!$A:$A,0))=2), INDEX(Max!$D:$D,MATCH(7667,Max!$A:$A,0)), 0), 0)</f>
        <v>0</v>
      </c>
    </row>
    <row r="362" spans="1:9" ht="15.75" customHeight="1" x14ac:dyDescent="0.2">
      <c r="A362" s="1">
        <v>12075</v>
      </c>
      <c r="B362" s="1" t="s">
        <v>920</v>
      </c>
      <c r="C362" s="1" t="s">
        <v>921</v>
      </c>
      <c r="D362" s="1" t="str">
        <f t="shared" si="1"/>
        <v>2</v>
      </c>
      <c r="E362" s="1" t="s">
        <v>922</v>
      </c>
      <c r="G362" s="1">
        <f t="array" ref="G362">IF(ISNUMBER(MATCH(12075,Camille!$A:$A,0)), IF(OR(INDEX(Camille!$D:$D,MATCH(12075,Camille!$A:$A,0))=1, INDEX(Camille!$D:$D,MATCH(12075,Camille!$A:$A,0))=2), INDEX(Camille!$D:$D,MATCH(12075,Camille!$A:$A,0)), 0), 0)</f>
        <v>2</v>
      </c>
      <c r="H362" s="1">
        <f t="array" ref="H362">IF(ISNUMBER(MATCH(12075,Telmo!$A:$A,0)), IF(OR(INDEX(Telmo!$D:$D,MATCH(12075,Telmo!$A:$A,0))=1, INDEX(Telmo!$D:$D,MATCH(12075,Telmo!$A:$A,0))=2), INDEX(Telmo!$D:$D,MATCH(12075,Telmo!$A:$A,0)), 0), 0)</f>
        <v>0</v>
      </c>
      <c r="I362" s="1">
        <f t="array" ref="I362">IF(ISNUMBER(MATCH(12075,Max!$A:$A,0)), IF(OR(INDEX(Max!$D:$D,MATCH(12075,Max!$A:$A,0))=1, INDEX(Max!$D:$D,MATCH(12075,Max!$A:$A,0))=2), INDEX(Max!$D:$D,MATCH(12075,Max!$A:$A,0)), 0), 0)</f>
        <v>0</v>
      </c>
    </row>
    <row r="363" spans="1:9" ht="15.75" customHeight="1" x14ac:dyDescent="0.2">
      <c r="A363" s="1">
        <v>65018</v>
      </c>
      <c r="B363" s="1" t="s">
        <v>405</v>
      </c>
      <c r="C363" s="1" t="s">
        <v>923</v>
      </c>
      <c r="D363" s="1" t="str">
        <f t="shared" si="1"/>
        <v>1</v>
      </c>
      <c r="E363" s="1" t="s">
        <v>924</v>
      </c>
      <c r="G363" s="1">
        <f t="array" ref="G363">IF(ISNUMBER(MATCH(65018,Camille!$A:$A,0)), IF(OR(INDEX(Camille!$D:$D,MATCH(65018,Camille!$A:$A,0))=1, INDEX(Camille!$D:$D,MATCH(65018,Camille!$A:$A,0))=2), INDEX(Camille!$D:$D,MATCH(65018,Camille!$A:$A,0)), 0), 0)</f>
        <v>1</v>
      </c>
      <c r="H363" s="1">
        <f t="array" ref="H363">IF(ISNUMBER(MATCH(65018,Telmo!$A:$A,0)), IF(OR(INDEX(Telmo!$D:$D,MATCH(65018,Telmo!$A:$A,0))=1, INDEX(Telmo!$D:$D,MATCH(65018,Telmo!$A:$A,0))=2), INDEX(Telmo!$D:$D,MATCH(65018,Telmo!$A:$A,0)), 0), 0)</f>
        <v>0</v>
      </c>
      <c r="I363" s="1">
        <f t="array" ref="I363">IF(ISNUMBER(MATCH(65018,Max!$A:$A,0)), IF(OR(INDEX(Max!$D:$D,MATCH(65018,Max!$A:$A,0))=1, INDEX(Max!$D:$D,MATCH(65018,Max!$A:$A,0))=2), INDEX(Max!$D:$D,MATCH(65018,Max!$A:$A,0)), 0), 0)</f>
        <v>0</v>
      </c>
    </row>
    <row r="364" spans="1:9" ht="15.75" customHeight="1" x14ac:dyDescent="0.2">
      <c r="A364" s="1">
        <v>45534</v>
      </c>
      <c r="B364" s="1" t="s">
        <v>405</v>
      </c>
      <c r="C364" s="1" t="s">
        <v>925</v>
      </c>
      <c r="D364" s="1" t="str">
        <f t="shared" si="1"/>
        <v>2</v>
      </c>
      <c r="E364" s="1" t="s">
        <v>926</v>
      </c>
      <c r="G364" s="1">
        <f t="array" ref="G364">IF(ISNUMBER(MATCH(45534,Camille!$A:$A,0)), IF(OR(INDEX(Camille!$D:$D,MATCH(45534,Camille!$A:$A,0))=1, INDEX(Camille!$D:$D,MATCH(45534,Camille!$A:$A,0))=2), INDEX(Camille!$D:$D,MATCH(45534,Camille!$A:$A,0)), 0), 0)</f>
        <v>2</v>
      </c>
      <c r="H364" s="1">
        <f t="array" ref="H364">IF(ISNUMBER(MATCH(45534,Telmo!$A:$A,0)), IF(OR(INDEX(Telmo!$D:$D,MATCH(45534,Telmo!$A:$A,0))=1, INDEX(Telmo!$D:$D,MATCH(45534,Telmo!$A:$A,0))=2), INDEX(Telmo!$D:$D,MATCH(45534,Telmo!$A:$A,0)), 0), 0)</f>
        <v>0</v>
      </c>
      <c r="I364" s="1">
        <f t="array" ref="I364">IF(ISNUMBER(MATCH(45534,Max!$A:$A,0)), IF(OR(INDEX(Max!$D:$D,MATCH(45534,Max!$A:$A,0))=1, INDEX(Max!$D:$D,MATCH(45534,Max!$A:$A,0))=2), INDEX(Max!$D:$D,MATCH(45534,Max!$A:$A,0)), 0), 0)</f>
        <v>0</v>
      </c>
    </row>
    <row r="365" spans="1:9" ht="15.75" customHeight="1" x14ac:dyDescent="0.2">
      <c r="A365" s="1">
        <v>20613</v>
      </c>
      <c r="B365" s="1" t="s">
        <v>273</v>
      </c>
      <c r="C365" s="1" t="s">
        <v>927</v>
      </c>
      <c r="D365" s="1" t="str">
        <f t="shared" si="1"/>
        <v>2</v>
      </c>
      <c r="E365" s="1" t="s">
        <v>928</v>
      </c>
      <c r="G365" s="1">
        <f t="array" ref="G365">IF(ISNUMBER(MATCH(20613,Camille!$A:$A,0)), IF(OR(INDEX(Camille!$D:$D,MATCH(20613,Camille!$A:$A,0))=1, INDEX(Camille!$D:$D,MATCH(20613,Camille!$A:$A,0))=2), INDEX(Camille!$D:$D,MATCH(20613,Camille!$A:$A,0)), 0), 0)</f>
        <v>2</v>
      </c>
      <c r="H365" s="1">
        <f t="array" ref="H365">IF(ISNUMBER(MATCH(20613,Telmo!$A:$A,0)), IF(OR(INDEX(Telmo!$D:$D,MATCH(20613,Telmo!$A:$A,0))=1, INDEX(Telmo!$D:$D,MATCH(20613,Telmo!$A:$A,0))=2), INDEX(Telmo!$D:$D,MATCH(20613,Telmo!$A:$A,0)), 0), 0)</f>
        <v>0</v>
      </c>
      <c r="I365" s="1">
        <f t="array" ref="I365">IF(ISNUMBER(MATCH(20613,Max!$A:$A,0)), IF(OR(INDEX(Max!$D:$D,MATCH(20613,Max!$A:$A,0))=1, INDEX(Max!$D:$D,MATCH(20613,Max!$A:$A,0))=2), INDEX(Max!$D:$D,MATCH(20613,Max!$A:$A,0)), 0), 0)</f>
        <v>0</v>
      </c>
    </row>
    <row r="366" spans="1:9" ht="15.75" customHeight="1" x14ac:dyDescent="0.2">
      <c r="A366" s="1">
        <v>60280</v>
      </c>
      <c r="B366" s="1" t="s">
        <v>906</v>
      </c>
      <c r="C366" s="1" t="s">
        <v>929</v>
      </c>
      <c r="D366" s="1" t="str">
        <f t="shared" si="1"/>
        <v>1</v>
      </c>
      <c r="E366" s="1" t="s">
        <v>930</v>
      </c>
      <c r="G366" s="1">
        <f t="array" ref="G366">IF(ISNUMBER(MATCH(60280,Camille!$A:$A,0)), IF(OR(INDEX(Camille!$D:$D,MATCH(60280,Camille!$A:$A,0))=1, INDEX(Camille!$D:$D,MATCH(60280,Camille!$A:$A,0))=2), INDEX(Camille!$D:$D,MATCH(60280,Camille!$A:$A,0)), 0), 0)</f>
        <v>1</v>
      </c>
      <c r="H366" s="1">
        <f t="array" ref="H366">IF(ISNUMBER(MATCH(60280,Telmo!$A:$A,0)), IF(OR(INDEX(Telmo!$D:$D,MATCH(60280,Telmo!$A:$A,0))=1, INDEX(Telmo!$D:$D,MATCH(60280,Telmo!$A:$A,0))=2), INDEX(Telmo!$D:$D,MATCH(60280,Telmo!$A:$A,0)), 0), 0)</f>
        <v>0</v>
      </c>
      <c r="I366" s="1">
        <f t="array" ref="I366">IF(ISNUMBER(MATCH(60280,Max!$A:$A,0)), IF(OR(INDEX(Max!$D:$D,MATCH(60280,Max!$A:$A,0))=1, INDEX(Max!$D:$D,MATCH(60280,Max!$A:$A,0))=2), INDEX(Max!$D:$D,MATCH(60280,Max!$A:$A,0)), 0), 0)</f>
        <v>0</v>
      </c>
    </row>
    <row r="367" spans="1:9" ht="15.75" customHeight="1" x14ac:dyDescent="0.2">
      <c r="A367" s="1">
        <v>31193</v>
      </c>
      <c r="B367" s="1" t="s">
        <v>931</v>
      </c>
      <c r="C367" s="1" t="s">
        <v>932</v>
      </c>
      <c r="D367" s="1" t="str">
        <f t="shared" si="1"/>
        <v>1</v>
      </c>
      <c r="E367" s="1" t="s">
        <v>933</v>
      </c>
      <c r="G367" s="1">
        <f t="array" ref="G367">IF(ISNUMBER(MATCH(31193,Camille!$A:$A,0)), IF(OR(INDEX(Camille!$D:$D,MATCH(31193,Camille!$A:$A,0))=1, INDEX(Camille!$D:$D,MATCH(31193,Camille!$A:$A,0))=2), INDEX(Camille!$D:$D,MATCH(31193,Camille!$A:$A,0)), 0), 0)</f>
        <v>1</v>
      </c>
      <c r="H367" s="1">
        <f t="array" ref="H367">IF(ISNUMBER(MATCH(31193,Telmo!$A:$A,0)), IF(OR(INDEX(Telmo!$D:$D,MATCH(31193,Telmo!$A:$A,0))=1, INDEX(Telmo!$D:$D,MATCH(31193,Telmo!$A:$A,0))=2), INDEX(Telmo!$D:$D,MATCH(31193,Telmo!$A:$A,0)), 0), 0)</f>
        <v>0</v>
      </c>
      <c r="I367" s="1">
        <f t="array" ref="I367">IF(ISNUMBER(MATCH(31193,Max!$A:$A,0)), IF(OR(INDEX(Max!$D:$D,MATCH(31193,Max!$A:$A,0))=1, INDEX(Max!$D:$D,MATCH(31193,Max!$A:$A,0))=2), INDEX(Max!$D:$D,MATCH(31193,Max!$A:$A,0)), 0), 0)</f>
        <v>0</v>
      </c>
    </row>
    <row r="368" spans="1:9" ht="15.75" customHeight="1" x14ac:dyDescent="0.2">
      <c r="A368" s="1">
        <v>61052</v>
      </c>
      <c r="B368" s="1" t="s">
        <v>32</v>
      </c>
      <c r="C368" s="1" t="s">
        <v>934</v>
      </c>
      <c r="D368" s="1" t="str">
        <f t="shared" si="1"/>
        <v>1</v>
      </c>
      <c r="E368" s="1" t="s">
        <v>935</v>
      </c>
      <c r="G368" s="1">
        <f t="array" ref="G368">IF(ISNUMBER(MATCH(61052,Camille!$A:$A,0)), IF(OR(INDEX(Camille!$D:$D,MATCH(61052,Camille!$A:$A,0))=1, INDEX(Camille!$D:$D,MATCH(61052,Camille!$A:$A,0))=2), INDEX(Camille!$D:$D,MATCH(61052,Camille!$A:$A,0)), 0), 0)</f>
        <v>1</v>
      </c>
      <c r="H368" s="1">
        <f t="array" ref="H368">IF(ISNUMBER(MATCH(61052,Telmo!$A:$A,0)), IF(OR(INDEX(Telmo!$D:$D,MATCH(61052,Telmo!$A:$A,0))=1, INDEX(Telmo!$D:$D,MATCH(61052,Telmo!$A:$A,0))=2), INDEX(Telmo!$D:$D,MATCH(61052,Telmo!$A:$A,0)), 0), 0)</f>
        <v>0</v>
      </c>
      <c r="I368" s="1">
        <f t="array" ref="I368">IF(ISNUMBER(MATCH(61052,Max!$A:$A,0)), IF(OR(INDEX(Max!$D:$D,MATCH(61052,Max!$A:$A,0))=1, INDEX(Max!$D:$D,MATCH(61052,Max!$A:$A,0))=2), INDEX(Max!$D:$D,MATCH(61052,Max!$A:$A,0)), 0), 0)</f>
        <v>0</v>
      </c>
    </row>
    <row r="369" spans="1:9" ht="15.75" customHeight="1" x14ac:dyDescent="0.2">
      <c r="A369" s="1">
        <v>62340</v>
      </c>
      <c r="B369" s="1" t="s">
        <v>936</v>
      </c>
      <c r="C369" s="1" t="s">
        <v>937</v>
      </c>
      <c r="D369" s="1" t="str">
        <f t="shared" si="1"/>
        <v>1</v>
      </c>
      <c r="E369" s="1" t="s">
        <v>938</v>
      </c>
      <c r="G369" s="1">
        <f t="array" ref="G369">IF(ISNUMBER(MATCH(62340,Camille!$A:$A,0)), IF(OR(INDEX(Camille!$D:$D,MATCH(62340,Camille!$A:$A,0))=1, INDEX(Camille!$D:$D,MATCH(62340,Camille!$A:$A,0))=2), INDEX(Camille!$D:$D,MATCH(62340,Camille!$A:$A,0)), 0), 0)</f>
        <v>1</v>
      </c>
      <c r="H369" s="1">
        <f t="array" ref="H369">IF(ISNUMBER(MATCH(62340,Telmo!$A:$A,0)), IF(OR(INDEX(Telmo!$D:$D,MATCH(62340,Telmo!$A:$A,0))=1, INDEX(Telmo!$D:$D,MATCH(62340,Telmo!$A:$A,0))=2), INDEX(Telmo!$D:$D,MATCH(62340,Telmo!$A:$A,0)), 0), 0)</f>
        <v>0</v>
      </c>
      <c r="I369" s="1">
        <f t="array" ref="I369">IF(ISNUMBER(MATCH(62340,Max!$A:$A,0)), IF(OR(INDEX(Max!$D:$D,MATCH(62340,Max!$A:$A,0))=1, INDEX(Max!$D:$D,MATCH(62340,Max!$A:$A,0))=2), INDEX(Max!$D:$D,MATCH(62340,Max!$A:$A,0)), 0), 0)</f>
        <v>0</v>
      </c>
    </row>
    <row r="370" spans="1:9" ht="15.75" customHeight="1" x14ac:dyDescent="0.2">
      <c r="A370" s="1">
        <v>60693</v>
      </c>
      <c r="B370" s="1" t="s">
        <v>939</v>
      </c>
      <c r="C370" s="1" t="s">
        <v>940</v>
      </c>
      <c r="D370" s="1" t="str">
        <f t="shared" si="1"/>
        <v>2</v>
      </c>
      <c r="E370" s="1" t="s">
        <v>941</v>
      </c>
      <c r="G370" s="1">
        <f t="array" ref="G370">IF(ISNUMBER(MATCH(60693,Camille!$A:$A,0)), IF(OR(INDEX(Camille!$D:$D,MATCH(60693,Camille!$A:$A,0))=1, INDEX(Camille!$D:$D,MATCH(60693,Camille!$A:$A,0))=2), INDEX(Camille!$D:$D,MATCH(60693,Camille!$A:$A,0)), 0), 0)</f>
        <v>2</v>
      </c>
      <c r="H370" s="1">
        <f t="array" ref="H370">IF(ISNUMBER(MATCH(60693,Telmo!$A:$A,0)), IF(OR(INDEX(Telmo!$D:$D,MATCH(60693,Telmo!$A:$A,0))=1, INDEX(Telmo!$D:$D,MATCH(60693,Telmo!$A:$A,0))=2), INDEX(Telmo!$D:$D,MATCH(60693,Telmo!$A:$A,0)), 0), 0)</f>
        <v>0</v>
      </c>
      <c r="I370" s="1">
        <f t="array" ref="I370">IF(ISNUMBER(MATCH(60693,Max!$A:$A,0)), IF(OR(INDEX(Max!$D:$D,MATCH(60693,Max!$A:$A,0))=1, INDEX(Max!$D:$D,MATCH(60693,Max!$A:$A,0))=2), INDEX(Max!$D:$D,MATCH(60693,Max!$A:$A,0)), 0), 0)</f>
        <v>0</v>
      </c>
    </row>
    <row r="371" spans="1:9" ht="15.75" customHeight="1" x14ac:dyDescent="0.2">
      <c r="A371" s="1">
        <v>69394</v>
      </c>
      <c r="B371" s="1" t="s">
        <v>32</v>
      </c>
      <c r="C371" s="1" t="s">
        <v>942</v>
      </c>
      <c r="D371" s="1" t="str">
        <f t="shared" si="1"/>
        <v>1</v>
      </c>
      <c r="E371" s="1" t="s">
        <v>943</v>
      </c>
      <c r="G371" s="1">
        <f t="array" ref="G371">IF(ISNUMBER(MATCH(69394,Camille!$A:$A,0)), IF(OR(INDEX(Camille!$D:$D,MATCH(69394,Camille!$A:$A,0))=1, INDEX(Camille!$D:$D,MATCH(69394,Camille!$A:$A,0))=2), INDEX(Camille!$D:$D,MATCH(69394,Camille!$A:$A,0)), 0), 0)</f>
        <v>1</v>
      </c>
      <c r="H371" s="1">
        <f t="array" ref="H371">IF(ISNUMBER(MATCH(69394,Telmo!$A:$A,0)), IF(OR(INDEX(Telmo!$D:$D,MATCH(69394,Telmo!$A:$A,0))=1, INDEX(Telmo!$D:$D,MATCH(69394,Telmo!$A:$A,0))=2), INDEX(Telmo!$D:$D,MATCH(69394,Telmo!$A:$A,0)), 0), 0)</f>
        <v>0</v>
      </c>
      <c r="I371" s="1">
        <f t="array" ref="I371">IF(ISNUMBER(MATCH(69394,Max!$A:$A,0)), IF(OR(INDEX(Max!$D:$D,MATCH(69394,Max!$A:$A,0))=1, INDEX(Max!$D:$D,MATCH(69394,Max!$A:$A,0))=2), INDEX(Max!$D:$D,MATCH(69394,Max!$A:$A,0)), 0), 0)</f>
        <v>0</v>
      </c>
    </row>
    <row r="372" spans="1:9" ht="15.75" customHeight="1" x14ac:dyDescent="0.2">
      <c r="A372" s="1">
        <v>60956</v>
      </c>
      <c r="B372" s="1" t="s">
        <v>244</v>
      </c>
      <c r="C372" s="1" t="s">
        <v>944</v>
      </c>
      <c r="D372" s="1" t="str">
        <f t="shared" si="1"/>
        <v>1</v>
      </c>
      <c r="E372" s="1" t="s">
        <v>945</v>
      </c>
      <c r="G372" s="1">
        <f t="array" ref="G372">IF(ISNUMBER(MATCH(60956,Camille!$A:$A,0)), IF(OR(INDEX(Camille!$D:$D,MATCH(60956,Camille!$A:$A,0))=1, INDEX(Camille!$D:$D,MATCH(60956,Camille!$A:$A,0))=2), INDEX(Camille!$D:$D,MATCH(60956,Camille!$A:$A,0)), 0), 0)</f>
        <v>1</v>
      </c>
      <c r="H372" s="1">
        <f t="array" ref="H372">IF(ISNUMBER(MATCH(60956,Telmo!$A:$A,0)), IF(OR(INDEX(Telmo!$D:$D,MATCH(60956,Telmo!$A:$A,0))=1, INDEX(Telmo!$D:$D,MATCH(60956,Telmo!$A:$A,0))=2), INDEX(Telmo!$D:$D,MATCH(60956,Telmo!$A:$A,0)), 0), 0)</f>
        <v>0</v>
      </c>
      <c r="I372" s="1">
        <f t="array" ref="I372">IF(ISNUMBER(MATCH(60956,Max!$A:$A,0)), IF(OR(INDEX(Max!$D:$D,MATCH(60956,Max!$A:$A,0))=1, INDEX(Max!$D:$D,MATCH(60956,Max!$A:$A,0))=2), INDEX(Max!$D:$D,MATCH(60956,Max!$A:$A,0)), 0), 0)</f>
        <v>0</v>
      </c>
    </row>
    <row r="373" spans="1:9" ht="15.75" customHeight="1" x14ac:dyDescent="0.2">
      <c r="A373" s="1">
        <v>62848</v>
      </c>
      <c r="B373" s="1" t="s">
        <v>244</v>
      </c>
      <c r="C373" s="1" t="s">
        <v>946</v>
      </c>
      <c r="D373" s="1" t="str">
        <f t="shared" si="1"/>
        <v>1</v>
      </c>
      <c r="E373" s="1" t="s">
        <v>947</v>
      </c>
      <c r="G373" s="1">
        <f t="array" ref="G373">IF(ISNUMBER(MATCH(62848,Camille!$A:$A,0)), IF(OR(INDEX(Camille!$D:$D,MATCH(62848,Camille!$A:$A,0))=1, INDEX(Camille!$D:$D,MATCH(62848,Camille!$A:$A,0))=2), INDEX(Camille!$D:$D,MATCH(62848,Camille!$A:$A,0)), 0), 0)</f>
        <v>1</v>
      </c>
      <c r="H373" s="1">
        <f t="array" ref="H373">IF(ISNUMBER(MATCH(62848,Telmo!$A:$A,0)), IF(OR(INDEX(Telmo!$D:$D,MATCH(62848,Telmo!$A:$A,0))=1, INDEX(Telmo!$D:$D,MATCH(62848,Telmo!$A:$A,0))=2), INDEX(Telmo!$D:$D,MATCH(62848,Telmo!$A:$A,0)), 0), 0)</f>
        <v>0</v>
      </c>
      <c r="I373" s="1">
        <f t="array" ref="I373">IF(ISNUMBER(MATCH(62848,Max!$A:$A,0)), IF(OR(INDEX(Max!$D:$D,MATCH(62848,Max!$A:$A,0))=1, INDEX(Max!$D:$D,MATCH(62848,Max!$A:$A,0))=2), INDEX(Max!$D:$D,MATCH(62848,Max!$A:$A,0)), 0), 0)</f>
        <v>0</v>
      </c>
    </row>
    <row r="374" spans="1:9" ht="15.75" customHeight="1" x14ac:dyDescent="0.2">
      <c r="A374" s="1">
        <v>64848</v>
      </c>
      <c r="B374" s="1" t="s">
        <v>153</v>
      </c>
      <c r="C374" s="1" t="s">
        <v>948</v>
      </c>
      <c r="D374" s="1" t="str">
        <f t="shared" si="1"/>
        <v>2</v>
      </c>
      <c r="E374" s="1" t="s">
        <v>949</v>
      </c>
      <c r="G374" s="1">
        <f t="array" ref="G374">IF(ISNUMBER(MATCH(64848,Camille!$A:$A,0)), IF(OR(INDEX(Camille!$D:$D,MATCH(64848,Camille!$A:$A,0))=1, INDEX(Camille!$D:$D,MATCH(64848,Camille!$A:$A,0))=2), INDEX(Camille!$D:$D,MATCH(64848,Camille!$A:$A,0)), 0), 0)</f>
        <v>2</v>
      </c>
      <c r="H374" s="1">
        <f t="array" ref="H374">IF(ISNUMBER(MATCH(64848,Telmo!$A:$A,0)), IF(OR(INDEX(Telmo!$D:$D,MATCH(64848,Telmo!$A:$A,0))=1, INDEX(Telmo!$D:$D,MATCH(64848,Telmo!$A:$A,0))=2), INDEX(Telmo!$D:$D,MATCH(64848,Telmo!$A:$A,0)), 0), 0)</f>
        <v>0</v>
      </c>
      <c r="I374" s="1">
        <f t="array" ref="I374">IF(ISNUMBER(MATCH(64848,Max!$A:$A,0)), IF(OR(INDEX(Max!$D:$D,MATCH(64848,Max!$A:$A,0))=1, INDEX(Max!$D:$D,MATCH(64848,Max!$A:$A,0))=2), INDEX(Max!$D:$D,MATCH(64848,Max!$A:$A,0)), 0), 0)</f>
        <v>0</v>
      </c>
    </row>
    <row r="375" spans="1:9" ht="15.75" customHeight="1" x14ac:dyDescent="0.2">
      <c r="A375" s="1">
        <v>7697</v>
      </c>
      <c r="B375" s="1" t="s">
        <v>210</v>
      </c>
      <c r="C375" s="1" t="s">
        <v>950</v>
      </c>
      <c r="D375" s="1" t="str">
        <f t="shared" si="1"/>
        <v>2</v>
      </c>
      <c r="E375" s="1" t="s">
        <v>951</v>
      </c>
      <c r="G375" s="1">
        <f t="array" ref="G375">IF(ISNUMBER(MATCH(7697,Camille!$A:$A,0)), IF(OR(INDEX(Camille!$D:$D,MATCH(7697,Camille!$A:$A,0))=1, INDEX(Camille!$D:$D,MATCH(7697,Camille!$A:$A,0))=2), INDEX(Camille!$D:$D,MATCH(7697,Camille!$A:$A,0)), 0), 0)</f>
        <v>2</v>
      </c>
      <c r="H375" s="1">
        <f t="array" ref="H375">IF(ISNUMBER(MATCH(7697,Telmo!$A:$A,0)), IF(OR(INDEX(Telmo!$D:$D,MATCH(7697,Telmo!$A:$A,0))=1, INDEX(Telmo!$D:$D,MATCH(7697,Telmo!$A:$A,0))=2), INDEX(Telmo!$D:$D,MATCH(7697,Telmo!$A:$A,0)), 0), 0)</f>
        <v>0</v>
      </c>
      <c r="I375" s="1">
        <f t="array" ref="I375">IF(ISNUMBER(MATCH(7697,Max!$A:$A,0)), IF(OR(INDEX(Max!$D:$D,MATCH(7697,Max!$A:$A,0))=1, INDEX(Max!$D:$D,MATCH(7697,Max!$A:$A,0))=2), INDEX(Max!$D:$D,MATCH(7697,Max!$A:$A,0)), 0), 0)</f>
        <v>0</v>
      </c>
    </row>
    <row r="376" spans="1:9" ht="15.75" customHeight="1" x14ac:dyDescent="0.2">
      <c r="A376" s="1">
        <v>36099</v>
      </c>
      <c r="B376" s="1" t="s">
        <v>952</v>
      </c>
      <c r="C376" s="1" t="s">
        <v>953</v>
      </c>
      <c r="D376" s="1" t="str">
        <f t="shared" si="1"/>
        <v>2</v>
      </c>
      <c r="E376" s="1" t="s">
        <v>954</v>
      </c>
      <c r="G376" s="1">
        <f t="array" ref="G376">IF(ISNUMBER(MATCH(36099,Camille!$A:$A,0)), IF(OR(INDEX(Camille!$D:$D,MATCH(36099,Camille!$A:$A,0))=1, INDEX(Camille!$D:$D,MATCH(36099,Camille!$A:$A,0))=2), INDEX(Camille!$D:$D,MATCH(36099,Camille!$A:$A,0)), 0), 0)</f>
        <v>2</v>
      </c>
      <c r="H376" s="1">
        <f t="array" ref="H376">IF(ISNUMBER(MATCH(36099,Telmo!$A:$A,0)), IF(OR(INDEX(Telmo!$D:$D,MATCH(36099,Telmo!$A:$A,0))=1, INDEX(Telmo!$D:$D,MATCH(36099,Telmo!$A:$A,0))=2), INDEX(Telmo!$D:$D,MATCH(36099,Telmo!$A:$A,0)), 0), 0)</f>
        <v>0</v>
      </c>
      <c r="I376" s="1">
        <f t="array" ref="I376">IF(ISNUMBER(MATCH(36099,Max!$A:$A,0)), IF(OR(INDEX(Max!$D:$D,MATCH(36099,Max!$A:$A,0))=1, INDEX(Max!$D:$D,MATCH(36099,Max!$A:$A,0))=2), INDEX(Max!$D:$D,MATCH(36099,Max!$A:$A,0)), 0), 0)</f>
        <v>0</v>
      </c>
    </row>
    <row r="377" spans="1:9" ht="15.75" customHeight="1" x14ac:dyDescent="0.2">
      <c r="A377" s="1">
        <v>56328</v>
      </c>
      <c r="B377" s="1" t="s">
        <v>14</v>
      </c>
      <c r="C377" s="1" t="s">
        <v>955</v>
      </c>
      <c r="D377" s="1" t="str">
        <f t="shared" si="1"/>
        <v>2</v>
      </c>
      <c r="E377" s="1" t="s">
        <v>956</v>
      </c>
      <c r="G377" s="1">
        <f t="array" ref="G377">IF(ISNUMBER(MATCH(56328,Camille!$A:$A,0)), IF(OR(INDEX(Camille!$D:$D,MATCH(56328,Camille!$A:$A,0))=1, INDEX(Camille!$D:$D,MATCH(56328,Camille!$A:$A,0))=2), INDEX(Camille!$D:$D,MATCH(56328,Camille!$A:$A,0)), 0), 0)</f>
        <v>2</v>
      </c>
      <c r="H377" s="1">
        <f t="array" ref="H377">IF(ISNUMBER(MATCH(56328,Telmo!$A:$A,0)), IF(OR(INDEX(Telmo!$D:$D,MATCH(56328,Telmo!$A:$A,0))=1, INDEX(Telmo!$D:$D,MATCH(56328,Telmo!$A:$A,0))=2), INDEX(Telmo!$D:$D,MATCH(56328,Telmo!$A:$A,0)), 0), 0)</f>
        <v>0</v>
      </c>
      <c r="I377" s="1">
        <f t="array" ref="I377">IF(ISNUMBER(MATCH(56328,Max!$A:$A,0)), IF(OR(INDEX(Max!$D:$D,MATCH(56328,Max!$A:$A,0))=1, INDEX(Max!$D:$D,MATCH(56328,Max!$A:$A,0))=2), INDEX(Max!$D:$D,MATCH(56328,Max!$A:$A,0)), 0), 0)</f>
        <v>0</v>
      </c>
    </row>
    <row r="378" spans="1:9" ht="15.75" customHeight="1" x14ac:dyDescent="0.2">
      <c r="A378" s="1">
        <v>36013</v>
      </c>
      <c r="B378" s="1" t="s">
        <v>808</v>
      </c>
      <c r="C378" s="1" t="s">
        <v>957</v>
      </c>
      <c r="D378" s="1" t="str">
        <f t="shared" si="1"/>
        <v>2</v>
      </c>
      <c r="E378" s="1" t="s">
        <v>958</v>
      </c>
      <c r="G378" s="1">
        <f t="array" ref="G378">IF(ISNUMBER(MATCH(36013,Camille!$A:$A,0)), IF(OR(INDEX(Camille!$D:$D,MATCH(36013,Camille!$A:$A,0))=1, INDEX(Camille!$D:$D,MATCH(36013,Camille!$A:$A,0))=2), INDEX(Camille!$D:$D,MATCH(36013,Camille!$A:$A,0)), 0), 0)</f>
        <v>2</v>
      </c>
      <c r="H378" s="1">
        <f t="array" ref="H378">IF(ISNUMBER(MATCH(36013,Telmo!$A:$A,0)), IF(OR(INDEX(Telmo!$D:$D,MATCH(36013,Telmo!$A:$A,0))=1, INDEX(Telmo!$D:$D,MATCH(36013,Telmo!$A:$A,0))=2), INDEX(Telmo!$D:$D,MATCH(36013,Telmo!$A:$A,0)), 0), 0)</f>
        <v>0</v>
      </c>
      <c r="I378" s="1">
        <f t="array" ref="I378">IF(ISNUMBER(MATCH(36013,Max!$A:$A,0)), IF(OR(INDEX(Max!$D:$D,MATCH(36013,Max!$A:$A,0))=1, INDEX(Max!$D:$D,MATCH(36013,Max!$A:$A,0))=2), INDEX(Max!$D:$D,MATCH(36013,Max!$A:$A,0)), 0), 0)</f>
        <v>0</v>
      </c>
    </row>
    <row r="379" spans="1:9" ht="15.75" customHeight="1" x14ac:dyDescent="0.2">
      <c r="A379" s="1">
        <v>67108</v>
      </c>
      <c r="B379" s="1" t="s">
        <v>959</v>
      </c>
      <c r="C379" s="1" t="s">
        <v>960</v>
      </c>
      <c r="D379" s="1" t="str">
        <f t="shared" si="1"/>
        <v>1</v>
      </c>
      <c r="E379" s="1" t="s">
        <v>961</v>
      </c>
      <c r="G379" s="1">
        <f t="array" ref="G379">IF(ISNUMBER(MATCH(67108,Camille!$A:$A,0)), IF(OR(INDEX(Camille!$D:$D,MATCH(67108,Camille!$A:$A,0))=1, INDEX(Camille!$D:$D,MATCH(67108,Camille!$A:$A,0))=2), INDEX(Camille!$D:$D,MATCH(67108,Camille!$A:$A,0)), 0), 0)</f>
        <v>1</v>
      </c>
      <c r="H379" s="1">
        <f t="array" ref="H379">IF(ISNUMBER(MATCH(67108,Telmo!$A:$A,0)), IF(OR(INDEX(Telmo!$D:$D,MATCH(67108,Telmo!$A:$A,0))=1, INDEX(Telmo!$D:$D,MATCH(67108,Telmo!$A:$A,0))=2), INDEX(Telmo!$D:$D,MATCH(67108,Telmo!$A:$A,0)), 0), 0)</f>
        <v>0</v>
      </c>
      <c r="I379" s="1">
        <f t="array" ref="I379">IF(ISNUMBER(MATCH(67108,Max!$A:$A,0)), IF(OR(INDEX(Max!$D:$D,MATCH(67108,Max!$A:$A,0))=1, INDEX(Max!$D:$D,MATCH(67108,Max!$A:$A,0))=2), INDEX(Max!$D:$D,MATCH(67108,Max!$A:$A,0)), 0), 0)</f>
        <v>0</v>
      </c>
    </row>
    <row r="380" spans="1:9" ht="15.75" customHeight="1" x14ac:dyDescent="0.2">
      <c r="A380" s="1">
        <v>43743</v>
      </c>
      <c r="B380" s="1" t="s">
        <v>78</v>
      </c>
      <c r="C380" s="1" t="s">
        <v>962</v>
      </c>
      <c r="D380" s="1" t="str">
        <f t="shared" si="1"/>
        <v>2</v>
      </c>
      <c r="E380" s="1" t="s">
        <v>963</v>
      </c>
      <c r="G380" s="1">
        <f t="array" ref="G380">IF(ISNUMBER(MATCH(43743,Camille!$A:$A,0)), IF(OR(INDEX(Camille!$D:$D,MATCH(43743,Camille!$A:$A,0))=1, INDEX(Camille!$D:$D,MATCH(43743,Camille!$A:$A,0))=2), INDEX(Camille!$D:$D,MATCH(43743,Camille!$A:$A,0)), 0), 0)</f>
        <v>2</v>
      </c>
      <c r="H380" s="1">
        <f t="array" ref="H380">IF(ISNUMBER(MATCH(43743,Telmo!$A:$A,0)), IF(OR(INDEX(Telmo!$D:$D,MATCH(43743,Telmo!$A:$A,0))=1, INDEX(Telmo!$D:$D,MATCH(43743,Telmo!$A:$A,0))=2), INDEX(Telmo!$D:$D,MATCH(43743,Telmo!$A:$A,0)), 0), 0)</f>
        <v>0</v>
      </c>
      <c r="I380" s="1">
        <f t="array" ref="I380">IF(ISNUMBER(MATCH(43743,Max!$A:$A,0)), IF(OR(INDEX(Max!$D:$D,MATCH(43743,Max!$A:$A,0))=1, INDEX(Max!$D:$D,MATCH(43743,Max!$A:$A,0))=2), INDEX(Max!$D:$D,MATCH(43743,Max!$A:$A,0)), 0), 0)</f>
        <v>0</v>
      </c>
    </row>
    <row r="381" spans="1:9" ht="15.75" customHeight="1" x14ac:dyDescent="0.2">
      <c r="A381" s="1">
        <v>10677</v>
      </c>
      <c r="B381" s="1" t="s">
        <v>964</v>
      </c>
      <c r="C381" s="1" t="s">
        <v>965</v>
      </c>
      <c r="D381" s="1" t="str">
        <f t="shared" si="1"/>
        <v>2</v>
      </c>
      <c r="E381" s="1" t="s">
        <v>966</v>
      </c>
      <c r="G381" s="1">
        <f t="array" ref="G381">IF(ISNUMBER(MATCH(10677,Camille!$A:$A,0)), IF(OR(INDEX(Camille!$D:$D,MATCH(10677,Camille!$A:$A,0))=1, INDEX(Camille!$D:$D,MATCH(10677,Camille!$A:$A,0))=2), INDEX(Camille!$D:$D,MATCH(10677,Camille!$A:$A,0)), 0), 0)</f>
        <v>2</v>
      </c>
      <c r="H381" s="1">
        <f t="array" ref="H381">IF(ISNUMBER(MATCH(10677,Telmo!$A:$A,0)), IF(OR(INDEX(Telmo!$D:$D,MATCH(10677,Telmo!$A:$A,0))=1, INDEX(Telmo!$D:$D,MATCH(10677,Telmo!$A:$A,0))=2), INDEX(Telmo!$D:$D,MATCH(10677,Telmo!$A:$A,0)), 0), 0)</f>
        <v>0</v>
      </c>
      <c r="I381" s="1">
        <f t="array" ref="I381">IF(ISNUMBER(MATCH(10677,Max!$A:$A,0)), IF(OR(INDEX(Max!$D:$D,MATCH(10677,Max!$A:$A,0))=1, INDEX(Max!$D:$D,MATCH(10677,Max!$A:$A,0))=2), INDEX(Max!$D:$D,MATCH(10677,Max!$A:$A,0)), 0), 0)</f>
        <v>0</v>
      </c>
    </row>
    <row r="382" spans="1:9" ht="15.75" customHeight="1" x14ac:dyDescent="0.2">
      <c r="A382" s="1">
        <v>3210</v>
      </c>
      <c r="B382" s="1" t="s">
        <v>210</v>
      </c>
      <c r="C382" s="1" t="s">
        <v>967</v>
      </c>
      <c r="D382" s="1" t="str">
        <f t="shared" si="1"/>
        <v>2</v>
      </c>
      <c r="E382" s="1" t="s">
        <v>968</v>
      </c>
      <c r="G382" s="1">
        <f t="array" ref="G382">IF(ISNUMBER(MATCH(3210,Camille!$A:$A,0)), IF(OR(INDEX(Camille!$D:$D,MATCH(3210,Camille!$A:$A,0))=1, INDEX(Camille!$D:$D,MATCH(3210,Camille!$A:$A,0))=2), INDEX(Camille!$D:$D,MATCH(3210,Camille!$A:$A,0)), 0), 0)</f>
        <v>2</v>
      </c>
      <c r="H382" s="1">
        <f t="array" ref="H382">IF(ISNUMBER(MATCH(3210,Telmo!$A:$A,0)), IF(OR(INDEX(Telmo!$D:$D,MATCH(3210,Telmo!$A:$A,0))=1, INDEX(Telmo!$D:$D,MATCH(3210,Telmo!$A:$A,0))=2), INDEX(Telmo!$D:$D,MATCH(3210,Telmo!$A:$A,0)), 0), 0)</f>
        <v>0</v>
      </c>
      <c r="I382" s="1">
        <f t="array" ref="I382">IF(ISNUMBER(MATCH(3210,Max!$A:$A,0)), IF(OR(INDEX(Max!$D:$D,MATCH(3210,Max!$A:$A,0))=1, INDEX(Max!$D:$D,MATCH(3210,Max!$A:$A,0))=2), INDEX(Max!$D:$D,MATCH(3210,Max!$A:$A,0)), 0), 0)</f>
        <v>0</v>
      </c>
    </row>
    <row r="383" spans="1:9" ht="15.75" customHeight="1" x14ac:dyDescent="0.2">
      <c r="A383" s="1">
        <v>29972</v>
      </c>
      <c r="B383" s="1" t="s">
        <v>969</v>
      </c>
      <c r="C383" s="1" t="s">
        <v>970</v>
      </c>
      <c r="D383" s="1" t="str">
        <f t="shared" si="1"/>
        <v>2</v>
      </c>
      <c r="E383" s="1" t="s">
        <v>971</v>
      </c>
      <c r="G383" s="1">
        <f t="array" ref="G383">IF(ISNUMBER(MATCH(29972,Camille!$A:$A,0)), IF(OR(INDEX(Camille!$D:$D,MATCH(29972,Camille!$A:$A,0))=1, INDEX(Camille!$D:$D,MATCH(29972,Camille!$A:$A,0))=2), INDEX(Camille!$D:$D,MATCH(29972,Camille!$A:$A,0)), 0), 0)</f>
        <v>2</v>
      </c>
      <c r="H383" s="1">
        <f t="array" ref="H383">IF(ISNUMBER(MATCH(29972,Telmo!$A:$A,0)), IF(OR(INDEX(Telmo!$D:$D,MATCH(29972,Telmo!$A:$A,0))=1, INDEX(Telmo!$D:$D,MATCH(29972,Telmo!$A:$A,0))=2), INDEX(Telmo!$D:$D,MATCH(29972,Telmo!$A:$A,0)), 0), 0)</f>
        <v>0</v>
      </c>
      <c r="I383" s="1">
        <f t="array" ref="I383">IF(ISNUMBER(MATCH(29972,Max!$A:$A,0)), IF(OR(INDEX(Max!$D:$D,MATCH(29972,Max!$A:$A,0))=1, INDEX(Max!$D:$D,MATCH(29972,Max!$A:$A,0))=2), INDEX(Max!$D:$D,MATCH(29972,Max!$A:$A,0)), 0), 0)</f>
        <v>0</v>
      </c>
    </row>
    <row r="384" spans="1:9" ht="15.75" customHeight="1" x14ac:dyDescent="0.2">
      <c r="A384" s="1">
        <v>70059</v>
      </c>
      <c r="B384" s="1" t="s">
        <v>32</v>
      </c>
      <c r="C384" s="1" t="s">
        <v>972</v>
      </c>
      <c r="D384" s="1" t="str">
        <f t="shared" si="1"/>
        <v>2</v>
      </c>
      <c r="E384" s="1" t="s">
        <v>973</v>
      </c>
      <c r="G384" s="1">
        <f t="array" ref="G384">IF(ISNUMBER(MATCH(70059,Camille!$A:$A,0)), IF(OR(INDEX(Camille!$D:$D,MATCH(70059,Camille!$A:$A,0))=1, INDEX(Camille!$D:$D,MATCH(70059,Camille!$A:$A,0))=2), INDEX(Camille!$D:$D,MATCH(70059,Camille!$A:$A,0)), 0), 0)</f>
        <v>2</v>
      </c>
      <c r="H384" s="1">
        <f t="array" ref="H384">IF(ISNUMBER(MATCH(70059,Telmo!$A:$A,0)), IF(OR(INDEX(Telmo!$D:$D,MATCH(70059,Telmo!$A:$A,0))=1, INDEX(Telmo!$D:$D,MATCH(70059,Telmo!$A:$A,0))=2), INDEX(Telmo!$D:$D,MATCH(70059,Telmo!$A:$A,0)), 0), 0)</f>
        <v>0</v>
      </c>
      <c r="I384" s="1">
        <f t="array" ref="I384">IF(ISNUMBER(MATCH(70059,Max!$A:$A,0)), IF(OR(INDEX(Max!$D:$D,MATCH(70059,Max!$A:$A,0))=1, INDEX(Max!$D:$D,MATCH(70059,Max!$A:$A,0))=2), INDEX(Max!$D:$D,MATCH(70059,Max!$A:$A,0)), 0), 0)</f>
        <v>0</v>
      </c>
    </row>
    <row r="385" spans="1:9" ht="15.75" customHeight="1" x14ac:dyDescent="0.2">
      <c r="A385" s="1">
        <v>54392</v>
      </c>
      <c r="B385" s="1" t="s">
        <v>167</v>
      </c>
      <c r="C385" s="1" t="s">
        <v>974</v>
      </c>
      <c r="D385" s="1" t="str">
        <f t="shared" si="1"/>
        <v>1</v>
      </c>
      <c r="E385" s="1" t="s">
        <v>975</v>
      </c>
      <c r="G385" s="1">
        <f t="array" ref="G385">IF(ISNUMBER(MATCH(54392,Camille!$A:$A,0)), IF(OR(INDEX(Camille!$D:$D,MATCH(54392,Camille!$A:$A,0))=1, INDEX(Camille!$D:$D,MATCH(54392,Camille!$A:$A,0))=2), INDEX(Camille!$D:$D,MATCH(54392,Camille!$A:$A,0)), 0), 0)</f>
        <v>1</v>
      </c>
      <c r="H385" s="1">
        <f t="array" ref="H385">IF(ISNUMBER(MATCH(54392,Telmo!$A:$A,0)), IF(OR(INDEX(Telmo!$D:$D,MATCH(54392,Telmo!$A:$A,0))=1, INDEX(Telmo!$D:$D,MATCH(54392,Telmo!$A:$A,0))=2), INDEX(Telmo!$D:$D,MATCH(54392,Telmo!$A:$A,0)), 0), 0)</f>
        <v>0</v>
      </c>
      <c r="I385" s="1">
        <f t="array" ref="I385">IF(ISNUMBER(MATCH(54392,Max!$A:$A,0)), IF(OR(INDEX(Max!$D:$D,MATCH(54392,Max!$A:$A,0))=1, INDEX(Max!$D:$D,MATCH(54392,Max!$A:$A,0))=2), INDEX(Max!$D:$D,MATCH(54392,Max!$A:$A,0)), 0), 0)</f>
        <v>0</v>
      </c>
    </row>
    <row r="386" spans="1:9" ht="15.75" customHeight="1" x14ac:dyDescent="0.2">
      <c r="A386" s="1">
        <v>22883</v>
      </c>
      <c r="B386" s="1" t="s">
        <v>11</v>
      </c>
      <c r="C386" s="1" t="s">
        <v>976</v>
      </c>
      <c r="D386" s="1" t="str">
        <f t="shared" si="1"/>
        <v>1</v>
      </c>
      <c r="E386" s="1" t="s">
        <v>977</v>
      </c>
      <c r="G386" s="1">
        <f t="array" ref="G386">IF(ISNUMBER(MATCH(22883,Camille!$A:$A,0)), IF(OR(INDEX(Camille!$D:$D,MATCH(22883,Camille!$A:$A,0))=1, INDEX(Camille!$D:$D,MATCH(22883,Camille!$A:$A,0))=2), INDEX(Camille!$D:$D,MATCH(22883,Camille!$A:$A,0)), 0), 0)</f>
        <v>1</v>
      </c>
      <c r="H386" s="1">
        <f t="array" ref="H386">IF(ISNUMBER(MATCH(22883,Telmo!$A:$A,0)), IF(OR(INDEX(Telmo!$D:$D,MATCH(22883,Telmo!$A:$A,0))=1, INDEX(Telmo!$D:$D,MATCH(22883,Telmo!$A:$A,0))=2), INDEX(Telmo!$D:$D,MATCH(22883,Telmo!$A:$A,0)), 0), 0)</f>
        <v>0</v>
      </c>
      <c r="I386" s="1">
        <f t="array" ref="I386">IF(ISNUMBER(MATCH(22883,Max!$A:$A,0)), IF(OR(INDEX(Max!$D:$D,MATCH(22883,Max!$A:$A,0))=1, INDEX(Max!$D:$D,MATCH(22883,Max!$A:$A,0))=2), INDEX(Max!$D:$D,MATCH(22883,Max!$A:$A,0)), 0), 0)</f>
        <v>0</v>
      </c>
    </row>
    <row r="387" spans="1:9" ht="15.75" customHeight="1" x14ac:dyDescent="0.2">
      <c r="A387" s="1">
        <v>4190</v>
      </c>
      <c r="B387" s="1" t="s">
        <v>906</v>
      </c>
      <c r="C387" s="1" t="s">
        <v>978</v>
      </c>
      <c r="D387" s="1" t="str">
        <f t="shared" si="1"/>
        <v>2</v>
      </c>
      <c r="E387" s="1" t="s">
        <v>979</v>
      </c>
      <c r="G387" s="1">
        <f t="array" ref="G387">IF(ISNUMBER(MATCH(4190,Camille!$A:$A,0)), IF(OR(INDEX(Camille!$D:$D,MATCH(4190,Camille!$A:$A,0))=1, INDEX(Camille!$D:$D,MATCH(4190,Camille!$A:$A,0))=2), INDEX(Camille!$D:$D,MATCH(4190,Camille!$A:$A,0)), 0), 0)</f>
        <v>2</v>
      </c>
      <c r="H387" s="1">
        <f t="array" ref="H387">IF(ISNUMBER(MATCH(4190,Telmo!$A:$A,0)), IF(OR(INDEX(Telmo!$D:$D,MATCH(4190,Telmo!$A:$A,0))=1, INDEX(Telmo!$D:$D,MATCH(4190,Telmo!$A:$A,0))=2), INDEX(Telmo!$D:$D,MATCH(4190,Telmo!$A:$A,0)), 0), 0)</f>
        <v>0</v>
      </c>
      <c r="I387" s="1">
        <f t="array" ref="I387">IF(ISNUMBER(MATCH(4190,Max!$A:$A,0)), IF(OR(INDEX(Max!$D:$D,MATCH(4190,Max!$A:$A,0))=1, INDEX(Max!$D:$D,MATCH(4190,Max!$A:$A,0))=2), INDEX(Max!$D:$D,MATCH(4190,Max!$A:$A,0)), 0), 0)</f>
        <v>0</v>
      </c>
    </row>
    <row r="388" spans="1:9" ht="15.75" customHeight="1" x14ac:dyDescent="0.2">
      <c r="A388" s="1">
        <v>43410</v>
      </c>
      <c r="B388" s="1" t="s">
        <v>103</v>
      </c>
      <c r="C388" s="1" t="s">
        <v>980</v>
      </c>
      <c r="D388" s="1" t="str">
        <f t="shared" si="1"/>
        <v>2</v>
      </c>
      <c r="E388" s="1" t="s">
        <v>981</v>
      </c>
      <c r="G388" s="1">
        <f t="array" ref="G388">IF(ISNUMBER(MATCH(43410,Camille!$A:$A,0)), IF(OR(INDEX(Camille!$D:$D,MATCH(43410,Camille!$A:$A,0))=1, INDEX(Camille!$D:$D,MATCH(43410,Camille!$A:$A,0))=2), INDEX(Camille!$D:$D,MATCH(43410,Camille!$A:$A,0)), 0), 0)</f>
        <v>2</v>
      </c>
      <c r="H388" s="1">
        <f t="array" ref="H388">IF(ISNUMBER(MATCH(43410,Telmo!$A:$A,0)), IF(OR(INDEX(Telmo!$D:$D,MATCH(43410,Telmo!$A:$A,0))=1, INDEX(Telmo!$D:$D,MATCH(43410,Telmo!$A:$A,0))=2), INDEX(Telmo!$D:$D,MATCH(43410,Telmo!$A:$A,0)), 0), 0)</f>
        <v>0</v>
      </c>
      <c r="I388" s="1">
        <f t="array" ref="I388">IF(ISNUMBER(MATCH(43410,Max!$A:$A,0)), IF(OR(INDEX(Max!$D:$D,MATCH(43410,Max!$A:$A,0))=1, INDEX(Max!$D:$D,MATCH(43410,Max!$A:$A,0))=2), INDEX(Max!$D:$D,MATCH(43410,Max!$A:$A,0)), 0), 0)</f>
        <v>0</v>
      </c>
    </row>
    <row r="389" spans="1:9" ht="15.75" customHeight="1" x14ac:dyDescent="0.2">
      <c r="A389" s="1">
        <v>55736</v>
      </c>
      <c r="B389" s="1" t="s">
        <v>524</v>
      </c>
      <c r="C389" s="1" t="s">
        <v>982</v>
      </c>
      <c r="D389" s="1" t="str">
        <f t="shared" si="1"/>
        <v>2</v>
      </c>
      <c r="E389" s="1" t="s">
        <v>983</v>
      </c>
      <c r="G389" s="1">
        <f t="array" ref="G389">IF(ISNUMBER(MATCH(55736,Camille!$A:$A,0)), IF(OR(INDEX(Camille!$D:$D,MATCH(55736,Camille!$A:$A,0))=1, INDEX(Camille!$D:$D,MATCH(55736,Camille!$A:$A,0))=2), INDEX(Camille!$D:$D,MATCH(55736,Camille!$A:$A,0)), 0), 0)</f>
        <v>2</v>
      </c>
      <c r="H389" s="1">
        <f t="array" ref="H389">IF(ISNUMBER(MATCH(55736,Telmo!$A:$A,0)), IF(OR(INDEX(Telmo!$D:$D,MATCH(55736,Telmo!$A:$A,0))=1, INDEX(Telmo!$D:$D,MATCH(55736,Telmo!$A:$A,0))=2), INDEX(Telmo!$D:$D,MATCH(55736,Telmo!$A:$A,0)), 0), 0)</f>
        <v>0</v>
      </c>
      <c r="I389" s="1">
        <f t="array" ref="I389">IF(ISNUMBER(MATCH(55736,Max!$A:$A,0)), IF(OR(INDEX(Max!$D:$D,MATCH(55736,Max!$A:$A,0))=1, INDEX(Max!$D:$D,MATCH(55736,Max!$A:$A,0))=2), INDEX(Max!$D:$D,MATCH(55736,Max!$A:$A,0)), 0), 0)</f>
        <v>0</v>
      </c>
    </row>
    <row r="390" spans="1:9" ht="15.75" customHeight="1" x14ac:dyDescent="0.2">
      <c r="A390" s="1">
        <v>15216</v>
      </c>
      <c r="B390" s="1" t="s">
        <v>215</v>
      </c>
      <c r="C390" s="1" t="s">
        <v>984</v>
      </c>
      <c r="D390" s="1" t="str">
        <f t="shared" si="1"/>
        <v>2</v>
      </c>
      <c r="E390" s="1" t="s">
        <v>985</v>
      </c>
      <c r="G390" s="1">
        <f t="array" ref="G390">IF(ISNUMBER(MATCH(15216,Camille!$A:$A,0)), IF(OR(INDEX(Camille!$D:$D,MATCH(15216,Camille!$A:$A,0))=1, INDEX(Camille!$D:$D,MATCH(15216,Camille!$A:$A,0))=2), INDEX(Camille!$D:$D,MATCH(15216,Camille!$A:$A,0)), 0), 0)</f>
        <v>2</v>
      </c>
      <c r="H390" s="1">
        <f t="array" ref="H390">IF(ISNUMBER(MATCH(15216,Telmo!$A:$A,0)), IF(OR(INDEX(Telmo!$D:$D,MATCH(15216,Telmo!$A:$A,0))=1, INDEX(Telmo!$D:$D,MATCH(15216,Telmo!$A:$A,0))=2), INDEX(Telmo!$D:$D,MATCH(15216,Telmo!$A:$A,0)), 0), 0)</f>
        <v>0</v>
      </c>
      <c r="I390" s="1">
        <f t="array" ref="I390">IF(ISNUMBER(MATCH(15216,Max!$A:$A,0)), IF(OR(INDEX(Max!$D:$D,MATCH(15216,Max!$A:$A,0))=1, INDEX(Max!$D:$D,MATCH(15216,Max!$A:$A,0))=2), INDEX(Max!$D:$D,MATCH(15216,Max!$A:$A,0)), 0), 0)</f>
        <v>0</v>
      </c>
    </row>
    <row r="391" spans="1:9" ht="15.75" customHeight="1" x14ac:dyDescent="0.2">
      <c r="A391" s="1">
        <v>1157</v>
      </c>
      <c r="B391" s="1" t="s">
        <v>986</v>
      </c>
      <c r="C391" s="1" t="s">
        <v>987</v>
      </c>
      <c r="D391" s="1" t="str">
        <f t="shared" si="1"/>
        <v>2</v>
      </c>
      <c r="E391" s="1" t="s">
        <v>988</v>
      </c>
      <c r="G391" s="1">
        <f t="array" ref="G391">IF(ISNUMBER(MATCH(1157,Camille!$A:$A,0)), IF(OR(INDEX(Camille!$D:$D,MATCH(1157,Camille!$A:$A,0))=1, INDEX(Camille!$D:$D,MATCH(1157,Camille!$A:$A,0))=2), INDEX(Camille!$D:$D,MATCH(1157,Camille!$A:$A,0)), 0), 0)</f>
        <v>2</v>
      </c>
      <c r="H391" s="1">
        <f t="array" ref="H391">IF(ISNUMBER(MATCH(1157,Telmo!$A:$A,0)), IF(OR(INDEX(Telmo!$D:$D,MATCH(1157,Telmo!$A:$A,0))=1, INDEX(Telmo!$D:$D,MATCH(1157,Telmo!$A:$A,0))=2), INDEX(Telmo!$D:$D,MATCH(1157,Telmo!$A:$A,0)), 0), 0)</f>
        <v>0</v>
      </c>
      <c r="I391" s="1">
        <f t="array" ref="I391">IF(ISNUMBER(MATCH(1157,Max!$A:$A,0)), IF(OR(INDEX(Max!$D:$D,MATCH(1157,Max!$A:$A,0))=1, INDEX(Max!$D:$D,MATCH(1157,Max!$A:$A,0))=2), INDEX(Max!$D:$D,MATCH(1157,Max!$A:$A,0)), 0), 0)</f>
        <v>0</v>
      </c>
    </row>
    <row r="392" spans="1:9" ht="15.75" customHeight="1" x14ac:dyDescent="0.2">
      <c r="A392" s="1">
        <v>65880</v>
      </c>
      <c r="B392" s="1" t="s">
        <v>273</v>
      </c>
      <c r="C392" s="1" t="s">
        <v>989</v>
      </c>
      <c r="D392" s="1" t="str">
        <f t="shared" si="1"/>
        <v>2</v>
      </c>
      <c r="E392" s="1" t="s">
        <v>990</v>
      </c>
      <c r="G392" s="1">
        <f t="array" ref="G392">IF(ISNUMBER(MATCH(65880,Camille!$A:$A,0)), IF(OR(INDEX(Camille!$D:$D,MATCH(65880,Camille!$A:$A,0))=1, INDEX(Camille!$D:$D,MATCH(65880,Camille!$A:$A,0))=2), INDEX(Camille!$D:$D,MATCH(65880,Camille!$A:$A,0)), 0), 0)</f>
        <v>2</v>
      </c>
      <c r="H392" s="1">
        <f t="array" ref="H392">IF(ISNUMBER(MATCH(65880,Telmo!$A:$A,0)), IF(OR(INDEX(Telmo!$D:$D,MATCH(65880,Telmo!$A:$A,0))=1, INDEX(Telmo!$D:$D,MATCH(65880,Telmo!$A:$A,0))=2), INDEX(Telmo!$D:$D,MATCH(65880,Telmo!$A:$A,0)), 0), 0)</f>
        <v>0</v>
      </c>
      <c r="I392" s="1">
        <f t="array" ref="I392">IF(ISNUMBER(MATCH(65880,Max!$A:$A,0)), IF(OR(INDEX(Max!$D:$D,MATCH(65880,Max!$A:$A,0))=1, INDEX(Max!$D:$D,MATCH(65880,Max!$A:$A,0))=2), INDEX(Max!$D:$D,MATCH(65880,Max!$A:$A,0)), 0), 0)</f>
        <v>0</v>
      </c>
    </row>
    <row r="393" spans="1:9" ht="15.75" customHeight="1" x14ac:dyDescent="0.2">
      <c r="A393" s="1">
        <v>15095</v>
      </c>
      <c r="B393" s="1" t="s">
        <v>991</v>
      </c>
      <c r="C393" s="1" t="s">
        <v>992</v>
      </c>
      <c r="D393" s="1" t="str">
        <f t="shared" si="1"/>
        <v>2</v>
      </c>
      <c r="E393" s="1" t="s">
        <v>993</v>
      </c>
      <c r="G393" s="1">
        <f t="array" ref="G393">IF(ISNUMBER(MATCH(15095,Camille!$A:$A,0)), IF(OR(INDEX(Camille!$D:$D,MATCH(15095,Camille!$A:$A,0))=1, INDEX(Camille!$D:$D,MATCH(15095,Camille!$A:$A,0))=2), INDEX(Camille!$D:$D,MATCH(15095,Camille!$A:$A,0)), 0), 0)</f>
        <v>2</v>
      </c>
      <c r="H393" s="1">
        <f t="array" ref="H393">IF(ISNUMBER(MATCH(15095,Telmo!$A:$A,0)), IF(OR(INDEX(Telmo!$D:$D,MATCH(15095,Telmo!$A:$A,0))=1, INDEX(Telmo!$D:$D,MATCH(15095,Telmo!$A:$A,0))=2), INDEX(Telmo!$D:$D,MATCH(15095,Telmo!$A:$A,0)), 0), 0)</f>
        <v>0</v>
      </c>
      <c r="I393" s="1">
        <f t="array" ref="I393">IF(ISNUMBER(MATCH(15095,Max!$A:$A,0)), IF(OR(INDEX(Max!$D:$D,MATCH(15095,Max!$A:$A,0))=1, INDEX(Max!$D:$D,MATCH(15095,Max!$A:$A,0))=2), INDEX(Max!$D:$D,MATCH(15095,Max!$A:$A,0)), 0), 0)</f>
        <v>0</v>
      </c>
    </row>
    <row r="394" spans="1:9" ht="15.75" customHeight="1" x14ac:dyDescent="0.2">
      <c r="A394" s="1">
        <v>65401</v>
      </c>
      <c r="B394" s="1" t="s">
        <v>14</v>
      </c>
      <c r="C394" s="1" t="s">
        <v>994</v>
      </c>
      <c r="D394" s="1" t="str">
        <f t="shared" si="1"/>
        <v>1</v>
      </c>
      <c r="E394" s="1" t="s">
        <v>995</v>
      </c>
      <c r="G394" s="1">
        <f t="array" ref="G394">IF(ISNUMBER(MATCH(65401,Camille!$A:$A,0)), IF(OR(INDEX(Camille!$D:$D,MATCH(65401,Camille!$A:$A,0))=1, INDEX(Camille!$D:$D,MATCH(65401,Camille!$A:$A,0))=2), INDEX(Camille!$D:$D,MATCH(65401,Camille!$A:$A,0)), 0), 0)</f>
        <v>1</v>
      </c>
      <c r="H394" s="1">
        <f t="array" ref="H394">IF(ISNUMBER(MATCH(65401,Telmo!$A:$A,0)), IF(OR(INDEX(Telmo!$D:$D,MATCH(65401,Telmo!$A:$A,0))=1, INDEX(Telmo!$D:$D,MATCH(65401,Telmo!$A:$A,0))=2), INDEX(Telmo!$D:$D,MATCH(65401,Telmo!$A:$A,0)), 0), 0)</f>
        <v>0</v>
      </c>
      <c r="I394" s="1">
        <f t="array" ref="I394">IF(ISNUMBER(MATCH(65401,Max!$A:$A,0)), IF(OR(INDEX(Max!$D:$D,MATCH(65401,Max!$A:$A,0))=1, INDEX(Max!$D:$D,MATCH(65401,Max!$A:$A,0))=2), INDEX(Max!$D:$D,MATCH(65401,Max!$A:$A,0)), 0), 0)</f>
        <v>0</v>
      </c>
    </row>
    <row r="395" spans="1:9" ht="15.75" customHeight="1" x14ac:dyDescent="0.2">
      <c r="A395" s="1">
        <v>24854</v>
      </c>
      <c r="B395" s="1" t="s">
        <v>996</v>
      </c>
      <c r="C395" s="1" t="s">
        <v>997</v>
      </c>
      <c r="D395" s="1" t="str">
        <f t="shared" si="1"/>
        <v>2</v>
      </c>
      <c r="E395" s="1" t="s">
        <v>998</v>
      </c>
      <c r="G395" s="1">
        <f t="array" ref="G395">IF(ISNUMBER(MATCH(24854,Camille!$A:$A,0)), IF(OR(INDEX(Camille!$D:$D,MATCH(24854,Camille!$A:$A,0))=1, INDEX(Camille!$D:$D,MATCH(24854,Camille!$A:$A,0))=2), INDEX(Camille!$D:$D,MATCH(24854,Camille!$A:$A,0)), 0), 0)</f>
        <v>2</v>
      </c>
      <c r="H395" s="1">
        <f t="array" ref="H395">IF(ISNUMBER(MATCH(24854,Telmo!$A:$A,0)), IF(OR(INDEX(Telmo!$D:$D,MATCH(24854,Telmo!$A:$A,0))=1, INDEX(Telmo!$D:$D,MATCH(24854,Telmo!$A:$A,0))=2), INDEX(Telmo!$D:$D,MATCH(24854,Telmo!$A:$A,0)), 0), 0)</f>
        <v>0</v>
      </c>
      <c r="I395" s="1">
        <f t="array" ref="I395">IF(ISNUMBER(MATCH(24854,Max!$A:$A,0)), IF(OR(INDEX(Max!$D:$D,MATCH(24854,Max!$A:$A,0))=1, INDEX(Max!$D:$D,MATCH(24854,Max!$A:$A,0))=2), INDEX(Max!$D:$D,MATCH(24854,Max!$A:$A,0)), 0), 0)</f>
        <v>0</v>
      </c>
    </row>
    <row r="396" spans="1:9" ht="15.75" customHeight="1" x14ac:dyDescent="0.2">
      <c r="A396" s="1">
        <v>43759</v>
      </c>
      <c r="B396" s="1" t="s">
        <v>819</v>
      </c>
      <c r="C396" s="1" t="s">
        <v>999</v>
      </c>
      <c r="D396" s="1" t="str">
        <f t="shared" si="1"/>
        <v>1</v>
      </c>
      <c r="E396" s="1" t="s">
        <v>1000</v>
      </c>
      <c r="G396" s="1">
        <f t="array" ref="G396">IF(ISNUMBER(MATCH(43759,Camille!$A:$A,0)), IF(OR(INDEX(Camille!$D:$D,MATCH(43759,Camille!$A:$A,0))=1, INDEX(Camille!$D:$D,MATCH(43759,Camille!$A:$A,0))=2), INDEX(Camille!$D:$D,MATCH(43759,Camille!$A:$A,0)), 0), 0)</f>
        <v>1</v>
      </c>
      <c r="H396" s="1">
        <f t="array" ref="H396">IF(ISNUMBER(MATCH(43759,Telmo!$A:$A,0)), IF(OR(INDEX(Telmo!$D:$D,MATCH(43759,Telmo!$A:$A,0))=1, INDEX(Telmo!$D:$D,MATCH(43759,Telmo!$A:$A,0))=2), INDEX(Telmo!$D:$D,MATCH(43759,Telmo!$A:$A,0)), 0), 0)</f>
        <v>0</v>
      </c>
      <c r="I396" s="1">
        <f t="array" ref="I396">IF(ISNUMBER(MATCH(43759,Max!$A:$A,0)), IF(OR(INDEX(Max!$D:$D,MATCH(43759,Max!$A:$A,0))=1, INDEX(Max!$D:$D,MATCH(43759,Max!$A:$A,0))=2), INDEX(Max!$D:$D,MATCH(43759,Max!$A:$A,0)), 0), 0)</f>
        <v>0</v>
      </c>
    </row>
    <row r="397" spans="1:9" ht="15.75" customHeight="1" x14ac:dyDescent="0.2">
      <c r="A397" s="1">
        <v>55311</v>
      </c>
      <c r="B397" s="1" t="s">
        <v>1001</v>
      </c>
      <c r="C397" s="1" t="s">
        <v>1002</v>
      </c>
      <c r="D397" s="1" t="str">
        <f t="shared" si="1"/>
        <v>1</v>
      </c>
      <c r="E397" s="1" t="s">
        <v>1003</v>
      </c>
      <c r="G397" s="1">
        <f t="array" ref="G397">IF(ISNUMBER(MATCH(55311,Camille!$A:$A,0)), IF(OR(INDEX(Camille!$D:$D,MATCH(55311,Camille!$A:$A,0))=1, INDEX(Camille!$D:$D,MATCH(55311,Camille!$A:$A,0))=2), INDEX(Camille!$D:$D,MATCH(55311,Camille!$A:$A,0)), 0), 0)</f>
        <v>1</v>
      </c>
      <c r="H397" s="1">
        <f t="array" ref="H397">IF(ISNUMBER(MATCH(55311,Telmo!$A:$A,0)), IF(OR(INDEX(Telmo!$D:$D,MATCH(55311,Telmo!$A:$A,0))=1, INDEX(Telmo!$D:$D,MATCH(55311,Telmo!$A:$A,0))=2), INDEX(Telmo!$D:$D,MATCH(55311,Telmo!$A:$A,0)), 0), 0)</f>
        <v>0</v>
      </c>
      <c r="I397" s="1">
        <f t="array" ref="I397">IF(ISNUMBER(MATCH(55311,Max!$A:$A,0)), IF(OR(INDEX(Max!$D:$D,MATCH(55311,Max!$A:$A,0))=1, INDEX(Max!$D:$D,MATCH(55311,Max!$A:$A,0))=2), INDEX(Max!$D:$D,MATCH(55311,Max!$A:$A,0)), 0), 0)</f>
        <v>0</v>
      </c>
    </row>
    <row r="398" spans="1:9" ht="15.75" customHeight="1" x14ac:dyDescent="0.2">
      <c r="A398" s="1">
        <v>47390</v>
      </c>
      <c r="B398" s="1" t="s">
        <v>1004</v>
      </c>
      <c r="C398" s="1" t="s">
        <v>1005</v>
      </c>
      <c r="D398" s="1" t="str">
        <f t="shared" si="1"/>
        <v>2</v>
      </c>
      <c r="E398" s="1" t="s">
        <v>1006</v>
      </c>
      <c r="G398" s="1">
        <f t="array" ref="G398">IF(ISNUMBER(MATCH(47390,Camille!$A:$A,0)), IF(OR(INDEX(Camille!$D:$D,MATCH(47390,Camille!$A:$A,0))=1, INDEX(Camille!$D:$D,MATCH(47390,Camille!$A:$A,0))=2), INDEX(Camille!$D:$D,MATCH(47390,Camille!$A:$A,0)), 0), 0)</f>
        <v>2</v>
      </c>
      <c r="H398" s="1">
        <f t="array" ref="H398">IF(ISNUMBER(MATCH(47390,Telmo!$A:$A,0)), IF(OR(INDEX(Telmo!$D:$D,MATCH(47390,Telmo!$A:$A,0))=1, INDEX(Telmo!$D:$D,MATCH(47390,Telmo!$A:$A,0))=2), INDEX(Telmo!$D:$D,MATCH(47390,Telmo!$A:$A,0)), 0), 0)</f>
        <v>0</v>
      </c>
      <c r="I398" s="1">
        <f t="array" ref="I398">IF(ISNUMBER(MATCH(47390,Max!$A:$A,0)), IF(OR(INDEX(Max!$D:$D,MATCH(47390,Max!$A:$A,0))=1, INDEX(Max!$D:$D,MATCH(47390,Max!$A:$A,0))=2), INDEX(Max!$D:$D,MATCH(47390,Max!$A:$A,0)), 0), 0)</f>
        <v>0</v>
      </c>
    </row>
    <row r="399" spans="1:9" ht="15.75" customHeight="1" x14ac:dyDescent="0.2">
      <c r="A399" s="1">
        <v>43196</v>
      </c>
      <c r="B399" s="1" t="s">
        <v>524</v>
      </c>
      <c r="C399" s="1" t="s">
        <v>1007</v>
      </c>
      <c r="D399" s="1" t="str">
        <f t="shared" si="1"/>
        <v>2</v>
      </c>
      <c r="E399" s="1" t="s">
        <v>1008</v>
      </c>
      <c r="G399" s="1">
        <f t="array" ref="G399">IF(ISNUMBER(MATCH(43196,Camille!$A:$A,0)), IF(OR(INDEX(Camille!$D:$D,MATCH(43196,Camille!$A:$A,0))=1, INDEX(Camille!$D:$D,MATCH(43196,Camille!$A:$A,0))=2), INDEX(Camille!$D:$D,MATCH(43196,Camille!$A:$A,0)), 0), 0)</f>
        <v>2</v>
      </c>
      <c r="H399" s="1">
        <f t="array" ref="H399">IF(ISNUMBER(MATCH(43196,Telmo!$A:$A,0)), IF(OR(INDEX(Telmo!$D:$D,MATCH(43196,Telmo!$A:$A,0))=1, INDEX(Telmo!$D:$D,MATCH(43196,Telmo!$A:$A,0))=2), INDEX(Telmo!$D:$D,MATCH(43196,Telmo!$A:$A,0)), 0), 0)</f>
        <v>0</v>
      </c>
      <c r="I399" s="1">
        <f t="array" ref="I399">IF(ISNUMBER(MATCH(43196,Max!$A:$A,0)), IF(OR(INDEX(Max!$D:$D,MATCH(43196,Max!$A:$A,0))=1, INDEX(Max!$D:$D,MATCH(43196,Max!$A:$A,0))=2), INDEX(Max!$D:$D,MATCH(43196,Max!$A:$A,0)), 0), 0)</f>
        <v>0</v>
      </c>
    </row>
    <row r="400" spans="1:9" ht="15.75" customHeight="1" x14ac:dyDescent="0.2">
      <c r="A400" s="1">
        <v>31833</v>
      </c>
      <c r="B400" s="1" t="s">
        <v>153</v>
      </c>
      <c r="C400" s="1" t="s">
        <v>1009</v>
      </c>
      <c r="D400" s="1" t="str">
        <f t="shared" si="1"/>
        <v>2</v>
      </c>
      <c r="E400" s="1" t="s">
        <v>1010</v>
      </c>
      <c r="G400" s="1">
        <f t="array" ref="G400">IF(ISNUMBER(MATCH(31833,Camille!$A:$A,0)), IF(OR(INDEX(Camille!$D:$D,MATCH(31833,Camille!$A:$A,0))=1, INDEX(Camille!$D:$D,MATCH(31833,Camille!$A:$A,0))=2), INDEX(Camille!$D:$D,MATCH(31833,Camille!$A:$A,0)), 0), 0)</f>
        <v>2</v>
      </c>
      <c r="H400" s="1">
        <f t="array" ref="H400">IF(ISNUMBER(MATCH(31833,Telmo!$A:$A,0)), IF(OR(INDEX(Telmo!$D:$D,MATCH(31833,Telmo!$A:$A,0))=1, INDEX(Telmo!$D:$D,MATCH(31833,Telmo!$A:$A,0))=2), INDEX(Telmo!$D:$D,MATCH(31833,Telmo!$A:$A,0)), 0), 0)</f>
        <v>0</v>
      </c>
      <c r="I400" s="1">
        <f t="array" ref="I400">IF(ISNUMBER(MATCH(31833,Max!$A:$A,0)), IF(OR(INDEX(Max!$D:$D,MATCH(31833,Max!$A:$A,0))=1, INDEX(Max!$D:$D,MATCH(31833,Max!$A:$A,0))=2), INDEX(Max!$D:$D,MATCH(31833,Max!$A:$A,0)), 0), 0)</f>
        <v>0</v>
      </c>
    </row>
    <row r="401" spans="1:9" ht="15.75" customHeight="1" x14ac:dyDescent="0.2">
      <c r="A401" s="1">
        <v>20443</v>
      </c>
      <c r="B401" s="1" t="s">
        <v>1011</v>
      </c>
      <c r="C401" s="1" t="s">
        <v>1012</v>
      </c>
      <c r="D401" s="1" t="str">
        <f t="shared" si="1"/>
        <v>2</v>
      </c>
      <c r="E401" s="1" t="s">
        <v>1013</v>
      </c>
      <c r="G401" s="1">
        <f t="array" ref="G401">IF(ISNUMBER(MATCH(20443,Camille!$A:$A,0)), IF(OR(INDEX(Camille!$D:$D,MATCH(20443,Camille!$A:$A,0))=1, INDEX(Camille!$D:$D,MATCH(20443,Camille!$A:$A,0))=2), INDEX(Camille!$D:$D,MATCH(20443,Camille!$A:$A,0)), 0), 0)</f>
        <v>2</v>
      </c>
      <c r="H401" s="1">
        <f t="array" ref="H401">IF(ISNUMBER(MATCH(20443,Telmo!$A:$A,0)), IF(OR(INDEX(Telmo!$D:$D,MATCH(20443,Telmo!$A:$A,0))=1, INDEX(Telmo!$D:$D,MATCH(20443,Telmo!$A:$A,0))=2), INDEX(Telmo!$D:$D,MATCH(20443,Telmo!$A:$A,0)), 0), 0)</f>
        <v>0</v>
      </c>
      <c r="I401" s="1">
        <f t="array" ref="I401">IF(ISNUMBER(MATCH(20443,Max!$A:$A,0)), IF(OR(INDEX(Max!$D:$D,MATCH(20443,Max!$A:$A,0))=1, INDEX(Max!$D:$D,MATCH(20443,Max!$A:$A,0))=2), INDEX(Max!$D:$D,MATCH(20443,Max!$A:$A,0)), 0), 0)</f>
        <v>0</v>
      </c>
    </row>
    <row r="402" spans="1:9" ht="15.75" customHeight="1" x14ac:dyDescent="0.2">
      <c r="A402" s="1">
        <v>2903</v>
      </c>
      <c r="B402" s="1" t="s">
        <v>493</v>
      </c>
      <c r="C402" s="1" t="s">
        <v>1014</v>
      </c>
      <c r="D402" s="1" t="str">
        <f t="shared" si="1"/>
        <v>1</v>
      </c>
      <c r="E402" s="1" t="s">
        <v>1015</v>
      </c>
      <c r="G402" s="1">
        <f t="array" ref="G402">IF(ISNUMBER(MATCH(2903,Camille!$A:$A,0)), IF(OR(INDEX(Camille!$D:$D,MATCH(2903,Camille!$A:$A,0))=1, INDEX(Camille!$D:$D,MATCH(2903,Camille!$A:$A,0))=2), INDEX(Camille!$D:$D,MATCH(2903,Camille!$A:$A,0)), 0), 0)</f>
        <v>1</v>
      </c>
      <c r="H402" s="1">
        <f t="array" ref="H402">IF(ISNUMBER(MATCH(2903,Telmo!$A:$A,0)), IF(OR(INDEX(Telmo!$D:$D,MATCH(2903,Telmo!$A:$A,0))=1, INDEX(Telmo!$D:$D,MATCH(2903,Telmo!$A:$A,0))=2), INDEX(Telmo!$D:$D,MATCH(2903,Telmo!$A:$A,0)), 0), 0)</f>
        <v>0</v>
      </c>
      <c r="I402" s="1">
        <f t="array" ref="I402">IF(ISNUMBER(MATCH(2903,Max!$A:$A,0)), IF(OR(INDEX(Max!$D:$D,MATCH(2903,Max!$A:$A,0))=1, INDEX(Max!$D:$D,MATCH(2903,Max!$A:$A,0))=2), INDEX(Max!$D:$D,MATCH(2903,Max!$A:$A,0)), 0), 0)</f>
        <v>0</v>
      </c>
    </row>
    <row r="403" spans="1:9" ht="15.75" customHeight="1" x14ac:dyDescent="0.2">
      <c r="A403" s="1">
        <v>7767</v>
      </c>
      <c r="B403" s="1" t="s">
        <v>254</v>
      </c>
      <c r="C403" s="1" t="s">
        <v>1016</v>
      </c>
      <c r="D403" s="1" t="str">
        <f t="shared" si="1"/>
        <v>2</v>
      </c>
      <c r="E403" s="1" t="s">
        <v>1017</v>
      </c>
      <c r="G403" s="1">
        <f t="array" ref="G403">IF(ISNUMBER(MATCH(7767,Camille!$A:$A,0)), IF(OR(INDEX(Camille!$D:$D,MATCH(7767,Camille!$A:$A,0))=1, INDEX(Camille!$D:$D,MATCH(7767,Camille!$A:$A,0))=2), INDEX(Camille!$D:$D,MATCH(7767,Camille!$A:$A,0)), 0), 0)</f>
        <v>2</v>
      </c>
      <c r="H403" s="1">
        <f t="array" ref="H403">IF(ISNUMBER(MATCH(7767,Telmo!$A:$A,0)), IF(OR(INDEX(Telmo!$D:$D,MATCH(7767,Telmo!$A:$A,0))=1, INDEX(Telmo!$D:$D,MATCH(7767,Telmo!$A:$A,0))=2), INDEX(Telmo!$D:$D,MATCH(7767,Telmo!$A:$A,0)), 0), 0)</f>
        <v>0</v>
      </c>
      <c r="I403" s="1">
        <f t="array" ref="I403">IF(ISNUMBER(MATCH(7767,Max!$A:$A,0)), IF(OR(INDEX(Max!$D:$D,MATCH(7767,Max!$A:$A,0))=1, INDEX(Max!$D:$D,MATCH(7767,Max!$A:$A,0))=2), INDEX(Max!$D:$D,MATCH(7767,Max!$A:$A,0)), 0), 0)</f>
        <v>0</v>
      </c>
    </row>
    <row r="404" spans="1:9" ht="15.75" customHeight="1" x14ac:dyDescent="0.2">
      <c r="A404" s="1">
        <v>55100</v>
      </c>
      <c r="B404" s="1" t="s">
        <v>1018</v>
      </c>
      <c r="C404" s="1" t="s">
        <v>1019</v>
      </c>
      <c r="D404" s="1" t="str">
        <f t="shared" si="1"/>
        <v>2</v>
      </c>
      <c r="E404" s="1" t="s">
        <v>1020</v>
      </c>
      <c r="G404" s="1">
        <f t="array" ref="G404">IF(ISNUMBER(MATCH(55100,Camille!$A:$A,0)), IF(OR(INDEX(Camille!$D:$D,MATCH(55100,Camille!$A:$A,0))=1, INDEX(Camille!$D:$D,MATCH(55100,Camille!$A:$A,0))=2), INDEX(Camille!$D:$D,MATCH(55100,Camille!$A:$A,0)), 0), 0)</f>
        <v>2</v>
      </c>
      <c r="H404" s="1">
        <f t="array" ref="H404">IF(ISNUMBER(MATCH(55100,Telmo!$A:$A,0)), IF(OR(INDEX(Telmo!$D:$D,MATCH(55100,Telmo!$A:$A,0))=1, INDEX(Telmo!$D:$D,MATCH(55100,Telmo!$A:$A,0))=2), INDEX(Telmo!$D:$D,MATCH(55100,Telmo!$A:$A,0)), 0), 0)</f>
        <v>0</v>
      </c>
      <c r="I404" s="1">
        <f t="array" ref="I404">IF(ISNUMBER(MATCH(55100,Max!$A:$A,0)), IF(OR(INDEX(Max!$D:$D,MATCH(55100,Max!$A:$A,0))=1, INDEX(Max!$D:$D,MATCH(55100,Max!$A:$A,0))=2), INDEX(Max!$D:$D,MATCH(55100,Max!$A:$A,0)), 0), 0)</f>
        <v>0</v>
      </c>
    </row>
    <row r="405" spans="1:9" ht="15.75" customHeight="1" x14ac:dyDescent="0.2">
      <c r="A405" s="1">
        <v>6945</v>
      </c>
      <c r="B405" s="1" t="s">
        <v>1021</v>
      </c>
      <c r="C405" s="1" t="s">
        <v>1022</v>
      </c>
      <c r="D405" s="1" t="str">
        <f t="shared" si="1"/>
        <v>2</v>
      </c>
      <c r="E405" s="1" t="s">
        <v>1023</v>
      </c>
      <c r="G405" s="1">
        <f t="array" ref="G405">IF(ISNUMBER(MATCH(6945,Camille!$A:$A,0)), IF(OR(INDEX(Camille!$D:$D,MATCH(6945,Camille!$A:$A,0))=1, INDEX(Camille!$D:$D,MATCH(6945,Camille!$A:$A,0))=2), INDEX(Camille!$D:$D,MATCH(6945,Camille!$A:$A,0)), 0), 0)</f>
        <v>2</v>
      </c>
      <c r="H405" s="1">
        <f t="array" ref="H405">IF(ISNUMBER(MATCH(6945,Telmo!$A:$A,0)), IF(OR(INDEX(Telmo!$D:$D,MATCH(6945,Telmo!$A:$A,0))=1, INDEX(Telmo!$D:$D,MATCH(6945,Telmo!$A:$A,0))=2), INDEX(Telmo!$D:$D,MATCH(6945,Telmo!$A:$A,0)), 0), 0)</f>
        <v>0</v>
      </c>
      <c r="I405" s="1">
        <f t="array" ref="I405">IF(ISNUMBER(MATCH(6945,Max!$A:$A,0)), IF(OR(INDEX(Max!$D:$D,MATCH(6945,Max!$A:$A,0))=1, INDEX(Max!$D:$D,MATCH(6945,Max!$A:$A,0))=2), INDEX(Max!$D:$D,MATCH(6945,Max!$A:$A,0)), 0), 0)</f>
        <v>0</v>
      </c>
    </row>
    <row r="406" spans="1:9" ht="15.75" customHeight="1" x14ac:dyDescent="0.2">
      <c r="A406" s="1">
        <v>8310</v>
      </c>
      <c r="B406" s="1" t="s">
        <v>172</v>
      </c>
      <c r="C406" s="1" t="s">
        <v>1024</v>
      </c>
      <c r="D406" s="1" t="str">
        <f t="shared" si="1"/>
        <v>2</v>
      </c>
      <c r="E406" s="1" t="s">
        <v>1025</v>
      </c>
      <c r="G406" s="1">
        <f t="array" ref="G406">IF(ISNUMBER(MATCH(8310,Camille!$A:$A,0)), IF(OR(INDEX(Camille!$D:$D,MATCH(8310,Camille!$A:$A,0))=1, INDEX(Camille!$D:$D,MATCH(8310,Camille!$A:$A,0))=2), INDEX(Camille!$D:$D,MATCH(8310,Camille!$A:$A,0)), 0), 0)</f>
        <v>2</v>
      </c>
      <c r="H406" s="1">
        <f t="array" ref="H406">IF(ISNUMBER(MATCH(8310,Telmo!$A:$A,0)), IF(OR(INDEX(Telmo!$D:$D,MATCH(8310,Telmo!$A:$A,0))=1, INDEX(Telmo!$D:$D,MATCH(8310,Telmo!$A:$A,0))=2), INDEX(Telmo!$D:$D,MATCH(8310,Telmo!$A:$A,0)), 0), 0)</f>
        <v>0</v>
      </c>
      <c r="I406" s="1">
        <f t="array" ref="I406">IF(ISNUMBER(MATCH(8310,Max!$A:$A,0)), IF(OR(INDEX(Max!$D:$D,MATCH(8310,Max!$A:$A,0))=1, INDEX(Max!$D:$D,MATCH(8310,Max!$A:$A,0))=2), INDEX(Max!$D:$D,MATCH(8310,Max!$A:$A,0)), 0), 0)</f>
        <v>0</v>
      </c>
    </row>
    <row r="407" spans="1:9" ht="15.75" customHeight="1" x14ac:dyDescent="0.2">
      <c r="A407" s="1">
        <v>23636</v>
      </c>
      <c r="B407" s="1" t="s">
        <v>11</v>
      </c>
      <c r="C407" s="1" t="s">
        <v>1026</v>
      </c>
      <c r="D407" s="1" t="str">
        <f t="shared" si="1"/>
        <v>2</v>
      </c>
      <c r="E407" s="1" t="s">
        <v>1027</v>
      </c>
      <c r="G407" s="1">
        <f t="array" ref="G407">IF(ISNUMBER(MATCH(23636,Camille!$A:$A,0)), IF(OR(INDEX(Camille!$D:$D,MATCH(23636,Camille!$A:$A,0))=1, INDEX(Camille!$D:$D,MATCH(23636,Camille!$A:$A,0))=2), INDEX(Camille!$D:$D,MATCH(23636,Camille!$A:$A,0)), 0), 0)</f>
        <v>2</v>
      </c>
      <c r="H407" s="1">
        <f t="array" ref="H407">IF(ISNUMBER(MATCH(23636,Telmo!$A:$A,0)), IF(OR(INDEX(Telmo!$D:$D,MATCH(23636,Telmo!$A:$A,0))=1, INDEX(Telmo!$D:$D,MATCH(23636,Telmo!$A:$A,0))=2), INDEX(Telmo!$D:$D,MATCH(23636,Telmo!$A:$A,0)), 0), 0)</f>
        <v>0</v>
      </c>
      <c r="I407" s="1">
        <f t="array" ref="I407">IF(ISNUMBER(MATCH(23636,Max!$A:$A,0)), IF(OR(INDEX(Max!$D:$D,MATCH(23636,Max!$A:$A,0))=1, INDEX(Max!$D:$D,MATCH(23636,Max!$A:$A,0))=2), INDEX(Max!$D:$D,MATCH(23636,Max!$A:$A,0)), 0), 0)</f>
        <v>0</v>
      </c>
    </row>
    <row r="408" spans="1:9" ht="15.75" customHeight="1" x14ac:dyDescent="0.2">
      <c r="A408" s="1">
        <v>11585</v>
      </c>
      <c r="B408" s="1" t="s">
        <v>1028</v>
      </c>
      <c r="C408" s="1" t="s">
        <v>1029</v>
      </c>
      <c r="D408" s="1" t="str">
        <f t="shared" si="1"/>
        <v>2</v>
      </c>
      <c r="E408" s="1" t="s">
        <v>1030</v>
      </c>
      <c r="G408" s="1">
        <f t="array" ref="G408">IF(ISNUMBER(MATCH(11585,Camille!$A:$A,0)), IF(OR(INDEX(Camille!$D:$D,MATCH(11585,Camille!$A:$A,0))=1, INDEX(Camille!$D:$D,MATCH(11585,Camille!$A:$A,0))=2), INDEX(Camille!$D:$D,MATCH(11585,Camille!$A:$A,0)), 0), 0)</f>
        <v>2</v>
      </c>
      <c r="H408" s="1">
        <f t="array" ref="H408">IF(ISNUMBER(MATCH(11585,Telmo!$A:$A,0)), IF(OR(INDEX(Telmo!$D:$D,MATCH(11585,Telmo!$A:$A,0))=1, INDEX(Telmo!$D:$D,MATCH(11585,Telmo!$A:$A,0))=2), INDEX(Telmo!$D:$D,MATCH(11585,Telmo!$A:$A,0)), 0), 0)</f>
        <v>0</v>
      </c>
      <c r="I408" s="1">
        <f t="array" ref="I408">IF(ISNUMBER(MATCH(11585,Max!$A:$A,0)), IF(OR(INDEX(Max!$D:$D,MATCH(11585,Max!$A:$A,0))=1, INDEX(Max!$D:$D,MATCH(11585,Max!$A:$A,0))=2), INDEX(Max!$D:$D,MATCH(11585,Max!$A:$A,0)), 0), 0)</f>
        <v>0</v>
      </c>
    </row>
    <row r="409" spans="1:9" ht="15.75" customHeight="1" x14ac:dyDescent="0.2">
      <c r="A409" s="1">
        <v>36239</v>
      </c>
      <c r="B409" s="1" t="s">
        <v>1031</v>
      </c>
      <c r="C409" s="1" t="s">
        <v>1032</v>
      </c>
      <c r="D409" s="1" t="str">
        <f t="shared" si="1"/>
        <v>1</v>
      </c>
      <c r="E409" s="1" t="s">
        <v>1033</v>
      </c>
      <c r="G409" s="1">
        <f t="array" ref="G409">IF(ISNUMBER(MATCH(36239,Camille!$A:$A,0)), IF(OR(INDEX(Camille!$D:$D,MATCH(36239,Camille!$A:$A,0))=1, INDEX(Camille!$D:$D,MATCH(36239,Camille!$A:$A,0))=2), INDEX(Camille!$D:$D,MATCH(36239,Camille!$A:$A,0)), 0), 0)</f>
        <v>1</v>
      </c>
      <c r="H409" s="1">
        <f t="array" ref="H409">IF(ISNUMBER(MATCH(36239,Telmo!$A:$A,0)), IF(OR(INDEX(Telmo!$D:$D,MATCH(36239,Telmo!$A:$A,0))=1, INDEX(Telmo!$D:$D,MATCH(36239,Telmo!$A:$A,0))=2), INDEX(Telmo!$D:$D,MATCH(36239,Telmo!$A:$A,0)), 0), 0)</f>
        <v>0</v>
      </c>
      <c r="I409" s="1">
        <f t="array" ref="I409">IF(ISNUMBER(MATCH(36239,Max!$A:$A,0)), IF(OR(INDEX(Max!$D:$D,MATCH(36239,Max!$A:$A,0))=1, INDEX(Max!$D:$D,MATCH(36239,Max!$A:$A,0))=2), INDEX(Max!$D:$D,MATCH(36239,Max!$A:$A,0)), 0), 0)</f>
        <v>0</v>
      </c>
    </row>
    <row r="410" spans="1:9" ht="15.75" customHeight="1" x14ac:dyDescent="0.2">
      <c r="A410" s="1">
        <v>69594</v>
      </c>
      <c r="B410" s="1" t="s">
        <v>1034</v>
      </c>
      <c r="C410" s="1" t="s">
        <v>1035</v>
      </c>
      <c r="D410" s="1" t="str">
        <f t="shared" si="1"/>
        <v>2</v>
      </c>
      <c r="E410" s="1" t="s">
        <v>1036</v>
      </c>
      <c r="G410" s="1">
        <f t="array" ref="G410">IF(ISNUMBER(MATCH(69594,Camille!$A:$A,0)), IF(OR(INDEX(Camille!$D:$D,MATCH(69594,Camille!$A:$A,0))=1, INDEX(Camille!$D:$D,MATCH(69594,Camille!$A:$A,0))=2), INDEX(Camille!$D:$D,MATCH(69594,Camille!$A:$A,0)), 0), 0)</f>
        <v>2</v>
      </c>
      <c r="H410" s="1">
        <f t="array" ref="H410">IF(ISNUMBER(MATCH(69594,Telmo!$A:$A,0)), IF(OR(INDEX(Telmo!$D:$D,MATCH(69594,Telmo!$A:$A,0))=1, INDEX(Telmo!$D:$D,MATCH(69594,Telmo!$A:$A,0))=2), INDEX(Telmo!$D:$D,MATCH(69594,Telmo!$A:$A,0)), 0), 0)</f>
        <v>0</v>
      </c>
      <c r="I410" s="1">
        <f t="array" ref="I410">IF(ISNUMBER(MATCH(69594,Max!$A:$A,0)), IF(OR(INDEX(Max!$D:$D,MATCH(69594,Max!$A:$A,0))=1, INDEX(Max!$D:$D,MATCH(69594,Max!$A:$A,0))=2), INDEX(Max!$D:$D,MATCH(69594,Max!$A:$A,0)), 0), 0)</f>
        <v>0</v>
      </c>
    </row>
    <row r="411" spans="1:9" ht="15.75" customHeight="1" x14ac:dyDescent="0.2">
      <c r="A411" s="1">
        <v>39499</v>
      </c>
      <c r="B411" s="1" t="s">
        <v>1037</v>
      </c>
      <c r="C411" s="1" t="s">
        <v>1038</v>
      </c>
      <c r="D411" s="1" t="str">
        <f t="shared" si="1"/>
        <v>2</v>
      </c>
      <c r="E411" s="1" t="s">
        <v>1039</v>
      </c>
      <c r="G411" s="1">
        <f t="array" ref="G411">IF(ISNUMBER(MATCH(39499,Camille!$A:$A,0)), IF(OR(INDEX(Camille!$D:$D,MATCH(39499,Camille!$A:$A,0))=1, INDEX(Camille!$D:$D,MATCH(39499,Camille!$A:$A,0))=2), INDEX(Camille!$D:$D,MATCH(39499,Camille!$A:$A,0)), 0), 0)</f>
        <v>2</v>
      </c>
      <c r="H411" s="1">
        <f t="array" ref="H411">IF(ISNUMBER(MATCH(39499,Telmo!$A:$A,0)), IF(OR(INDEX(Telmo!$D:$D,MATCH(39499,Telmo!$A:$A,0))=1, INDEX(Telmo!$D:$D,MATCH(39499,Telmo!$A:$A,0))=2), INDEX(Telmo!$D:$D,MATCH(39499,Telmo!$A:$A,0)), 0), 0)</f>
        <v>0</v>
      </c>
      <c r="I411" s="1">
        <f t="array" ref="I411">IF(ISNUMBER(MATCH(39499,Max!$A:$A,0)), IF(OR(INDEX(Max!$D:$D,MATCH(39499,Max!$A:$A,0))=1, INDEX(Max!$D:$D,MATCH(39499,Max!$A:$A,0))=2), INDEX(Max!$D:$D,MATCH(39499,Max!$A:$A,0)), 0), 0)</f>
        <v>0</v>
      </c>
    </row>
    <row r="412" spans="1:9" ht="15.75" customHeight="1" x14ac:dyDescent="0.2">
      <c r="A412" s="1">
        <v>67968</v>
      </c>
      <c r="B412" s="1" t="s">
        <v>1040</v>
      </c>
      <c r="C412" s="1" t="s">
        <v>1041</v>
      </c>
      <c r="D412" s="1" t="str">
        <f t="shared" si="1"/>
        <v>2</v>
      </c>
      <c r="E412" s="1" t="s">
        <v>1042</v>
      </c>
      <c r="G412" s="1">
        <f t="array" ref="G412">IF(ISNUMBER(MATCH(67968,Camille!$A:$A,0)), IF(OR(INDEX(Camille!$D:$D,MATCH(67968,Camille!$A:$A,0))=1, INDEX(Camille!$D:$D,MATCH(67968,Camille!$A:$A,0))=2), INDEX(Camille!$D:$D,MATCH(67968,Camille!$A:$A,0)), 0), 0)</f>
        <v>2</v>
      </c>
      <c r="H412" s="1">
        <f t="array" ref="H412">IF(ISNUMBER(MATCH(67968,Telmo!$A:$A,0)), IF(OR(INDEX(Telmo!$D:$D,MATCH(67968,Telmo!$A:$A,0))=1, INDEX(Telmo!$D:$D,MATCH(67968,Telmo!$A:$A,0))=2), INDEX(Telmo!$D:$D,MATCH(67968,Telmo!$A:$A,0)), 0), 0)</f>
        <v>0</v>
      </c>
      <c r="I412" s="1">
        <f t="array" ref="I412">IF(ISNUMBER(MATCH(67968,Max!$A:$A,0)), IF(OR(INDEX(Max!$D:$D,MATCH(67968,Max!$A:$A,0))=1, INDEX(Max!$D:$D,MATCH(67968,Max!$A:$A,0))=2), INDEX(Max!$D:$D,MATCH(67968,Max!$A:$A,0)), 0), 0)</f>
        <v>0</v>
      </c>
    </row>
    <row r="413" spans="1:9" ht="15.75" customHeight="1" x14ac:dyDescent="0.2">
      <c r="A413" s="1">
        <v>39944</v>
      </c>
      <c r="B413" s="1" t="s">
        <v>819</v>
      </c>
      <c r="C413" s="1" t="s">
        <v>1043</v>
      </c>
      <c r="D413" s="1" t="str">
        <f t="shared" si="1"/>
        <v>2</v>
      </c>
      <c r="E413" s="1" t="s">
        <v>1044</v>
      </c>
      <c r="G413" s="1">
        <f t="array" ref="G413">IF(ISNUMBER(MATCH(39944,Camille!$A:$A,0)), IF(OR(INDEX(Camille!$D:$D,MATCH(39944,Camille!$A:$A,0))=1, INDEX(Camille!$D:$D,MATCH(39944,Camille!$A:$A,0))=2), INDEX(Camille!$D:$D,MATCH(39944,Camille!$A:$A,0)), 0), 0)</f>
        <v>2</v>
      </c>
      <c r="H413" s="1">
        <f t="array" ref="H413">IF(ISNUMBER(MATCH(39944,Telmo!$A:$A,0)), IF(OR(INDEX(Telmo!$D:$D,MATCH(39944,Telmo!$A:$A,0))=1, INDEX(Telmo!$D:$D,MATCH(39944,Telmo!$A:$A,0))=2), INDEX(Telmo!$D:$D,MATCH(39944,Telmo!$A:$A,0)), 0), 0)</f>
        <v>0</v>
      </c>
      <c r="I413" s="1">
        <f t="array" ref="I413">IF(ISNUMBER(MATCH(39944,Max!$A:$A,0)), IF(OR(INDEX(Max!$D:$D,MATCH(39944,Max!$A:$A,0))=1, INDEX(Max!$D:$D,MATCH(39944,Max!$A:$A,0))=2), INDEX(Max!$D:$D,MATCH(39944,Max!$A:$A,0)), 0), 0)</f>
        <v>0</v>
      </c>
    </row>
    <row r="414" spans="1:9" ht="15.75" customHeight="1" x14ac:dyDescent="0.2">
      <c r="A414" s="1">
        <v>30133</v>
      </c>
      <c r="B414" s="1" t="s">
        <v>254</v>
      </c>
      <c r="C414" s="1" t="s">
        <v>1045</v>
      </c>
      <c r="D414" s="1" t="str">
        <f t="shared" si="1"/>
        <v>1</v>
      </c>
      <c r="E414" s="1" t="s">
        <v>1046</v>
      </c>
      <c r="G414" s="1">
        <f t="array" ref="G414">IF(ISNUMBER(MATCH(30133,Camille!$A:$A,0)), IF(OR(INDEX(Camille!$D:$D,MATCH(30133,Camille!$A:$A,0))=1, INDEX(Camille!$D:$D,MATCH(30133,Camille!$A:$A,0))=2), INDEX(Camille!$D:$D,MATCH(30133,Camille!$A:$A,0)), 0), 0)</f>
        <v>1</v>
      </c>
      <c r="H414" s="1">
        <f t="array" ref="H414">IF(ISNUMBER(MATCH(30133,Telmo!$A:$A,0)), IF(OR(INDEX(Telmo!$D:$D,MATCH(30133,Telmo!$A:$A,0))=1, INDEX(Telmo!$D:$D,MATCH(30133,Telmo!$A:$A,0))=2), INDEX(Telmo!$D:$D,MATCH(30133,Telmo!$A:$A,0)), 0), 0)</f>
        <v>0</v>
      </c>
      <c r="I414" s="1">
        <f t="array" ref="I414">IF(ISNUMBER(MATCH(30133,Max!$A:$A,0)), IF(OR(INDEX(Max!$D:$D,MATCH(30133,Max!$A:$A,0))=1, INDEX(Max!$D:$D,MATCH(30133,Max!$A:$A,0))=2), INDEX(Max!$D:$D,MATCH(30133,Max!$A:$A,0)), 0), 0)</f>
        <v>0</v>
      </c>
    </row>
    <row r="415" spans="1:9" ht="15.75" customHeight="1" x14ac:dyDescent="0.2">
      <c r="A415" s="1">
        <v>34636</v>
      </c>
      <c r="B415" s="1" t="s">
        <v>1047</v>
      </c>
      <c r="C415" s="1" t="s">
        <v>1048</v>
      </c>
      <c r="D415" s="1" t="str">
        <f t="shared" si="1"/>
        <v>2</v>
      </c>
      <c r="E415" s="1" t="s">
        <v>1049</v>
      </c>
      <c r="G415" s="1">
        <f t="array" ref="G415">IF(ISNUMBER(MATCH(34636,Camille!$A:$A,0)), IF(OR(INDEX(Camille!$D:$D,MATCH(34636,Camille!$A:$A,0))=1, INDEX(Camille!$D:$D,MATCH(34636,Camille!$A:$A,0))=2), INDEX(Camille!$D:$D,MATCH(34636,Camille!$A:$A,0)), 0), 0)</f>
        <v>2</v>
      </c>
      <c r="H415" s="1">
        <f t="array" ref="H415">IF(ISNUMBER(MATCH(34636,Telmo!$A:$A,0)), IF(OR(INDEX(Telmo!$D:$D,MATCH(34636,Telmo!$A:$A,0))=1, INDEX(Telmo!$D:$D,MATCH(34636,Telmo!$A:$A,0))=2), INDEX(Telmo!$D:$D,MATCH(34636,Telmo!$A:$A,0)), 0), 0)</f>
        <v>0</v>
      </c>
      <c r="I415" s="1">
        <f t="array" ref="I415">IF(ISNUMBER(MATCH(34636,Max!$A:$A,0)), IF(OR(INDEX(Max!$D:$D,MATCH(34636,Max!$A:$A,0))=1, INDEX(Max!$D:$D,MATCH(34636,Max!$A:$A,0))=2), INDEX(Max!$D:$D,MATCH(34636,Max!$A:$A,0)), 0), 0)</f>
        <v>0</v>
      </c>
    </row>
    <row r="416" spans="1:9" ht="15.75" customHeight="1" x14ac:dyDescent="0.2">
      <c r="A416" s="1">
        <v>19920</v>
      </c>
      <c r="B416" s="1" t="s">
        <v>167</v>
      </c>
      <c r="C416" s="1" t="s">
        <v>1050</v>
      </c>
      <c r="D416" s="1" t="str">
        <f t="shared" si="1"/>
        <v>1</v>
      </c>
      <c r="E416" s="1" t="s">
        <v>1051</v>
      </c>
      <c r="G416" s="1">
        <f t="array" ref="G416">IF(ISNUMBER(MATCH(19920,Camille!$A:$A,0)), IF(OR(INDEX(Camille!$D:$D,MATCH(19920,Camille!$A:$A,0))=1, INDEX(Camille!$D:$D,MATCH(19920,Camille!$A:$A,0))=2), INDEX(Camille!$D:$D,MATCH(19920,Camille!$A:$A,0)), 0), 0)</f>
        <v>1</v>
      </c>
      <c r="H416" s="1">
        <f t="array" ref="H416">IF(ISNUMBER(MATCH(19920,Telmo!$A:$A,0)), IF(OR(INDEX(Telmo!$D:$D,MATCH(19920,Telmo!$A:$A,0))=1, INDEX(Telmo!$D:$D,MATCH(19920,Telmo!$A:$A,0))=2), INDEX(Telmo!$D:$D,MATCH(19920,Telmo!$A:$A,0)), 0), 0)</f>
        <v>0</v>
      </c>
      <c r="I416" s="1">
        <f t="array" ref="I416">IF(ISNUMBER(MATCH(19920,Max!$A:$A,0)), IF(OR(INDEX(Max!$D:$D,MATCH(19920,Max!$A:$A,0))=1, INDEX(Max!$D:$D,MATCH(19920,Max!$A:$A,0))=2), INDEX(Max!$D:$D,MATCH(19920,Max!$A:$A,0)), 0), 0)</f>
        <v>0</v>
      </c>
    </row>
    <row r="417" spans="1:9" ht="15.75" customHeight="1" x14ac:dyDescent="0.2">
      <c r="A417" s="1">
        <v>70556</v>
      </c>
      <c r="B417" s="1" t="s">
        <v>1052</v>
      </c>
      <c r="C417" s="1" t="s">
        <v>1053</v>
      </c>
      <c r="D417" s="1" t="str">
        <f t="shared" si="1"/>
        <v>2</v>
      </c>
      <c r="E417" s="1" t="s">
        <v>1054</v>
      </c>
      <c r="G417" s="1">
        <f t="array" ref="G417">IF(ISNUMBER(MATCH(70556,Camille!$A:$A,0)), IF(OR(INDEX(Camille!$D:$D,MATCH(70556,Camille!$A:$A,0))=1, INDEX(Camille!$D:$D,MATCH(70556,Camille!$A:$A,0))=2), INDEX(Camille!$D:$D,MATCH(70556,Camille!$A:$A,0)), 0), 0)</f>
        <v>2</v>
      </c>
      <c r="H417" s="1">
        <f t="array" ref="H417">IF(ISNUMBER(MATCH(70556,Telmo!$A:$A,0)), IF(OR(INDEX(Telmo!$D:$D,MATCH(70556,Telmo!$A:$A,0))=1, INDEX(Telmo!$D:$D,MATCH(70556,Telmo!$A:$A,0))=2), INDEX(Telmo!$D:$D,MATCH(70556,Telmo!$A:$A,0)), 0), 0)</f>
        <v>0</v>
      </c>
      <c r="I417" s="1">
        <f t="array" ref="I417">IF(ISNUMBER(MATCH(70556,Max!$A:$A,0)), IF(OR(INDEX(Max!$D:$D,MATCH(70556,Max!$A:$A,0))=1, INDEX(Max!$D:$D,MATCH(70556,Max!$A:$A,0))=2), INDEX(Max!$D:$D,MATCH(70556,Max!$A:$A,0)), 0), 0)</f>
        <v>0</v>
      </c>
    </row>
    <row r="418" spans="1:9" ht="15.75" customHeight="1" x14ac:dyDescent="0.2">
      <c r="A418" s="1">
        <v>31826</v>
      </c>
      <c r="B418" s="1" t="s">
        <v>936</v>
      </c>
      <c r="C418" s="1" t="s">
        <v>1055</v>
      </c>
      <c r="D418" s="1" t="str">
        <f t="shared" si="1"/>
        <v>2</v>
      </c>
      <c r="E418" s="1" t="s">
        <v>1056</v>
      </c>
      <c r="G418" s="1">
        <f t="array" ref="G418">IF(ISNUMBER(MATCH(31826,Camille!$A:$A,0)), IF(OR(INDEX(Camille!$D:$D,MATCH(31826,Camille!$A:$A,0))=1, INDEX(Camille!$D:$D,MATCH(31826,Camille!$A:$A,0))=2), INDEX(Camille!$D:$D,MATCH(31826,Camille!$A:$A,0)), 0), 0)</f>
        <v>2</v>
      </c>
      <c r="H418" s="1">
        <f t="array" ref="H418">IF(ISNUMBER(MATCH(31826,Telmo!$A:$A,0)), IF(OR(INDEX(Telmo!$D:$D,MATCH(31826,Telmo!$A:$A,0))=1, INDEX(Telmo!$D:$D,MATCH(31826,Telmo!$A:$A,0))=2), INDEX(Telmo!$D:$D,MATCH(31826,Telmo!$A:$A,0)), 0), 0)</f>
        <v>0</v>
      </c>
      <c r="I418" s="1">
        <f t="array" ref="I418">IF(ISNUMBER(MATCH(31826,Max!$A:$A,0)), IF(OR(INDEX(Max!$D:$D,MATCH(31826,Max!$A:$A,0))=1, INDEX(Max!$D:$D,MATCH(31826,Max!$A:$A,0))=2), INDEX(Max!$D:$D,MATCH(31826,Max!$A:$A,0)), 0), 0)</f>
        <v>0</v>
      </c>
    </row>
    <row r="419" spans="1:9" ht="15.75" customHeight="1" x14ac:dyDescent="0.2">
      <c r="A419" s="1">
        <v>10049</v>
      </c>
      <c r="B419" s="1" t="s">
        <v>20</v>
      </c>
      <c r="C419" s="1" t="s">
        <v>1057</v>
      </c>
      <c r="D419" s="1" t="str">
        <f t="shared" si="1"/>
        <v>2</v>
      </c>
      <c r="E419" s="1" t="s">
        <v>1058</v>
      </c>
      <c r="G419" s="1">
        <f t="array" ref="G419">IF(ISNUMBER(MATCH(10049,Camille!$A:$A,0)), IF(OR(INDEX(Camille!$D:$D,MATCH(10049,Camille!$A:$A,0))=1, INDEX(Camille!$D:$D,MATCH(10049,Camille!$A:$A,0))=2), INDEX(Camille!$D:$D,MATCH(10049,Camille!$A:$A,0)), 0), 0)</f>
        <v>2</v>
      </c>
      <c r="H419" s="1">
        <f t="array" ref="H419">IF(ISNUMBER(MATCH(10049,Telmo!$A:$A,0)), IF(OR(INDEX(Telmo!$D:$D,MATCH(10049,Telmo!$A:$A,0))=1, INDEX(Telmo!$D:$D,MATCH(10049,Telmo!$A:$A,0))=2), INDEX(Telmo!$D:$D,MATCH(10049,Telmo!$A:$A,0)), 0), 0)</f>
        <v>0</v>
      </c>
      <c r="I419" s="1">
        <f t="array" ref="I419">IF(ISNUMBER(MATCH(10049,Max!$A:$A,0)), IF(OR(INDEX(Max!$D:$D,MATCH(10049,Max!$A:$A,0))=1, INDEX(Max!$D:$D,MATCH(10049,Max!$A:$A,0))=2), INDEX(Max!$D:$D,MATCH(10049,Max!$A:$A,0)), 0), 0)</f>
        <v>0</v>
      </c>
    </row>
    <row r="420" spans="1:9" ht="15.75" customHeight="1" x14ac:dyDescent="0.2">
      <c r="A420" s="1">
        <v>62902</v>
      </c>
      <c r="B420" s="1" t="s">
        <v>1059</v>
      </c>
      <c r="C420" s="1" t="s">
        <v>1060</v>
      </c>
      <c r="D420" s="1" t="str">
        <f t="shared" si="1"/>
        <v>2</v>
      </c>
      <c r="E420" s="1" t="s">
        <v>1061</v>
      </c>
      <c r="G420" s="1">
        <f t="array" ref="G420">IF(ISNUMBER(MATCH(62902,Camille!$A:$A,0)), IF(OR(INDEX(Camille!$D:$D,MATCH(62902,Camille!$A:$A,0))=1, INDEX(Camille!$D:$D,MATCH(62902,Camille!$A:$A,0))=2), INDEX(Camille!$D:$D,MATCH(62902,Camille!$A:$A,0)), 0), 0)</f>
        <v>2</v>
      </c>
      <c r="H420" s="1">
        <f t="array" ref="H420">IF(ISNUMBER(MATCH(62902,Telmo!$A:$A,0)), IF(OR(INDEX(Telmo!$D:$D,MATCH(62902,Telmo!$A:$A,0))=1, INDEX(Telmo!$D:$D,MATCH(62902,Telmo!$A:$A,0))=2), INDEX(Telmo!$D:$D,MATCH(62902,Telmo!$A:$A,0)), 0), 0)</f>
        <v>0</v>
      </c>
      <c r="I420" s="1">
        <f t="array" ref="I420">IF(ISNUMBER(MATCH(62902,Max!$A:$A,0)), IF(OR(INDEX(Max!$D:$D,MATCH(62902,Max!$A:$A,0))=1, INDEX(Max!$D:$D,MATCH(62902,Max!$A:$A,0))=2), INDEX(Max!$D:$D,MATCH(62902,Max!$A:$A,0)), 0), 0)</f>
        <v>0</v>
      </c>
    </row>
    <row r="421" spans="1:9" ht="15.75" customHeight="1" x14ac:dyDescent="0.2">
      <c r="A421" s="1">
        <v>8950</v>
      </c>
      <c r="B421" s="1" t="s">
        <v>144</v>
      </c>
      <c r="C421" s="1" t="s">
        <v>1062</v>
      </c>
      <c r="D421" s="1" t="str">
        <f t="shared" si="1"/>
        <v>2</v>
      </c>
      <c r="E421" s="1" t="s">
        <v>1063</v>
      </c>
      <c r="G421" s="1">
        <f t="array" ref="G421">IF(ISNUMBER(MATCH(8950,Camille!$A:$A,0)), IF(OR(INDEX(Camille!$D:$D,MATCH(8950,Camille!$A:$A,0))=1, INDEX(Camille!$D:$D,MATCH(8950,Camille!$A:$A,0))=2), INDEX(Camille!$D:$D,MATCH(8950,Camille!$A:$A,0)), 0), 0)</f>
        <v>2</v>
      </c>
      <c r="H421" s="1">
        <f t="array" ref="H421">IF(ISNUMBER(MATCH(8950,Telmo!$A:$A,0)), IF(OR(INDEX(Telmo!$D:$D,MATCH(8950,Telmo!$A:$A,0))=1, INDEX(Telmo!$D:$D,MATCH(8950,Telmo!$A:$A,0))=2), INDEX(Telmo!$D:$D,MATCH(8950,Telmo!$A:$A,0)), 0), 0)</f>
        <v>0</v>
      </c>
      <c r="I421" s="1">
        <f t="array" ref="I421">IF(ISNUMBER(MATCH(8950,Max!$A:$A,0)), IF(OR(INDEX(Max!$D:$D,MATCH(8950,Max!$A:$A,0))=1, INDEX(Max!$D:$D,MATCH(8950,Max!$A:$A,0))=2), INDEX(Max!$D:$D,MATCH(8950,Max!$A:$A,0)), 0), 0)</f>
        <v>0</v>
      </c>
    </row>
    <row r="422" spans="1:9" ht="15.75" customHeight="1" x14ac:dyDescent="0.2">
      <c r="A422" s="1">
        <v>10314</v>
      </c>
      <c r="B422" s="1" t="s">
        <v>215</v>
      </c>
      <c r="C422" s="1" t="s">
        <v>1064</v>
      </c>
      <c r="D422" s="1" t="str">
        <f t="shared" si="1"/>
        <v>1</v>
      </c>
      <c r="E422" s="1" t="s">
        <v>1065</v>
      </c>
      <c r="G422" s="1">
        <f t="array" ref="G422">IF(ISNUMBER(MATCH(10314,Camille!$A:$A,0)), IF(OR(INDEX(Camille!$D:$D,MATCH(10314,Camille!$A:$A,0))=1, INDEX(Camille!$D:$D,MATCH(10314,Camille!$A:$A,0))=2), INDEX(Camille!$D:$D,MATCH(10314,Camille!$A:$A,0)), 0), 0)</f>
        <v>1</v>
      </c>
      <c r="H422" s="1">
        <f t="array" ref="H422">IF(ISNUMBER(MATCH(10314,Telmo!$A:$A,0)), IF(OR(INDEX(Telmo!$D:$D,MATCH(10314,Telmo!$A:$A,0))=1, INDEX(Telmo!$D:$D,MATCH(10314,Telmo!$A:$A,0))=2), INDEX(Telmo!$D:$D,MATCH(10314,Telmo!$A:$A,0)), 0), 0)</f>
        <v>0</v>
      </c>
      <c r="I422" s="1">
        <f t="array" ref="I422">IF(ISNUMBER(MATCH(10314,Max!$A:$A,0)), IF(OR(INDEX(Max!$D:$D,MATCH(10314,Max!$A:$A,0))=1, INDEX(Max!$D:$D,MATCH(10314,Max!$A:$A,0))=2), INDEX(Max!$D:$D,MATCH(10314,Max!$A:$A,0)), 0), 0)</f>
        <v>0</v>
      </c>
    </row>
    <row r="423" spans="1:9" ht="15.75" customHeight="1" x14ac:dyDescent="0.2">
      <c r="A423" s="1">
        <v>29121</v>
      </c>
      <c r="B423" s="1" t="s">
        <v>493</v>
      </c>
      <c r="C423" s="1" t="s">
        <v>1066</v>
      </c>
      <c r="D423" s="1" t="str">
        <f t="shared" si="1"/>
        <v>1</v>
      </c>
      <c r="E423" s="1" t="s">
        <v>1067</v>
      </c>
      <c r="G423" s="1">
        <f t="array" ref="G423">IF(ISNUMBER(MATCH(29121,Camille!$A:$A,0)), IF(OR(INDEX(Camille!$D:$D,MATCH(29121,Camille!$A:$A,0))=1, INDEX(Camille!$D:$D,MATCH(29121,Camille!$A:$A,0))=2), INDEX(Camille!$D:$D,MATCH(29121,Camille!$A:$A,0)), 0), 0)</f>
        <v>1</v>
      </c>
      <c r="H423" s="1">
        <f t="array" ref="H423">IF(ISNUMBER(MATCH(29121,Telmo!$A:$A,0)), IF(OR(INDEX(Telmo!$D:$D,MATCH(29121,Telmo!$A:$A,0))=1, INDEX(Telmo!$D:$D,MATCH(29121,Telmo!$A:$A,0))=2), INDEX(Telmo!$D:$D,MATCH(29121,Telmo!$A:$A,0)), 0), 0)</f>
        <v>0</v>
      </c>
      <c r="I423" s="1">
        <f t="array" ref="I423">IF(ISNUMBER(MATCH(29121,Max!$A:$A,0)), IF(OR(INDEX(Max!$D:$D,MATCH(29121,Max!$A:$A,0))=1, INDEX(Max!$D:$D,MATCH(29121,Max!$A:$A,0))=2), INDEX(Max!$D:$D,MATCH(29121,Max!$A:$A,0)), 0), 0)</f>
        <v>0</v>
      </c>
    </row>
    <row r="424" spans="1:9" ht="15.75" customHeight="1" x14ac:dyDescent="0.2">
      <c r="A424" s="1">
        <v>20624</v>
      </c>
      <c r="B424" s="1" t="s">
        <v>11</v>
      </c>
      <c r="C424" s="1" t="s">
        <v>1068</v>
      </c>
      <c r="D424" s="1" t="str">
        <f t="shared" si="1"/>
        <v>2</v>
      </c>
      <c r="E424" s="1" t="s">
        <v>1069</v>
      </c>
      <c r="G424" s="1">
        <f t="array" ref="G424">IF(ISNUMBER(MATCH(20624,Camille!$A:$A,0)), IF(OR(INDEX(Camille!$D:$D,MATCH(20624,Camille!$A:$A,0))=1, INDEX(Camille!$D:$D,MATCH(20624,Camille!$A:$A,0))=2), INDEX(Camille!$D:$D,MATCH(20624,Camille!$A:$A,0)), 0), 0)</f>
        <v>2</v>
      </c>
      <c r="H424" s="1">
        <f t="array" ref="H424">IF(ISNUMBER(MATCH(20624,Telmo!$A:$A,0)), IF(OR(INDEX(Telmo!$D:$D,MATCH(20624,Telmo!$A:$A,0))=1, INDEX(Telmo!$D:$D,MATCH(20624,Telmo!$A:$A,0))=2), INDEX(Telmo!$D:$D,MATCH(20624,Telmo!$A:$A,0)), 0), 0)</f>
        <v>0</v>
      </c>
      <c r="I424" s="1">
        <f t="array" ref="I424">IF(ISNUMBER(MATCH(20624,Max!$A:$A,0)), IF(OR(INDEX(Max!$D:$D,MATCH(20624,Max!$A:$A,0))=1, INDEX(Max!$D:$D,MATCH(20624,Max!$A:$A,0))=2), INDEX(Max!$D:$D,MATCH(20624,Max!$A:$A,0)), 0), 0)</f>
        <v>0</v>
      </c>
    </row>
    <row r="425" spans="1:9" ht="15.75" customHeight="1" x14ac:dyDescent="0.2">
      <c r="A425" s="1">
        <v>45877</v>
      </c>
      <c r="B425" s="1" t="s">
        <v>1070</v>
      </c>
      <c r="C425" s="1" t="s">
        <v>1071</v>
      </c>
      <c r="D425" s="1" t="str">
        <f t="shared" si="1"/>
        <v>2</v>
      </c>
      <c r="E425" s="1" t="s">
        <v>1072</v>
      </c>
      <c r="G425" s="1">
        <f t="array" ref="G425">IF(ISNUMBER(MATCH(45877,Camille!$A:$A,0)), IF(OR(INDEX(Camille!$D:$D,MATCH(45877,Camille!$A:$A,0))=1, INDEX(Camille!$D:$D,MATCH(45877,Camille!$A:$A,0))=2), INDEX(Camille!$D:$D,MATCH(45877,Camille!$A:$A,0)), 0), 0)</f>
        <v>2</v>
      </c>
      <c r="H425" s="1">
        <f t="array" ref="H425">IF(ISNUMBER(MATCH(45877,Telmo!$A:$A,0)), IF(OR(INDEX(Telmo!$D:$D,MATCH(45877,Telmo!$A:$A,0))=1, INDEX(Telmo!$D:$D,MATCH(45877,Telmo!$A:$A,0))=2), INDEX(Telmo!$D:$D,MATCH(45877,Telmo!$A:$A,0)), 0), 0)</f>
        <v>0</v>
      </c>
      <c r="I425" s="1">
        <f t="array" ref="I425">IF(ISNUMBER(MATCH(45877,Max!$A:$A,0)), IF(OR(INDEX(Max!$D:$D,MATCH(45877,Max!$A:$A,0))=1, INDEX(Max!$D:$D,MATCH(45877,Max!$A:$A,0))=2), INDEX(Max!$D:$D,MATCH(45877,Max!$A:$A,0)), 0), 0)</f>
        <v>0</v>
      </c>
    </row>
    <row r="426" spans="1:9" ht="15.75" customHeight="1" x14ac:dyDescent="0.2">
      <c r="A426" s="1">
        <v>4173</v>
      </c>
      <c r="B426" s="1" t="s">
        <v>32</v>
      </c>
      <c r="C426" s="1" t="s">
        <v>1073</v>
      </c>
      <c r="D426" s="1" t="str">
        <f t="shared" si="1"/>
        <v>1</v>
      </c>
      <c r="E426" s="1" t="s">
        <v>1074</v>
      </c>
      <c r="G426" s="1">
        <f t="array" ref="G426">IF(ISNUMBER(MATCH(4173,Camille!$A:$A,0)), IF(OR(INDEX(Camille!$D:$D,MATCH(4173,Camille!$A:$A,0))=1, INDEX(Camille!$D:$D,MATCH(4173,Camille!$A:$A,0))=2), INDEX(Camille!$D:$D,MATCH(4173,Camille!$A:$A,0)), 0), 0)</f>
        <v>1</v>
      </c>
      <c r="H426" s="1">
        <f t="array" ref="H426">IF(ISNUMBER(MATCH(4173,Telmo!$A:$A,0)), IF(OR(INDEX(Telmo!$D:$D,MATCH(4173,Telmo!$A:$A,0))=1, INDEX(Telmo!$D:$D,MATCH(4173,Telmo!$A:$A,0))=2), INDEX(Telmo!$D:$D,MATCH(4173,Telmo!$A:$A,0)), 0), 0)</f>
        <v>0</v>
      </c>
      <c r="I426" s="1">
        <f t="array" ref="I426">IF(ISNUMBER(MATCH(4173,Max!$A:$A,0)), IF(OR(INDEX(Max!$D:$D,MATCH(4173,Max!$A:$A,0))=1, INDEX(Max!$D:$D,MATCH(4173,Max!$A:$A,0))=2), INDEX(Max!$D:$D,MATCH(4173,Max!$A:$A,0)), 0), 0)</f>
        <v>0</v>
      </c>
    </row>
    <row r="427" spans="1:9" ht="15.75" customHeight="1" x14ac:dyDescent="0.2">
      <c r="A427" s="1">
        <v>16901</v>
      </c>
      <c r="B427" s="1" t="s">
        <v>1075</v>
      </c>
      <c r="C427" s="1" t="s">
        <v>1076</v>
      </c>
      <c r="D427" s="1" t="str">
        <f t="shared" si="1"/>
        <v>2</v>
      </c>
      <c r="E427" s="1" t="s">
        <v>1077</v>
      </c>
      <c r="G427" s="1">
        <f t="array" ref="G427">IF(ISNUMBER(MATCH(16901,Camille!$A:$A,0)), IF(OR(INDEX(Camille!$D:$D,MATCH(16901,Camille!$A:$A,0))=1, INDEX(Camille!$D:$D,MATCH(16901,Camille!$A:$A,0))=2), INDEX(Camille!$D:$D,MATCH(16901,Camille!$A:$A,0)), 0), 0)</f>
        <v>2</v>
      </c>
      <c r="H427" s="1">
        <f t="array" ref="H427">IF(ISNUMBER(MATCH(16901,Telmo!$A:$A,0)), IF(OR(INDEX(Telmo!$D:$D,MATCH(16901,Telmo!$A:$A,0))=1, INDEX(Telmo!$D:$D,MATCH(16901,Telmo!$A:$A,0))=2), INDEX(Telmo!$D:$D,MATCH(16901,Telmo!$A:$A,0)), 0), 0)</f>
        <v>0</v>
      </c>
      <c r="I427" s="1">
        <f t="array" ref="I427">IF(ISNUMBER(MATCH(16901,Max!$A:$A,0)), IF(OR(INDEX(Max!$D:$D,MATCH(16901,Max!$A:$A,0))=1, INDEX(Max!$D:$D,MATCH(16901,Max!$A:$A,0))=2), INDEX(Max!$D:$D,MATCH(16901,Max!$A:$A,0)), 0), 0)</f>
        <v>0</v>
      </c>
    </row>
    <row r="428" spans="1:9" ht="15.75" customHeight="1" x14ac:dyDescent="0.2">
      <c r="A428" s="1">
        <v>18118</v>
      </c>
      <c r="B428" s="1" t="s">
        <v>326</v>
      </c>
      <c r="C428" s="1" t="s">
        <v>1078</v>
      </c>
      <c r="D428" s="1" t="str">
        <f t="shared" si="1"/>
        <v>1</v>
      </c>
      <c r="E428" s="1" t="s">
        <v>1079</v>
      </c>
      <c r="G428" s="1">
        <f t="array" ref="G428">IF(ISNUMBER(MATCH(18118,Camille!$A:$A,0)), IF(OR(INDEX(Camille!$D:$D,MATCH(18118,Camille!$A:$A,0))=1, INDEX(Camille!$D:$D,MATCH(18118,Camille!$A:$A,0))=2), INDEX(Camille!$D:$D,MATCH(18118,Camille!$A:$A,0)), 0), 0)</f>
        <v>1</v>
      </c>
      <c r="H428" s="1">
        <f t="array" ref="H428">IF(ISNUMBER(MATCH(18118,Telmo!$A:$A,0)), IF(OR(INDEX(Telmo!$D:$D,MATCH(18118,Telmo!$A:$A,0))=1, INDEX(Telmo!$D:$D,MATCH(18118,Telmo!$A:$A,0))=2), INDEX(Telmo!$D:$D,MATCH(18118,Telmo!$A:$A,0)), 0), 0)</f>
        <v>0</v>
      </c>
      <c r="I428" s="1">
        <f t="array" ref="I428">IF(ISNUMBER(MATCH(18118,Max!$A:$A,0)), IF(OR(INDEX(Max!$D:$D,MATCH(18118,Max!$A:$A,0))=1, INDEX(Max!$D:$D,MATCH(18118,Max!$A:$A,0))=2), INDEX(Max!$D:$D,MATCH(18118,Max!$A:$A,0)), 0), 0)</f>
        <v>0</v>
      </c>
    </row>
    <row r="429" spans="1:9" ht="15.75" customHeight="1" x14ac:dyDescent="0.2">
      <c r="A429" s="1">
        <v>56811</v>
      </c>
      <c r="B429" s="1" t="s">
        <v>422</v>
      </c>
      <c r="C429" s="1" t="s">
        <v>1080</v>
      </c>
      <c r="D429" s="1" t="str">
        <f t="shared" si="1"/>
        <v>1</v>
      </c>
      <c r="E429" s="1" t="s">
        <v>1081</v>
      </c>
      <c r="G429" s="1">
        <f t="array" ref="G429">IF(ISNUMBER(MATCH(56811,Camille!$A:$A,0)), IF(OR(INDEX(Camille!$D:$D,MATCH(56811,Camille!$A:$A,0))=1, INDEX(Camille!$D:$D,MATCH(56811,Camille!$A:$A,0))=2), INDEX(Camille!$D:$D,MATCH(56811,Camille!$A:$A,0)), 0), 0)</f>
        <v>1</v>
      </c>
      <c r="H429" s="1">
        <f t="array" ref="H429">IF(ISNUMBER(MATCH(56811,Telmo!$A:$A,0)), IF(OR(INDEX(Telmo!$D:$D,MATCH(56811,Telmo!$A:$A,0))=1, INDEX(Telmo!$D:$D,MATCH(56811,Telmo!$A:$A,0))=2), INDEX(Telmo!$D:$D,MATCH(56811,Telmo!$A:$A,0)), 0), 0)</f>
        <v>0</v>
      </c>
      <c r="I429" s="1">
        <f t="array" ref="I429">IF(ISNUMBER(MATCH(56811,Max!$A:$A,0)), IF(OR(INDEX(Max!$D:$D,MATCH(56811,Max!$A:$A,0))=1, INDEX(Max!$D:$D,MATCH(56811,Max!$A:$A,0))=2), INDEX(Max!$D:$D,MATCH(56811,Max!$A:$A,0)), 0), 0)</f>
        <v>0</v>
      </c>
    </row>
    <row r="430" spans="1:9" ht="15.75" customHeight="1" x14ac:dyDescent="0.2">
      <c r="A430" s="1">
        <v>25072</v>
      </c>
      <c r="B430" s="1" t="s">
        <v>996</v>
      </c>
      <c r="C430" s="1" t="s">
        <v>1082</v>
      </c>
      <c r="D430" s="1" t="str">
        <f t="shared" si="1"/>
        <v>2</v>
      </c>
      <c r="E430" s="1" t="s">
        <v>1083</v>
      </c>
      <c r="G430" s="1">
        <f t="array" ref="G430">IF(ISNUMBER(MATCH(25072,Camille!$A:$A,0)), IF(OR(INDEX(Camille!$D:$D,MATCH(25072,Camille!$A:$A,0))=1, INDEX(Camille!$D:$D,MATCH(25072,Camille!$A:$A,0))=2), INDEX(Camille!$D:$D,MATCH(25072,Camille!$A:$A,0)), 0), 0)</f>
        <v>2</v>
      </c>
      <c r="H430" s="1">
        <f t="array" ref="H430">IF(ISNUMBER(MATCH(25072,Telmo!$A:$A,0)), IF(OR(INDEX(Telmo!$D:$D,MATCH(25072,Telmo!$A:$A,0))=1, INDEX(Telmo!$D:$D,MATCH(25072,Telmo!$A:$A,0))=2), INDEX(Telmo!$D:$D,MATCH(25072,Telmo!$A:$A,0)), 0), 0)</f>
        <v>0</v>
      </c>
      <c r="I430" s="1">
        <f t="array" ref="I430">IF(ISNUMBER(MATCH(25072,Max!$A:$A,0)), IF(OR(INDEX(Max!$D:$D,MATCH(25072,Max!$A:$A,0))=1, INDEX(Max!$D:$D,MATCH(25072,Max!$A:$A,0))=2), INDEX(Max!$D:$D,MATCH(25072,Max!$A:$A,0)), 0), 0)</f>
        <v>0</v>
      </c>
    </row>
    <row r="431" spans="1:9" ht="15.75" customHeight="1" x14ac:dyDescent="0.2">
      <c r="A431" s="1">
        <v>66380</v>
      </c>
      <c r="B431" s="1" t="s">
        <v>552</v>
      </c>
      <c r="C431" s="1" t="s">
        <v>1084</v>
      </c>
      <c r="D431" s="1" t="str">
        <f t="shared" si="1"/>
        <v>1</v>
      </c>
      <c r="E431" s="1" t="s">
        <v>1085</v>
      </c>
      <c r="G431" s="1">
        <f t="array" ref="G431">IF(ISNUMBER(MATCH(66380,Camille!$A:$A,0)), IF(OR(INDEX(Camille!$D:$D,MATCH(66380,Camille!$A:$A,0))=1, INDEX(Camille!$D:$D,MATCH(66380,Camille!$A:$A,0))=2), INDEX(Camille!$D:$D,MATCH(66380,Camille!$A:$A,0)), 0), 0)</f>
        <v>1</v>
      </c>
      <c r="H431" s="1">
        <f t="array" ref="H431">IF(ISNUMBER(MATCH(66380,Telmo!$A:$A,0)), IF(OR(INDEX(Telmo!$D:$D,MATCH(66380,Telmo!$A:$A,0))=1, INDEX(Telmo!$D:$D,MATCH(66380,Telmo!$A:$A,0))=2), INDEX(Telmo!$D:$D,MATCH(66380,Telmo!$A:$A,0)), 0), 0)</f>
        <v>0</v>
      </c>
      <c r="I431" s="1">
        <f t="array" ref="I431">IF(ISNUMBER(MATCH(66380,Max!$A:$A,0)), IF(OR(INDEX(Max!$D:$D,MATCH(66380,Max!$A:$A,0))=1, INDEX(Max!$D:$D,MATCH(66380,Max!$A:$A,0))=2), INDEX(Max!$D:$D,MATCH(66380,Max!$A:$A,0)), 0), 0)</f>
        <v>0</v>
      </c>
    </row>
    <row r="432" spans="1:9" ht="15.75" customHeight="1" x14ac:dyDescent="0.2">
      <c r="A432" s="1">
        <v>379</v>
      </c>
      <c r="B432" s="1" t="s">
        <v>11</v>
      </c>
      <c r="C432" s="1" t="s">
        <v>1086</v>
      </c>
      <c r="D432" s="1" t="str">
        <f t="shared" si="1"/>
        <v>1</v>
      </c>
      <c r="E432" s="1" t="s">
        <v>1087</v>
      </c>
      <c r="G432" s="1">
        <f t="array" ref="G432">IF(ISNUMBER(MATCH(379,Camille!$A:$A,0)), IF(OR(INDEX(Camille!$D:$D,MATCH(379,Camille!$A:$A,0))=1, INDEX(Camille!$D:$D,MATCH(379,Camille!$A:$A,0))=2), INDEX(Camille!$D:$D,MATCH(379,Camille!$A:$A,0)), 0), 0)</f>
        <v>1</v>
      </c>
      <c r="H432" s="1">
        <f t="array" ref="H432">IF(ISNUMBER(MATCH(379,Telmo!$A:$A,0)), IF(OR(INDEX(Telmo!$D:$D,MATCH(379,Telmo!$A:$A,0))=1, INDEX(Telmo!$D:$D,MATCH(379,Telmo!$A:$A,0))=2), INDEX(Telmo!$D:$D,MATCH(379,Telmo!$A:$A,0)), 0), 0)</f>
        <v>0</v>
      </c>
      <c r="I432" s="1">
        <f t="array" ref="I432">IF(ISNUMBER(MATCH(379,Max!$A:$A,0)), IF(OR(INDEX(Max!$D:$D,MATCH(379,Max!$A:$A,0))=1, INDEX(Max!$D:$D,MATCH(379,Max!$A:$A,0))=2), INDEX(Max!$D:$D,MATCH(379,Max!$A:$A,0)), 0), 0)</f>
        <v>0</v>
      </c>
    </row>
    <row r="433" spans="1:9" ht="15.75" customHeight="1" x14ac:dyDescent="0.2">
      <c r="A433" s="1">
        <v>45922</v>
      </c>
      <c r="B433" s="1" t="s">
        <v>90</v>
      </c>
      <c r="C433" s="1" t="s">
        <v>1088</v>
      </c>
      <c r="D433" s="1" t="str">
        <f t="shared" si="1"/>
        <v>2</v>
      </c>
      <c r="E433" s="1" t="s">
        <v>1089</v>
      </c>
      <c r="G433" s="1">
        <f t="array" ref="G433">IF(ISNUMBER(MATCH(45922,Camille!$A:$A,0)), IF(OR(INDEX(Camille!$D:$D,MATCH(45922,Camille!$A:$A,0))=1, INDEX(Camille!$D:$D,MATCH(45922,Camille!$A:$A,0))=2), INDEX(Camille!$D:$D,MATCH(45922,Camille!$A:$A,0)), 0), 0)</f>
        <v>2</v>
      </c>
      <c r="H433" s="1">
        <f t="array" ref="H433">IF(ISNUMBER(MATCH(45922,Telmo!$A:$A,0)), IF(OR(INDEX(Telmo!$D:$D,MATCH(45922,Telmo!$A:$A,0))=1, INDEX(Telmo!$D:$D,MATCH(45922,Telmo!$A:$A,0))=2), INDEX(Telmo!$D:$D,MATCH(45922,Telmo!$A:$A,0)), 0), 0)</f>
        <v>0</v>
      </c>
      <c r="I433" s="1">
        <f t="array" ref="I433">IF(ISNUMBER(MATCH(45922,Max!$A:$A,0)), IF(OR(INDEX(Max!$D:$D,MATCH(45922,Max!$A:$A,0))=1, INDEX(Max!$D:$D,MATCH(45922,Max!$A:$A,0))=2), INDEX(Max!$D:$D,MATCH(45922,Max!$A:$A,0)), 0), 0)</f>
        <v>0</v>
      </c>
    </row>
    <row r="434" spans="1:9" ht="15.75" customHeight="1" x14ac:dyDescent="0.2">
      <c r="A434" s="1">
        <v>51414</v>
      </c>
      <c r="B434" s="1" t="s">
        <v>1090</v>
      </c>
      <c r="C434" s="1" t="s">
        <v>1091</v>
      </c>
      <c r="D434" s="1" t="str">
        <f t="shared" si="1"/>
        <v>2</v>
      </c>
      <c r="E434" s="1" t="s">
        <v>1092</v>
      </c>
      <c r="G434" s="1">
        <f t="array" ref="G434">IF(ISNUMBER(MATCH(51414,Camille!$A:$A,0)), IF(OR(INDEX(Camille!$D:$D,MATCH(51414,Camille!$A:$A,0))=1, INDEX(Camille!$D:$D,MATCH(51414,Camille!$A:$A,0))=2), INDEX(Camille!$D:$D,MATCH(51414,Camille!$A:$A,0)), 0), 0)</f>
        <v>2</v>
      </c>
      <c r="H434" s="1">
        <f t="array" ref="H434">IF(ISNUMBER(MATCH(51414,Telmo!$A:$A,0)), IF(OR(INDEX(Telmo!$D:$D,MATCH(51414,Telmo!$A:$A,0))=1, INDEX(Telmo!$D:$D,MATCH(51414,Telmo!$A:$A,0))=2), INDEX(Telmo!$D:$D,MATCH(51414,Telmo!$A:$A,0)), 0), 0)</f>
        <v>0</v>
      </c>
      <c r="I434" s="1">
        <f t="array" ref="I434">IF(ISNUMBER(MATCH(51414,Max!$A:$A,0)), IF(OR(INDEX(Max!$D:$D,MATCH(51414,Max!$A:$A,0))=1, INDEX(Max!$D:$D,MATCH(51414,Max!$A:$A,0))=2), INDEX(Max!$D:$D,MATCH(51414,Max!$A:$A,0)), 0), 0)</f>
        <v>0</v>
      </c>
    </row>
    <row r="435" spans="1:9" ht="15.75" customHeight="1" x14ac:dyDescent="0.2">
      <c r="A435" s="1">
        <v>27175</v>
      </c>
      <c r="B435" s="1" t="s">
        <v>1093</v>
      </c>
      <c r="C435" s="1" t="s">
        <v>1094</v>
      </c>
      <c r="D435" s="1" t="str">
        <f t="shared" si="1"/>
        <v>2</v>
      </c>
      <c r="E435" s="1" t="s">
        <v>1095</v>
      </c>
      <c r="G435" s="1">
        <f t="array" ref="G435">IF(ISNUMBER(MATCH(27175,Camille!$A:$A,0)), IF(OR(INDEX(Camille!$D:$D,MATCH(27175,Camille!$A:$A,0))=1, INDEX(Camille!$D:$D,MATCH(27175,Camille!$A:$A,0))=2), INDEX(Camille!$D:$D,MATCH(27175,Camille!$A:$A,0)), 0), 0)</f>
        <v>2</v>
      </c>
      <c r="H435" s="1">
        <f t="array" ref="H435">IF(ISNUMBER(MATCH(27175,Telmo!$A:$A,0)), IF(OR(INDEX(Telmo!$D:$D,MATCH(27175,Telmo!$A:$A,0))=1, INDEX(Telmo!$D:$D,MATCH(27175,Telmo!$A:$A,0))=2), INDEX(Telmo!$D:$D,MATCH(27175,Telmo!$A:$A,0)), 0), 0)</f>
        <v>0</v>
      </c>
      <c r="I435" s="1">
        <f t="array" ref="I435">IF(ISNUMBER(MATCH(27175,Max!$A:$A,0)), IF(OR(INDEX(Max!$D:$D,MATCH(27175,Max!$A:$A,0))=1, INDEX(Max!$D:$D,MATCH(27175,Max!$A:$A,0))=2), INDEX(Max!$D:$D,MATCH(27175,Max!$A:$A,0)), 0), 0)</f>
        <v>0</v>
      </c>
    </row>
    <row r="436" spans="1:9" ht="15.75" customHeight="1" x14ac:dyDescent="0.2">
      <c r="A436" s="1">
        <v>24574</v>
      </c>
      <c r="B436" s="1" t="s">
        <v>244</v>
      </c>
      <c r="C436" s="1" t="s">
        <v>1096</v>
      </c>
      <c r="D436" s="1" t="str">
        <f t="shared" si="1"/>
        <v>2</v>
      </c>
      <c r="E436" s="1" t="s">
        <v>1097</v>
      </c>
      <c r="G436" s="1">
        <f t="array" ref="G436">IF(ISNUMBER(MATCH(24574,Camille!$A:$A,0)), IF(OR(INDEX(Camille!$D:$D,MATCH(24574,Camille!$A:$A,0))=1, INDEX(Camille!$D:$D,MATCH(24574,Camille!$A:$A,0))=2), INDEX(Camille!$D:$D,MATCH(24574,Camille!$A:$A,0)), 0), 0)</f>
        <v>2</v>
      </c>
      <c r="H436" s="1">
        <f t="array" ref="H436">IF(ISNUMBER(MATCH(24574,Telmo!$A:$A,0)), IF(OR(INDEX(Telmo!$D:$D,MATCH(24574,Telmo!$A:$A,0))=1, INDEX(Telmo!$D:$D,MATCH(24574,Telmo!$A:$A,0))=2), INDEX(Telmo!$D:$D,MATCH(24574,Telmo!$A:$A,0)), 0), 0)</f>
        <v>0</v>
      </c>
      <c r="I436" s="1">
        <f t="array" ref="I436">IF(ISNUMBER(MATCH(24574,Max!$A:$A,0)), IF(OR(INDEX(Max!$D:$D,MATCH(24574,Max!$A:$A,0))=1, INDEX(Max!$D:$D,MATCH(24574,Max!$A:$A,0))=2), INDEX(Max!$D:$D,MATCH(24574,Max!$A:$A,0)), 0), 0)</f>
        <v>0</v>
      </c>
    </row>
    <row r="437" spans="1:9" ht="15.75" customHeight="1" x14ac:dyDescent="0.2">
      <c r="A437" s="1">
        <v>6651</v>
      </c>
      <c r="B437" s="1" t="s">
        <v>265</v>
      </c>
      <c r="C437" s="1" t="s">
        <v>1098</v>
      </c>
      <c r="D437" s="1" t="str">
        <f t="shared" si="1"/>
        <v>2</v>
      </c>
      <c r="E437" s="1" t="s">
        <v>1099</v>
      </c>
      <c r="G437" s="1">
        <f t="array" ref="G437">IF(ISNUMBER(MATCH(6651,Camille!$A:$A,0)), IF(OR(INDEX(Camille!$D:$D,MATCH(6651,Camille!$A:$A,0))=1, INDEX(Camille!$D:$D,MATCH(6651,Camille!$A:$A,0))=2), INDEX(Camille!$D:$D,MATCH(6651,Camille!$A:$A,0)), 0), 0)</f>
        <v>2</v>
      </c>
      <c r="H437" s="1">
        <f t="array" ref="H437">IF(ISNUMBER(MATCH(6651,Telmo!$A:$A,0)), IF(OR(INDEX(Telmo!$D:$D,MATCH(6651,Telmo!$A:$A,0))=1, INDEX(Telmo!$D:$D,MATCH(6651,Telmo!$A:$A,0))=2), INDEX(Telmo!$D:$D,MATCH(6651,Telmo!$A:$A,0)), 0), 0)</f>
        <v>0</v>
      </c>
      <c r="I437" s="1">
        <f t="array" ref="I437">IF(ISNUMBER(MATCH(6651,Max!$A:$A,0)), IF(OR(INDEX(Max!$D:$D,MATCH(6651,Max!$A:$A,0))=1, INDEX(Max!$D:$D,MATCH(6651,Max!$A:$A,0))=2), INDEX(Max!$D:$D,MATCH(6651,Max!$A:$A,0)), 0), 0)</f>
        <v>0</v>
      </c>
    </row>
    <row r="438" spans="1:9" ht="15.75" customHeight="1" x14ac:dyDescent="0.2">
      <c r="A438" s="1">
        <v>67086</v>
      </c>
      <c r="B438" s="1" t="s">
        <v>268</v>
      </c>
      <c r="C438" s="1" t="s">
        <v>1100</v>
      </c>
      <c r="D438" s="1" t="str">
        <f t="shared" si="1"/>
        <v>2</v>
      </c>
      <c r="E438" s="1" t="s">
        <v>1101</v>
      </c>
      <c r="G438" s="1">
        <f t="array" ref="G438">IF(ISNUMBER(MATCH(67086,Camille!$A:$A,0)), IF(OR(INDEX(Camille!$D:$D,MATCH(67086,Camille!$A:$A,0))=1, INDEX(Camille!$D:$D,MATCH(67086,Camille!$A:$A,0))=2), INDEX(Camille!$D:$D,MATCH(67086,Camille!$A:$A,0)), 0), 0)</f>
        <v>2</v>
      </c>
      <c r="H438" s="1">
        <f t="array" ref="H438">IF(ISNUMBER(MATCH(67086,Telmo!$A:$A,0)), IF(OR(INDEX(Telmo!$D:$D,MATCH(67086,Telmo!$A:$A,0))=1, INDEX(Telmo!$D:$D,MATCH(67086,Telmo!$A:$A,0))=2), INDEX(Telmo!$D:$D,MATCH(67086,Telmo!$A:$A,0)), 0), 0)</f>
        <v>0</v>
      </c>
      <c r="I438" s="1">
        <f t="array" ref="I438">IF(ISNUMBER(MATCH(67086,Max!$A:$A,0)), IF(OR(INDEX(Max!$D:$D,MATCH(67086,Max!$A:$A,0))=1, INDEX(Max!$D:$D,MATCH(67086,Max!$A:$A,0))=2), INDEX(Max!$D:$D,MATCH(67086,Max!$A:$A,0)), 0), 0)</f>
        <v>0</v>
      </c>
    </row>
    <row r="439" spans="1:9" ht="15.75" customHeight="1" x14ac:dyDescent="0.2">
      <c r="A439" s="1">
        <v>20899</v>
      </c>
      <c r="B439" s="1" t="s">
        <v>1102</v>
      </c>
      <c r="C439" s="1" t="s">
        <v>1103</v>
      </c>
      <c r="D439" s="1" t="str">
        <f t="shared" si="1"/>
        <v>2</v>
      </c>
      <c r="E439" s="1" t="s">
        <v>1104</v>
      </c>
      <c r="G439" s="1">
        <f t="array" ref="G439">IF(ISNUMBER(MATCH(20899,Camille!$A:$A,0)), IF(OR(INDEX(Camille!$D:$D,MATCH(20899,Camille!$A:$A,0))=1, INDEX(Camille!$D:$D,MATCH(20899,Camille!$A:$A,0))=2), INDEX(Camille!$D:$D,MATCH(20899,Camille!$A:$A,0)), 0), 0)</f>
        <v>2</v>
      </c>
      <c r="H439" s="1">
        <f t="array" ref="H439">IF(ISNUMBER(MATCH(20899,Telmo!$A:$A,0)), IF(OR(INDEX(Telmo!$D:$D,MATCH(20899,Telmo!$A:$A,0))=1, INDEX(Telmo!$D:$D,MATCH(20899,Telmo!$A:$A,0))=2), INDEX(Telmo!$D:$D,MATCH(20899,Telmo!$A:$A,0)), 0), 0)</f>
        <v>0</v>
      </c>
      <c r="I439" s="1">
        <f t="array" ref="I439">IF(ISNUMBER(MATCH(20899,Max!$A:$A,0)), IF(OR(INDEX(Max!$D:$D,MATCH(20899,Max!$A:$A,0))=1, INDEX(Max!$D:$D,MATCH(20899,Max!$A:$A,0))=2), INDEX(Max!$D:$D,MATCH(20899,Max!$A:$A,0)), 0), 0)</f>
        <v>0</v>
      </c>
    </row>
    <row r="440" spans="1:9" ht="15.75" customHeight="1" x14ac:dyDescent="0.2">
      <c r="A440" s="1">
        <v>71377</v>
      </c>
      <c r="B440" s="1" t="s">
        <v>425</v>
      </c>
      <c r="C440" s="1" t="s">
        <v>1105</v>
      </c>
      <c r="D440" s="1" t="str">
        <f t="shared" si="1"/>
        <v>2</v>
      </c>
      <c r="E440" s="1" t="s">
        <v>1106</v>
      </c>
      <c r="G440" s="1">
        <f t="array" ref="G440">IF(ISNUMBER(MATCH(71377,Camille!$A:$A,0)), IF(OR(INDEX(Camille!$D:$D,MATCH(71377,Camille!$A:$A,0))=1, INDEX(Camille!$D:$D,MATCH(71377,Camille!$A:$A,0))=2), INDEX(Camille!$D:$D,MATCH(71377,Camille!$A:$A,0)), 0), 0)</f>
        <v>2</v>
      </c>
      <c r="H440" s="1">
        <f t="array" ref="H440">IF(ISNUMBER(MATCH(71377,Telmo!$A:$A,0)), IF(OR(INDEX(Telmo!$D:$D,MATCH(71377,Telmo!$A:$A,0))=1, INDEX(Telmo!$D:$D,MATCH(71377,Telmo!$A:$A,0))=2), INDEX(Telmo!$D:$D,MATCH(71377,Telmo!$A:$A,0)), 0), 0)</f>
        <v>0</v>
      </c>
      <c r="I440" s="1">
        <f t="array" ref="I440">IF(ISNUMBER(MATCH(71377,Max!$A:$A,0)), IF(OR(INDEX(Max!$D:$D,MATCH(71377,Max!$A:$A,0))=1, INDEX(Max!$D:$D,MATCH(71377,Max!$A:$A,0))=2), INDEX(Max!$D:$D,MATCH(71377,Max!$A:$A,0)), 0), 0)</f>
        <v>0</v>
      </c>
    </row>
    <row r="441" spans="1:9" ht="15.75" customHeight="1" x14ac:dyDescent="0.2">
      <c r="A441" s="1">
        <v>17053</v>
      </c>
      <c r="B441" s="1" t="s">
        <v>649</v>
      </c>
      <c r="C441" s="1" t="s">
        <v>1107</v>
      </c>
      <c r="D441" s="1" t="str">
        <f t="shared" si="1"/>
        <v>2</v>
      </c>
      <c r="E441" s="1" t="s">
        <v>1108</v>
      </c>
      <c r="G441" s="1">
        <f t="array" ref="G441">IF(ISNUMBER(MATCH(17053,Camille!$A:$A,0)), IF(OR(INDEX(Camille!$D:$D,MATCH(17053,Camille!$A:$A,0))=1, INDEX(Camille!$D:$D,MATCH(17053,Camille!$A:$A,0))=2), INDEX(Camille!$D:$D,MATCH(17053,Camille!$A:$A,0)), 0), 0)</f>
        <v>2</v>
      </c>
      <c r="H441" s="1">
        <f t="array" ref="H441">IF(ISNUMBER(MATCH(17053,Telmo!$A:$A,0)), IF(OR(INDEX(Telmo!$D:$D,MATCH(17053,Telmo!$A:$A,0))=1, INDEX(Telmo!$D:$D,MATCH(17053,Telmo!$A:$A,0))=2), INDEX(Telmo!$D:$D,MATCH(17053,Telmo!$A:$A,0)), 0), 0)</f>
        <v>0</v>
      </c>
      <c r="I441" s="1">
        <f t="array" ref="I441">IF(ISNUMBER(MATCH(17053,Max!$A:$A,0)), IF(OR(INDEX(Max!$D:$D,MATCH(17053,Max!$A:$A,0))=1, INDEX(Max!$D:$D,MATCH(17053,Max!$A:$A,0))=2), INDEX(Max!$D:$D,MATCH(17053,Max!$A:$A,0)), 0), 0)</f>
        <v>0</v>
      </c>
    </row>
    <row r="442" spans="1:9" ht="15.75" customHeight="1" x14ac:dyDescent="0.2">
      <c r="A442" s="1">
        <v>36070</v>
      </c>
      <c r="B442" s="1" t="s">
        <v>1109</v>
      </c>
      <c r="C442" s="1" t="s">
        <v>1110</v>
      </c>
      <c r="D442" s="1" t="str">
        <f t="shared" si="1"/>
        <v>2</v>
      </c>
      <c r="E442" s="1" t="s">
        <v>1111</v>
      </c>
      <c r="G442" s="1">
        <f t="array" ref="G442">IF(ISNUMBER(MATCH(36070,Camille!$A:$A,0)), IF(OR(INDEX(Camille!$D:$D,MATCH(36070,Camille!$A:$A,0))=1, INDEX(Camille!$D:$D,MATCH(36070,Camille!$A:$A,0))=2), INDEX(Camille!$D:$D,MATCH(36070,Camille!$A:$A,0)), 0), 0)</f>
        <v>2</v>
      </c>
      <c r="H442" s="1">
        <f t="array" ref="H442">IF(ISNUMBER(MATCH(36070,Telmo!$A:$A,0)), IF(OR(INDEX(Telmo!$D:$D,MATCH(36070,Telmo!$A:$A,0))=1, INDEX(Telmo!$D:$D,MATCH(36070,Telmo!$A:$A,0))=2), INDEX(Telmo!$D:$D,MATCH(36070,Telmo!$A:$A,0)), 0), 0)</f>
        <v>0</v>
      </c>
      <c r="I442" s="1">
        <f t="array" ref="I442">IF(ISNUMBER(MATCH(36070,Max!$A:$A,0)), IF(OR(INDEX(Max!$D:$D,MATCH(36070,Max!$A:$A,0))=1, INDEX(Max!$D:$D,MATCH(36070,Max!$A:$A,0))=2), INDEX(Max!$D:$D,MATCH(36070,Max!$A:$A,0)), 0), 0)</f>
        <v>0</v>
      </c>
    </row>
    <row r="443" spans="1:9" ht="15.75" customHeight="1" x14ac:dyDescent="0.2">
      <c r="A443" s="1">
        <v>9578</v>
      </c>
      <c r="B443" s="1" t="s">
        <v>1112</v>
      </c>
      <c r="C443" s="1" t="s">
        <v>1113</v>
      </c>
      <c r="D443" s="1" t="str">
        <f t="shared" si="1"/>
        <v>2</v>
      </c>
      <c r="E443" s="1" t="s">
        <v>1114</v>
      </c>
      <c r="G443" s="1">
        <f t="array" ref="G443">IF(ISNUMBER(MATCH(9578,Camille!$A:$A,0)), IF(OR(INDEX(Camille!$D:$D,MATCH(9578,Camille!$A:$A,0))=1, INDEX(Camille!$D:$D,MATCH(9578,Camille!$A:$A,0))=2), INDEX(Camille!$D:$D,MATCH(9578,Camille!$A:$A,0)), 0), 0)</f>
        <v>2</v>
      </c>
      <c r="H443" s="1">
        <f t="array" ref="H443">IF(ISNUMBER(MATCH(9578,Telmo!$A:$A,0)), IF(OR(INDEX(Telmo!$D:$D,MATCH(9578,Telmo!$A:$A,0))=1, INDEX(Telmo!$D:$D,MATCH(9578,Telmo!$A:$A,0))=2), INDEX(Telmo!$D:$D,MATCH(9578,Telmo!$A:$A,0)), 0), 0)</f>
        <v>0</v>
      </c>
      <c r="I443" s="1">
        <f t="array" ref="I443">IF(ISNUMBER(MATCH(9578,Max!$A:$A,0)), IF(OR(INDEX(Max!$D:$D,MATCH(9578,Max!$A:$A,0))=1, INDEX(Max!$D:$D,MATCH(9578,Max!$A:$A,0))=2), INDEX(Max!$D:$D,MATCH(9578,Max!$A:$A,0)), 0), 0)</f>
        <v>0</v>
      </c>
    </row>
    <row r="444" spans="1:9" ht="15.75" customHeight="1" x14ac:dyDescent="0.2">
      <c r="A444" s="1">
        <v>15304</v>
      </c>
      <c r="B444" s="1" t="s">
        <v>32</v>
      </c>
      <c r="C444" s="1" t="s">
        <v>1115</v>
      </c>
      <c r="D444" s="1" t="str">
        <f t="shared" si="1"/>
        <v>1</v>
      </c>
      <c r="E444" s="1" t="s">
        <v>1116</v>
      </c>
      <c r="G444" s="1">
        <f t="array" ref="G444">IF(ISNUMBER(MATCH(15304,Camille!$A:$A,0)), IF(OR(INDEX(Camille!$D:$D,MATCH(15304,Camille!$A:$A,0))=1, INDEX(Camille!$D:$D,MATCH(15304,Camille!$A:$A,0))=2), INDEX(Camille!$D:$D,MATCH(15304,Camille!$A:$A,0)), 0), 0)</f>
        <v>1</v>
      </c>
      <c r="H444" s="1">
        <f t="array" ref="H444">IF(ISNUMBER(MATCH(15304,Telmo!$A:$A,0)), IF(OR(INDEX(Telmo!$D:$D,MATCH(15304,Telmo!$A:$A,0))=1, INDEX(Telmo!$D:$D,MATCH(15304,Telmo!$A:$A,0))=2), INDEX(Telmo!$D:$D,MATCH(15304,Telmo!$A:$A,0)), 0), 0)</f>
        <v>0</v>
      </c>
      <c r="I444" s="1">
        <f t="array" ref="I444">IF(ISNUMBER(MATCH(15304,Max!$A:$A,0)), IF(OR(INDEX(Max!$D:$D,MATCH(15304,Max!$A:$A,0))=1, INDEX(Max!$D:$D,MATCH(15304,Max!$A:$A,0))=2), INDEX(Max!$D:$D,MATCH(15304,Max!$A:$A,0)), 0), 0)</f>
        <v>0</v>
      </c>
    </row>
    <row r="445" spans="1:9" ht="15.75" customHeight="1" x14ac:dyDescent="0.2">
      <c r="A445" s="1">
        <v>60109</v>
      </c>
      <c r="B445" s="1" t="s">
        <v>490</v>
      </c>
      <c r="C445" s="1" t="s">
        <v>1117</v>
      </c>
      <c r="D445" s="1" t="str">
        <f t="shared" si="1"/>
        <v>2</v>
      </c>
      <c r="E445" s="1" t="s">
        <v>1118</v>
      </c>
      <c r="G445" s="1">
        <f t="array" ref="G445">IF(ISNUMBER(MATCH(60109,Camille!$A:$A,0)), IF(OR(INDEX(Camille!$D:$D,MATCH(60109,Camille!$A:$A,0))=1, INDEX(Camille!$D:$D,MATCH(60109,Camille!$A:$A,0))=2), INDEX(Camille!$D:$D,MATCH(60109,Camille!$A:$A,0)), 0), 0)</f>
        <v>2</v>
      </c>
      <c r="H445" s="1">
        <f t="array" ref="H445">IF(ISNUMBER(MATCH(60109,Telmo!$A:$A,0)), IF(OR(INDEX(Telmo!$D:$D,MATCH(60109,Telmo!$A:$A,0))=1, INDEX(Telmo!$D:$D,MATCH(60109,Telmo!$A:$A,0))=2), INDEX(Telmo!$D:$D,MATCH(60109,Telmo!$A:$A,0)), 0), 0)</f>
        <v>0</v>
      </c>
      <c r="I445" s="1">
        <f t="array" ref="I445">IF(ISNUMBER(MATCH(60109,Max!$A:$A,0)), IF(OR(INDEX(Max!$D:$D,MATCH(60109,Max!$A:$A,0))=1, INDEX(Max!$D:$D,MATCH(60109,Max!$A:$A,0))=2), INDEX(Max!$D:$D,MATCH(60109,Max!$A:$A,0)), 0), 0)</f>
        <v>0</v>
      </c>
    </row>
    <row r="446" spans="1:9" ht="15.75" customHeight="1" x14ac:dyDescent="0.2">
      <c r="A446" s="1">
        <v>28459</v>
      </c>
      <c r="B446" s="1" t="s">
        <v>180</v>
      </c>
      <c r="C446" s="1" t="s">
        <v>1119</v>
      </c>
      <c r="D446" s="1" t="str">
        <f t="shared" si="1"/>
        <v>2</v>
      </c>
      <c r="E446" s="1" t="s">
        <v>1120</v>
      </c>
      <c r="G446" s="1">
        <f t="array" ref="G446">IF(ISNUMBER(MATCH(28459,Camille!$A:$A,0)), IF(OR(INDEX(Camille!$D:$D,MATCH(28459,Camille!$A:$A,0))=1, INDEX(Camille!$D:$D,MATCH(28459,Camille!$A:$A,0))=2), INDEX(Camille!$D:$D,MATCH(28459,Camille!$A:$A,0)), 0), 0)</f>
        <v>2</v>
      </c>
      <c r="H446" s="1">
        <f t="array" ref="H446">IF(ISNUMBER(MATCH(28459,Telmo!$A:$A,0)), IF(OR(INDEX(Telmo!$D:$D,MATCH(28459,Telmo!$A:$A,0))=1, INDEX(Telmo!$D:$D,MATCH(28459,Telmo!$A:$A,0))=2), INDEX(Telmo!$D:$D,MATCH(28459,Telmo!$A:$A,0)), 0), 0)</f>
        <v>0</v>
      </c>
      <c r="I446" s="1">
        <f t="array" ref="I446">IF(ISNUMBER(MATCH(28459,Max!$A:$A,0)), IF(OR(INDEX(Max!$D:$D,MATCH(28459,Max!$A:$A,0))=1, INDEX(Max!$D:$D,MATCH(28459,Max!$A:$A,0))=2), INDEX(Max!$D:$D,MATCH(28459,Max!$A:$A,0)), 0), 0)</f>
        <v>0</v>
      </c>
    </row>
    <row r="447" spans="1:9" ht="15.75" customHeight="1" x14ac:dyDescent="0.2">
      <c r="A447" s="1">
        <v>27779</v>
      </c>
      <c r="B447" s="1" t="s">
        <v>44</v>
      </c>
      <c r="C447" s="1" t="s">
        <v>1121</v>
      </c>
      <c r="D447" s="1" t="str">
        <f t="shared" si="1"/>
        <v>2</v>
      </c>
      <c r="E447" s="1" t="s">
        <v>1122</v>
      </c>
      <c r="G447" s="1">
        <f t="array" ref="G447">IF(ISNUMBER(MATCH(27779,Camille!$A:$A,0)), IF(OR(INDEX(Camille!$D:$D,MATCH(27779,Camille!$A:$A,0))=1, INDEX(Camille!$D:$D,MATCH(27779,Camille!$A:$A,0))=2), INDEX(Camille!$D:$D,MATCH(27779,Camille!$A:$A,0)), 0), 0)</f>
        <v>2</v>
      </c>
      <c r="H447" s="1">
        <f t="array" ref="H447">IF(ISNUMBER(MATCH(27779,Telmo!$A:$A,0)), IF(OR(INDEX(Telmo!$D:$D,MATCH(27779,Telmo!$A:$A,0))=1, INDEX(Telmo!$D:$D,MATCH(27779,Telmo!$A:$A,0))=2), INDEX(Telmo!$D:$D,MATCH(27779,Telmo!$A:$A,0)), 0), 0)</f>
        <v>0</v>
      </c>
      <c r="I447" s="1">
        <f t="array" ref="I447">IF(ISNUMBER(MATCH(27779,Max!$A:$A,0)), IF(OR(INDEX(Max!$D:$D,MATCH(27779,Max!$A:$A,0))=1, INDEX(Max!$D:$D,MATCH(27779,Max!$A:$A,0))=2), INDEX(Max!$D:$D,MATCH(27779,Max!$A:$A,0)), 0), 0)</f>
        <v>0</v>
      </c>
    </row>
    <row r="448" spans="1:9" ht="15.75" customHeight="1" x14ac:dyDescent="0.2">
      <c r="A448" s="1">
        <v>46748</v>
      </c>
      <c r="B448" s="1" t="s">
        <v>1123</v>
      </c>
      <c r="C448" s="1" t="s">
        <v>1124</v>
      </c>
      <c r="D448" s="1" t="str">
        <f t="shared" si="1"/>
        <v>2</v>
      </c>
      <c r="E448" s="1" t="s">
        <v>1125</v>
      </c>
      <c r="G448" s="1">
        <f t="array" ref="G448">IF(ISNUMBER(MATCH(46748,Camille!$A:$A,0)), IF(OR(INDEX(Camille!$D:$D,MATCH(46748,Camille!$A:$A,0))=1, INDEX(Camille!$D:$D,MATCH(46748,Camille!$A:$A,0))=2), INDEX(Camille!$D:$D,MATCH(46748,Camille!$A:$A,0)), 0), 0)</f>
        <v>2</v>
      </c>
      <c r="H448" s="1">
        <f t="array" ref="H448">IF(ISNUMBER(MATCH(46748,Telmo!$A:$A,0)), IF(OR(INDEX(Telmo!$D:$D,MATCH(46748,Telmo!$A:$A,0))=1, INDEX(Telmo!$D:$D,MATCH(46748,Telmo!$A:$A,0))=2), INDEX(Telmo!$D:$D,MATCH(46748,Telmo!$A:$A,0)), 0), 0)</f>
        <v>0</v>
      </c>
      <c r="I448" s="1">
        <f t="array" ref="I448">IF(ISNUMBER(MATCH(46748,Max!$A:$A,0)), IF(OR(INDEX(Max!$D:$D,MATCH(46748,Max!$A:$A,0))=1, INDEX(Max!$D:$D,MATCH(46748,Max!$A:$A,0))=2), INDEX(Max!$D:$D,MATCH(46748,Max!$A:$A,0)), 0), 0)</f>
        <v>0</v>
      </c>
    </row>
    <row r="449" spans="1:9" ht="15.75" customHeight="1" x14ac:dyDescent="0.2">
      <c r="A449" s="1">
        <v>12483</v>
      </c>
      <c r="B449" s="1" t="s">
        <v>326</v>
      </c>
      <c r="C449" s="1" t="s">
        <v>1126</v>
      </c>
      <c r="D449" s="1" t="str">
        <f t="shared" si="1"/>
        <v>2</v>
      </c>
      <c r="E449" s="1" t="s">
        <v>1127</v>
      </c>
      <c r="G449" s="1">
        <f t="array" ref="G449">IF(ISNUMBER(MATCH(12483,Camille!$A:$A,0)), IF(OR(INDEX(Camille!$D:$D,MATCH(12483,Camille!$A:$A,0))=1, INDEX(Camille!$D:$D,MATCH(12483,Camille!$A:$A,0))=2), INDEX(Camille!$D:$D,MATCH(12483,Camille!$A:$A,0)), 0), 0)</f>
        <v>2</v>
      </c>
      <c r="H449" s="1">
        <f t="array" ref="H449">IF(ISNUMBER(MATCH(12483,Telmo!$A:$A,0)), IF(OR(INDEX(Telmo!$D:$D,MATCH(12483,Telmo!$A:$A,0))=1, INDEX(Telmo!$D:$D,MATCH(12483,Telmo!$A:$A,0))=2), INDEX(Telmo!$D:$D,MATCH(12483,Telmo!$A:$A,0)), 0), 0)</f>
        <v>0</v>
      </c>
      <c r="I449" s="1">
        <f t="array" ref="I449">IF(ISNUMBER(MATCH(12483,Max!$A:$A,0)), IF(OR(INDEX(Max!$D:$D,MATCH(12483,Max!$A:$A,0))=1, INDEX(Max!$D:$D,MATCH(12483,Max!$A:$A,0))=2), INDEX(Max!$D:$D,MATCH(12483,Max!$A:$A,0)), 0), 0)</f>
        <v>0</v>
      </c>
    </row>
    <row r="450" spans="1:9" ht="15.75" customHeight="1" x14ac:dyDescent="0.2">
      <c r="A450" s="1">
        <v>42690</v>
      </c>
      <c r="B450" s="1" t="s">
        <v>342</v>
      </c>
      <c r="C450" s="1" t="s">
        <v>1128</v>
      </c>
      <c r="D450" s="1" t="str">
        <f t="shared" si="1"/>
        <v>2</v>
      </c>
      <c r="E450" s="1" t="s">
        <v>1129</v>
      </c>
      <c r="G450" s="1">
        <f t="array" ref="G450">IF(ISNUMBER(MATCH(42690,Camille!$A:$A,0)), IF(OR(INDEX(Camille!$D:$D,MATCH(42690,Camille!$A:$A,0))=1, INDEX(Camille!$D:$D,MATCH(42690,Camille!$A:$A,0))=2), INDEX(Camille!$D:$D,MATCH(42690,Camille!$A:$A,0)), 0), 0)</f>
        <v>2</v>
      </c>
      <c r="H450" s="1">
        <f t="array" ref="H450">IF(ISNUMBER(MATCH(42690,Telmo!$A:$A,0)), IF(OR(INDEX(Telmo!$D:$D,MATCH(42690,Telmo!$A:$A,0))=1, INDEX(Telmo!$D:$D,MATCH(42690,Telmo!$A:$A,0))=2), INDEX(Telmo!$D:$D,MATCH(42690,Telmo!$A:$A,0)), 0), 0)</f>
        <v>0</v>
      </c>
      <c r="I450" s="1">
        <f t="array" ref="I450">IF(ISNUMBER(MATCH(42690,Max!$A:$A,0)), IF(OR(INDEX(Max!$D:$D,MATCH(42690,Max!$A:$A,0))=1, INDEX(Max!$D:$D,MATCH(42690,Max!$A:$A,0))=2), INDEX(Max!$D:$D,MATCH(42690,Max!$A:$A,0)), 0), 0)</f>
        <v>0</v>
      </c>
    </row>
    <row r="451" spans="1:9" ht="15.75" customHeight="1" x14ac:dyDescent="0.2">
      <c r="A451" s="1">
        <v>62721</v>
      </c>
      <c r="B451" s="1" t="s">
        <v>132</v>
      </c>
      <c r="C451" s="1" t="s">
        <v>1130</v>
      </c>
      <c r="D451" s="1" t="str">
        <f t="shared" si="1"/>
        <v>1</v>
      </c>
      <c r="E451" s="1" t="s">
        <v>1131</v>
      </c>
      <c r="G451" s="1">
        <f t="array" ref="G451">IF(ISNUMBER(MATCH(62721,Camille!$A:$A,0)), IF(OR(INDEX(Camille!$D:$D,MATCH(62721,Camille!$A:$A,0))=1, INDEX(Camille!$D:$D,MATCH(62721,Camille!$A:$A,0))=2), INDEX(Camille!$D:$D,MATCH(62721,Camille!$A:$A,0)), 0), 0)</f>
        <v>1</v>
      </c>
      <c r="H451" s="1">
        <f t="array" ref="H451">IF(ISNUMBER(MATCH(62721,Telmo!$A:$A,0)), IF(OR(INDEX(Telmo!$D:$D,MATCH(62721,Telmo!$A:$A,0))=1, INDEX(Telmo!$D:$D,MATCH(62721,Telmo!$A:$A,0))=2), INDEX(Telmo!$D:$D,MATCH(62721,Telmo!$A:$A,0)), 0), 0)</f>
        <v>0</v>
      </c>
      <c r="I451" s="1">
        <f t="array" ref="I451">IF(ISNUMBER(MATCH(62721,Max!$A:$A,0)), IF(OR(INDEX(Max!$D:$D,MATCH(62721,Max!$A:$A,0))=1, INDEX(Max!$D:$D,MATCH(62721,Max!$A:$A,0))=2), INDEX(Max!$D:$D,MATCH(62721,Max!$A:$A,0)), 0), 0)</f>
        <v>0</v>
      </c>
    </row>
    <row r="452" spans="1:9" ht="15.75" customHeight="1" x14ac:dyDescent="0.2">
      <c r="A452" s="1">
        <v>18961</v>
      </c>
      <c r="B452" s="1" t="s">
        <v>78</v>
      </c>
      <c r="C452" s="1" t="s">
        <v>1132</v>
      </c>
      <c r="D452" s="1" t="str">
        <f t="shared" si="1"/>
        <v>1</v>
      </c>
      <c r="E452" s="1" t="s">
        <v>1133</v>
      </c>
      <c r="G452" s="1">
        <f t="array" ref="G452">IF(ISNUMBER(MATCH(18961,Camille!$A:$A,0)), IF(OR(INDEX(Camille!$D:$D,MATCH(18961,Camille!$A:$A,0))=1, INDEX(Camille!$D:$D,MATCH(18961,Camille!$A:$A,0))=2), INDEX(Camille!$D:$D,MATCH(18961,Camille!$A:$A,0)), 0), 0)</f>
        <v>1</v>
      </c>
      <c r="H452" s="1">
        <f t="array" ref="H452">IF(ISNUMBER(MATCH(18961,Telmo!$A:$A,0)), IF(OR(INDEX(Telmo!$D:$D,MATCH(18961,Telmo!$A:$A,0))=1, INDEX(Telmo!$D:$D,MATCH(18961,Telmo!$A:$A,0))=2), INDEX(Telmo!$D:$D,MATCH(18961,Telmo!$A:$A,0)), 0), 0)</f>
        <v>0</v>
      </c>
      <c r="I452" s="1">
        <f t="array" ref="I452">IF(ISNUMBER(MATCH(18961,Max!$A:$A,0)), IF(OR(INDEX(Max!$D:$D,MATCH(18961,Max!$A:$A,0))=1, INDEX(Max!$D:$D,MATCH(18961,Max!$A:$A,0))=2), INDEX(Max!$D:$D,MATCH(18961,Max!$A:$A,0)), 0), 0)</f>
        <v>0</v>
      </c>
    </row>
    <row r="453" spans="1:9" ht="15.75" customHeight="1" x14ac:dyDescent="0.2">
      <c r="A453" s="1">
        <v>43706</v>
      </c>
      <c r="B453" s="1" t="s">
        <v>457</v>
      </c>
      <c r="C453" s="1" t="s">
        <v>1134</v>
      </c>
      <c r="D453" s="1" t="str">
        <f t="shared" si="1"/>
        <v>2</v>
      </c>
      <c r="E453" s="1" t="s">
        <v>1135</v>
      </c>
      <c r="G453" s="1">
        <f t="array" ref="G453">IF(ISNUMBER(MATCH(43706,Camille!$A:$A,0)), IF(OR(INDEX(Camille!$D:$D,MATCH(43706,Camille!$A:$A,0))=1, INDEX(Camille!$D:$D,MATCH(43706,Camille!$A:$A,0))=2), INDEX(Camille!$D:$D,MATCH(43706,Camille!$A:$A,0)), 0), 0)</f>
        <v>2</v>
      </c>
      <c r="H453" s="1">
        <f t="array" ref="H453">IF(ISNUMBER(MATCH(43706,Telmo!$A:$A,0)), IF(OR(INDEX(Telmo!$D:$D,MATCH(43706,Telmo!$A:$A,0))=1, INDEX(Telmo!$D:$D,MATCH(43706,Telmo!$A:$A,0))=2), INDEX(Telmo!$D:$D,MATCH(43706,Telmo!$A:$A,0)), 0), 0)</f>
        <v>0</v>
      </c>
      <c r="I453" s="1">
        <f t="array" ref="I453">IF(ISNUMBER(MATCH(43706,Max!$A:$A,0)), IF(OR(INDEX(Max!$D:$D,MATCH(43706,Max!$A:$A,0))=1, INDEX(Max!$D:$D,MATCH(43706,Max!$A:$A,0))=2), INDEX(Max!$D:$D,MATCH(43706,Max!$A:$A,0)), 0), 0)</f>
        <v>0</v>
      </c>
    </row>
    <row r="454" spans="1:9" ht="15.75" customHeight="1" x14ac:dyDescent="0.2">
      <c r="A454" s="1">
        <v>57062</v>
      </c>
      <c r="B454" s="1" t="s">
        <v>1011</v>
      </c>
      <c r="C454" s="1" t="s">
        <v>1136</v>
      </c>
      <c r="D454" s="1" t="str">
        <f t="shared" si="1"/>
        <v>2</v>
      </c>
      <c r="E454" s="1" t="s">
        <v>1137</v>
      </c>
      <c r="G454" s="1">
        <f t="array" ref="G454">IF(ISNUMBER(MATCH(57062,Camille!$A:$A,0)), IF(OR(INDEX(Camille!$D:$D,MATCH(57062,Camille!$A:$A,0))=1, INDEX(Camille!$D:$D,MATCH(57062,Camille!$A:$A,0))=2), INDEX(Camille!$D:$D,MATCH(57062,Camille!$A:$A,0)), 0), 0)</f>
        <v>2</v>
      </c>
      <c r="H454" s="1">
        <f t="array" ref="H454">IF(ISNUMBER(MATCH(57062,Telmo!$A:$A,0)), IF(OR(INDEX(Telmo!$D:$D,MATCH(57062,Telmo!$A:$A,0))=1, INDEX(Telmo!$D:$D,MATCH(57062,Telmo!$A:$A,0))=2), INDEX(Telmo!$D:$D,MATCH(57062,Telmo!$A:$A,0)), 0), 0)</f>
        <v>0</v>
      </c>
      <c r="I454" s="1">
        <f t="array" ref="I454">IF(ISNUMBER(MATCH(57062,Max!$A:$A,0)), IF(OR(INDEX(Max!$D:$D,MATCH(57062,Max!$A:$A,0))=1, INDEX(Max!$D:$D,MATCH(57062,Max!$A:$A,0))=2), INDEX(Max!$D:$D,MATCH(57062,Max!$A:$A,0)), 0), 0)</f>
        <v>0</v>
      </c>
    </row>
    <row r="455" spans="1:9" ht="15.75" customHeight="1" x14ac:dyDescent="0.2">
      <c r="A455" s="1">
        <v>40902</v>
      </c>
      <c r="B455" s="1" t="s">
        <v>32</v>
      </c>
      <c r="C455" s="1" t="s">
        <v>1138</v>
      </c>
      <c r="D455" s="1" t="str">
        <f t="shared" si="1"/>
        <v>1</v>
      </c>
      <c r="E455" s="1" t="s">
        <v>1139</v>
      </c>
      <c r="G455" s="1">
        <f t="array" ref="G455">IF(ISNUMBER(MATCH(40902,Camille!$A:$A,0)), IF(OR(INDEX(Camille!$D:$D,MATCH(40902,Camille!$A:$A,0))=1, INDEX(Camille!$D:$D,MATCH(40902,Camille!$A:$A,0))=2), INDEX(Camille!$D:$D,MATCH(40902,Camille!$A:$A,0)), 0), 0)</f>
        <v>1</v>
      </c>
      <c r="H455" s="1">
        <f t="array" ref="H455">IF(ISNUMBER(MATCH(40902,Telmo!$A:$A,0)), IF(OR(INDEX(Telmo!$D:$D,MATCH(40902,Telmo!$A:$A,0))=1, INDEX(Telmo!$D:$D,MATCH(40902,Telmo!$A:$A,0))=2), INDEX(Telmo!$D:$D,MATCH(40902,Telmo!$A:$A,0)), 0), 0)</f>
        <v>0</v>
      </c>
      <c r="I455" s="1">
        <f t="array" ref="I455">IF(ISNUMBER(MATCH(40902,Max!$A:$A,0)), IF(OR(INDEX(Max!$D:$D,MATCH(40902,Max!$A:$A,0))=1, INDEX(Max!$D:$D,MATCH(40902,Max!$A:$A,0))=2), INDEX(Max!$D:$D,MATCH(40902,Max!$A:$A,0)), 0), 0)</f>
        <v>0</v>
      </c>
    </row>
    <row r="456" spans="1:9" ht="15.75" customHeight="1" x14ac:dyDescent="0.2">
      <c r="A456" s="1">
        <v>550</v>
      </c>
      <c r="B456" s="1" t="s">
        <v>430</v>
      </c>
      <c r="C456" s="1" t="s">
        <v>1140</v>
      </c>
      <c r="D456" s="1" t="str">
        <f t="shared" si="1"/>
        <v>2</v>
      </c>
      <c r="E456" s="1" t="s">
        <v>1141</v>
      </c>
      <c r="G456" s="1">
        <f t="array" ref="G456">IF(ISNUMBER(MATCH(550,Camille!$A:$A,0)), IF(OR(INDEX(Camille!$D:$D,MATCH(550,Camille!$A:$A,0))=1, INDEX(Camille!$D:$D,MATCH(550,Camille!$A:$A,0))=2), INDEX(Camille!$D:$D,MATCH(550,Camille!$A:$A,0)), 0), 0)</f>
        <v>2</v>
      </c>
      <c r="H456" s="1">
        <f t="array" ref="H456">IF(ISNUMBER(MATCH(550,Telmo!$A:$A,0)), IF(OR(INDEX(Telmo!$D:$D,MATCH(550,Telmo!$A:$A,0))=1, INDEX(Telmo!$D:$D,MATCH(550,Telmo!$A:$A,0))=2), INDEX(Telmo!$D:$D,MATCH(550,Telmo!$A:$A,0)), 0), 0)</f>
        <v>0</v>
      </c>
      <c r="I456" s="1">
        <f t="array" ref="I456">IF(ISNUMBER(MATCH(550,Max!$A:$A,0)), IF(OR(INDEX(Max!$D:$D,MATCH(550,Max!$A:$A,0))=1, INDEX(Max!$D:$D,MATCH(550,Max!$A:$A,0))=2), INDEX(Max!$D:$D,MATCH(550,Max!$A:$A,0)), 0), 0)</f>
        <v>0</v>
      </c>
    </row>
    <row r="457" spans="1:9" ht="15.75" customHeight="1" x14ac:dyDescent="0.2">
      <c r="A457" s="1">
        <v>47402</v>
      </c>
      <c r="B457" s="1" t="s">
        <v>430</v>
      </c>
      <c r="C457" s="1" t="s">
        <v>1142</v>
      </c>
      <c r="D457" s="1" t="str">
        <f t="shared" si="1"/>
        <v>2</v>
      </c>
      <c r="E457" s="1" t="s">
        <v>1143</v>
      </c>
      <c r="G457" s="1">
        <f t="array" ref="G457">IF(ISNUMBER(MATCH(47402,Camille!$A:$A,0)), IF(OR(INDEX(Camille!$D:$D,MATCH(47402,Camille!$A:$A,0))=1, INDEX(Camille!$D:$D,MATCH(47402,Camille!$A:$A,0))=2), INDEX(Camille!$D:$D,MATCH(47402,Camille!$A:$A,0)), 0), 0)</f>
        <v>2</v>
      </c>
      <c r="H457" s="1">
        <f t="array" ref="H457">IF(ISNUMBER(MATCH(47402,Telmo!$A:$A,0)), IF(OR(INDEX(Telmo!$D:$D,MATCH(47402,Telmo!$A:$A,0))=1, INDEX(Telmo!$D:$D,MATCH(47402,Telmo!$A:$A,0))=2), INDEX(Telmo!$D:$D,MATCH(47402,Telmo!$A:$A,0)), 0), 0)</f>
        <v>0</v>
      </c>
      <c r="I457" s="1">
        <f t="array" ref="I457">IF(ISNUMBER(MATCH(47402,Max!$A:$A,0)), IF(OR(INDEX(Max!$D:$D,MATCH(47402,Max!$A:$A,0))=1, INDEX(Max!$D:$D,MATCH(47402,Max!$A:$A,0))=2), INDEX(Max!$D:$D,MATCH(47402,Max!$A:$A,0)), 0), 0)</f>
        <v>0</v>
      </c>
    </row>
    <row r="458" spans="1:9" ht="15.75" customHeight="1" x14ac:dyDescent="0.2">
      <c r="A458" s="1">
        <v>33197</v>
      </c>
      <c r="B458" s="1" t="s">
        <v>1144</v>
      </c>
      <c r="C458" s="1" t="s">
        <v>1145</v>
      </c>
      <c r="D458" s="1" t="str">
        <f t="shared" si="1"/>
        <v>2</v>
      </c>
      <c r="E458" s="1" t="s">
        <v>1146</v>
      </c>
      <c r="G458" s="1">
        <f t="array" ref="G458">IF(ISNUMBER(MATCH(33197,Camille!$A:$A,0)), IF(OR(INDEX(Camille!$D:$D,MATCH(33197,Camille!$A:$A,0))=1, INDEX(Camille!$D:$D,MATCH(33197,Camille!$A:$A,0))=2), INDEX(Camille!$D:$D,MATCH(33197,Camille!$A:$A,0)), 0), 0)</f>
        <v>2</v>
      </c>
      <c r="H458" s="1">
        <f t="array" ref="H458">IF(ISNUMBER(MATCH(33197,Telmo!$A:$A,0)), IF(OR(INDEX(Telmo!$D:$D,MATCH(33197,Telmo!$A:$A,0))=1, INDEX(Telmo!$D:$D,MATCH(33197,Telmo!$A:$A,0))=2), INDEX(Telmo!$D:$D,MATCH(33197,Telmo!$A:$A,0)), 0), 0)</f>
        <v>0</v>
      </c>
      <c r="I458" s="1">
        <f t="array" ref="I458">IF(ISNUMBER(MATCH(33197,Max!$A:$A,0)), IF(OR(INDEX(Max!$D:$D,MATCH(33197,Max!$A:$A,0))=1, INDEX(Max!$D:$D,MATCH(33197,Max!$A:$A,0))=2), INDEX(Max!$D:$D,MATCH(33197,Max!$A:$A,0)), 0), 0)</f>
        <v>0</v>
      </c>
    </row>
    <row r="459" spans="1:9" ht="15.75" customHeight="1" x14ac:dyDescent="0.2">
      <c r="A459" s="1">
        <v>49942</v>
      </c>
      <c r="B459" s="1" t="s">
        <v>394</v>
      </c>
      <c r="C459" s="1" t="s">
        <v>1147</v>
      </c>
      <c r="D459" s="1" t="str">
        <f t="shared" si="1"/>
        <v>2</v>
      </c>
      <c r="E459" s="1" t="s">
        <v>1148</v>
      </c>
      <c r="G459" s="1">
        <f t="array" ref="G459">IF(ISNUMBER(MATCH(49942,Camille!$A:$A,0)), IF(OR(INDEX(Camille!$D:$D,MATCH(49942,Camille!$A:$A,0))=1, INDEX(Camille!$D:$D,MATCH(49942,Camille!$A:$A,0))=2), INDEX(Camille!$D:$D,MATCH(49942,Camille!$A:$A,0)), 0), 0)</f>
        <v>2</v>
      </c>
      <c r="H459" s="1">
        <f t="array" ref="H459">IF(ISNUMBER(MATCH(49942,Telmo!$A:$A,0)), IF(OR(INDEX(Telmo!$D:$D,MATCH(49942,Telmo!$A:$A,0))=1, INDEX(Telmo!$D:$D,MATCH(49942,Telmo!$A:$A,0))=2), INDEX(Telmo!$D:$D,MATCH(49942,Telmo!$A:$A,0)), 0), 0)</f>
        <v>0</v>
      </c>
      <c r="I459" s="1">
        <f t="array" ref="I459">IF(ISNUMBER(MATCH(49942,Max!$A:$A,0)), IF(OR(INDEX(Max!$D:$D,MATCH(49942,Max!$A:$A,0))=1, INDEX(Max!$D:$D,MATCH(49942,Max!$A:$A,0))=2), INDEX(Max!$D:$D,MATCH(49942,Max!$A:$A,0)), 0), 0)</f>
        <v>0</v>
      </c>
    </row>
    <row r="460" spans="1:9" ht="15.75" customHeight="1" x14ac:dyDescent="0.2">
      <c r="A460" s="1">
        <v>61601</v>
      </c>
      <c r="B460" s="1" t="s">
        <v>1149</v>
      </c>
      <c r="C460" s="1" t="s">
        <v>1150</v>
      </c>
      <c r="D460" s="1" t="str">
        <f t="shared" si="1"/>
        <v>2</v>
      </c>
      <c r="E460" s="1" t="s">
        <v>1151</v>
      </c>
      <c r="G460" s="1">
        <f t="array" ref="G460">IF(ISNUMBER(MATCH(61601,Camille!$A:$A,0)), IF(OR(INDEX(Camille!$D:$D,MATCH(61601,Camille!$A:$A,0))=1, INDEX(Camille!$D:$D,MATCH(61601,Camille!$A:$A,0))=2), INDEX(Camille!$D:$D,MATCH(61601,Camille!$A:$A,0)), 0), 0)</f>
        <v>2</v>
      </c>
      <c r="H460" s="1">
        <f t="array" ref="H460">IF(ISNUMBER(MATCH(61601,Telmo!$A:$A,0)), IF(OR(INDEX(Telmo!$D:$D,MATCH(61601,Telmo!$A:$A,0))=1, INDEX(Telmo!$D:$D,MATCH(61601,Telmo!$A:$A,0))=2), INDEX(Telmo!$D:$D,MATCH(61601,Telmo!$A:$A,0)), 0), 0)</f>
        <v>0</v>
      </c>
      <c r="I460" s="1">
        <f t="array" ref="I460">IF(ISNUMBER(MATCH(61601,Max!$A:$A,0)), IF(OR(INDEX(Max!$D:$D,MATCH(61601,Max!$A:$A,0))=1, INDEX(Max!$D:$D,MATCH(61601,Max!$A:$A,0))=2), INDEX(Max!$D:$D,MATCH(61601,Max!$A:$A,0)), 0), 0)</f>
        <v>0</v>
      </c>
    </row>
    <row r="461" spans="1:9" ht="15.75" customHeight="1" x14ac:dyDescent="0.2">
      <c r="A461" s="1">
        <v>13357</v>
      </c>
      <c r="B461" s="1" t="s">
        <v>11</v>
      </c>
      <c r="C461" s="1" t="s">
        <v>1152</v>
      </c>
      <c r="D461" s="1" t="str">
        <f t="shared" si="1"/>
        <v>2</v>
      </c>
      <c r="E461" s="1" t="s">
        <v>1153</v>
      </c>
      <c r="G461" s="1">
        <f t="array" ref="G461">IF(ISNUMBER(MATCH(13357,Camille!$A:$A,0)), IF(OR(INDEX(Camille!$D:$D,MATCH(13357,Camille!$A:$A,0))=1, INDEX(Camille!$D:$D,MATCH(13357,Camille!$A:$A,0))=2), INDEX(Camille!$D:$D,MATCH(13357,Camille!$A:$A,0)), 0), 0)</f>
        <v>2</v>
      </c>
      <c r="H461" s="1">
        <f t="array" ref="H461">IF(ISNUMBER(MATCH(13357,Telmo!$A:$A,0)), IF(OR(INDEX(Telmo!$D:$D,MATCH(13357,Telmo!$A:$A,0))=1, INDEX(Telmo!$D:$D,MATCH(13357,Telmo!$A:$A,0))=2), INDEX(Telmo!$D:$D,MATCH(13357,Telmo!$A:$A,0)), 0), 0)</f>
        <v>0</v>
      </c>
      <c r="I461" s="1">
        <f t="array" ref="I461">IF(ISNUMBER(MATCH(13357,Max!$A:$A,0)), IF(OR(INDEX(Max!$D:$D,MATCH(13357,Max!$A:$A,0))=1, INDEX(Max!$D:$D,MATCH(13357,Max!$A:$A,0))=2), INDEX(Max!$D:$D,MATCH(13357,Max!$A:$A,0)), 0), 0)</f>
        <v>0</v>
      </c>
    </row>
    <row r="462" spans="1:9" ht="15.75" customHeight="1" x14ac:dyDescent="0.2">
      <c r="A462" s="1">
        <v>24731</v>
      </c>
      <c r="B462" s="1" t="s">
        <v>254</v>
      </c>
      <c r="C462" s="1" t="s">
        <v>1154</v>
      </c>
      <c r="D462" s="1" t="str">
        <f t="shared" si="1"/>
        <v>1</v>
      </c>
      <c r="E462" s="1" t="s">
        <v>1155</v>
      </c>
      <c r="G462" s="1">
        <f t="array" ref="G462">IF(ISNUMBER(MATCH(24731,Camille!$A:$A,0)), IF(OR(INDEX(Camille!$D:$D,MATCH(24731,Camille!$A:$A,0))=1, INDEX(Camille!$D:$D,MATCH(24731,Camille!$A:$A,0))=2), INDEX(Camille!$D:$D,MATCH(24731,Camille!$A:$A,0)), 0), 0)</f>
        <v>1</v>
      </c>
      <c r="H462" s="1">
        <f t="array" ref="H462">IF(ISNUMBER(MATCH(24731,Telmo!$A:$A,0)), IF(OR(INDEX(Telmo!$D:$D,MATCH(24731,Telmo!$A:$A,0))=1, INDEX(Telmo!$D:$D,MATCH(24731,Telmo!$A:$A,0))=2), INDEX(Telmo!$D:$D,MATCH(24731,Telmo!$A:$A,0)), 0), 0)</f>
        <v>0</v>
      </c>
      <c r="I462" s="1">
        <f t="array" ref="I462">IF(ISNUMBER(MATCH(24731,Max!$A:$A,0)), IF(OR(INDEX(Max!$D:$D,MATCH(24731,Max!$A:$A,0))=1, INDEX(Max!$D:$D,MATCH(24731,Max!$A:$A,0))=2), INDEX(Max!$D:$D,MATCH(24731,Max!$A:$A,0)), 0), 0)</f>
        <v>0</v>
      </c>
    </row>
    <row r="463" spans="1:9" ht="15.75" customHeight="1" x14ac:dyDescent="0.2">
      <c r="A463" s="1">
        <v>63122</v>
      </c>
      <c r="B463" s="1" t="s">
        <v>1156</v>
      </c>
      <c r="C463" s="1" t="s">
        <v>1157</v>
      </c>
      <c r="D463" s="1" t="str">
        <f t="shared" si="1"/>
        <v>2</v>
      </c>
      <c r="E463" s="1" t="s">
        <v>1158</v>
      </c>
      <c r="G463" s="1">
        <f t="array" ref="G463">IF(ISNUMBER(MATCH(63122,Camille!$A:$A,0)), IF(OR(INDEX(Camille!$D:$D,MATCH(63122,Camille!$A:$A,0))=1, INDEX(Camille!$D:$D,MATCH(63122,Camille!$A:$A,0))=2), INDEX(Camille!$D:$D,MATCH(63122,Camille!$A:$A,0)), 0), 0)</f>
        <v>2</v>
      </c>
      <c r="H463" s="1">
        <f t="array" ref="H463">IF(ISNUMBER(MATCH(63122,Telmo!$A:$A,0)), IF(OR(INDEX(Telmo!$D:$D,MATCH(63122,Telmo!$A:$A,0))=1, INDEX(Telmo!$D:$D,MATCH(63122,Telmo!$A:$A,0))=2), INDEX(Telmo!$D:$D,MATCH(63122,Telmo!$A:$A,0)), 0), 0)</f>
        <v>0</v>
      </c>
      <c r="I463" s="1">
        <f t="array" ref="I463">IF(ISNUMBER(MATCH(63122,Max!$A:$A,0)), IF(OR(INDEX(Max!$D:$D,MATCH(63122,Max!$A:$A,0))=1, INDEX(Max!$D:$D,MATCH(63122,Max!$A:$A,0))=2), INDEX(Max!$D:$D,MATCH(63122,Max!$A:$A,0)), 0), 0)</f>
        <v>0</v>
      </c>
    </row>
    <row r="464" spans="1:9" ht="15.75" customHeight="1" x14ac:dyDescent="0.2">
      <c r="A464" s="1">
        <v>40133</v>
      </c>
      <c r="B464" s="1" t="s">
        <v>153</v>
      </c>
      <c r="C464" s="1" t="s">
        <v>1159</v>
      </c>
      <c r="D464" s="1" t="str">
        <f t="shared" si="1"/>
        <v>2</v>
      </c>
      <c r="E464" s="1" t="s">
        <v>1160</v>
      </c>
      <c r="G464" s="1">
        <f t="array" ref="G464">IF(ISNUMBER(MATCH(40133,Camille!$A:$A,0)), IF(OR(INDEX(Camille!$D:$D,MATCH(40133,Camille!$A:$A,0))=1, INDEX(Camille!$D:$D,MATCH(40133,Camille!$A:$A,0))=2), INDEX(Camille!$D:$D,MATCH(40133,Camille!$A:$A,0)), 0), 0)</f>
        <v>2</v>
      </c>
      <c r="H464" s="1">
        <f t="array" ref="H464">IF(ISNUMBER(MATCH(40133,Telmo!$A:$A,0)), IF(OR(INDEX(Telmo!$D:$D,MATCH(40133,Telmo!$A:$A,0))=1, INDEX(Telmo!$D:$D,MATCH(40133,Telmo!$A:$A,0))=2), INDEX(Telmo!$D:$D,MATCH(40133,Telmo!$A:$A,0)), 0), 0)</f>
        <v>0</v>
      </c>
      <c r="I464" s="1">
        <f t="array" ref="I464">IF(ISNUMBER(MATCH(40133,Max!$A:$A,0)), IF(OR(INDEX(Max!$D:$D,MATCH(40133,Max!$A:$A,0))=1, INDEX(Max!$D:$D,MATCH(40133,Max!$A:$A,0))=2), INDEX(Max!$D:$D,MATCH(40133,Max!$A:$A,0)), 0), 0)</f>
        <v>0</v>
      </c>
    </row>
    <row r="465" spans="1:9" ht="15.75" customHeight="1" x14ac:dyDescent="0.2">
      <c r="A465" s="1">
        <v>23980</v>
      </c>
      <c r="B465" s="1" t="s">
        <v>135</v>
      </c>
      <c r="C465" s="1" t="s">
        <v>1161</v>
      </c>
      <c r="D465" s="1" t="str">
        <f t="shared" si="1"/>
        <v>2</v>
      </c>
      <c r="E465" s="1" t="s">
        <v>1162</v>
      </c>
      <c r="G465" s="1">
        <f t="array" ref="G465">IF(ISNUMBER(MATCH(23980,Camille!$A:$A,0)), IF(OR(INDEX(Camille!$D:$D,MATCH(23980,Camille!$A:$A,0))=1, INDEX(Camille!$D:$D,MATCH(23980,Camille!$A:$A,0))=2), INDEX(Camille!$D:$D,MATCH(23980,Camille!$A:$A,0)), 0), 0)</f>
        <v>2</v>
      </c>
      <c r="H465" s="1">
        <f t="array" ref="H465">IF(ISNUMBER(MATCH(23980,Telmo!$A:$A,0)), IF(OR(INDEX(Telmo!$D:$D,MATCH(23980,Telmo!$A:$A,0))=1, INDEX(Telmo!$D:$D,MATCH(23980,Telmo!$A:$A,0))=2), INDEX(Telmo!$D:$D,MATCH(23980,Telmo!$A:$A,0)), 0), 0)</f>
        <v>0</v>
      </c>
      <c r="I465" s="1">
        <f t="array" ref="I465">IF(ISNUMBER(MATCH(23980,Max!$A:$A,0)), IF(OR(INDEX(Max!$D:$D,MATCH(23980,Max!$A:$A,0))=1, INDEX(Max!$D:$D,MATCH(23980,Max!$A:$A,0))=2), INDEX(Max!$D:$D,MATCH(23980,Max!$A:$A,0)), 0), 0)</f>
        <v>0</v>
      </c>
    </row>
    <row r="466" spans="1:9" ht="15.75" customHeight="1" x14ac:dyDescent="0.2">
      <c r="A466" s="1">
        <v>23322</v>
      </c>
      <c r="B466" s="1" t="s">
        <v>315</v>
      </c>
      <c r="C466" s="1" t="s">
        <v>1163</v>
      </c>
      <c r="D466" s="1" t="str">
        <f t="shared" si="1"/>
        <v>2</v>
      </c>
      <c r="E466" s="1" t="s">
        <v>1164</v>
      </c>
      <c r="G466" s="1">
        <f t="array" ref="G466">IF(ISNUMBER(MATCH(23322,Camille!$A:$A,0)), IF(OR(INDEX(Camille!$D:$D,MATCH(23322,Camille!$A:$A,0))=1, INDEX(Camille!$D:$D,MATCH(23322,Camille!$A:$A,0))=2), INDEX(Camille!$D:$D,MATCH(23322,Camille!$A:$A,0)), 0), 0)</f>
        <v>2</v>
      </c>
      <c r="H466" s="1">
        <f t="array" ref="H466">IF(ISNUMBER(MATCH(23322,Telmo!$A:$A,0)), IF(OR(INDEX(Telmo!$D:$D,MATCH(23322,Telmo!$A:$A,0))=1, INDEX(Telmo!$D:$D,MATCH(23322,Telmo!$A:$A,0))=2), INDEX(Telmo!$D:$D,MATCH(23322,Telmo!$A:$A,0)), 0), 0)</f>
        <v>0</v>
      </c>
      <c r="I466" s="1">
        <f t="array" ref="I466">IF(ISNUMBER(MATCH(23322,Max!$A:$A,0)), IF(OR(INDEX(Max!$D:$D,MATCH(23322,Max!$A:$A,0))=1, INDEX(Max!$D:$D,MATCH(23322,Max!$A:$A,0))=2), INDEX(Max!$D:$D,MATCH(23322,Max!$A:$A,0)), 0), 0)</f>
        <v>0</v>
      </c>
    </row>
    <row r="467" spans="1:9" ht="15.75" customHeight="1" x14ac:dyDescent="0.2">
      <c r="A467" s="1">
        <v>68773</v>
      </c>
      <c r="B467" s="1" t="s">
        <v>298</v>
      </c>
      <c r="C467" s="1" t="s">
        <v>1165</v>
      </c>
      <c r="D467" s="1" t="str">
        <f t="shared" si="1"/>
        <v>2</v>
      </c>
      <c r="E467" s="1" t="s">
        <v>1166</v>
      </c>
      <c r="G467" s="1">
        <f t="array" ref="G467">IF(ISNUMBER(MATCH(68773,Camille!$A:$A,0)), IF(OR(INDEX(Camille!$D:$D,MATCH(68773,Camille!$A:$A,0))=1, INDEX(Camille!$D:$D,MATCH(68773,Camille!$A:$A,0))=2), INDEX(Camille!$D:$D,MATCH(68773,Camille!$A:$A,0)), 0), 0)</f>
        <v>2</v>
      </c>
      <c r="H467" s="1">
        <f t="array" ref="H467">IF(ISNUMBER(MATCH(68773,Telmo!$A:$A,0)), IF(OR(INDEX(Telmo!$D:$D,MATCH(68773,Telmo!$A:$A,0))=1, INDEX(Telmo!$D:$D,MATCH(68773,Telmo!$A:$A,0))=2), INDEX(Telmo!$D:$D,MATCH(68773,Telmo!$A:$A,0)), 0), 0)</f>
        <v>0</v>
      </c>
      <c r="I467" s="1">
        <f t="array" ref="I467">IF(ISNUMBER(MATCH(68773,Max!$A:$A,0)), IF(OR(INDEX(Max!$D:$D,MATCH(68773,Max!$A:$A,0))=1, INDEX(Max!$D:$D,MATCH(68773,Max!$A:$A,0))=2), INDEX(Max!$D:$D,MATCH(68773,Max!$A:$A,0)), 0), 0)</f>
        <v>0</v>
      </c>
    </row>
    <row r="468" spans="1:9" ht="15.75" customHeight="1" x14ac:dyDescent="0.2">
      <c r="A468" s="1">
        <v>23981</v>
      </c>
      <c r="B468" s="1" t="s">
        <v>1167</v>
      </c>
      <c r="C468" s="1" t="s">
        <v>1168</v>
      </c>
      <c r="D468" s="1" t="str">
        <f t="shared" si="1"/>
        <v>2</v>
      </c>
      <c r="E468" s="1" t="s">
        <v>1169</v>
      </c>
      <c r="G468" s="1">
        <f t="array" ref="G468">IF(ISNUMBER(MATCH(23981,Camille!$A:$A,0)), IF(OR(INDEX(Camille!$D:$D,MATCH(23981,Camille!$A:$A,0))=1, INDEX(Camille!$D:$D,MATCH(23981,Camille!$A:$A,0))=2), INDEX(Camille!$D:$D,MATCH(23981,Camille!$A:$A,0)), 0), 0)</f>
        <v>2</v>
      </c>
      <c r="H468" s="1">
        <f t="array" ref="H468">IF(ISNUMBER(MATCH(23981,Telmo!$A:$A,0)), IF(OR(INDEX(Telmo!$D:$D,MATCH(23981,Telmo!$A:$A,0))=1, INDEX(Telmo!$D:$D,MATCH(23981,Telmo!$A:$A,0))=2), INDEX(Telmo!$D:$D,MATCH(23981,Telmo!$A:$A,0)), 0), 0)</f>
        <v>0</v>
      </c>
      <c r="I468" s="1">
        <f t="array" ref="I468">IF(ISNUMBER(MATCH(23981,Max!$A:$A,0)), IF(OR(INDEX(Max!$D:$D,MATCH(23981,Max!$A:$A,0))=1, INDEX(Max!$D:$D,MATCH(23981,Max!$A:$A,0))=2), INDEX(Max!$D:$D,MATCH(23981,Max!$A:$A,0)), 0), 0)</f>
        <v>0</v>
      </c>
    </row>
    <row r="469" spans="1:9" ht="15.75" customHeight="1" x14ac:dyDescent="0.2">
      <c r="A469" s="1">
        <v>22083</v>
      </c>
      <c r="B469" s="1" t="s">
        <v>191</v>
      </c>
      <c r="C469" s="1" t="s">
        <v>1170</v>
      </c>
      <c r="D469" s="1" t="str">
        <f t="shared" si="1"/>
        <v>1</v>
      </c>
      <c r="E469" s="1" t="s">
        <v>1171</v>
      </c>
      <c r="G469" s="1">
        <f t="array" ref="G469">IF(ISNUMBER(MATCH(22083,Camille!$A:$A,0)), IF(OR(INDEX(Camille!$D:$D,MATCH(22083,Camille!$A:$A,0))=1, INDEX(Camille!$D:$D,MATCH(22083,Camille!$A:$A,0))=2), INDEX(Camille!$D:$D,MATCH(22083,Camille!$A:$A,0)), 0), 0)</f>
        <v>1</v>
      </c>
      <c r="H469" s="1">
        <f t="array" ref="H469">IF(ISNUMBER(MATCH(22083,Telmo!$A:$A,0)), IF(OR(INDEX(Telmo!$D:$D,MATCH(22083,Telmo!$A:$A,0))=1, INDEX(Telmo!$D:$D,MATCH(22083,Telmo!$A:$A,0))=2), INDEX(Telmo!$D:$D,MATCH(22083,Telmo!$A:$A,0)), 0), 0)</f>
        <v>0</v>
      </c>
      <c r="I469" s="1">
        <f t="array" ref="I469">IF(ISNUMBER(MATCH(22083,Max!$A:$A,0)), IF(OR(INDEX(Max!$D:$D,MATCH(22083,Max!$A:$A,0))=1, INDEX(Max!$D:$D,MATCH(22083,Max!$A:$A,0))=2), INDEX(Max!$D:$D,MATCH(22083,Max!$A:$A,0)), 0), 0)</f>
        <v>0</v>
      </c>
    </row>
    <row r="470" spans="1:9" ht="15.75" customHeight="1" x14ac:dyDescent="0.2">
      <c r="A470" s="1">
        <v>28984</v>
      </c>
      <c r="B470" s="1" t="s">
        <v>1172</v>
      </c>
      <c r="C470" s="1" t="s">
        <v>1173</v>
      </c>
      <c r="D470" s="1" t="str">
        <f t="shared" si="1"/>
        <v>2</v>
      </c>
      <c r="E470" s="1" t="s">
        <v>1174</v>
      </c>
      <c r="G470" s="1">
        <f t="array" ref="G470">IF(ISNUMBER(MATCH(28984,Camille!$A:$A,0)), IF(OR(INDEX(Camille!$D:$D,MATCH(28984,Camille!$A:$A,0))=1, INDEX(Camille!$D:$D,MATCH(28984,Camille!$A:$A,0))=2), INDEX(Camille!$D:$D,MATCH(28984,Camille!$A:$A,0)), 0), 0)</f>
        <v>2</v>
      </c>
      <c r="H470" s="1">
        <f t="array" ref="H470">IF(ISNUMBER(MATCH(28984,Telmo!$A:$A,0)), IF(OR(INDEX(Telmo!$D:$D,MATCH(28984,Telmo!$A:$A,0))=1, INDEX(Telmo!$D:$D,MATCH(28984,Telmo!$A:$A,0))=2), INDEX(Telmo!$D:$D,MATCH(28984,Telmo!$A:$A,0)), 0), 0)</f>
        <v>0</v>
      </c>
      <c r="I470" s="1">
        <f t="array" ref="I470">IF(ISNUMBER(MATCH(28984,Max!$A:$A,0)), IF(OR(INDEX(Max!$D:$D,MATCH(28984,Max!$A:$A,0))=1, INDEX(Max!$D:$D,MATCH(28984,Max!$A:$A,0))=2), INDEX(Max!$D:$D,MATCH(28984,Max!$A:$A,0)), 0), 0)</f>
        <v>0</v>
      </c>
    </row>
    <row r="471" spans="1:9" ht="15.75" customHeight="1" x14ac:dyDescent="0.2">
      <c r="A471" s="1">
        <v>1787</v>
      </c>
      <c r="B471" s="1" t="s">
        <v>1175</v>
      </c>
      <c r="C471" s="1" t="s">
        <v>1176</v>
      </c>
      <c r="D471" s="1" t="str">
        <f t="shared" si="1"/>
        <v>2</v>
      </c>
      <c r="E471" s="1" t="s">
        <v>1177</v>
      </c>
      <c r="G471" s="1">
        <f t="array" ref="G471">IF(ISNUMBER(MATCH(1787,Camille!$A:$A,0)), IF(OR(INDEX(Camille!$D:$D,MATCH(1787,Camille!$A:$A,0))=1, INDEX(Camille!$D:$D,MATCH(1787,Camille!$A:$A,0))=2), INDEX(Camille!$D:$D,MATCH(1787,Camille!$A:$A,0)), 0), 0)</f>
        <v>2</v>
      </c>
      <c r="H471" s="1">
        <f t="array" ref="H471">IF(ISNUMBER(MATCH(1787,Telmo!$A:$A,0)), IF(OR(INDEX(Telmo!$D:$D,MATCH(1787,Telmo!$A:$A,0))=1, INDEX(Telmo!$D:$D,MATCH(1787,Telmo!$A:$A,0))=2), INDEX(Telmo!$D:$D,MATCH(1787,Telmo!$A:$A,0)), 0), 0)</f>
        <v>0</v>
      </c>
      <c r="I471" s="1">
        <f t="array" ref="I471">IF(ISNUMBER(MATCH(1787,Max!$A:$A,0)), IF(OR(INDEX(Max!$D:$D,MATCH(1787,Max!$A:$A,0))=1, INDEX(Max!$D:$D,MATCH(1787,Max!$A:$A,0))=2), INDEX(Max!$D:$D,MATCH(1787,Max!$A:$A,0)), 0), 0)</f>
        <v>0</v>
      </c>
    </row>
    <row r="472" spans="1:9" ht="15.75" customHeight="1" x14ac:dyDescent="0.2">
      <c r="A472" s="1">
        <v>2626</v>
      </c>
      <c r="B472" s="1" t="s">
        <v>87</v>
      </c>
      <c r="C472" s="1" t="s">
        <v>1178</v>
      </c>
      <c r="D472" s="1" t="str">
        <f t="shared" si="1"/>
        <v>2</v>
      </c>
      <c r="E472" s="1" t="s">
        <v>1179</v>
      </c>
      <c r="G472" s="1">
        <f t="array" ref="G472">IF(ISNUMBER(MATCH(2626,Camille!$A:$A,0)), IF(OR(INDEX(Camille!$D:$D,MATCH(2626,Camille!$A:$A,0))=1, INDEX(Camille!$D:$D,MATCH(2626,Camille!$A:$A,0))=2), INDEX(Camille!$D:$D,MATCH(2626,Camille!$A:$A,0)), 0), 0)</f>
        <v>2</v>
      </c>
      <c r="H472" s="1">
        <f t="array" ref="H472">IF(ISNUMBER(MATCH(2626,Telmo!$A:$A,0)), IF(OR(INDEX(Telmo!$D:$D,MATCH(2626,Telmo!$A:$A,0))=1, INDEX(Telmo!$D:$D,MATCH(2626,Telmo!$A:$A,0))=2), INDEX(Telmo!$D:$D,MATCH(2626,Telmo!$A:$A,0)), 0), 0)</f>
        <v>0</v>
      </c>
      <c r="I472" s="1">
        <f t="array" ref="I472">IF(ISNUMBER(MATCH(2626,Max!$A:$A,0)), IF(OR(INDEX(Max!$D:$D,MATCH(2626,Max!$A:$A,0))=1, INDEX(Max!$D:$D,MATCH(2626,Max!$A:$A,0))=2), INDEX(Max!$D:$D,MATCH(2626,Max!$A:$A,0)), 0), 0)</f>
        <v>0</v>
      </c>
    </row>
    <row r="473" spans="1:9" ht="15.75" customHeight="1" x14ac:dyDescent="0.2">
      <c r="A473" s="1">
        <v>33924</v>
      </c>
      <c r="B473" s="1" t="s">
        <v>1180</v>
      </c>
      <c r="C473" s="1" t="s">
        <v>1181</v>
      </c>
      <c r="D473" s="1" t="str">
        <f t="shared" si="1"/>
        <v>2</v>
      </c>
      <c r="E473" s="1" t="s">
        <v>1182</v>
      </c>
      <c r="G473" s="1">
        <f t="array" ref="G473">IF(ISNUMBER(MATCH(33924,Camille!$A:$A,0)), IF(OR(INDEX(Camille!$D:$D,MATCH(33924,Camille!$A:$A,0))=1, INDEX(Camille!$D:$D,MATCH(33924,Camille!$A:$A,0))=2), INDEX(Camille!$D:$D,MATCH(33924,Camille!$A:$A,0)), 0), 0)</f>
        <v>2</v>
      </c>
      <c r="H473" s="1">
        <f t="array" ref="H473">IF(ISNUMBER(MATCH(33924,Telmo!$A:$A,0)), IF(OR(INDEX(Telmo!$D:$D,MATCH(33924,Telmo!$A:$A,0))=1, INDEX(Telmo!$D:$D,MATCH(33924,Telmo!$A:$A,0))=2), INDEX(Telmo!$D:$D,MATCH(33924,Telmo!$A:$A,0)), 0), 0)</f>
        <v>0</v>
      </c>
      <c r="I473" s="1">
        <f t="array" ref="I473">IF(ISNUMBER(MATCH(33924,Max!$A:$A,0)), IF(OR(INDEX(Max!$D:$D,MATCH(33924,Max!$A:$A,0))=1, INDEX(Max!$D:$D,MATCH(33924,Max!$A:$A,0))=2), INDEX(Max!$D:$D,MATCH(33924,Max!$A:$A,0)), 0), 0)</f>
        <v>0</v>
      </c>
    </row>
    <row r="474" spans="1:9" ht="15.75" customHeight="1" x14ac:dyDescent="0.2">
      <c r="A474" s="1">
        <v>640</v>
      </c>
      <c r="B474" s="1" t="s">
        <v>490</v>
      </c>
      <c r="C474" s="1" t="s">
        <v>1183</v>
      </c>
      <c r="D474" s="1" t="str">
        <f t="shared" si="1"/>
        <v>2</v>
      </c>
      <c r="E474" s="1" t="s">
        <v>1184</v>
      </c>
      <c r="G474" s="1">
        <f t="array" ref="G474">IF(ISNUMBER(MATCH(640,Camille!$A:$A,0)), IF(OR(INDEX(Camille!$D:$D,MATCH(640,Camille!$A:$A,0))=1, INDEX(Camille!$D:$D,MATCH(640,Camille!$A:$A,0))=2), INDEX(Camille!$D:$D,MATCH(640,Camille!$A:$A,0)), 0), 0)</f>
        <v>2</v>
      </c>
      <c r="H474" s="1">
        <f t="array" ref="H474">IF(ISNUMBER(MATCH(640,Telmo!$A:$A,0)), IF(OR(INDEX(Telmo!$D:$D,MATCH(640,Telmo!$A:$A,0))=1, INDEX(Telmo!$D:$D,MATCH(640,Telmo!$A:$A,0))=2), INDEX(Telmo!$D:$D,MATCH(640,Telmo!$A:$A,0)), 0), 0)</f>
        <v>0</v>
      </c>
      <c r="I474" s="1">
        <f t="array" ref="I474">IF(ISNUMBER(MATCH(640,Max!$A:$A,0)), IF(OR(INDEX(Max!$D:$D,MATCH(640,Max!$A:$A,0))=1, INDEX(Max!$D:$D,MATCH(640,Max!$A:$A,0))=2), INDEX(Max!$D:$D,MATCH(640,Max!$A:$A,0)), 0), 0)</f>
        <v>0</v>
      </c>
    </row>
    <row r="475" spans="1:9" ht="15.75" customHeight="1" x14ac:dyDescent="0.2">
      <c r="A475" s="1">
        <v>58728</v>
      </c>
      <c r="B475" s="1" t="s">
        <v>14</v>
      </c>
      <c r="C475" s="1" t="s">
        <v>1185</v>
      </c>
      <c r="D475" s="1" t="str">
        <f t="shared" si="1"/>
        <v>2</v>
      </c>
      <c r="E475" s="1" t="s">
        <v>1186</v>
      </c>
      <c r="G475" s="1">
        <f t="array" ref="G475">IF(ISNUMBER(MATCH(58728,Camille!$A:$A,0)), IF(OR(INDEX(Camille!$D:$D,MATCH(58728,Camille!$A:$A,0))=1, INDEX(Camille!$D:$D,MATCH(58728,Camille!$A:$A,0))=2), INDEX(Camille!$D:$D,MATCH(58728,Camille!$A:$A,0)), 0), 0)</f>
        <v>2</v>
      </c>
      <c r="H475" s="1">
        <f t="array" ref="H475">IF(ISNUMBER(MATCH(58728,Telmo!$A:$A,0)), IF(OR(INDEX(Telmo!$D:$D,MATCH(58728,Telmo!$A:$A,0))=1, INDEX(Telmo!$D:$D,MATCH(58728,Telmo!$A:$A,0))=2), INDEX(Telmo!$D:$D,MATCH(58728,Telmo!$A:$A,0)), 0), 0)</f>
        <v>0</v>
      </c>
      <c r="I475" s="1">
        <f t="array" ref="I475">IF(ISNUMBER(MATCH(58728,Max!$A:$A,0)), IF(OR(INDEX(Max!$D:$D,MATCH(58728,Max!$A:$A,0))=1, INDEX(Max!$D:$D,MATCH(58728,Max!$A:$A,0))=2), INDEX(Max!$D:$D,MATCH(58728,Max!$A:$A,0)), 0), 0)</f>
        <v>0</v>
      </c>
    </row>
    <row r="476" spans="1:9" ht="15.75" customHeight="1" x14ac:dyDescent="0.2">
      <c r="A476" s="1">
        <v>57297</v>
      </c>
      <c r="B476" s="1" t="s">
        <v>32</v>
      </c>
      <c r="C476" s="1" t="s">
        <v>1187</v>
      </c>
      <c r="D476" s="1" t="str">
        <f t="shared" si="1"/>
        <v>1</v>
      </c>
      <c r="E476" s="1" t="s">
        <v>1188</v>
      </c>
      <c r="G476" s="1">
        <f t="array" ref="G476">IF(ISNUMBER(MATCH(57297,Camille!$A:$A,0)), IF(OR(INDEX(Camille!$D:$D,MATCH(57297,Camille!$A:$A,0))=1, INDEX(Camille!$D:$D,MATCH(57297,Camille!$A:$A,0))=2), INDEX(Camille!$D:$D,MATCH(57297,Camille!$A:$A,0)), 0), 0)</f>
        <v>1</v>
      </c>
      <c r="H476" s="1">
        <f t="array" ref="H476">IF(ISNUMBER(MATCH(57297,Telmo!$A:$A,0)), IF(OR(INDEX(Telmo!$D:$D,MATCH(57297,Telmo!$A:$A,0))=1, INDEX(Telmo!$D:$D,MATCH(57297,Telmo!$A:$A,0))=2), INDEX(Telmo!$D:$D,MATCH(57297,Telmo!$A:$A,0)), 0), 0)</f>
        <v>0</v>
      </c>
      <c r="I476" s="1">
        <f t="array" ref="I476">IF(ISNUMBER(MATCH(57297,Max!$A:$A,0)), IF(OR(INDEX(Max!$D:$D,MATCH(57297,Max!$A:$A,0))=1, INDEX(Max!$D:$D,MATCH(57297,Max!$A:$A,0))=2), INDEX(Max!$D:$D,MATCH(57297,Max!$A:$A,0)), 0), 0)</f>
        <v>0</v>
      </c>
    </row>
    <row r="477" spans="1:9" ht="15.75" customHeight="1" x14ac:dyDescent="0.2">
      <c r="A477" s="1">
        <v>22955</v>
      </c>
      <c r="B477" s="1" t="s">
        <v>1189</v>
      </c>
      <c r="C477" s="1" t="s">
        <v>1190</v>
      </c>
      <c r="D477" s="1" t="str">
        <f t="shared" si="1"/>
        <v>2</v>
      </c>
      <c r="E477" s="1" t="s">
        <v>1191</v>
      </c>
      <c r="G477" s="1">
        <f t="array" ref="G477">IF(ISNUMBER(MATCH(22955,Camille!$A:$A,0)), IF(OR(INDEX(Camille!$D:$D,MATCH(22955,Camille!$A:$A,0))=1, INDEX(Camille!$D:$D,MATCH(22955,Camille!$A:$A,0))=2), INDEX(Camille!$D:$D,MATCH(22955,Camille!$A:$A,0)), 0), 0)</f>
        <v>2</v>
      </c>
      <c r="H477" s="1">
        <f t="array" ref="H477">IF(ISNUMBER(MATCH(22955,Telmo!$A:$A,0)), IF(OR(INDEX(Telmo!$D:$D,MATCH(22955,Telmo!$A:$A,0))=1, INDEX(Telmo!$D:$D,MATCH(22955,Telmo!$A:$A,0))=2), INDEX(Telmo!$D:$D,MATCH(22955,Telmo!$A:$A,0)), 0), 0)</f>
        <v>0</v>
      </c>
      <c r="I477" s="1">
        <f t="array" ref="I477">IF(ISNUMBER(MATCH(22955,Max!$A:$A,0)), IF(OR(INDEX(Max!$D:$D,MATCH(22955,Max!$A:$A,0))=1, INDEX(Max!$D:$D,MATCH(22955,Max!$A:$A,0))=2), INDEX(Max!$D:$D,MATCH(22955,Max!$A:$A,0)), 0), 0)</f>
        <v>0</v>
      </c>
    </row>
    <row r="478" spans="1:9" ht="15.75" customHeight="1" x14ac:dyDescent="0.2">
      <c r="A478" s="1">
        <v>68874</v>
      </c>
      <c r="B478" s="1" t="s">
        <v>1175</v>
      </c>
      <c r="C478" s="1" t="s">
        <v>1192</v>
      </c>
      <c r="D478" s="1" t="str">
        <f t="shared" si="1"/>
        <v>1</v>
      </c>
      <c r="E478" s="1" t="s">
        <v>1193</v>
      </c>
      <c r="G478" s="1">
        <f t="array" ref="G478">IF(ISNUMBER(MATCH(68874,Camille!$A:$A,0)), IF(OR(INDEX(Camille!$D:$D,MATCH(68874,Camille!$A:$A,0))=1, INDEX(Camille!$D:$D,MATCH(68874,Camille!$A:$A,0))=2), INDEX(Camille!$D:$D,MATCH(68874,Camille!$A:$A,0)), 0), 0)</f>
        <v>1</v>
      </c>
      <c r="H478" s="1">
        <f t="array" ref="H478">IF(ISNUMBER(MATCH(68874,Telmo!$A:$A,0)), IF(OR(INDEX(Telmo!$D:$D,MATCH(68874,Telmo!$A:$A,0))=1, INDEX(Telmo!$D:$D,MATCH(68874,Telmo!$A:$A,0))=2), INDEX(Telmo!$D:$D,MATCH(68874,Telmo!$A:$A,0)), 0), 0)</f>
        <v>0</v>
      </c>
      <c r="I478" s="1">
        <f t="array" ref="I478">IF(ISNUMBER(MATCH(68874,Max!$A:$A,0)), IF(OR(INDEX(Max!$D:$D,MATCH(68874,Max!$A:$A,0))=1, INDEX(Max!$D:$D,MATCH(68874,Max!$A:$A,0))=2), INDEX(Max!$D:$D,MATCH(68874,Max!$A:$A,0)), 0), 0)</f>
        <v>0</v>
      </c>
    </row>
    <row r="479" spans="1:9" ht="15.75" customHeight="1" x14ac:dyDescent="0.2">
      <c r="A479" s="1">
        <v>45433</v>
      </c>
      <c r="B479" s="1" t="s">
        <v>17</v>
      </c>
      <c r="C479" s="1" t="s">
        <v>1194</v>
      </c>
      <c r="D479" s="1" t="str">
        <f t="shared" si="1"/>
        <v>2</v>
      </c>
      <c r="E479" s="1" t="s">
        <v>1195</v>
      </c>
      <c r="G479" s="1">
        <f t="array" ref="G479">IF(ISNUMBER(MATCH(45433,Camille!$A:$A,0)), IF(OR(INDEX(Camille!$D:$D,MATCH(45433,Camille!$A:$A,0))=1, INDEX(Camille!$D:$D,MATCH(45433,Camille!$A:$A,0))=2), INDEX(Camille!$D:$D,MATCH(45433,Camille!$A:$A,0)), 0), 0)</f>
        <v>2</v>
      </c>
      <c r="H479" s="1">
        <f t="array" ref="H479">IF(ISNUMBER(MATCH(45433,Telmo!$A:$A,0)), IF(OR(INDEX(Telmo!$D:$D,MATCH(45433,Telmo!$A:$A,0))=1, INDEX(Telmo!$D:$D,MATCH(45433,Telmo!$A:$A,0))=2), INDEX(Telmo!$D:$D,MATCH(45433,Telmo!$A:$A,0)), 0), 0)</f>
        <v>0</v>
      </c>
      <c r="I479" s="1">
        <f t="array" ref="I479">IF(ISNUMBER(MATCH(45433,Max!$A:$A,0)), IF(OR(INDEX(Max!$D:$D,MATCH(45433,Max!$A:$A,0))=1, INDEX(Max!$D:$D,MATCH(45433,Max!$A:$A,0))=2), INDEX(Max!$D:$D,MATCH(45433,Max!$A:$A,0)), 0), 0)</f>
        <v>0</v>
      </c>
    </row>
    <row r="480" spans="1:9" ht="15.75" customHeight="1" x14ac:dyDescent="0.2">
      <c r="A480" s="1">
        <v>57002</v>
      </c>
      <c r="B480" s="1" t="s">
        <v>1196</v>
      </c>
      <c r="C480" s="1" t="s">
        <v>1197</v>
      </c>
      <c r="D480" s="1" t="str">
        <f t="shared" si="1"/>
        <v>1</v>
      </c>
      <c r="E480" s="1" t="s">
        <v>1198</v>
      </c>
      <c r="G480" s="1">
        <f t="array" ref="G480">IF(ISNUMBER(MATCH(57002,Camille!$A:$A,0)), IF(OR(INDEX(Camille!$D:$D,MATCH(57002,Camille!$A:$A,0))=1, INDEX(Camille!$D:$D,MATCH(57002,Camille!$A:$A,0))=2), INDEX(Camille!$D:$D,MATCH(57002,Camille!$A:$A,0)), 0), 0)</f>
        <v>1</v>
      </c>
      <c r="H480" s="1">
        <f t="array" ref="H480">IF(ISNUMBER(MATCH(57002,Telmo!$A:$A,0)), IF(OR(INDEX(Telmo!$D:$D,MATCH(57002,Telmo!$A:$A,0))=1, INDEX(Telmo!$D:$D,MATCH(57002,Telmo!$A:$A,0))=2), INDEX(Telmo!$D:$D,MATCH(57002,Telmo!$A:$A,0)), 0), 0)</f>
        <v>0</v>
      </c>
      <c r="I480" s="1">
        <f t="array" ref="I480">IF(ISNUMBER(MATCH(57002,Max!$A:$A,0)), IF(OR(INDEX(Max!$D:$D,MATCH(57002,Max!$A:$A,0))=1, INDEX(Max!$D:$D,MATCH(57002,Max!$A:$A,0))=2), INDEX(Max!$D:$D,MATCH(57002,Max!$A:$A,0)), 0), 0)</f>
        <v>0</v>
      </c>
    </row>
    <row r="481" spans="1:9" ht="15.75" customHeight="1" x14ac:dyDescent="0.2">
      <c r="A481" s="1">
        <v>40472</v>
      </c>
      <c r="B481" s="1" t="s">
        <v>723</v>
      </c>
      <c r="C481" s="1" t="s">
        <v>1199</v>
      </c>
      <c r="D481" s="1" t="str">
        <f t="shared" si="1"/>
        <v>2</v>
      </c>
      <c r="E481" s="1" t="s">
        <v>1200</v>
      </c>
      <c r="G481" s="1">
        <f t="array" ref="G481">IF(ISNUMBER(MATCH(40472,Camille!$A:$A,0)), IF(OR(INDEX(Camille!$D:$D,MATCH(40472,Camille!$A:$A,0))=1, INDEX(Camille!$D:$D,MATCH(40472,Camille!$A:$A,0))=2), INDEX(Camille!$D:$D,MATCH(40472,Camille!$A:$A,0)), 0), 0)</f>
        <v>2</v>
      </c>
      <c r="H481" s="1">
        <f t="array" ref="H481">IF(ISNUMBER(MATCH(40472,Telmo!$A:$A,0)), IF(OR(INDEX(Telmo!$D:$D,MATCH(40472,Telmo!$A:$A,0))=1, INDEX(Telmo!$D:$D,MATCH(40472,Telmo!$A:$A,0))=2), INDEX(Telmo!$D:$D,MATCH(40472,Telmo!$A:$A,0)), 0), 0)</f>
        <v>0</v>
      </c>
      <c r="I481" s="1">
        <f t="array" ref="I481">IF(ISNUMBER(MATCH(40472,Max!$A:$A,0)), IF(OR(INDEX(Max!$D:$D,MATCH(40472,Max!$A:$A,0))=1, INDEX(Max!$D:$D,MATCH(40472,Max!$A:$A,0))=2), INDEX(Max!$D:$D,MATCH(40472,Max!$A:$A,0)), 0), 0)</f>
        <v>0</v>
      </c>
    </row>
    <row r="482" spans="1:9" ht="15.75" customHeight="1" x14ac:dyDescent="0.2">
      <c r="A482" s="1">
        <v>21271</v>
      </c>
      <c r="B482" s="1" t="s">
        <v>1201</v>
      </c>
      <c r="C482" s="1" t="s">
        <v>1202</v>
      </c>
      <c r="D482" s="1" t="str">
        <f t="shared" si="1"/>
        <v>1</v>
      </c>
      <c r="E482" s="1" t="s">
        <v>1203</v>
      </c>
      <c r="G482" s="1">
        <f t="array" ref="G482">IF(ISNUMBER(MATCH(21271,Camille!$A:$A,0)), IF(OR(INDEX(Camille!$D:$D,MATCH(21271,Camille!$A:$A,0))=1, INDEX(Camille!$D:$D,MATCH(21271,Camille!$A:$A,0))=2), INDEX(Camille!$D:$D,MATCH(21271,Camille!$A:$A,0)), 0), 0)</f>
        <v>1</v>
      </c>
      <c r="H482" s="1">
        <f t="array" ref="H482">IF(ISNUMBER(MATCH(21271,Telmo!$A:$A,0)), IF(OR(INDEX(Telmo!$D:$D,MATCH(21271,Telmo!$A:$A,0))=1, INDEX(Telmo!$D:$D,MATCH(21271,Telmo!$A:$A,0))=2), INDEX(Telmo!$D:$D,MATCH(21271,Telmo!$A:$A,0)), 0), 0)</f>
        <v>0</v>
      </c>
      <c r="I482" s="1">
        <f t="array" ref="I482">IF(ISNUMBER(MATCH(21271,Max!$A:$A,0)), IF(OR(INDEX(Max!$D:$D,MATCH(21271,Max!$A:$A,0))=1, INDEX(Max!$D:$D,MATCH(21271,Max!$A:$A,0))=2), INDEX(Max!$D:$D,MATCH(21271,Max!$A:$A,0)), 0), 0)</f>
        <v>0</v>
      </c>
    </row>
    <row r="483" spans="1:9" ht="15.75" customHeight="1" x14ac:dyDescent="0.2">
      <c r="A483" s="1">
        <v>54116</v>
      </c>
      <c r="B483" s="1" t="s">
        <v>225</v>
      </c>
      <c r="C483" s="1" t="s">
        <v>1204</v>
      </c>
      <c r="D483" s="1" t="str">
        <f t="shared" si="1"/>
        <v>2</v>
      </c>
      <c r="E483" s="1" t="s">
        <v>1205</v>
      </c>
      <c r="G483" s="1">
        <f t="array" ref="G483">IF(ISNUMBER(MATCH(54116,Camille!$A:$A,0)), IF(OR(INDEX(Camille!$D:$D,MATCH(54116,Camille!$A:$A,0))=1, INDEX(Camille!$D:$D,MATCH(54116,Camille!$A:$A,0))=2), INDEX(Camille!$D:$D,MATCH(54116,Camille!$A:$A,0)), 0), 0)</f>
        <v>2</v>
      </c>
      <c r="H483" s="1">
        <f t="array" ref="H483">IF(ISNUMBER(MATCH(54116,Telmo!$A:$A,0)), IF(OR(INDEX(Telmo!$D:$D,MATCH(54116,Telmo!$A:$A,0))=1, INDEX(Telmo!$D:$D,MATCH(54116,Telmo!$A:$A,0))=2), INDEX(Telmo!$D:$D,MATCH(54116,Telmo!$A:$A,0)), 0), 0)</f>
        <v>0</v>
      </c>
      <c r="I483" s="1">
        <f t="array" ref="I483">IF(ISNUMBER(MATCH(54116,Max!$A:$A,0)), IF(OR(INDEX(Max!$D:$D,MATCH(54116,Max!$A:$A,0))=1, INDEX(Max!$D:$D,MATCH(54116,Max!$A:$A,0))=2), INDEX(Max!$D:$D,MATCH(54116,Max!$A:$A,0)), 0), 0)</f>
        <v>0</v>
      </c>
    </row>
    <row r="484" spans="1:9" ht="15.75" customHeight="1" x14ac:dyDescent="0.2">
      <c r="A484" s="1">
        <v>24120</v>
      </c>
      <c r="B484" s="1" t="s">
        <v>509</v>
      </c>
      <c r="C484" s="1" t="s">
        <v>1206</v>
      </c>
      <c r="D484" s="1" t="str">
        <f t="shared" si="1"/>
        <v>2</v>
      </c>
      <c r="E484" s="1" t="s">
        <v>1207</v>
      </c>
      <c r="G484" s="1">
        <f t="array" ref="G484">IF(ISNUMBER(MATCH(24120,Camille!$A:$A,0)), IF(OR(INDEX(Camille!$D:$D,MATCH(24120,Camille!$A:$A,0))=1, INDEX(Camille!$D:$D,MATCH(24120,Camille!$A:$A,0))=2), INDEX(Camille!$D:$D,MATCH(24120,Camille!$A:$A,0)), 0), 0)</f>
        <v>2</v>
      </c>
      <c r="H484" s="1">
        <f t="array" ref="H484">IF(ISNUMBER(MATCH(24120,Telmo!$A:$A,0)), IF(OR(INDEX(Telmo!$D:$D,MATCH(24120,Telmo!$A:$A,0))=1, INDEX(Telmo!$D:$D,MATCH(24120,Telmo!$A:$A,0))=2), INDEX(Telmo!$D:$D,MATCH(24120,Telmo!$A:$A,0)), 0), 0)</f>
        <v>0</v>
      </c>
      <c r="I484" s="1">
        <f t="array" ref="I484">IF(ISNUMBER(MATCH(24120,Max!$A:$A,0)), IF(OR(INDEX(Max!$D:$D,MATCH(24120,Max!$A:$A,0))=1, INDEX(Max!$D:$D,MATCH(24120,Max!$A:$A,0))=2), INDEX(Max!$D:$D,MATCH(24120,Max!$A:$A,0)), 0), 0)</f>
        <v>0</v>
      </c>
    </row>
    <row r="485" spans="1:9" ht="15.75" customHeight="1" x14ac:dyDescent="0.2">
      <c r="A485" s="1">
        <v>39787</v>
      </c>
      <c r="B485" s="1" t="s">
        <v>1208</v>
      </c>
      <c r="C485" s="1" t="s">
        <v>1209</v>
      </c>
      <c r="D485" s="1" t="str">
        <f t="shared" si="1"/>
        <v>1</v>
      </c>
      <c r="E485" s="1" t="s">
        <v>1210</v>
      </c>
      <c r="G485" s="1">
        <f t="array" ref="G485">IF(ISNUMBER(MATCH(39787,Camille!$A:$A,0)), IF(OR(INDEX(Camille!$D:$D,MATCH(39787,Camille!$A:$A,0))=1, INDEX(Camille!$D:$D,MATCH(39787,Camille!$A:$A,0))=2), INDEX(Camille!$D:$D,MATCH(39787,Camille!$A:$A,0)), 0), 0)</f>
        <v>1</v>
      </c>
      <c r="H485" s="1">
        <f t="array" ref="H485">IF(ISNUMBER(MATCH(39787,Telmo!$A:$A,0)), IF(OR(INDEX(Telmo!$D:$D,MATCH(39787,Telmo!$A:$A,0))=1, INDEX(Telmo!$D:$D,MATCH(39787,Telmo!$A:$A,0))=2), INDEX(Telmo!$D:$D,MATCH(39787,Telmo!$A:$A,0)), 0), 0)</f>
        <v>0</v>
      </c>
      <c r="I485" s="1">
        <f t="array" ref="I485">IF(ISNUMBER(MATCH(39787,Max!$A:$A,0)), IF(OR(INDEX(Max!$D:$D,MATCH(39787,Max!$A:$A,0))=1, INDEX(Max!$D:$D,MATCH(39787,Max!$A:$A,0))=2), INDEX(Max!$D:$D,MATCH(39787,Max!$A:$A,0)), 0), 0)</f>
        <v>0</v>
      </c>
    </row>
    <row r="486" spans="1:9" ht="15.75" customHeight="1" x14ac:dyDescent="0.2">
      <c r="A486" s="1">
        <v>9298</v>
      </c>
      <c r="B486" s="1" t="s">
        <v>1211</v>
      </c>
      <c r="C486" s="1" t="s">
        <v>1212</v>
      </c>
      <c r="D486" s="1" t="str">
        <f t="shared" si="1"/>
        <v>1</v>
      </c>
      <c r="E486" s="1" t="s">
        <v>1213</v>
      </c>
      <c r="G486" s="1">
        <f t="array" ref="G486">IF(ISNUMBER(MATCH(9298,Camille!$A:$A,0)), IF(OR(INDEX(Camille!$D:$D,MATCH(9298,Camille!$A:$A,0))=1, INDEX(Camille!$D:$D,MATCH(9298,Camille!$A:$A,0))=2), INDEX(Camille!$D:$D,MATCH(9298,Camille!$A:$A,0)), 0), 0)</f>
        <v>1</v>
      </c>
      <c r="H486" s="1">
        <f t="array" ref="H486">IF(ISNUMBER(MATCH(9298,Telmo!$A:$A,0)), IF(OR(INDEX(Telmo!$D:$D,MATCH(9298,Telmo!$A:$A,0))=1, INDEX(Telmo!$D:$D,MATCH(9298,Telmo!$A:$A,0))=2), INDEX(Telmo!$D:$D,MATCH(9298,Telmo!$A:$A,0)), 0), 0)</f>
        <v>0</v>
      </c>
      <c r="I486" s="1">
        <f t="array" ref="I486">IF(ISNUMBER(MATCH(9298,Max!$A:$A,0)), IF(OR(INDEX(Max!$D:$D,MATCH(9298,Max!$A:$A,0))=1, INDEX(Max!$D:$D,MATCH(9298,Max!$A:$A,0))=2), INDEX(Max!$D:$D,MATCH(9298,Max!$A:$A,0)), 0), 0)</f>
        <v>0</v>
      </c>
    </row>
    <row r="487" spans="1:9" ht="15.75" customHeight="1" x14ac:dyDescent="0.2">
      <c r="A487" s="1">
        <v>36597</v>
      </c>
      <c r="B487" s="1" t="s">
        <v>276</v>
      </c>
      <c r="C487" s="1" t="s">
        <v>1214</v>
      </c>
      <c r="D487" s="1" t="str">
        <f t="shared" si="1"/>
        <v>1</v>
      </c>
      <c r="E487" s="1" t="s">
        <v>1215</v>
      </c>
      <c r="G487" s="1">
        <f t="array" ref="G487">IF(ISNUMBER(MATCH(36597,Camille!$A:$A,0)), IF(OR(INDEX(Camille!$D:$D,MATCH(36597,Camille!$A:$A,0))=1, INDEX(Camille!$D:$D,MATCH(36597,Camille!$A:$A,0))=2), INDEX(Camille!$D:$D,MATCH(36597,Camille!$A:$A,0)), 0), 0)</f>
        <v>1</v>
      </c>
      <c r="H487" s="1">
        <f t="array" ref="H487">IF(ISNUMBER(MATCH(36597,Telmo!$A:$A,0)), IF(OR(INDEX(Telmo!$D:$D,MATCH(36597,Telmo!$A:$A,0))=1, INDEX(Telmo!$D:$D,MATCH(36597,Telmo!$A:$A,0))=2), INDEX(Telmo!$D:$D,MATCH(36597,Telmo!$A:$A,0)), 0), 0)</f>
        <v>0</v>
      </c>
      <c r="I487" s="1">
        <f t="array" ref="I487">IF(ISNUMBER(MATCH(36597,Max!$A:$A,0)), IF(OR(INDEX(Max!$D:$D,MATCH(36597,Max!$A:$A,0))=1, INDEX(Max!$D:$D,MATCH(36597,Max!$A:$A,0))=2), INDEX(Max!$D:$D,MATCH(36597,Max!$A:$A,0)), 0), 0)</f>
        <v>0</v>
      </c>
    </row>
    <row r="488" spans="1:9" ht="15.75" customHeight="1" x14ac:dyDescent="0.2">
      <c r="A488" s="1">
        <v>30533</v>
      </c>
      <c r="B488" s="1" t="s">
        <v>172</v>
      </c>
      <c r="C488" s="1" t="s">
        <v>1216</v>
      </c>
      <c r="D488" s="1" t="str">
        <f t="shared" si="1"/>
        <v>2</v>
      </c>
      <c r="E488" s="1" t="s">
        <v>1217</v>
      </c>
      <c r="G488" s="1">
        <f t="array" ref="G488">IF(ISNUMBER(MATCH(30533,Camille!$A:$A,0)), IF(OR(INDEX(Camille!$D:$D,MATCH(30533,Camille!$A:$A,0))=1, INDEX(Camille!$D:$D,MATCH(30533,Camille!$A:$A,0))=2), INDEX(Camille!$D:$D,MATCH(30533,Camille!$A:$A,0)), 0), 0)</f>
        <v>2</v>
      </c>
      <c r="H488" s="1">
        <f t="array" ref="H488">IF(ISNUMBER(MATCH(30533,Telmo!$A:$A,0)), IF(OR(INDEX(Telmo!$D:$D,MATCH(30533,Telmo!$A:$A,0))=1, INDEX(Telmo!$D:$D,MATCH(30533,Telmo!$A:$A,0))=2), INDEX(Telmo!$D:$D,MATCH(30533,Telmo!$A:$A,0)), 0), 0)</f>
        <v>0</v>
      </c>
      <c r="I488" s="1">
        <f t="array" ref="I488">IF(ISNUMBER(MATCH(30533,Max!$A:$A,0)), IF(OR(INDEX(Max!$D:$D,MATCH(30533,Max!$A:$A,0))=1, INDEX(Max!$D:$D,MATCH(30533,Max!$A:$A,0))=2), INDEX(Max!$D:$D,MATCH(30533,Max!$A:$A,0)), 0), 0)</f>
        <v>0</v>
      </c>
    </row>
    <row r="489" spans="1:9" ht="15.75" customHeight="1" x14ac:dyDescent="0.2">
      <c r="A489" s="1">
        <v>12334</v>
      </c>
      <c r="B489" s="1" t="s">
        <v>1218</v>
      </c>
      <c r="C489" s="1" t="s">
        <v>1219</v>
      </c>
      <c r="D489" s="1" t="str">
        <f t="shared" si="1"/>
        <v>1</v>
      </c>
      <c r="E489" s="1" t="s">
        <v>1220</v>
      </c>
      <c r="G489" s="1">
        <f t="array" ref="G489">IF(ISNUMBER(MATCH(12334,Camille!$A:$A,0)), IF(OR(INDEX(Camille!$D:$D,MATCH(12334,Camille!$A:$A,0))=1, INDEX(Camille!$D:$D,MATCH(12334,Camille!$A:$A,0))=2), INDEX(Camille!$D:$D,MATCH(12334,Camille!$A:$A,0)), 0), 0)</f>
        <v>1</v>
      </c>
      <c r="H489" s="1">
        <f t="array" ref="H489">IF(ISNUMBER(MATCH(12334,Telmo!$A:$A,0)), IF(OR(INDEX(Telmo!$D:$D,MATCH(12334,Telmo!$A:$A,0))=1, INDEX(Telmo!$D:$D,MATCH(12334,Telmo!$A:$A,0))=2), INDEX(Telmo!$D:$D,MATCH(12334,Telmo!$A:$A,0)), 0), 0)</f>
        <v>0</v>
      </c>
      <c r="I489" s="1">
        <f t="array" ref="I489">IF(ISNUMBER(MATCH(12334,Max!$A:$A,0)), IF(OR(INDEX(Max!$D:$D,MATCH(12334,Max!$A:$A,0))=1, INDEX(Max!$D:$D,MATCH(12334,Max!$A:$A,0))=2), INDEX(Max!$D:$D,MATCH(12334,Max!$A:$A,0)), 0), 0)</f>
        <v>0</v>
      </c>
    </row>
    <row r="490" spans="1:9" ht="15.75" customHeight="1" x14ac:dyDescent="0.2">
      <c r="A490" s="1">
        <v>63890</v>
      </c>
      <c r="B490" s="1" t="s">
        <v>180</v>
      </c>
      <c r="C490" s="1" t="s">
        <v>1221</v>
      </c>
      <c r="D490" s="1" t="str">
        <f t="shared" si="1"/>
        <v>2</v>
      </c>
      <c r="E490" s="1" t="s">
        <v>1222</v>
      </c>
      <c r="G490" s="1">
        <f t="array" ref="G490">IF(ISNUMBER(MATCH(63890,Camille!$A:$A,0)), IF(OR(INDEX(Camille!$D:$D,MATCH(63890,Camille!$A:$A,0))=1, INDEX(Camille!$D:$D,MATCH(63890,Camille!$A:$A,0))=2), INDEX(Camille!$D:$D,MATCH(63890,Camille!$A:$A,0)), 0), 0)</f>
        <v>2</v>
      </c>
      <c r="H490" s="1">
        <f t="array" ref="H490">IF(ISNUMBER(MATCH(63890,Telmo!$A:$A,0)), IF(OR(INDEX(Telmo!$D:$D,MATCH(63890,Telmo!$A:$A,0))=1, INDEX(Telmo!$D:$D,MATCH(63890,Telmo!$A:$A,0))=2), INDEX(Telmo!$D:$D,MATCH(63890,Telmo!$A:$A,0)), 0), 0)</f>
        <v>0</v>
      </c>
      <c r="I490" s="1">
        <f t="array" ref="I490">IF(ISNUMBER(MATCH(63890,Max!$A:$A,0)), IF(OR(INDEX(Max!$D:$D,MATCH(63890,Max!$A:$A,0))=1, INDEX(Max!$D:$D,MATCH(63890,Max!$A:$A,0))=2), INDEX(Max!$D:$D,MATCH(63890,Max!$A:$A,0)), 0), 0)</f>
        <v>0</v>
      </c>
    </row>
    <row r="491" spans="1:9" ht="15.75" customHeight="1" x14ac:dyDescent="0.2">
      <c r="A491" s="1">
        <v>3836</v>
      </c>
      <c r="B491" s="1" t="s">
        <v>14</v>
      </c>
      <c r="C491" s="1" t="s">
        <v>1223</v>
      </c>
      <c r="D491" s="1" t="str">
        <f t="shared" si="1"/>
        <v>2</v>
      </c>
      <c r="E491" s="1" t="s">
        <v>1224</v>
      </c>
      <c r="G491" s="1">
        <f t="array" ref="G491">IF(ISNUMBER(MATCH(3836,Camille!$A:$A,0)), IF(OR(INDEX(Camille!$D:$D,MATCH(3836,Camille!$A:$A,0))=1, INDEX(Camille!$D:$D,MATCH(3836,Camille!$A:$A,0))=2), INDEX(Camille!$D:$D,MATCH(3836,Camille!$A:$A,0)), 0), 0)</f>
        <v>2</v>
      </c>
      <c r="H491" s="1">
        <f t="array" ref="H491">IF(ISNUMBER(MATCH(3836,Telmo!$A:$A,0)), IF(OR(INDEX(Telmo!$D:$D,MATCH(3836,Telmo!$A:$A,0))=1, INDEX(Telmo!$D:$D,MATCH(3836,Telmo!$A:$A,0))=2), INDEX(Telmo!$D:$D,MATCH(3836,Telmo!$A:$A,0)), 0), 0)</f>
        <v>0</v>
      </c>
      <c r="I491" s="1">
        <f t="array" ref="I491">IF(ISNUMBER(MATCH(3836,Max!$A:$A,0)), IF(OR(INDEX(Max!$D:$D,MATCH(3836,Max!$A:$A,0))=1, INDEX(Max!$D:$D,MATCH(3836,Max!$A:$A,0))=2), INDEX(Max!$D:$D,MATCH(3836,Max!$A:$A,0)), 0), 0)</f>
        <v>0</v>
      </c>
    </row>
    <row r="492" spans="1:9" ht="15.75" customHeight="1" x14ac:dyDescent="0.2">
      <c r="A492" s="1">
        <v>3429</v>
      </c>
      <c r="B492" s="1" t="s">
        <v>1225</v>
      </c>
      <c r="C492" s="1" t="s">
        <v>1226</v>
      </c>
      <c r="D492" s="1" t="str">
        <f t="shared" si="1"/>
        <v>2</v>
      </c>
      <c r="E492" s="1" t="s">
        <v>1227</v>
      </c>
      <c r="G492" s="1">
        <f t="array" ref="G492">IF(ISNUMBER(MATCH(3429,Camille!$A:$A,0)), IF(OR(INDEX(Camille!$D:$D,MATCH(3429,Camille!$A:$A,0))=1, INDEX(Camille!$D:$D,MATCH(3429,Camille!$A:$A,0))=2), INDEX(Camille!$D:$D,MATCH(3429,Camille!$A:$A,0)), 0), 0)</f>
        <v>2</v>
      </c>
      <c r="H492" s="1">
        <f t="array" ref="H492">IF(ISNUMBER(MATCH(3429,Telmo!$A:$A,0)), IF(OR(INDEX(Telmo!$D:$D,MATCH(3429,Telmo!$A:$A,0))=1, INDEX(Telmo!$D:$D,MATCH(3429,Telmo!$A:$A,0))=2), INDEX(Telmo!$D:$D,MATCH(3429,Telmo!$A:$A,0)), 0), 0)</f>
        <v>0</v>
      </c>
      <c r="I492" s="1">
        <f t="array" ref="I492">IF(ISNUMBER(MATCH(3429,Max!$A:$A,0)), IF(OR(INDEX(Max!$D:$D,MATCH(3429,Max!$A:$A,0))=1, INDEX(Max!$D:$D,MATCH(3429,Max!$A:$A,0))=2), INDEX(Max!$D:$D,MATCH(3429,Max!$A:$A,0)), 0), 0)</f>
        <v>0</v>
      </c>
    </row>
    <row r="493" spans="1:9" ht="15.75" customHeight="1" x14ac:dyDescent="0.2">
      <c r="A493" s="1">
        <v>27866</v>
      </c>
      <c r="B493" s="1" t="s">
        <v>485</v>
      </c>
      <c r="C493" s="1" t="s">
        <v>1228</v>
      </c>
      <c r="D493" s="1" t="str">
        <f t="shared" si="1"/>
        <v>1</v>
      </c>
      <c r="E493" s="1" t="s">
        <v>1229</v>
      </c>
      <c r="G493" s="1">
        <f t="array" ref="G493">IF(ISNUMBER(MATCH(27866,Camille!$A:$A,0)), IF(OR(INDEX(Camille!$D:$D,MATCH(27866,Camille!$A:$A,0))=1, INDEX(Camille!$D:$D,MATCH(27866,Camille!$A:$A,0))=2), INDEX(Camille!$D:$D,MATCH(27866,Camille!$A:$A,0)), 0), 0)</f>
        <v>1</v>
      </c>
      <c r="H493" s="1">
        <f t="array" ref="H493">IF(ISNUMBER(MATCH(27866,Telmo!$A:$A,0)), IF(OR(INDEX(Telmo!$D:$D,MATCH(27866,Telmo!$A:$A,0))=1, INDEX(Telmo!$D:$D,MATCH(27866,Telmo!$A:$A,0))=2), INDEX(Telmo!$D:$D,MATCH(27866,Telmo!$A:$A,0)), 0), 0)</f>
        <v>0</v>
      </c>
      <c r="I493" s="1">
        <f t="array" ref="I493">IF(ISNUMBER(MATCH(27866,Max!$A:$A,0)), IF(OR(INDEX(Max!$D:$D,MATCH(27866,Max!$A:$A,0))=1, INDEX(Max!$D:$D,MATCH(27866,Max!$A:$A,0))=2), INDEX(Max!$D:$D,MATCH(27866,Max!$A:$A,0)), 0), 0)</f>
        <v>0</v>
      </c>
    </row>
    <row r="494" spans="1:9" ht="15.75" customHeight="1" x14ac:dyDescent="0.2">
      <c r="A494" s="1">
        <v>15618</v>
      </c>
      <c r="B494" s="1" t="s">
        <v>180</v>
      </c>
      <c r="C494" s="1" t="s">
        <v>1230</v>
      </c>
      <c r="D494" s="1" t="str">
        <f t="shared" si="1"/>
        <v>2</v>
      </c>
      <c r="E494" s="1" t="s">
        <v>1231</v>
      </c>
      <c r="G494" s="1">
        <f t="array" ref="G494">IF(ISNUMBER(MATCH(15618,Camille!$A:$A,0)), IF(OR(INDEX(Camille!$D:$D,MATCH(15618,Camille!$A:$A,0))=1, INDEX(Camille!$D:$D,MATCH(15618,Camille!$A:$A,0))=2), INDEX(Camille!$D:$D,MATCH(15618,Camille!$A:$A,0)), 0), 0)</f>
        <v>2</v>
      </c>
      <c r="H494" s="1">
        <f t="array" ref="H494">IF(ISNUMBER(MATCH(15618,Telmo!$A:$A,0)), IF(OR(INDEX(Telmo!$D:$D,MATCH(15618,Telmo!$A:$A,0))=1, INDEX(Telmo!$D:$D,MATCH(15618,Telmo!$A:$A,0))=2), INDEX(Telmo!$D:$D,MATCH(15618,Telmo!$A:$A,0)), 0), 0)</f>
        <v>0</v>
      </c>
      <c r="I494" s="1">
        <f t="array" ref="I494">IF(ISNUMBER(MATCH(15618,Max!$A:$A,0)), IF(OR(INDEX(Max!$D:$D,MATCH(15618,Max!$A:$A,0))=1, INDEX(Max!$D:$D,MATCH(15618,Max!$A:$A,0))=2), INDEX(Max!$D:$D,MATCH(15618,Max!$A:$A,0)), 0), 0)</f>
        <v>0</v>
      </c>
    </row>
    <row r="495" spans="1:9" ht="15.75" customHeight="1" x14ac:dyDescent="0.2">
      <c r="A495" s="1">
        <v>8225</v>
      </c>
      <c r="B495" s="1" t="s">
        <v>442</v>
      </c>
      <c r="C495" s="1" t="s">
        <v>1232</v>
      </c>
      <c r="D495" s="1" t="str">
        <f t="shared" si="1"/>
        <v>1</v>
      </c>
      <c r="E495" s="1" t="s">
        <v>1233</v>
      </c>
      <c r="G495" s="1">
        <f t="array" ref="G495">IF(ISNUMBER(MATCH(8225,Camille!$A:$A,0)), IF(OR(INDEX(Camille!$D:$D,MATCH(8225,Camille!$A:$A,0))=1, INDEX(Camille!$D:$D,MATCH(8225,Camille!$A:$A,0))=2), INDEX(Camille!$D:$D,MATCH(8225,Camille!$A:$A,0)), 0), 0)</f>
        <v>1</v>
      </c>
      <c r="H495" s="1">
        <f t="array" ref="H495">IF(ISNUMBER(MATCH(8225,Telmo!$A:$A,0)), IF(OR(INDEX(Telmo!$D:$D,MATCH(8225,Telmo!$A:$A,0))=1, INDEX(Telmo!$D:$D,MATCH(8225,Telmo!$A:$A,0))=2), INDEX(Telmo!$D:$D,MATCH(8225,Telmo!$A:$A,0)), 0), 0)</f>
        <v>0</v>
      </c>
      <c r="I495" s="1">
        <f t="array" ref="I495">IF(ISNUMBER(MATCH(8225,Max!$A:$A,0)), IF(OR(INDEX(Max!$D:$D,MATCH(8225,Max!$A:$A,0))=1, INDEX(Max!$D:$D,MATCH(8225,Max!$A:$A,0))=2), INDEX(Max!$D:$D,MATCH(8225,Max!$A:$A,0)), 0), 0)</f>
        <v>0</v>
      </c>
    </row>
    <row r="496" spans="1:9" ht="15.75" customHeight="1" x14ac:dyDescent="0.2">
      <c r="A496" s="1">
        <v>31575</v>
      </c>
      <c r="B496" s="1" t="s">
        <v>87</v>
      </c>
      <c r="C496" s="1" t="s">
        <v>1234</v>
      </c>
      <c r="D496" s="1" t="str">
        <f t="shared" si="1"/>
        <v>2</v>
      </c>
      <c r="E496" s="1" t="s">
        <v>1235</v>
      </c>
      <c r="G496" s="1">
        <f t="array" ref="G496">IF(ISNUMBER(MATCH(31575,Camille!$A:$A,0)), IF(OR(INDEX(Camille!$D:$D,MATCH(31575,Camille!$A:$A,0))=1, INDEX(Camille!$D:$D,MATCH(31575,Camille!$A:$A,0))=2), INDEX(Camille!$D:$D,MATCH(31575,Camille!$A:$A,0)), 0), 0)</f>
        <v>2</v>
      </c>
      <c r="H496" s="1">
        <f t="array" ref="H496">IF(ISNUMBER(MATCH(31575,Telmo!$A:$A,0)), IF(OR(INDEX(Telmo!$D:$D,MATCH(31575,Telmo!$A:$A,0))=1, INDEX(Telmo!$D:$D,MATCH(31575,Telmo!$A:$A,0))=2), INDEX(Telmo!$D:$D,MATCH(31575,Telmo!$A:$A,0)), 0), 0)</f>
        <v>0</v>
      </c>
      <c r="I496" s="1">
        <f t="array" ref="I496">IF(ISNUMBER(MATCH(31575,Max!$A:$A,0)), IF(OR(INDEX(Max!$D:$D,MATCH(31575,Max!$A:$A,0))=1, INDEX(Max!$D:$D,MATCH(31575,Max!$A:$A,0))=2), INDEX(Max!$D:$D,MATCH(31575,Max!$A:$A,0)), 0), 0)</f>
        <v>0</v>
      </c>
    </row>
    <row r="497" spans="1:9" ht="15.75" customHeight="1" x14ac:dyDescent="0.2">
      <c r="A497" s="1">
        <v>8949</v>
      </c>
      <c r="B497" s="1" t="s">
        <v>1189</v>
      </c>
      <c r="C497" s="1" t="s">
        <v>1236</v>
      </c>
      <c r="D497" s="1" t="str">
        <f t="shared" si="1"/>
        <v>2</v>
      </c>
      <c r="E497" s="1" t="s">
        <v>1237</v>
      </c>
      <c r="G497" s="1">
        <f t="array" ref="G497">IF(ISNUMBER(MATCH(8949,Camille!$A:$A,0)), IF(OR(INDEX(Camille!$D:$D,MATCH(8949,Camille!$A:$A,0))=1, INDEX(Camille!$D:$D,MATCH(8949,Camille!$A:$A,0))=2), INDEX(Camille!$D:$D,MATCH(8949,Camille!$A:$A,0)), 0), 0)</f>
        <v>2</v>
      </c>
      <c r="H497" s="1">
        <f t="array" ref="H497">IF(ISNUMBER(MATCH(8949,Telmo!$A:$A,0)), IF(OR(INDEX(Telmo!$D:$D,MATCH(8949,Telmo!$A:$A,0))=1, INDEX(Telmo!$D:$D,MATCH(8949,Telmo!$A:$A,0))=2), INDEX(Telmo!$D:$D,MATCH(8949,Telmo!$A:$A,0)), 0), 0)</f>
        <v>0</v>
      </c>
      <c r="I497" s="1">
        <f t="array" ref="I497">IF(ISNUMBER(MATCH(8949,Max!$A:$A,0)), IF(OR(INDEX(Max!$D:$D,MATCH(8949,Max!$A:$A,0))=1, INDEX(Max!$D:$D,MATCH(8949,Max!$A:$A,0))=2), INDEX(Max!$D:$D,MATCH(8949,Max!$A:$A,0)), 0), 0)</f>
        <v>0</v>
      </c>
    </row>
    <row r="498" spans="1:9" ht="15.75" customHeight="1" x14ac:dyDescent="0.2">
      <c r="A498" s="1">
        <v>41710</v>
      </c>
      <c r="B498" s="1" t="s">
        <v>268</v>
      </c>
      <c r="C498" s="1" t="s">
        <v>1238</v>
      </c>
      <c r="D498" s="1" t="str">
        <f t="shared" si="1"/>
        <v>2</v>
      </c>
      <c r="E498" s="1" t="s">
        <v>1239</v>
      </c>
      <c r="G498" s="1">
        <f t="array" ref="G498">IF(ISNUMBER(MATCH(41710,Camille!$A:$A,0)), IF(OR(INDEX(Camille!$D:$D,MATCH(41710,Camille!$A:$A,0))=1, INDEX(Camille!$D:$D,MATCH(41710,Camille!$A:$A,0))=2), INDEX(Camille!$D:$D,MATCH(41710,Camille!$A:$A,0)), 0), 0)</f>
        <v>2</v>
      </c>
      <c r="H498" s="1">
        <f t="array" ref="H498">IF(ISNUMBER(MATCH(41710,Telmo!$A:$A,0)), IF(OR(INDEX(Telmo!$D:$D,MATCH(41710,Telmo!$A:$A,0))=1, INDEX(Telmo!$D:$D,MATCH(41710,Telmo!$A:$A,0))=2), INDEX(Telmo!$D:$D,MATCH(41710,Telmo!$A:$A,0)), 0), 0)</f>
        <v>0</v>
      </c>
      <c r="I498" s="1">
        <f t="array" ref="I498">IF(ISNUMBER(MATCH(41710,Max!$A:$A,0)), IF(OR(INDEX(Max!$D:$D,MATCH(41710,Max!$A:$A,0))=1, INDEX(Max!$D:$D,MATCH(41710,Max!$A:$A,0))=2), INDEX(Max!$D:$D,MATCH(41710,Max!$A:$A,0)), 0), 0)</f>
        <v>0</v>
      </c>
    </row>
    <row r="499" spans="1:9" ht="15.75" customHeight="1" x14ac:dyDescent="0.2">
      <c r="A499" s="1">
        <v>68097</v>
      </c>
      <c r="B499" s="1" t="s">
        <v>408</v>
      </c>
      <c r="C499" s="1" t="s">
        <v>1240</v>
      </c>
      <c r="D499" s="1" t="str">
        <f t="shared" si="1"/>
        <v>2</v>
      </c>
      <c r="E499" s="1" t="s">
        <v>1241</v>
      </c>
      <c r="G499" s="1">
        <f t="array" ref="G499">IF(ISNUMBER(MATCH(68097,Camille!$A:$A,0)), IF(OR(INDEX(Camille!$D:$D,MATCH(68097,Camille!$A:$A,0))=1, INDEX(Camille!$D:$D,MATCH(68097,Camille!$A:$A,0))=2), INDEX(Camille!$D:$D,MATCH(68097,Camille!$A:$A,0)), 0), 0)</f>
        <v>2</v>
      </c>
      <c r="H499" s="1">
        <f t="array" ref="H499">IF(ISNUMBER(MATCH(68097,Telmo!$A:$A,0)), IF(OR(INDEX(Telmo!$D:$D,MATCH(68097,Telmo!$A:$A,0))=1, INDEX(Telmo!$D:$D,MATCH(68097,Telmo!$A:$A,0))=2), INDEX(Telmo!$D:$D,MATCH(68097,Telmo!$A:$A,0)), 0), 0)</f>
        <v>0</v>
      </c>
      <c r="I499" s="1">
        <f t="array" ref="I499">IF(ISNUMBER(MATCH(68097,Max!$A:$A,0)), IF(OR(INDEX(Max!$D:$D,MATCH(68097,Max!$A:$A,0))=1, INDEX(Max!$D:$D,MATCH(68097,Max!$A:$A,0))=2), INDEX(Max!$D:$D,MATCH(68097,Max!$A:$A,0)), 0), 0)</f>
        <v>0</v>
      </c>
    </row>
    <row r="500" spans="1:9" ht="15.75" customHeight="1" x14ac:dyDescent="0.2">
      <c r="A500" s="1">
        <v>24132</v>
      </c>
      <c r="B500" s="1" t="s">
        <v>493</v>
      </c>
      <c r="C500" s="1" t="s">
        <v>1242</v>
      </c>
      <c r="D500" s="1" t="str">
        <f t="shared" si="1"/>
        <v>1</v>
      </c>
      <c r="E500" s="1" t="s">
        <v>1243</v>
      </c>
      <c r="G500" s="1">
        <f t="array" ref="G500">IF(ISNUMBER(MATCH(24132,Camille!$A:$A,0)), IF(OR(INDEX(Camille!$D:$D,MATCH(24132,Camille!$A:$A,0))=1, INDEX(Camille!$D:$D,MATCH(24132,Camille!$A:$A,0))=2), INDEX(Camille!$D:$D,MATCH(24132,Camille!$A:$A,0)), 0), 0)</f>
        <v>1</v>
      </c>
      <c r="H500" s="1">
        <f t="array" ref="H500">IF(ISNUMBER(MATCH(24132,Telmo!$A:$A,0)), IF(OR(INDEX(Telmo!$D:$D,MATCH(24132,Telmo!$A:$A,0))=1, INDEX(Telmo!$D:$D,MATCH(24132,Telmo!$A:$A,0))=2), INDEX(Telmo!$D:$D,MATCH(24132,Telmo!$A:$A,0)), 0), 0)</f>
        <v>0</v>
      </c>
      <c r="I500" s="1">
        <f t="array" ref="I500">IF(ISNUMBER(MATCH(24132,Max!$A:$A,0)), IF(OR(INDEX(Max!$D:$D,MATCH(24132,Max!$A:$A,0))=1, INDEX(Max!$D:$D,MATCH(24132,Max!$A:$A,0))=2), INDEX(Max!$D:$D,MATCH(24132,Max!$A:$A,0)), 0), 0)</f>
        <v>0</v>
      </c>
    </row>
    <row r="501" spans="1:9" ht="15.75" customHeight="1" x14ac:dyDescent="0.2">
      <c r="A501" s="1">
        <v>51149</v>
      </c>
      <c r="B501" s="1" t="s">
        <v>159</v>
      </c>
      <c r="C501" s="1" t="s">
        <v>1244</v>
      </c>
      <c r="D501" s="1" t="str">
        <f t="shared" si="1"/>
        <v>2</v>
      </c>
      <c r="E501" s="1" t="s">
        <v>1245</v>
      </c>
      <c r="G501" s="1">
        <f t="array" ref="G501">IF(ISNUMBER(MATCH(51149,Camille!$A:$A,0)), IF(OR(INDEX(Camille!$D:$D,MATCH(51149,Camille!$A:$A,0))=1, INDEX(Camille!$D:$D,MATCH(51149,Camille!$A:$A,0))=2), INDEX(Camille!$D:$D,MATCH(51149,Camille!$A:$A,0)), 0), 0)</f>
        <v>2</v>
      </c>
      <c r="H501" s="1">
        <f t="array" ref="H501">IF(ISNUMBER(MATCH(51149,Telmo!$A:$A,0)), IF(OR(INDEX(Telmo!$D:$D,MATCH(51149,Telmo!$A:$A,0))=1, INDEX(Telmo!$D:$D,MATCH(51149,Telmo!$A:$A,0))=2), INDEX(Telmo!$D:$D,MATCH(51149,Telmo!$A:$A,0)), 0), 0)</f>
        <v>0</v>
      </c>
      <c r="I501" s="1">
        <f t="array" ref="I501">IF(ISNUMBER(MATCH(51149,Max!$A:$A,0)), IF(OR(INDEX(Max!$D:$D,MATCH(51149,Max!$A:$A,0))=1, INDEX(Max!$D:$D,MATCH(51149,Max!$A:$A,0))=2), INDEX(Max!$D:$D,MATCH(51149,Max!$A:$A,0)), 0), 0)</f>
        <v>0</v>
      </c>
    </row>
    <row r="502" spans="1:9" ht="15.75" customHeight="1" x14ac:dyDescent="0.2">
      <c r="A502" s="1">
        <v>23818</v>
      </c>
      <c r="B502" s="1" t="s">
        <v>1246</v>
      </c>
      <c r="C502" s="1" t="s">
        <v>1247</v>
      </c>
      <c r="D502" s="1" t="str">
        <f t="shared" si="1"/>
        <v>2</v>
      </c>
      <c r="E502" s="1" t="s">
        <v>1248</v>
      </c>
      <c r="G502" s="1">
        <f t="array" ref="G502">IF(ISNUMBER(MATCH(23818,Camille!$A:$A,0)), IF(OR(INDEX(Camille!$D:$D,MATCH(23818,Camille!$A:$A,0))=1, INDEX(Camille!$D:$D,MATCH(23818,Camille!$A:$A,0))=2), INDEX(Camille!$D:$D,MATCH(23818,Camille!$A:$A,0)), 0), 0)</f>
        <v>2</v>
      </c>
      <c r="H502" s="1">
        <f t="array" ref="H502">IF(ISNUMBER(MATCH(23818,Telmo!$A:$A,0)), IF(OR(INDEX(Telmo!$D:$D,MATCH(23818,Telmo!$A:$A,0))=1, INDEX(Telmo!$D:$D,MATCH(23818,Telmo!$A:$A,0))=2), INDEX(Telmo!$D:$D,MATCH(23818,Telmo!$A:$A,0)), 0), 0)</f>
        <v>0</v>
      </c>
      <c r="I502" s="1">
        <f t="array" ref="I502">IF(ISNUMBER(MATCH(23818,Max!$A:$A,0)), IF(OR(INDEX(Max!$D:$D,MATCH(23818,Max!$A:$A,0))=1, INDEX(Max!$D:$D,MATCH(23818,Max!$A:$A,0))=2), INDEX(Max!$D:$D,MATCH(23818,Max!$A:$A,0)), 0), 0)</f>
        <v>0</v>
      </c>
    </row>
    <row r="503" spans="1:9" ht="15.75" customHeight="1" x14ac:dyDescent="0.2">
      <c r="A503" s="1">
        <v>13794</v>
      </c>
      <c r="B503" s="1" t="s">
        <v>32</v>
      </c>
      <c r="C503" s="1" t="s">
        <v>1249</v>
      </c>
      <c r="D503" s="1" t="str">
        <f t="shared" si="1"/>
        <v>1</v>
      </c>
      <c r="E503" s="1" t="s">
        <v>1250</v>
      </c>
      <c r="G503" s="1">
        <f t="array" ref="G503">IF(ISNUMBER(MATCH(13794,Camille!$A:$A,0)), IF(OR(INDEX(Camille!$D:$D,MATCH(13794,Camille!$A:$A,0))=1, INDEX(Camille!$D:$D,MATCH(13794,Camille!$A:$A,0))=2), INDEX(Camille!$D:$D,MATCH(13794,Camille!$A:$A,0)), 0), 0)</f>
        <v>1</v>
      </c>
      <c r="H503" s="1">
        <f t="array" ref="H503">IF(ISNUMBER(MATCH(13794,Telmo!$A:$A,0)), IF(OR(INDEX(Telmo!$D:$D,MATCH(13794,Telmo!$A:$A,0))=1, INDEX(Telmo!$D:$D,MATCH(13794,Telmo!$A:$A,0))=2), INDEX(Telmo!$D:$D,MATCH(13794,Telmo!$A:$A,0)), 0), 0)</f>
        <v>0</v>
      </c>
      <c r="I503" s="1">
        <f t="array" ref="I503">IF(ISNUMBER(MATCH(13794,Max!$A:$A,0)), IF(OR(INDEX(Max!$D:$D,MATCH(13794,Max!$A:$A,0))=1, INDEX(Max!$D:$D,MATCH(13794,Max!$A:$A,0))=2), INDEX(Max!$D:$D,MATCH(13794,Max!$A:$A,0)), 0), 0)</f>
        <v>0</v>
      </c>
    </row>
    <row r="504" spans="1:9" ht="15.75" customHeight="1" x14ac:dyDescent="0.2">
      <c r="A504" s="1">
        <v>2373</v>
      </c>
      <c r="B504" s="1" t="s">
        <v>1251</v>
      </c>
      <c r="C504" s="1" t="s">
        <v>1252</v>
      </c>
      <c r="D504" s="1" t="str">
        <f t="shared" si="1"/>
        <v>1</v>
      </c>
      <c r="E504" s="1" t="s">
        <v>1253</v>
      </c>
      <c r="G504" s="1">
        <f t="array" ref="G504">IF(ISNUMBER(MATCH(2373,Camille!$A:$A,0)), IF(OR(INDEX(Camille!$D:$D,MATCH(2373,Camille!$A:$A,0))=1, INDEX(Camille!$D:$D,MATCH(2373,Camille!$A:$A,0))=2), INDEX(Camille!$D:$D,MATCH(2373,Camille!$A:$A,0)), 0), 0)</f>
        <v>1</v>
      </c>
      <c r="H504" s="1">
        <f t="array" ref="H504">IF(ISNUMBER(MATCH(2373,Telmo!$A:$A,0)), IF(OR(INDEX(Telmo!$D:$D,MATCH(2373,Telmo!$A:$A,0))=1, INDEX(Telmo!$D:$D,MATCH(2373,Telmo!$A:$A,0))=2), INDEX(Telmo!$D:$D,MATCH(2373,Telmo!$A:$A,0)), 0), 0)</f>
        <v>0</v>
      </c>
      <c r="I504" s="1">
        <f t="array" ref="I504">IF(ISNUMBER(MATCH(2373,Max!$A:$A,0)), IF(OR(INDEX(Max!$D:$D,MATCH(2373,Max!$A:$A,0))=1, INDEX(Max!$D:$D,MATCH(2373,Max!$A:$A,0))=2), INDEX(Max!$D:$D,MATCH(2373,Max!$A:$A,0)), 0), 0)</f>
        <v>0</v>
      </c>
    </row>
    <row r="505" spans="1:9" ht="15.75" customHeight="1" x14ac:dyDescent="0.2">
      <c r="A505" s="1">
        <v>45754</v>
      </c>
      <c r="B505" s="1" t="s">
        <v>17</v>
      </c>
      <c r="C505" s="1" t="s">
        <v>1254</v>
      </c>
      <c r="D505" s="1" t="str">
        <f t="shared" si="1"/>
        <v>2</v>
      </c>
      <c r="E505" s="1" t="s">
        <v>1255</v>
      </c>
      <c r="G505" s="1">
        <f t="array" ref="G505">IF(ISNUMBER(MATCH(45754,Camille!$A:$A,0)), IF(OR(INDEX(Camille!$D:$D,MATCH(45754,Camille!$A:$A,0))=1, INDEX(Camille!$D:$D,MATCH(45754,Camille!$A:$A,0))=2), INDEX(Camille!$D:$D,MATCH(45754,Camille!$A:$A,0)), 0), 0)</f>
        <v>2</v>
      </c>
      <c r="H505" s="1">
        <f t="array" ref="H505">IF(ISNUMBER(MATCH(45754,Telmo!$A:$A,0)), IF(OR(INDEX(Telmo!$D:$D,MATCH(45754,Telmo!$A:$A,0))=1, INDEX(Telmo!$D:$D,MATCH(45754,Telmo!$A:$A,0))=2), INDEX(Telmo!$D:$D,MATCH(45754,Telmo!$A:$A,0)), 0), 0)</f>
        <v>0</v>
      </c>
      <c r="I505" s="1">
        <f t="array" ref="I505">IF(ISNUMBER(MATCH(45754,Max!$A:$A,0)), IF(OR(INDEX(Max!$D:$D,MATCH(45754,Max!$A:$A,0))=1, INDEX(Max!$D:$D,MATCH(45754,Max!$A:$A,0))=2), INDEX(Max!$D:$D,MATCH(45754,Max!$A:$A,0)), 0), 0)</f>
        <v>0</v>
      </c>
    </row>
    <row r="506" spans="1:9" ht="15.75" customHeight="1" x14ac:dyDescent="0.2">
      <c r="A506" s="1">
        <v>14054</v>
      </c>
      <c r="B506" s="1" t="s">
        <v>1256</v>
      </c>
      <c r="C506" s="1" t="s">
        <v>1257</v>
      </c>
      <c r="D506" s="1" t="str">
        <f t="shared" si="1"/>
        <v>2</v>
      </c>
      <c r="E506" s="1" t="s">
        <v>1258</v>
      </c>
      <c r="G506" s="1">
        <f t="array" ref="G506">IF(ISNUMBER(MATCH(14054,Camille!$A:$A,0)), IF(OR(INDEX(Camille!$D:$D,MATCH(14054,Camille!$A:$A,0))=1, INDEX(Camille!$D:$D,MATCH(14054,Camille!$A:$A,0))=2), INDEX(Camille!$D:$D,MATCH(14054,Camille!$A:$A,0)), 0), 0)</f>
        <v>2</v>
      </c>
      <c r="H506" s="1">
        <f t="array" ref="H506">IF(ISNUMBER(MATCH(14054,Telmo!$A:$A,0)), IF(OR(INDEX(Telmo!$D:$D,MATCH(14054,Telmo!$A:$A,0))=1, INDEX(Telmo!$D:$D,MATCH(14054,Telmo!$A:$A,0))=2), INDEX(Telmo!$D:$D,MATCH(14054,Telmo!$A:$A,0)), 0), 0)</f>
        <v>0</v>
      </c>
      <c r="I506" s="1">
        <f t="array" ref="I506">IF(ISNUMBER(MATCH(14054,Max!$A:$A,0)), IF(OR(INDEX(Max!$D:$D,MATCH(14054,Max!$A:$A,0))=1, INDEX(Max!$D:$D,MATCH(14054,Max!$A:$A,0))=2), INDEX(Max!$D:$D,MATCH(14054,Max!$A:$A,0)), 0), 0)</f>
        <v>0</v>
      </c>
    </row>
    <row r="507" spans="1:9" ht="15.75" customHeight="1" x14ac:dyDescent="0.2">
      <c r="A507" s="1">
        <v>61111</v>
      </c>
      <c r="B507" s="1" t="s">
        <v>848</v>
      </c>
      <c r="C507" s="1" t="s">
        <v>1259</v>
      </c>
      <c r="D507" s="1" t="str">
        <f t="shared" si="1"/>
        <v>2</v>
      </c>
      <c r="E507" s="1" t="s">
        <v>1260</v>
      </c>
      <c r="G507" s="1">
        <f t="array" ref="G507">IF(ISNUMBER(MATCH(61111,Camille!$A:$A,0)), IF(OR(INDEX(Camille!$D:$D,MATCH(61111,Camille!$A:$A,0))=1, INDEX(Camille!$D:$D,MATCH(61111,Camille!$A:$A,0))=2), INDEX(Camille!$D:$D,MATCH(61111,Camille!$A:$A,0)), 0), 0)</f>
        <v>2</v>
      </c>
      <c r="H507" s="1">
        <f t="array" ref="H507">IF(ISNUMBER(MATCH(61111,Telmo!$A:$A,0)), IF(OR(INDEX(Telmo!$D:$D,MATCH(61111,Telmo!$A:$A,0))=1, INDEX(Telmo!$D:$D,MATCH(61111,Telmo!$A:$A,0))=2), INDEX(Telmo!$D:$D,MATCH(61111,Telmo!$A:$A,0)), 0), 0)</f>
        <v>0</v>
      </c>
      <c r="I507" s="1">
        <f t="array" ref="I507">IF(ISNUMBER(MATCH(61111,Max!$A:$A,0)), IF(OR(INDEX(Max!$D:$D,MATCH(61111,Max!$A:$A,0))=1, INDEX(Max!$D:$D,MATCH(61111,Max!$A:$A,0))=2), INDEX(Max!$D:$D,MATCH(61111,Max!$A:$A,0)), 0), 0)</f>
        <v>0</v>
      </c>
    </row>
    <row r="508" spans="1:9" ht="15.75" customHeight="1" x14ac:dyDescent="0.2">
      <c r="A508" s="1">
        <v>37855</v>
      </c>
      <c r="B508" s="1" t="s">
        <v>1261</v>
      </c>
      <c r="C508" s="1" t="s">
        <v>1262</v>
      </c>
      <c r="D508" s="1" t="str">
        <f t="shared" si="1"/>
        <v>1</v>
      </c>
      <c r="E508" s="1" t="s">
        <v>1263</v>
      </c>
      <c r="G508" s="1">
        <f t="array" ref="G508">IF(ISNUMBER(MATCH(37855,Camille!$A:$A,0)), IF(OR(INDEX(Camille!$D:$D,MATCH(37855,Camille!$A:$A,0))=1, INDEX(Camille!$D:$D,MATCH(37855,Camille!$A:$A,0))=2), INDEX(Camille!$D:$D,MATCH(37855,Camille!$A:$A,0)), 0), 0)</f>
        <v>1</v>
      </c>
      <c r="H508" s="1">
        <f t="array" ref="H508">IF(ISNUMBER(MATCH(37855,Telmo!$A:$A,0)), IF(OR(INDEX(Telmo!$D:$D,MATCH(37855,Telmo!$A:$A,0))=1, INDEX(Telmo!$D:$D,MATCH(37855,Telmo!$A:$A,0))=2), INDEX(Telmo!$D:$D,MATCH(37855,Telmo!$A:$A,0)), 0), 0)</f>
        <v>0</v>
      </c>
      <c r="I508" s="1">
        <f t="array" ref="I508">IF(ISNUMBER(MATCH(37855,Max!$A:$A,0)), IF(OR(INDEX(Max!$D:$D,MATCH(37855,Max!$A:$A,0))=1, INDEX(Max!$D:$D,MATCH(37855,Max!$A:$A,0))=2), INDEX(Max!$D:$D,MATCH(37855,Max!$A:$A,0)), 0), 0)</f>
        <v>0</v>
      </c>
    </row>
    <row r="509" spans="1:9" ht="15.75" customHeight="1" x14ac:dyDescent="0.2">
      <c r="A509" s="1">
        <v>25589</v>
      </c>
      <c r="B509" s="1" t="s">
        <v>32</v>
      </c>
      <c r="C509" s="1" t="s">
        <v>1264</v>
      </c>
      <c r="D509" s="1" t="str">
        <f t="shared" si="1"/>
        <v>2</v>
      </c>
      <c r="E509" s="1" t="s">
        <v>1265</v>
      </c>
      <c r="G509" s="1">
        <f t="array" ref="G509">IF(ISNUMBER(MATCH(25589,Camille!$A:$A,0)), IF(OR(INDEX(Camille!$D:$D,MATCH(25589,Camille!$A:$A,0))=1, INDEX(Camille!$D:$D,MATCH(25589,Camille!$A:$A,0))=2), INDEX(Camille!$D:$D,MATCH(25589,Camille!$A:$A,0)), 0), 0)</f>
        <v>2</v>
      </c>
      <c r="H509" s="1">
        <f t="array" ref="H509">IF(ISNUMBER(MATCH(25589,Telmo!$A:$A,0)), IF(OR(INDEX(Telmo!$D:$D,MATCH(25589,Telmo!$A:$A,0))=1, INDEX(Telmo!$D:$D,MATCH(25589,Telmo!$A:$A,0))=2), INDEX(Telmo!$D:$D,MATCH(25589,Telmo!$A:$A,0)), 0), 0)</f>
        <v>0</v>
      </c>
      <c r="I509" s="1">
        <f t="array" ref="I509">IF(ISNUMBER(MATCH(25589,Max!$A:$A,0)), IF(OR(INDEX(Max!$D:$D,MATCH(25589,Max!$A:$A,0))=1, INDEX(Max!$D:$D,MATCH(25589,Max!$A:$A,0))=2), INDEX(Max!$D:$D,MATCH(25589,Max!$A:$A,0)), 0), 0)</f>
        <v>0</v>
      </c>
    </row>
    <row r="510" spans="1:9" ht="15.75" customHeight="1" x14ac:dyDescent="0.2">
      <c r="A510" s="1">
        <v>17254</v>
      </c>
      <c r="B510" s="1" t="s">
        <v>109</v>
      </c>
      <c r="C510" s="1" t="s">
        <v>1266</v>
      </c>
      <c r="D510" s="1" t="str">
        <f t="shared" si="1"/>
        <v>2</v>
      </c>
      <c r="E510" s="1" t="s">
        <v>1267</v>
      </c>
      <c r="G510" s="1">
        <f t="array" ref="G510">IF(ISNUMBER(MATCH(17254,Camille!$A:$A,0)), IF(OR(INDEX(Camille!$D:$D,MATCH(17254,Camille!$A:$A,0))=1, INDEX(Camille!$D:$D,MATCH(17254,Camille!$A:$A,0))=2), INDEX(Camille!$D:$D,MATCH(17254,Camille!$A:$A,0)), 0), 0)</f>
        <v>2</v>
      </c>
      <c r="H510" s="1">
        <f t="array" ref="H510">IF(ISNUMBER(MATCH(17254,Telmo!$A:$A,0)), IF(OR(INDEX(Telmo!$D:$D,MATCH(17254,Telmo!$A:$A,0))=1, INDEX(Telmo!$D:$D,MATCH(17254,Telmo!$A:$A,0))=2), INDEX(Telmo!$D:$D,MATCH(17254,Telmo!$A:$A,0)), 0), 0)</f>
        <v>0</v>
      </c>
      <c r="I510" s="1">
        <f t="array" ref="I510">IF(ISNUMBER(MATCH(17254,Max!$A:$A,0)), IF(OR(INDEX(Max!$D:$D,MATCH(17254,Max!$A:$A,0))=1, INDEX(Max!$D:$D,MATCH(17254,Max!$A:$A,0))=2), INDEX(Max!$D:$D,MATCH(17254,Max!$A:$A,0)), 0), 0)</f>
        <v>0</v>
      </c>
    </row>
    <row r="511" spans="1:9" ht="15.75" customHeight="1" x14ac:dyDescent="0.2">
      <c r="A511" s="1">
        <v>57839</v>
      </c>
      <c r="B511" s="1" t="s">
        <v>751</v>
      </c>
      <c r="C511" s="1" t="s">
        <v>1268</v>
      </c>
      <c r="D511" s="1" t="str">
        <f t="shared" si="1"/>
        <v>2</v>
      </c>
      <c r="E511" s="1" t="s">
        <v>1269</v>
      </c>
      <c r="G511" s="1">
        <f t="array" ref="G511">IF(ISNUMBER(MATCH(57839,Camille!$A:$A,0)), IF(OR(INDEX(Camille!$D:$D,MATCH(57839,Camille!$A:$A,0))=1, INDEX(Camille!$D:$D,MATCH(57839,Camille!$A:$A,0))=2), INDEX(Camille!$D:$D,MATCH(57839,Camille!$A:$A,0)), 0), 0)</f>
        <v>2</v>
      </c>
      <c r="H511" s="1">
        <f t="array" ref="H511">IF(ISNUMBER(MATCH(57839,Telmo!$A:$A,0)), IF(OR(INDEX(Telmo!$D:$D,MATCH(57839,Telmo!$A:$A,0))=1, INDEX(Telmo!$D:$D,MATCH(57839,Telmo!$A:$A,0))=2), INDEX(Telmo!$D:$D,MATCH(57839,Telmo!$A:$A,0)), 0), 0)</f>
        <v>0</v>
      </c>
      <c r="I511" s="1">
        <f t="array" ref="I511">IF(ISNUMBER(MATCH(57839,Max!$A:$A,0)), IF(OR(INDEX(Max!$D:$D,MATCH(57839,Max!$A:$A,0))=1, INDEX(Max!$D:$D,MATCH(57839,Max!$A:$A,0))=2), INDEX(Max!$D:$D,MATCH(57839,Max!$A:$A,0)), 0), 0)</f>
        <v>0</v>
      </c>
    </row>
    <row r="512" spans="1:9" ht="15.75" customHeight="1" x14ac:dyDescent="0.2">
      <c r="A512" s="1">
        <v>16012</v>
      </c>
      <c r="B512" s="1" t="s">
        <v>87</v>
      </c>
      <c r="C512" s="1" t="s">
        <v>1270</v>
      </c>
      <c r="D512" s="1" t="str">
        <f t="shared" si="1"/>
        <v>2</v>
      </c>
      <c r="E512" s="1" t="s">
        <v>1271</v>
      </c>
      <c r="G512" s="1">
        <f t="array" ref="G512">IF(ISNUMBER(MATCH(16012,Camille!$A:$A,0)), IF(OR(INDEX(Camille!$D:$D,MATCH(16012,Camille!$A:$A,0))=1, INDEX(Camille!$D:$D,MATCH(16012,Camille!$A:$A,0))=2), INDEX(Camille!$D:$D,MATCH(16012,Camille!$A:$A,0)), 0), 0)</f>
        <v>2</v>
      </c>
      <c r="H512" s="1">
        <f t="array" ref="H512">IF(ISNUMBER(MATCH(16012,Telmo!$A:$A,0)), IF(OR(INDEX(Telmo!$D:$D,MATCH(16012,Telmo!$A:$A,0))=1, INDEX(Telmo!$D:$D,MATCH(16012,Telmo!$A:$A,0))=2), INDEX(Telmo!$D:$D,MATCH(16012,Telmo!$A:$A,0)), 0), 0)</f>
        <v>0</v>
      </c>
      <c r="I512" s="1">
        <f t="array" ref="I512">IF(ISNUMBER(MATCH(16012,Max!$A:$A,0)), IF(OR(INDEX(Max!$D:$D,MATCH(16012,Max!$A:$A,0))=1, INDEX(Max!$D:$D,MATCH(16012,Max!$A:$A,0))=2), INDEX(Max!$D:$D,MATCH(16012,Max!$A:$A,0)), 0), 0)</f>
        <v>0</v>
      </c>
    </row>
    <row r="513" spans="1:9" ht="15.75" customHeight="1" x14ac:dyDescent="0.2">
      <c r="A513" s="1">
        <v>33784</v>
      </c>
      <c r="B513" s="1" t="s">
        <v>863</v>
      </c>
      <c r="C513" s="1" t="s">
        <v>1272</v>
      </c>
      <c r="D513" s="1" t="str">
        <f t="shared" si="1"/>
        <v>2</v>
      </c>
      <c r="E513" s="1" t="s">
        <v>1273</v>
      </c>
      <c r="G513" s="1">
        <f t="array" ref="G513">IF(ISNUMBER(MATCH(33784,Camille!$A:$A,0)), IF(OR(INDEX(Camille!$D:$D,MATCH(33784,Camille!$A:$A,0))=1, INDEX(Camille!$D:$D,MATCH(33784,Camille!$A:$A,0))=2), INDEX(Camille!$D:$D,MATCH(33784,Camille!$A:$A,0)), 0), 0)</f>
        <v>2</v>
      </c>
      <c r="H513" s="1">
        <f t="array" ref="H513">IF(ISNUMBER(MATCH(33784,Telmo!$A:$A,0)), IF(OR(INDEX(Telmo!$D:$D,MATCH(33784,Telmo!$A:$A,0))=1, INDEX(Telmo!$D:$D,MATCH(33784,Telmo!$A:$A,0))=2), INDEX(Telmo!$D:$D,MATCH(33784,Telmo!$A:$A,0)), 0), 0)</f>
        <v>0</v>
      </c>
      <c r="I513" s="1">
        <f t="array" ref="I513">IF(ISNUMBER(MATCH(33784,Max!$A:$A,0)), IF(OR(INDEX(Max!$D:$D,MATCH(33784,Max!$A:$A,0))=1, INDEX(Max!$D:$D,MATCH(33784,Max!$A:$A,0))=2), INDEX(Max!$D:$D,MATCH(33784,Max!$A:$A,0)), 0), 0)</f>
        <v>0</v>
      </c>
    </row>
    <row r="514" spans="1:9" ht="15.75" customHeight="1" x14ac:dyDescent="0.2">
      <c r="A514" s="1">
        <v>41470</v>
      </c>
      <c r="B514" s="1" t="s">
        <v>1274</v>
      </c>
      <c r="C514" s="1" t="s">
        <v>1275</v>
      </c>
      <c r="D514" s="1" t="str">
        <f t="shared" si="1"/>
        <v>2</v>
      </c>
      <c r="E514" s="1" t="s">
        <v>1276</v>
      </c>
      <c r="G514" s="1">
        <f t="array" ref="G514">IF(ISNUMBER(MATCH(41470,Camille!$A:$A,0)), IF(OR(INDEX(Camille!$D:$D,MATCH(41470,Camille!$A:$A,0))=1, INDEX(Camille!$D:$D,MATCH(41470,Camille!$A:$A,0))=2), INDEX(Camille!$D:$D,MATCH(41470,Camille!$A:$A,0)), 0), 0)</f>
        <v>2</v>
      </c>
      <c r="H514" s="1">
        <f t="array" ref="H514">IF(ISNUMBER(MATCH(41470,Telmo!$A:$A,0)), IF(OR(INDEX(Telmo!$D:$D,MATCH(41470,Telmo!$A:$A,0))=1, INDEX(Telmo!$D:$D,MATCH(41470,Telmo!$A:$A,0))=2), INDEX(Telmo!$D:$D,MATCH(41470,Telmo!$A:$A,0)), 0), 0)</f>
        <v>0</v>
      </c>
      <c r="I514" s="1">
        <f t="array" ref="I514">IF(ISNUMBER(MATCH(41470,Max!$A:$A,0)), IF(OR(INDEX(Max!$D:$D,MATCH(41470,Max!$A:$A,0))=1, INDEX(Max!$D:$D,MATCH(41470,Max!$A:$A,0))=2), INDEX(Max!$D:$D,MATCH(41470,Max!$A:$A,0)), 0), 0)</f>
        <v>0</v>
      </c>
    </row>
    <row r="515" spans="1:9" ht="15.75" customHeight="1" x14ac:dyDescent="0.2">
      <c r="A515" s="1">
        <v>33768</v>
      </c>
      <c r="B515" s="1" t="s">
        <v>1277</v>
      </c>
      <c r="C515" s="1" t="s">
        <v>1278</v>
      </c>
      <c r="D515" s="1" t="str">
        <f t="shared" ref="D515:D769" si="2">IF(SUM(G515:I515)=0, "", IF(COUNTIF(G515:I515, "1") &gt; 0, IF(COUNTIF(G515:I515, "2") &gt; 0, "3", "1"),IF(COUNTIF(G515:I515, "2") &gt; 0, "2", "")))</f>
        <v>1</v>
      </c>
      <c r="E515" s="1" t="s">
        <v>1279</v>
      </c>
      <c r="G515" s="1">
        <f t="array" ref="G515">IF(ISNUMBER(MATCH(33768,Camille!$A:$A,0)), IF(OR(INDEX(Camille!$D:$D,MATCH(33768,Camille!$A:$A,0))=1, INDEX(Camille!$D:$D,MATCH(33768,Camille!$A:$A,0))=2), INDEX(Camille!$D:$D,MATCH(33768,Camille!$A:$A,0)), 0), 0)</f>
        <v>1</v>
      </c>
      <c r="H515" s="1">
        <f t="array" ref="H515">IF(ISNUMBER(MATCH(33768,Telmo!$A:$A,0)), IF(OR(INDEX(Telmo!$D:$D,MATCH(33768,Telmo!$A:$A,0))=1, INDEX(Telmo!$D:$D,MATCH(33768,Telmo!$A:$A,0))=2), INDEX(Telmo!$D:$D,MATCH(33768,Telmo!$A:$A,0)), 0), 0)</f>
        <v>0</v>
      </c>
      <c r="I515" s="1">
        <f t="array" ref="I515">IF(ISNUMBER(MATCH(33768,Max!$A:$A,0)), IF(OR(INDEX(Max!$D:$D,MATCH(33768,Max!$A:$A,0))=1, INDEX(Max!$D:$D,MATCH(33768,Max!$A:$A,0))=2), INDEX(Max!$D:$D,MATCH(33768,Max!$A:$A,0)), 0), 0)</f>
        <v>0</v>
      </c>
    </row>
    <row r="516" spans="1:9" ht="15.75" customHeight="1" x14ac:dyDescent="0.2">
      <c r="A516" s="1">
        <v>60562</v>
      </c>
      <c r="B516" s="1" t="s">
        <v>751</v>
      </c>
      <c r="C516" s="1" t="s">
        <v>1280</v>
      </c>
      <c r="D516" s="1" t="str">
        <f t="shared" si="2"/>
        <v>2</v>
      </c>
      <c r="E516" s="1" t="s">
        <v>1281</v>
      </c>
      <c r="G516" s="1">
        <f t="array" ref="G516">IF(ISNUMBER(MATCH(60562,Camille!$A:$A,0)), IF(OR(INDEX(Camille!$D:$D,MATCH(60562,Camille!$A:$A,0))=1, INDEX(Camille!$D:$D,MATCH(60562,Camille!$A:$A,0))=2), INDEX(Camille!$D:$D,MATCH(60562,Camille!$A:$A,0)), 0), 0)</f>
        <v>2</v>
      </c>
      <c r="H516" s="1">
        <f t="array" ref="H516">IF(ISNUMBER(MATCH(60562,Telmo!$A:$A,0)), IF(OR(INDEX(Telmo!$D:$D,MATCH(60562,Telmo!$A:$A,0))=1, INDEX(Telmo!$D:$D,MATCH(60562,Telmo!$A:$A,0))=2), INDEX(Telmo!$D:$D,MATCH(60562,Telmo!$A:$A,0)), 0), 0)</f>
        <v>0</v>
      </c>
      <c r="I516" s="1">
        <f t="array" ref="I516">IF(ISNUMBER(MATCH(60562,Max!$A:$A,0)), IF(OR(INDEX(Max!$D:$D,MATCH(60562,Max!$A:$A,0))=1, INDEX(Max!$D:$D,MATCH(60562,Max!$A:$A,0))=2), INDEX(Max!$D:$D,MATCH(60562,Max!$A:$A,0)), 0), 0)</f>
        <v>0</v>
      </c>
    </row>
    <row r="517" spans="1:9" ht="15.75" customHeight="1" x14ac:dyDescent="0.2">
      <c r="A517" s="1">
        <v>48387</v>
      </c>
      <c r="B517" s="1" t="s">
        <v>268</v>
      </c>
      <c r="C517" s="1" t="s">
        <v>1282</v>
      </c>
      <c r="D517" s="1" t="str">
        <f t="shared" si="2"/>
        <v>2</v>
      </c>
      <c r="E517" s="1" t="s">
        <v>1283</v>
      </c>
      <c r="G517" s="1">
        <f t="array" ref="G517">IF(ISNUMBER(MATCH(48387,Camille!$A:$A,0)), IF(OR(INDEX(Camille!$D:$D,MATCH(48387,Camille!$A:$A,0))=1, INDEX(Camille!$D:$D,MATCH(48387,Camille!$A:$A,0))=2), INDEX(Camille!$D:$D,MATCH(48387,Camille!$A:$A,0)), 0), 0)</f>
        <v>2</v>
      </c>
      <c r="H517" s="1">
        <f t="array" ref="H517">IF(ISNUMBER(MATCH(48387,Telmo!$A:$A,0)), IF(OR(INDEX(Telmo!$D:$D,MATCH(48387,Telmo!$A:$A,0))=1, INDEX(Telmo!$D:$D,MATCH(48387,Telmo!$A:$A,0))=2), INDEX(Telmo!$D:$D,MATCH(48387,Telmo!$A:$A,0)), 0), 0)</f>
        <v>0</v>
      </c>
      <c r="I517" s="1">
        <f t="array" ref="I517">IF(ISNUMBER(MATCH(48387,Max!$A:$A,0)), IF(OR(INDEX(Max!$D:$D,MATCH(48387,Max!$A:$A,0))=1, INDEX(Max!$D:$D,MATCH(48387,Max!$A:$A,0))=2), INDEX(Max!$D:$D,MATCH(48387,Max!$A:$A,0)), 0), 0)</f>
        <v>0</v>
      </c>
    </row>
    <row r="518" spans="1:9" ht="15.75" customHeight="1" x14ac:dyDescent="0.2">
      <c r="A518" s="1">
        <v>299</v>
      </c>
      <c r="B518" s="1" t="s">
        <v>430</v>
      </c>
      <c r="C518" s="1" t="s">
        <v>1284</v>
      </c>
      <c r="D518" s="1" t="str">
        <f t="shared" si="2"/>
        <v>2</v>
      </c>
      <c r="E518" s="1" t="s">
        <v>1285</v>
      </c>
      <c r="G518" s="1">
        <f t="array" ref="G518">IF(ISNUMBER(MATCH(299,Camille!$A:$A,0)), IF(OR(INDEX(Camille!$D:$D,MATCH(299,Camille!$A:$A,0))=1, INDEX(Camille!$D:$D,MATCH(299,Camille!$A:$A,0))=2), INDEX(Camille!$D:$D,MATCH(299,Camille!$A:$A,0)), 0), 0)</f>
        <v>2</v>
      </c>
      <c r="H518" s="1">
        <f t="array" ref="H518">IF(ISNUMBER(MATCH(299,Telmo!$A:$A,0)), IF(OR(INDEX(Telmo!$D:$D,MATCH(299,Telmo!$A:$A,0))=1, INDEX(Telmo!$D:$D,MATCH(299,Telmo!$A:$A,0))=2), INDEX(Telmo!$D:$D,MATCH(299,Telmo!$A:$A,0)), 0), 0)</f>
        <v>0</v>
      </c>
      <c r="I518" s="1">
        <f t="array" ref="I518">IF(ISNUMBER(MATCH(299,Max!$A:$A,0)), IF(OR(INDEX(Max!$D:$D,MATCH(299,Max!$A:$A,0))=1, INDEX(Max!$D:$D,MATCH(299,Max!$A:$A,0))=2), INDEX(Max!$D:$D,MATCH(299,Max!$A:$A,0)), 0), 0)</f>
        <v>0</v>
      </c>
    </row>
    <row r="519" spans="1:9" ht="15.75" customHeight="1" x14ac:dyDescent="0.2">
      <c r="A519" s="1">
        <v>42057</v>
      </c>
      <c r="B519" s="1" t="s">
        <v>38</v>
      </c>
      <c r="C519" s="1" t="s">
        <v>1286</v>
      </c>
      <c r="D519" s="1" t="str">
        <f t="shared" si="2"/>
        <v>2</v>
      </c>
      <c r="E519" s="1" t="s">
        <v>1287</v>
      </c>
      <c r="G519" s="1">
        <f t="array" ref="G519">IF(ISNUMBER(MATCH(42057,Camille!$A:$A,0)), IF(OR(INDEX(Camille!$D:$D,MATCH(42057,Camille!$A:$A,0))=1, INDEX(Camille!$D:$D,MATCH(42057,Camille!$A:$A,0))=2), INDEX(Camille!$D:$D,MATCH(42057,Camille!$A:$A,0)), 0), 0)</f>
        <v>2</v>
      </c>
      <c r="H519" s="1">
        <f t="array" ref="H519">IF(ISNUMBER(MATCH(42057,Telmo!$A:$A,0)), IF(OR(INDEX(Telmo!$D:$D,MATCH(42057,Telmo!$A:$A,0))=1, INDEX(Telmo!$D:$D,MATCH(42057,Telmo!$A:$A,0))=2), INDEX(Telmo!$D:$D,MATCH(42057,Telmo!$A:$A,0)), 0), 0)</f>
        <v>0</v>
      </c>
      <c r="I519" s="1">
        <f t="array" ref="I519">IF(ISNUMBER(MATCH(42057,Max!$A:$A,0)), IF(OR(INDEX(Max!$D:$D,MATCH(42057,Max!$A:$A,0))=1, INDEX(Max!$D:$D,MATCH(42057,Max!$A:$A,0))=2), INDEX(Max!$D:$D,MATCH(42057,Max!$A:$A,0)), 0), 0)</f>
        <v>0</v>
      </c>
    </row>
    <row r="520" spans="1:9" ht="15.75" customHeight="1" x14ac:dyDescent="0.2">
      <c r="A520" s="1">
        <v>38040</v>
      </c>
      <c r="B520" s="1" t="s">
        <v>819</v>
      </c>
      <c r="C520" s="1" t="s">
        <v>1288</v>
      </c>
      <c r="D520" s="1" t="str">
        <f t="shared" si="2"/>
        <v>1</v>
      </c>
      <c r="E520" s="1" t="s">
        <v>1289</v>
      </c>
      <c r="G520" s="1">
        <f t="array" ref="G520">IF(ISNUMBER(MATCH(38040,Camille!$A:$A,0)), IF(OR(INDEX(Camille!$D:$D,MATCH(38040,Camille!$A:$A,0))=1, INDEX(Camille!$D:$D,MATCH(38040,Camille!$A:$A,0))=2), INDEX(Camille!$D:$D,MATCH(38040,Camille!$A:$A,0)), 0), 0)</f>
        <v>1</v>
      </c>
      <c r="H520" s="1">
        <f t="array" ref="H520">IF(ISNUMBER(MATCH(38040,Telmo!$A:$A,0)), IF(OR(INDEX(Telmo!$D:$D,MATCH(38040,Telmo!$A:$A,0))=1, INDEX(Telmo!$D:$D,MATCH(38040,Telmo!$A:$A,0))=2), INDEX(Telmo!$D:$D,MATCH(38040,Telmo!$A:$A,0)), 0), 0)</f>
        <v>0</v>
      </c>
      <c r="I520" s="1">
        <f t="array" ref="I520">IF(ISNUMBER(MATCH(38040,Max!$A:$A,0)), IF(OR(INDEX(Max!$D:$D,MATCH(38040,Max!$A:$A,0))=1, INDEX(Max!$D:$D,MATCH(38040,Max!$A:$A,0))=2), INDEX(Max!$D:$D,MATCH(38040,Max!$A:$A,0)), 0), 0)</f>
        <v>0</v>
      </c>
    </row>
    <row r="521" spans="1:9" ht="15.75" customHeight="1" x14ac:dyDescent="0.2">
      <c r="A521" s="1">
        <v>43521</v>
      </c>
      <c r="B521" s="1" t="s">
        <v>1290</v>
      </c>
      <c r="C521" s="1" t="s">
        <v>1291</v>
      </c>
      <c r="D521" s="1" t="str">
        <f t="shared" si="2"/>
        <v>2</v>
      </c>
      <c r="E521" s="1" t="s">
        <v>1292</v>
      </c>
      <c r="G521" s="1">
        <f t="array" ref="G521">IF(ISNUMBER(MATCH(43521,Camille!$A:$A,0)), IF(OR(INDEX(Camille!$D:$D,MATCH(43521,Camille!$A:$A,0))=1, INDEX(Camille!$D:$D,MATCH(43521,Camille!$A:$A,0))=2), INDEX(Camille!$D:$D,MATCH(43521,Camille!$A:$A,0)), 0), 0)</f>
        <v>2</v>
      </c>
      <c r="H521" s="1">
        <f t="array" ref="H521">IF(ISNUMBER(MATCH(43521,Telmo!$A:$A,0)), IF(OR(INDEX(Telmo!$D:$D,MATCH(43521,Telmo!$A:$A,0))=1, INDEX(Telmo!$D:$D,MATCH(43521,Telmo!$A:$A,0))=2), INDEX(Telmo!$D:$D,MATCH(43521,Telmo!$A:$A,0)), 0), 0)</f>
        <v>0</v>
      </c>
      <c r="I521" s="1">
        <f t="array" ref="I521">IF(ISNUMBER(MATCH(43521,Max!$A:$A,0)), IF(OR(INDEX(Max!$D:$D,MATCH(43521,Max!$A:$A,0))=1, INDEX(Max!$D:$D,MATCH(43521,Max!$A:$A,0))=2), INDEX(Max!$D:$D,MATCH(43521,Max!$A:$A,0)), 0), 0)</f>
        <v>0</v>
      </c>
    </row>
    <row r="522" spans="1:9" ht="15.75" customHeight="1" x14ac:dyDescent="0.2">
      <c r="A522" s="1">
        <v>70471</v>
      </c>
      <c r="B522" s="1" t="s">
        <v>723</v>
      </c>
      <c r="C522" s="1" t="s">
        <v>1293</v>
      </c>
      <c r="D522" s="1" t="str">
        <f t="shared" si="2"/>
        <v>1</v>
      </c>
      <c r="E522" s="1" t="s">
        <v>1294</v>
      </c>
      <c r="G522" s="1">
        <f t="array" ref="G522">IF(ISNUMBER(MATCH(70471,Camille!$A:$A,0)), IF(OR(INDEX(Camille!$D:$D,MATCH(70471,Camille!$A:$A,0))=1, INDEX(Camille!$D:$D,MATCH(70471,Camille!$A:$A,0))=2), INDEX(Camille!$D:$D,MATCH(70471,Camille!$A:$A,0)), 0), 0)</f>
        <v>1</v>
      </c>
      <c r="H522" s="1">
        <f t="array" ref="H522">IF(ISNUMBER(MATCH(70471,Telmo!$A:$A,0)), IF(OR(INDEX(Telmo!$D:$D,MATCH(70471,Telmo!$A:$A,0))=1, INDEX(Telmo!$D:$D,MATCH(70471,Telmo!$A:$A,0))=2), INDEX(Telmo!$D:$D,MATCH(70471,Telmo!$A:$A,0)), 0), 0)</f>
        <v>0</v>
      </c>
      <c r="I522" s="1">
        <f t="array" ref="I522">IF(ISNUMBER(MATCH(70471,Max!$A:$A,0)), IF(OR(INDEX(Max!$D:$D,MATCH(70471,Max!$A:$A,0))=1, INDEX(Max!$D:$D,MATCH(70471,Max!$A:$A,0))=2), INDEX(Max!$D:$D,MATCH(70471,Max!$A:$A,0)), 0), 0)</f>
        <v>0</v>
      </c>
    </row>
    <row r="523" spans="1:9" ht="15.75" customHeight="1" x14ac:dyDescent="0.2">
      <c r="A523" s="1">
        <v>34667</v>
      </c>
      <c r="B523" s="1" t="s">
        <v>326</v>
      </c>
      <c r="C523" s="1" t="s">
        <v>1295</v>
      </c>
      <c r="D523" s="1" t="str">
        <f t="shared" si="2"/>
        <v>1</v>
      </c>
      <c r="E523" s="1" t="s">
        <v>1296</v>
      </c>
      <c r="G523" s="1">
        <f t="array" ref="G523">IF(ISNUMBER(MATCH(34667,Camille!$A:$A,0)), IF(OR(INDEX(Camille!$D:$D,MATCH(34667,Camille!$A:$A,0))=1, INDEX(Camille!$D:$D,MATCH(34667,Camille!$A:$A,0))=2), INDEX(Camille!$D:$D,MATCH(34667,Camille!$A:$A,0)), 0), 0)</f>
        <v>1</v>
      </c>
      <c r="H523" s="1">
        <f t="array" ref="H523">IF(ISNUMBER(MATCH(34667,Telmo!$A:$A,0)), IF(OR(INDEX(Telmo!$D:$D,MATCH(34667,Telmo!$A:$A,0))=1, INDEX(Telmo!$D:$D,MATCH(34667,Telmo!$A:$A,0))=2), INDEX(Telmo!$D:$D,MATCH(34667,Telmo!$A:$A,0)), 0), 0)</f>
        <v>0</v>
      </c>
      <c r="I523" s="1">
        <f t="array" ref="I523">IF(ISNUMBER(MATCH(34667,Max!$A:$A,0)), IF(OR(INDEX(Max!$D:$D,MATCH(34667,Max!$A:$A,0))=1, INDEX(Max!$D:$D,MATCH(34667,Max!$A:$A,0))=2), INDEX(Max!$D:$D,MATCH(34667,Max!$A:$A,0)), 0), 0)</f>
        <v>0</v>
      </c>
    </row>
    <row r="524" spans="1:9" ht="15.75" customHeight="1" x14ac:dyDescent="0.2">
      <c r="A524" s="1">
        <v>24842</v>
      </c>
      <c r="B524" s="1" t="s">
        <v>138</v>
      </c>
      <c r="C524" s="1" t="s">
        <v>1297</v>
      </c>
      <c r="D524" s="1" t="str">
        <f t="shared" si="2"/>
        <v>2</v>
      </c>
      <c r="E524" s="1" t="s">
        <v>1298</v>
      </c>
      <c r="G524" s="1">
        <f t="array" ref="G524">IF(ISNUMBER(MATCH(24842,Camille!$A:$A,0)), IF(OR(INDEX(Camille!$D:$D,MATCH(24842,Camille!$A:$A,0))=1, INDEX(Camille!$D:$D,MATCH(24842,Camille!$A:$A,0))=2), INDEX(Camille!$D:$D,MATCH(24842,Camille!$A:$A,0)), 0), 0)</f>
        <v>2</v>
      </c>
      <c r="H524" s="1">
        <f t="array" ref="H524">IF(ISNUMBER(MATCH(24842,Telmo!$A:$A,0)), IF(OR(INDEX(Telmo!$D:$D,MATCH(24842,Telmo!$A:$A,0))=1, INDEX(Telmo!$D:$D,MATCH(24842,Telmo!$A:$A,0))=2), INDEX(Telmo!$D:$D,MATCH(24842,Telmo!$A:$A,0)), 0), 0)</f>
        <v>0</v>
      </c>
      <c r="I524" s="1">
        <f t="array" ref="I524">IF(ISNUMBER(MATCH(24842,Max!$A:$A,0)), IF(OR(INDEX(Max!$D:$D,MATCH(24842,Max!$A:$A,0))=1, INDEX(Max!$D:$D,MATCH(24842,Max!$A:$A,0))=2), INDEX(Max!$D:$D,MATCH(24842,Max!$A:$A,0)), 0), 0)</f>
        <v>0</v>
      </c>
    </row>
    <row r="525" spans="1:9" ht="15.75" customHeight="1" x14ac:dyDescent="0.2">
      <c r="A525" s="1">
        <v>33105</v>
      </c>
      <c r="B525" s="1" t="s">
        <v>1299</v>
      </c>
      <c r="C525" s="1" t="s">
        <v>1300</v>
      </c>
      <c r="D525" s="1" t="str">
        <f t="shared" si="2"/>
        <v>1</v>
      </c>
      <c r="E525" s="1" t="s">
        <v>1301</v>
      </c>
      <c r="G525" s="1">
        <f t="array" ref="G525">IF(ISNUMBER(MATCH(33105,Camille!$A:$A,0)), IF(OR(INDEX(Camille!$D:$D,MATCH(33105,Camille!$A:$A,0))=1, INDEX(Camille!$D:$D,MATCH(33105,Camille!$A:$A,0))=2), INDEX(Camille!$D:$D,MATCH(33105,Camille!$A:$A,0)), 0), 0)</f>
        <v>1</v>
      </c>
      <c r="H525" s="1">
        <f t="array" ref="H525">IF(ISNUMBER(MATCH(33105,Telmo!$A:$A,0)), IF(OR(INDEX(Telmo!$D:$D,MATCH(33105,Telmo!$A:$A,0))=1, INDEX(Telmo!$D:$D,MATCH(33105,Telmo!$A:$A,0))=2), INDEX(Telmo!$D:$D,MATCH(33105,Telmo!$A:$A,0)), 0), 0)</f>
        <v>0</v>
      </c>
      <c r="I525" s="1">
        <f t="array" ref="I525">IF(ISNUMBER(MATCH(33105,Max!$A:$A,0)), IF(OR(INDEX(Max!$D:$D,MATCH(33105,Max!$A:$A,0))=1, INDEX(Max!$D:$D,MATCH(33105,Max!$A:$A,0))=2), INDEX(Max!$D:$D,MATCH(33105,Max!$A:$A,0)), 0), 0)</f>
        <v>0</v>
      </c>
    </row>
    <row r="526" spans="1:9" ht="15.75" customHeight="1" x14ac:dyDescent="0.2">
      <c r="A526" s="1">
        <v>41463</v>
      </c>
      <c r="B526" s="1" t="s">
        <v>1302</v>
      </c>
      <c r="C526" s="1" t="s">
        <v>1303</v>
      </c>
      <c r="D526" s="1" t="str">
        <f t="shared" si="2"/>
        <v>1</v>
      </c>
      <c r="E526" s="1" t="s">
        <v>1304</v>
      </c>
      <c r="G526" s="1">
        <f t="array" ref="G526">IF(ISNUMBER(MATCH(41463,Camille!$A:$A,0)), IF(OR(INDEX(Camille!$D:$D,MATCH(41463,Camille!$A:$A,0))=1, INDEX(Camille!$D:$D,MATCH(41463,Camille!$A:$A,0))=2), INDEX(Camille!$D:$D,MATCH(41463,Camille!$A:$A,0)), 0), 0)</f>
        <v>1</v>
      </c>
      <c r="H526" s="1">
        <f t="array" ref="H526">IF(ISNUMBER(MATCH(41463,Telmo!$A:$A,0)), IF(OR(INDEX(Telmo!$D:$D,MATCH(41463,Telmo!$A:$A,0))=1, INDEX(Telmo!$D:$D,MATCH(41463,Telmo!$A:$A,0))=2), INDEX(Telmo!$D:$D,MATCH(41463,Telmo!$A:$A,0)), 0), 0)</f>
        <v>0</v>
      </c>
      <c r="I526" s="1">
        <f t="array" ref="I526">IF(ISNUMBER(MATCH(41463,Max!$A:$A,0)), IF(OR(INDEX(Max!$D:$D,MATCH(41463,Max!$A:$A,0))=1, INDEX(Max!$D:$D,MATCH(41463,Max!$A:$A,0))=2), INDEX(Max!$D:$D,MATCH(41463,Max!$A:$A,0)), 0), 0)</f>
        <v>0</v>
      </c>
    </row>
    <row r="527" spans="1:9" ht="15.75" customHeight="1" x14ac:dyDescent="0.2">
      <c r="A527" s="1">
        <v>15011</v>
      </c>
      <c r="B527" s="1" t="s">
        <v>1167</v>
      </c>
      <c r="C527" s="1" t="s">
        <v>1305</v>
      </c>
      <c r="D527" s="1" t="str">
        <f t="shared" si="2"/>
        <v>1</v>
      </c>
      <c r="E527" s="1" t="s">
        <v>1306</v>
      </c>
      <c r="G527" s="1">
        <f t="array" ref="G527">IF(ISNUMBER(MATCH(15011,Camille!$A:$A,0)), IF(OR(INDEX(Camille!$D:$D,MATCH(15011,Camille!$A:$A,0))=1, INDEX(Camille!$D:$D,MATCH(15011,Camille!$A:$A,0))=2), INDEX(Camille!$D:$D,MATCH(15011,Camille!$A:$A,0)), 0), 0)</f>
        <v>1</v>
      </c>
      <c r="H527" s="1">
        <f t="array" ref="H527">IF(ISNUMBER(MATCH(15011,Telmo!$A:$A,0)), IF(OR(INDEX(Telmo!$D:$D,MATCH(15011,Telmo!$A:$A,0))=1, INDEX(Telmo!$D:$D,MATCH(15011,Telmo!$A:$A,0))=2), INDEX(Telmo!$D:$D,MATCH(15011,Telmo!$A:$A,0)), 0), 0)</f>
        <v>0</v>
      </c>
      <c r="I527" s="1">
        <f t="array" ref="I527">IF(ISNUMBER(MATCH(15011,Max!$A:$A,0)), IF(OR(INDEX(Max!$D:$D,MATCH(15011,Max!$A:$A,0))=1, INDEX(Max!$D:$D,MATCH(15011,Max!$A:$A,0))=2), INDEX(Max!$D:$D,MATCH(15011,Max!$A:$A,0)), 0), 0)</f>
        <v>0</v>
      </c>
    </row>
    <row r="528" spans="1:9" ht="15.75" customHeight="1" x14ac:dyDescent="0.2">
      <c r="A528" s="1">
        <v>14884</v>
      </c>
      <c r="B528" s="1" t="s">
        <v>1307</v>
      </c>
      <c r="C528" s="1" t="s">
        <v>1308</v>
      </c>
      <c r="D528" s="1" t="str">
        <f t="shared" si="2"/>
        <v>2</v>
      </c>
      <c r="E528" s="1" t="s">
        <v>1309</v>
      </c>
      <c r="G528" s="1">
        <f t="array" ref="G528">IF(ISNUMBER(MATCH(14884,Camille!$A:$A,0)), IF(OR(INDEX(Camille!$D:$D,MATCH(14884,Camille!$A:$A,0))=1, INDEX(Camille!$D:$D,MATCH(14884,Camille!$A:$A,0))=2), INDEX(Camille!$D:$D,MATCH(14884,Camille!$A:$A,0)), 0), 0)</f>
        <v>2</v>
      </c>
      <c r="H528" s="1">
        <f t="array" ref="H528">IF(ISNUMBER(MATCH(14884,Telmo!$A:$A,0)), IF(OR(INDEX(Telmo!$D:$D,MATCH(14884,Telmo!$A:$A,0))=1, INDEX(Telmo!$D:$D,MATCH(14884,Telmo!$A:$A,0))=2), INDEX(Telmo!$D:$D,MATCH(14884,Telmo!$A:$A,0)), 0), 0)</f>
        <v>0</v>
      </c>
      <c r="I528" s="1">
        <f t="array" ref="I528">IF(ISNUMBER(MATCH(14884,Max!$A:$A,0)), IF(OR(INDEX(Max!$D:$D,MATCH(14884,Max!$A:$A,0))=1, INDEX(Max!$D:$D,MATCH(14884,Max!$A:$A,0))=2), INDEX(Max!$D:$D,MATCH(14884,Max!$A:$A,0)), 0), 0)</f>
        <v>0</v>
      </c>
    </row>
    <row r="529" spans="1:9" ht="15.75" customHeight="1" x14ac:dyDescent="0.2">
      <c r="A529" s="1">
        <v>18650</v>
      </c>
      <c r="B529" s="1" t="s">
        <v>1310</v>
      </c>
      <c r="C529" s="1" t="s">
        <v>1311</v>
      </c>
      <c r="D529" s="1" t="str">
        <f t="shared" si="2"/>
        <v>2</v>
      </c>
      <c r="E529" s="1" t="s">
        <v>1312</v>
      </c>
      <c r="G529" s="1">
        <f t="array" ref="G529">IF(ISNUMBER(MATCH(18650,Camille!$A:$A,0)), IF(OR(INDEX(Camille!$D:$D,MATCH(18650,Camille!$A:$A,0))=1, INDEX(Camille!$D:$D,MATCH(18650,Camille!$A:$A,0))=2), INDEX(Camille!$D:$D,MATCH(18650,Camille!$A:$A,0)), 0), 0)</f>
        <v>2</v>
      </c>
      <c r="H529" s="1">
        <f t="array" ref="H529">IF(ISNUMBER(MATCH(18650,Telmo!$A:$A,0)), IF(OR(INDEX(Telmo!$D:$D,MATCH(18650,Telmo!$A:$A,0))=1, INDEX(Telmo!$D:$D,MATCH(18650,Telmo!$A:$A,0))=2), INDEX(Telmo!$D:$D,MATCH(18650,Telmo!$A:$A,0)), 0), 0)</f>
        <v>0</v>
      </c>
      <c r="I529" s="1">
        <f t="array" ref="I529">IF(ISNUMBER(MATCH(18650,Max!$A:$A,0)), IF(OR(INDEX(Max!$D:$D,MATCH(18650,Max!$A:$A,0))=1, INDEX(Max!$D:$D,MATCH(18650,Max!$A:$A,0))=2), INDEX(Max!$D:$D,MATCH(18650,Max!$A:$A,0)), 0), 0)</f>
        <v>0</v>
      </c>
    </row>
    <row r="530" spans="1:9" ht="15.75" customHeight="1" x14ac:dyDescent="0.2">
      <c r="A530" s="1">
        <v>30</v>
      </c>
      <c r="B530" s="1" t="s">
        <v>1313</v>
      </c>
      <c r="C530" s="1" t="s">
        <v>1314</v>
      </c>
      <c r="D530" s="1" t="str">
        <f t="shared" si="2"/>
        <v>1</v>
      </c>
      <c r="E530" s="1" t="s">
        <v>1315</v>
      </c>
      <c r="G530" s="1">
        <f t="array" ref="G530">IF(ISNUMBER(MATCH(30,Camille!$A:$A,0)), IF(OR(INDEX(Camille!$D:$D,MATCH(30,Camille!$A:$A,0))=1, INDEX(Camille!$D:$D,MATCH(30,Camille!$A:$A,0))=2), INDEX(Camille!$D:$D,MATCH(30,Camille!$A:$A,0)), 0), 0)</f>
        <v>1</v>
      </c>
      <c r="H530" s="1">
        <f t="array" ref="H530">IF(ISNUMBER(MATCH(30,Telmo!$A:$A,0)), IF(OR(INDEX(Telmo!$D:$D,MATCH(30,Telmo!$A:$A,0))=1, INDEX(Telmo!$D:$D,MATCH(30,Telmo!$A:$A,0))=2), INDEX(Telmo!$D:$D,MATCH(30,Telmo!$A:$A,0)), 0), 0)</f>
        <v>0</v>
      </c>
      <c r="I530" s="1">
        <f t="array" ref="I530">IF(ISNUMBER(MATCH(30,Max!$A:$A,0)), IF(OR(INDEX(Max!$D:$D,MATCH(30,Max!$A:$A,0))=1, INDEX(Max!$D:$D,MATCH(30,Max!$A:$A,0))=2), INDEX(Max!$D:$D,MATCH(30,Max!$A:$A,0)), 0), 0)</f>
        <v>0</v>
      </c>
    </row>
    <row r="531" spans="1:9" ht="15.75" customHeight="1" x14ac:dyDescent="0.2">
      <c r="A531" s="1">
        <v>47048</v>
      </c>
      <c r="B531" s="1" t="s">
        <v>1316</v>
      </c>
      <c r="C531" s="1" t="s">
        <v>1317</v>
      </c>
      <c r="D531" s="1" t="str">
        <f t="shared" si="2"/>
        <v>2</v>
      </c>
      <c r="E531" s="1" t="s">
        <v>1318</v>
      </c>
      <c r="G531" s="1">
        <f t="array" ref="G531">IF(ISNUMBER(MATCH(47048,Camille!$A:$A,0)), IF(OR(INDEX(Camille!$D:$D,MATCH(47048,Camille!$A:$A,0))=1, INDEX(Camille!$D:$D,MATCH(47048,Camille!$A:$A,0))=2), INDEX(Camille!$D:$D,MATCH(47048,Camille!$A:$A,0)), 0), 0)</f>
        <v>2</v>
      </c>
      <c r="H531" s="1">
        <f t="array" ref="H531">IF(ISNUMBER(MATCH(47048,Telmo!$A:$A,0)), IF(OR(INDEX(Telmo!$D:$D,MATCH(47048,Telmo!$A:$A,0))=1, INDEX(Telmo!$D:$D,MATCH(47048,Telmo!$A:$A,0))=2), INDEX(Telmo!$D:$D,MATCH(47048,Telmo!$A:$A,0)), 0), 0)</f>
        <v>0</v>
      </c>
      <c r="I531" s="1">
        <f t="array" ref="I531">IF(ISNUMBER(MATCH(47048,Max!$A:$A,0)), IF(OR(INDEX(Max!$D:$D,MATCH(47048,Max!$A:$A,0))=1, INDEX(Max!$D:$D,MATCH(47048,Max!$A:$A,0))=2), INDEX(Max!$D:$D,MATCH(47048,Max!$A:$A,0)), 0), 0)</f>
        <v>0</v>
      </c>
    </row>
    <row r="532" spans="1:9" ht="15.75" customHeight="1" x14ac:dyDescent="0.2">
      <c r="A532" s="1">
        <v>42061</v>
      </c>
      <c r="B532" s="1" t="s">
        <v>144</v>
      </c>
      <c r="C532" s="1" t="s">
        <v>1319</v>
      </c>
      <c r="D532" s="1" t="str">
        <f t="shared" si="2"/>
        <v>2</v>
      </c>
      <c r="E532" s="1" t="s">
        <v>1320</v>
      </c>
      <c r="G532" s="1">
        <f t="array" ref="G532">IF(ISNUMBER(MATCH(42061,Camille!$A:$A,0)), IF(OR(INDEX(Camille!$D:$D,MATCH(42061,Camille!$A:$A,0))=1, INDEX(Camille!$D:$D,MATCH(42061,Camille!$A:$A,0))=2), INDEX(Camille!$D:$D,MATCH(42061,Camille!$A:$A,0)), 0), 0)</f>
        <v>2</v>
      </c>
      <c r="H532" s="1">
        <f t="array" ref="H532">IF(ISNUMBER(MATCH(42061,Telmo!$A:$A,0)), IF(OR(INDEX(Telmo!$D:$D,MATCH(42061,Telmo!$A:$A,0))=1, INDEX(Telmo!$D:$D,MATCH(42061,Telmo!$A:$A,0))=2), INDEX(Telmo!$D:$D,MATCH(42061,Telmo!$A:$A,0)), 0), 0)</f>
        <v>0</v>
      </c>
      <c r="I532" s="1">
        <f t="array" ref="I532">IF(ISNUMBER(MATCH(42061,Max!$A:$A,0)), IF(OR(INDEX(Max!$D:$D,MATCH(42061,Max!$A:$A,0))=1, INDEX(Max!$D:$D,MATCH(42061,Max!$A:$A,0))=2), INDEX(Max!$D:$D,MATCH(42061,Max!$A:$A,0)), 0), 0)</f>
        <v>0</v>
      </c>
    </row>
    <row r="533" spans="1:9" ht="15.75" customHeight="1" x14ac:dyDescent="0.2">
      <c r="A533" s="1">
        <v>61503</v>
      </c>
      <c r="B533" s="1" t="s">
        <v>50</v>
      </c>
      <c r="C533" s="1" t="s">
        <v>1321</v>
      </c>
      <c r="D533" s="1" t="str">
        <f t="shared" si="2"/>
        <v>1</v>
      </c>
      <c r="E533" s="1" t="s">
        <v>1322</v>
      </c>
      <c r="G533" s="1">
        <f t="array" ref="G533">IF(ISNUMBER(MATCH(61503,Camille!$A:$A,0)), IF(OR(INDEX(Camille!$D:$D,MATCH(61503,Camille!$A:$A,0))=1, INDEX(Camille!$D:$D,MATCH(61503,Camille!$A:$A,0))=2), INDEX(Camille!$D:$D,MATCH(61503,Camille!$A:$A,0)), 0), 0)</f>
        <v>1</v>
      </c>
      <c r="H533" s="1">
        <f t="array" ref="H533">IF(ISNUMBER(MATCH(61503,Telmo!$A:$A,0)), IF(OR(INDEX(Telmo!$D:$D,MATCH(61503,Telmo!$A:$A,0))=1, INDEX(Telmo!$D:$D,MATCH(61503,Telmo!$A:$A,0))=2), INDEX(Telmo!$D:$D,MATCH(61503,Telmo!$A:$A,0)), 0), 0)</f>
        <v>0</v>
      </c>
      <c r="I533" s="1">
        <f t="array" ref="I533">IF(ISNUMBER(MATCH(61503,Max!$A:$A,0)), IF(OR(INDEX(Max!$D:$D,MATCH(61503,Max!$A:$A,0))=1, INDEX(Max!$D:$D,MATCH(61503,Max!$A:$A,0))=2), INDEX(Max!$D:$D,MATCH(61503,Max!$A:$A,0)), 0), 0)</f>
        <v>0</v>
      </c>
    </row>
    <row r="534" spans="1:9" ht="15.75" customHeight="1" x14ac:dyDescent="0.2">
      <c r="A534" s="1">
        <v>5471</v>
      </c>
      <c r="B534" s="1" t="s">
        <v>906</v>
      </c>
      <c r="C534" s="1" t="s">
        <v>1323</v>
      </c>
      <c r="D534" s="1" t="str">
        <f t="shared" si="2"/>
        <v>2</v>
      </c>
      <c r="E534" s="1" t="s">
        <v>1324</v>
      </c>
      <c r="G534" s="1">
        <f t="array" ref="G534">IF(ISNUMBER(MATCH(5471,Camille!$A:$A,0)), IF(OR(INDEX(Camille!$D:$D,MATCH(5471,Camille!$A:$A,0))=1, INDEX(Camille!$D:$D,MATCH(5471,Camille!$A:$A,0))=2), INDEX(Camille!$D:$D,MATCH(5471,Camille!$A:$A,0)), 0), 0)</f>
        <v>2</v>
      </c>
      <c r="H534" s="1">
        <f t="array" ref="H534">IF(ISNUMBER(MATCH(5471,Telmo!$A:$A,0)), IF(OR(INDEX(Telmo!$D:$D,MATCH(5471,Telmo!$A:$A,0))=1, INDEX(Telmo!$D:$D,MATCH(5471,Telmo!$A:$A,0))=2), INDEX(Telmo!$D:$D,MATCH(5471,Telmo!$A:$A,0)), 0), 0)</f>
        <v>0</v>
      </c>
      <c r="I534" s="1">
        <f t="array" ref="I534">IF(ISNUMBER(MATCH(5471,Max!$A:$A,0)), IF(OR(INDEX(Max!$D:$D,MATCH(5471,Max!$A:$A,0))=1, INDEX(Max!$D:$D,MATCH(5471,Max!$A:$A,0))=2), INDEX(Max!$D:$D,MATCH(5471,Max!$A:$A,0)), 0), 0)</f>
        <v>0</v>
      </c>
    </row>
    <row r="535" spans="1:9" ht="15.75" customHeight="1" x14ac:dyDescent="0.2">
      <c r="A535" s="1">
        <v>32799</v>
      </c>
      <c r="B535" s="1" t="s">
        <v>552</v>
      </c>
      <c r="C535" s="1" t="s">
        <v>1325</v>
      </c>
      <c r="D535" s="1" t="str">
        <f t="shared" si="2"/>
        <v>1</v>
      </c>
      <c r="E535" s="1" t="s">
        <v>1326</v>
      </c>
      <c r="G535" s="1">
        <f t="array" ref="G535">IF(ISNUMBER(MATCH(32799,Camille!$A:$A,0)), IF(OR(INDEX(Camille!$D:$D,MATCH(32799,Camille!$A:$A,0))=1, INDEX(Camille!$D:$D,MATCH(32799,Camille!$A:$A,0))=2), INDEX(Camille!$D:$D,MATCH(32799,Camille!$A:$A,0)), 0), 0)</f>
        <v>1</v>
      </c>
      <c r="H535" s="1">
        <f t="array" ref="H535">IF(ISNUMBER(MATCH(32799,Telmo!$A:$A,0)), IF(OR(INDEX(Telmo!$D:$D,MATCH(32799,Telmo!$A:$A,0))=1, INDEX(Telmo!$D:$D,MATCH(32799,Telmo!$A:$A,0))=2), INDEX(Telmo!$D:$D,MATCH(32799,Telmo!$A:$A,0)), 0), 0)</f>
        <v>0</v>
      </c>
      <c r="I535" s="1">
        <f t="array" ref="I535">IF(ISNUMBER(MATCH(32799,Max!$A:$A,0)), IF(OR(INDEX(Max!$D:$D,MATCH(32799,Max!$A:$A,0))=1, INDEX(Max!$D:$D,MATCH(32799,Max!$A:$A,0))=2), INDEX(Max!$D:$D,MATCH(32799,Max!$A:$A,0)), 0), 0)</f>
        <v>0</v>
      </c>
    </row>
    <row r="536" spans="1:9" ht="15.75" customHeight="1" x14ac:dyDescent="0.2">
      <c r="A536" s="1">
        <v>1709</v>
      </c>
      <c r="B536" s="1" t="s">
        <v>1021</v>
      </c>
      <c r="C536" s="1" t="s">
        <v>1327</v>
      </c>
      <c r="D536" s="1" t="str">
        <f t="shared" si="2"/>
        <v>2</v>
      </c>
      <c r="E536" s="1" t="s">
        <v>1328</v>
      </c>
      <c r="G536" s="1">
        <f t="array" ref="G536">IF(ISNUMBER(MATCH(1709,Camille!$A:$A,0)), IF(OR(INDEX(Camille!$D:$D,MATCH(1709,Camille!$A:$A,0))=1, INDEX(Camille!$D:$D,MATCH(1709,Camille!$A:$A,0))=2), INDEX(Camille!$D:$D,MATCH(1709,Camille!$A:$A,0)), 0), 0)</f>
        <v>2</v>
      </c>
      <c r="H536" s="1">
        <f t="array" ref="H536">IF(ISNUMBER(MATCH(1709,Telmo!$A:$A,0)), IF(OR(INDEX(Telmo!$D:$D,MATCH(1709,Telmo!$A:$A,0))=1, INDEX(Telmo!$D:$D,MATCH(1709,Telmo!$A:$A,0))=2), INDEX(Telmo!$D:$D,MATCH(1709,Telmo!$A:$A,0)), 0), 0)</f>
        <v>0</v>
      </c>
      <c r="I536" s="1">
        <f t="array" ref="I536">IF(ISNUMBER(MATCH(1709,Max!$A:$A,0)), IF(OR(INDEX(Max!$D:$D,MATCH(1709,Max!$A:$A,0))=1, INDEX(Max!$D:$D,MATCH(1709,Max!$A:$A,0))=2), INDEX(Max!$D:$D,MATCH(1709,Max!$A:$A,0)), 0), 0)</f>
        <v>0</v>
      </c>
    </row>
    <row r="537" spans="1:9" ht="15.75" customHeight="1" x14ac:dyDescent="0.2">
      <c r="A537" s="1">
        <v>5378</v>
      </c>
      <c r="B537" s="1" t="s">
        <v>180</v>
      </c>
      <c r="C537" s="1" t="s">
        <v>1329</v>
      </c>
      <c r="D537" s="1" t="str">
        <f t="shared" si="2"/>
        <v>2</v>
      </c>
      <c r="E537" s="1" t="s">
        <v>1330</v>
      </c>
      <c r="G537" s="1">
        <f t="array" ref="G537">IF(ISNUMBER(MATCH(5378,Camille!$A:$A,0)), IF(OR(INDEX(Camille!$D:$D,MATCH(5378,Camille!$A:$A,0))=1, INDEX(Camille!$D:$D,MATCH(5378,Camille!$A:$A,0))=2), INDEX(Camille!$D:$D,MATCH(5378,Camille!$A:$A,0)), 0), 0)</f>
        <v>2</v>
      </c>
      <c r="H537" s="1">
        <f t="array" ref="H537">IF(ISNUMBER(MATCH(5378,Telmo!$A:$A,0)), IF(OR(INDEX(Telmo!$D:$D,MATCH(5378,Telmo!$A:$A,0))=1, INDEX(Telmo!$D:$D,MATCH(5378,Telmo!$A:$A,0))=2), INDEX(Telmo!$D:$D,MATCH(5378,Telmo!$A:$A,0)), 0), 0)</f>
        <v>0</v>
      </c>
      <c r="I537" s="1">
        <f t="array" ref="I537">IF(ISNUMBER(MATCH(5378,Max!$A:$A,0)), IF(OR(INDEX(Max!$D:$D,MATCH(5378,Max!$A:$A,0))=1, INDEX(Max!$D:$D,MATCH(5378,Max!$A:$A,0))=2), INDEX(Max!$D:$D,MATCH(5378,Max!$A:$A,0)), 0), 0)</f>
        <v>0</v>
      </c>
    </row>
    <row r="538" spans="1:9" ht="15.75" customHeight="1" x14ac:dyDescent="0.2">
      <c r="A538" s="1">
        <v>51469</v>
      </c>
      <c r="B538" s="1" t="s">
        <v>723</v>
      </c>
      <c r="C538" s="1" t="s">
        <v>1331</v>
      </c>
      <c r="D538" s="1" t="str">
        <f t="shared" si="2"/>
        <v>2</v>
      </c>
      <c r="E538" s="1" t="s">
        <v>1332</v>
      </c>
      <c r="G538" s="1">
        <f t="array" ref="G538">IF(ISNUMBER(MATCH(51469,Camille!$A:$A,0)), IF(OR(INDEX(Camille!$D:$D,MATCH(51469,Camille!$A:$A,0))=1, INDEX(Camille!$D:$D,MATCH(51469,Camille!$A:$A,0))=2), INDEX(Camille!$D:$D,MATCH(51469,Camille!$A:$A,0)), 0), 0)</f>
        <v>2</v>
      </c>
      <c r="H538" s="1">
        <f t="array" ref="H538">IF(ISNUMBER(MATCH(51469,Telmo!$A:$A,0)), IF(OR(INDEX(Telmo!$D:$D,MATCH(51469,Telmo!$A:$A,0))=1, INDEX(Telmo!$D:$D,MATCH(51469,Telmo!$A:$A,0))=2), INDEX(Telmo!$D:$D,MATCH(51469,Telmo!$A:$A,0)), 0), 0)</f>
        <v>0</v>
      </c>
      <c r="I538" s="1">
        <f t="array" ref="I538">IF(ISNUMBER(MATCH(51469,Max!$A:$A,0)), IF(OR(INDEX(Max!$D:$D,MATCH(51469,Max!$A:$A,0))=1, INDEX(Max!$D:$D,MATCH(51469,Max!$A:$A,0))=2), INDEX(Max!$D:$D,MATCH(51469,Max!$A:$A,0)), 0), 0)</f>
        <v>0</v>
      </c>
    </row>
    <row r="539" spans="1:9" ht="15.75" customHeight="1" x14ac:dyDescent="0.2">
      <c r="A539" s="1">
        <v>21490</v>
      </c>
      <c r="B539" s="1" t="s">
        <v>1333</v>
      </c>
      <c r="C539" s="1" t="s">
        <v>1334</v>
      </c>
      <c r="D539" s="1" t="str">
        <f t="shared" si="2"/>
        <v>2</v>
      </c>
      <c r="E539" s="1" t="s">
        <v>1335</v>
      </c>
      <c r="G539" s="1">
        <f t="array" ref="G539">IF(ISNUMBER(MATCH(21490,Camille!$A:$A,0)), IF(OR(INDEX(Camille!$D:$D,MATCH(21490,Camille!$A:$A,0))=1, INDEX(Camille!$D:$D,MATCH(21490,Camille!$A:$A,0))=2), INDEX(Camille!$D:$D,MATCH(21490,Camille!$A:$A,0)), 0), 0)</f>
        <v>2</v>
      </c>
      <c r="H539" s="1">
        <f t="array" ref="H539">IF(ISNUMBER(MATCH(21490,Telmo!$A:$A,0)), IF(OR(INDEX(Telmo!$D:$D,MATCH(21490,Telmo!$A:$A,0))=1, INDEX(Telmo!$D:$D,MATCH(21490,Telmo!$A:$A,0))=2), INDEX(Telmo!$D:$D,MATCH(21490,Telmo!$A:$A,0)), 0), 0)</f>
        <v>0</v>
      </c>
      <c r="I539" s="1">
        <f t="array" ref="I539">IF(ISNUMBER(MATCH(21490,Max!$A:$A,0)), IF(OR(INDEX(Max!$D:$D,MATCH(21490,Max!$A:$A,0))=1, INDEX(Max!$D:$D,MATCH(21490,Max!$A:$A,0))=2), INDEX(Max!$D:$D,MATCH(21490,Max!$A:$A,0)), 0), 0)</f>
        <v>0</v>
      </c>
    </row>
    <row r="540" spans="1:9" ht="15.75" customHeight="1" x14ac:dyDescent="0.2">
      <c r="A540" s="1">
        <v>44327</v>
      </c>
      <c r="B540" s="1" t="s">
        <v>1333</v>
      </c>
      <c r="C540" s="1" t="s">
        <v>1336</v>
      </c>
      <c r="D540" s="1" t="str">
        <f t="shared" si="2"/>
        <v>2</v>
      </c>
      <c r="E540" s="1" t="s">
        <v>1337</v>
      </c>
      <c r="G540" s="1">
        <f t="array" ref="G540">IF(ISNUMBER(MATCH(44327,Camille!$A:$A,0)), IF(OR(INDEX(Camille!$D:$D,MATCH(44327,Camille!$A:$A,0))=1, INDEX(Camille!$D:$D,MATCH(44327,Camille!$A:$A,0))=2), INDEX(Camille!$D:$D,MATCH(44327,Camille!$A:$A,0)), 0), 0)</f>
        <v>2</v>
      </c>
      <c r="H540" s="1">
        <f t="array" ref="H540">IF(ISNUMBER(MATCH(44327,Telmo!$A:$A,0)), IF(OR(INDEX(Telmo!$D:$D,MATCH(44327,Telmo!$A:$A,0))=1, INDEX(Telmo!$D:$D,MATCH(44327,Telmo!$A:$A,0))=2), INDEX(Telmo!$D:$D,MATCH(44327,Telmo!$A:$A,0)), 0), 0)</f>
        <v>0</v>
      </c>
      <c r="I540" s="1">
        <f t="array" ref="I540">IF(ISNUMBER(MATCH(44327,Max!$A:$A,0)), IF(OR(INDEX(Max!$D:$D,MATCH(44327,Max!$A:$A,0))=1, INDEX(Max!$D:$D,MATCH(44327,Max!$A:$A,0))=2), INDEX(Max!$D:$D,MATCH(44327,Max!$A:$A,0)), 0), 0)</f>
        <v>0</v>
      </c>
    </row>
    <row r="541" spans="1:9" ht="15.75" customHeight="1" x14ac:dyDescent="0.2">
      <c r="A541" s="1">
        <v>48425</v>
      </c>
      <c r="B541" s="1" t="s">
        <v>282</v>
      </c>
      <c r="C541" s="1" t="s">
        <v>1338</v>
      </c>
      <c r="D541" s="1" t="str">
        <f t="shared" si="2"/>
        <v>2</v>
      </c>
      <c r="E541" s="1" t="s">
        <v>1339</v>
      </c>
      <c r="G541" s="1">
        <f t="array" ref="G541">IF(ISNUMBER(MATCH(48425,Camille!$A:$A,0)), IF(OR(INDEX(Camille!$D:$D,MATCH(48425,Camille!$A:$A,0))=1, INDEX(Camille!$D:$D,MATCH(48425,Camille!$A:$A,0))=2), INDEX(Camille!$D:$D,MATCH(48425,Camille!$A:$A,0)), 0), 0)</f>
        <v>2</v>
      </c>
      <c r="H541" s="1">
        <f t="array" ref="H541">IF(ISNUMBER(MATCH(48425,Telmo!$A:$A,0)), IF(OR(INDEX(Telmo!$D:$D,MATCH(48425,Telmo!$A:$A,0))=1, INDEX(Telmo!$D:$D,MATCH(48425,Telmo!$A:$A,0))=2), INDEX(Telmo!$D:$D,MATCH(48425,Telmo!$A:$A,0)), 0), 0)</f>
        <v>0</v>
      </c>
      <c r="I541" s="1">
        <f t="array" ref="I541">IF(ISNUMBER(MATCH(48425,Max!$A:$A,0)), IF(OR(INDEX(Max!$D:$D,MATCH(48425,Max!$A:$A,0))=1, INDEX(Max!$D:$D,MATCH(48425,Max!$A:$A,0))=2), INDEX(Max!$D:$D,MATCH(48425,Max!$A:$A,0)), 0), 0)</f>
        <v>0</v>
      </c>
    </row>
    <row r="542" spans="1:9" ht="15.75" customHeight="1" x14ac:dyDescent="0.2">
      <c r="A542" s="1">
        <v>30083</v>
      </c>
      <c r="B542" s="1" t="s">
        <v>32</v>
      </c>
      <c r="C542" s="1" t="s">
        <v>1340</v>
      </c>
      <c r="D542" s="1" t="str">
        <f t="shared" si="2"/>
        <v>2</v>
      </c>
      <c r="E542" s="1" t="s">
        <v>1341</v>
      </c>
      <c r="G542" s="1">
        <f t="array" ref="G542">IF(ISNUMBER(MATCH(30083,Camille!$A:$A,0)), IF(OR(INDEX(Camille!$D:$D,MATCH(30083,Camille!$A:$A,0))=1, INDEX(Camille!$D:$D,MATCH(30083,Camille!$A:$A,0))=2), INDEX(Camille!$D:$D,MATCH(30083,Camille!$A:$A,0)), 0), 0)</f>
        <v>2</v>
      </c>
      <c r="H542" s="1">
        <f t="array" ref="H542">IF(ISNUMBER(MATCH(30083,Telmo!$A:$A,0)), IF(OR(INDEX(Telmo!$D:$D,MATCH(30083,Telmo!$A:$A,0))=1, INDEX(Telmo!$D:$D,MATCH(30083,Telmo!$A:$A,0))=2), INDEX(Telmo!$D:$D,MATCH(30083,Telmo!$A:$A,0)), 0), 0)</f>
        <v>0</v>
      </c>
      <c r="I542" s="1">
        <f t="array" ref="I542">IF(ISNUMBER(MATCH(30083,Max!$A:$A,0)), IF(OR(INDEX(Max!$D:$D,MATCH(30083,Max!$A:$A,0))=1, INDEX(Max!$D:$D,MATCH(30083,Max!$A:$A,0))=2), INDEX(Max!$D:$D,MATCH(30083,Max!$A:$A,0)), 0), 0)</f>
        <v>0</v>
      </c>
    </row>
    <row r="543" spans="1:9" ht="15.75" customHeight="1" x14ac:dyDescent="0.2">
      <c r="A543" s="1">
        <v>12991</v>
      </c>
      <c r="B543" s="1" t="s">
        <v>153</v>
      </c>
      <c r="C543" s="1" t="s">
        <v>1342</v>
      </c>
      <c r="D543" s="1" t="str">
        <f t="shared" si="2"/>
        <v>2</v>
      </c>
      <c r="E543" s="1" t="s">
        <v>1343</v>
      </c>
      <c r="G543" s="1">
        <f t="array" ref="G543">IF(ISNUMBER(MATCH(12991,Camille!$A:$A,0)), IF(OR(INDEX(Camille!$D:$D,MATCH(12991,Camille!$A:$A,0))=1, INDEX(Camille!$D:$D,MATCH(12991,Camille!$A:$A,0))=2), INDEX(Camille!$D:$D,MATCH(12991,Camille!$A:$A,0)), 0), 0)</f>
        <v>2</v>
      </c>
      <c r="H543" s="1">
        <f t="array" ref="H543">IF(ISNUMBER(MATCH(12991,Telmo!$A:$A,0)), IF(OR(INDEX(Telmo!$D:$D,MATCH(12991,Telmo!$A:$A,0))=1, INDEX(Telmo!$D:$D,MATCH(12991,Telmo!$A:$A,0))=2), INDEX(Telmo!$D:$D,MATCH(12991,Telmo!$A:$A,0)), 0), 0)</f>
        <v>0</v>
      </c>
      <c r="I543" s="1">
        <f t="array" ref="I543">IF(ISNUMBER(MATCH(12991,Max!$A:$A,0)), IF(OR(INDEX(Max!$D:$D,MATCH(12991,Max!$A:$A,0))=1, INDEX(Max!$D:$D,MATCH(12991,Max!$A:$A,0))=2), INDEX(Max!$D:$D,MATCH(12991,Max!$A:$A,0)), 0), 0)</f>
        <v>0</v>
      </c>
    </row>
    <row r="544" spans="1:9" ht="15.75" customHeight="1" x14ac:dyDescent="0.2">
      <c r="A544" s="1">
        <v>51204</v>
      </c>
      <c r="B544" s="1" t="s">
        <v>1344</v>
      </c>
      <c r="C544" s="1" t="s">
        <v>1345</v>
      </c>
      <c r="D544" s="1" t="str">
        <f t="shared" si="2"/>
        <v>2</v>
      </c>
      <c r="E544" s="1" t="s">
        <v>1346</v>
      </c>
      <c r="G544" s="1">
        <f t="array" ref="G544">IF(ISNUMBER(MATCH(51204,Camille!$A:$A,0)), IF(OR(INDEX(Camille!$D:$D,MATCH(51204,Camille!$A:$A,0))=1, INDEX(Camille!$D:$D,MATCH(51204,Camille!$A:$A,0))=2), INDEX(Camille!$D:$D,MATCH(51204,Camille!$A:$A,0)), 0), 0)</f>
        <v>2</v>
      </c>
      <c r="H544" s="1">
        <f t="array" ref="H544">IF(ISNUMBER(MATCH(51204,Telmo!$A:$A,0)), IF(OR(INDEX(Telmo!$D:$D,MATCH(51204,Telmo!$A:$A,0))=1, INDEX(Telmo!$D:$D,MATCH(51204,Telmo!$A:$A,0))=2), INDEX(Telmo!$D:$D,MATCH(51204,Telmo!$A:$A,0)), 0), 0)</f>
        <v>0</v>
      </c>
      <c r="I544" s="1">
        <f t="array" ref="I544">IF(ISNUMBER(MATCH(51204,Max!$A:$A,0)), IF(OR(INDEX(Max!$D:$D,MATCH(51204,Max!$A:$A,0))=1, INDEX(Max!$D:$D,MATCH(51204,Max!$A:$A,0))=2), INDEX(Max!$D:$D,MATCH(51204,Max!$A:$A,0)), 0), 0)</f>
        <v>0</v>
      </c>
    </row>
    <row r="545" spans="1:9" ht="15.75" customHeight="1" x14ac:dyDescent="0.2">
      <c r="A545" s="1">
        <v>4379</v>
      </c>
      <c r="B545" s="1" t="s">
        <v>1347</v>
      </c>
      <c r="C545" s="1" t="s">
        <v>1348</v>
      </c>
      <c r="D545" s="1" t="str">
        <f t="shared" si="2"/>
        <v>1</v>
      </c>
      <c r="E545" s="1" t="s">
        <v>1349</v>
      </c>
      <c r="G545" s="1">
        <f t="array" ref="G545">IF(ISNUMBER(MATCH(4379,Camille!$A:$A,0)), IF(OR(INDEX(Camille!$D:$D,MATCH(4379,Camille!$A:$A,0))=1, INDEX(Camille!$D:$D,MATCH(4379,Camille!$A:$A,0))=2), INDEX(Camille!$D:$D,MATCH(4379,Camille!$A:$A,0)), 0), 0)</f>
        <v>1</v>
      </c>
      <c r="H545" s="1">
        <f t="array" ref="H545">IF(ISNUMBER(MATCH(4379,Telmo!$A:$A,0)), IF(OR(INDEX(Telmo!$D:$D,MATCH(4379,Telmo!$A:$A,0))=1, INDEX(Telmo!$D:$D,MATCH(4379,Telmo!$A:$A,0))=2), INDEX(Telmo!$D:$D,MATCH(4379,Telmo!$A:$A,0)), 0), 0)</f>
        <v>0</v>
      </c>
      <c r="I545" s="1">
        <f t="array" ref="I545">IF(ISNUMBER(MATCH(4379,Max!$A:$A,0)), IF(OR(INDEX(Max!$D:$D,MATCH(4379,Max!$A:$A,0))=1, INDEX(Max!$D:$D,MATCH(4379,Max!$A:$A,0))=2), INDEX(Max!$D:$D,MATCH(4379,Max!$A:$A,0)), 0), 0)</f>
        <v>0</v>
      </c>
    </row>
    <row r="546" spans="1:9" ht="15.75" customHeight="1" x14ac:dyDescent="0.2">
      <c r="A546" s="1">
        <v>41529</v>
      </c>
      <c r="B546" s="1" t="s">
        <v>1350</v>
      </c>
      <c r="C546" s="1" t="s">
        <v>1351</v>
      </c>
      <c r="D546" s="1" t="str">
        <f t="shared" si="2"/>
        <v>2</v>
      </c>
      <c r="E546" s="1" t="s">
        <v>1352</v>
      </c>
      <c r="G546" s="1">
        <f t="array" ref="G546">IF(ISNUMBER(MATCH(41529,Camille!$A:$A,0)), IF(OR(INDEX(Camille!$D:$D,MATCH(41529,Camille!$A:$A,0))=1, INDEX(Camille!$D:$D,MATCH(41529,Camille!$A:$A,0))=2), INDEX(Camille!$D:$D,MATCH(41529,Camille!$A:$A,0)), 0), 0)</f>
        <v>2</v>
      </c>
      <c r="H546" s="1">
        <f t="array" ref="H546">IF(ISNUMBER(MATCH(41529,Telmo!$A:$A,0)), IF(OR(INDEX(Telmo!$D:$D,MATCH(41529,Telmo!$A:$A,0))=1, INDEX(Telmo!$D:$D,MATCH(41529,Telmo!$A:$A,0))=2), INDEX(Telmo!$D:$D,MATCH(41529,Telmo!$A:$A,0)), 0), 0)</f>
        <v>0</v>
      </c>
      <c r="I546" s="1">
        <f t="array" ref="I546">IF(ISNUMBER(MATCH(41529,Max!$A:$A,0)), IF(OR(INDEX(Max!$D:$D,MATCH(41529,Max!$A:$A,0))=1, INDEX(Max!$D:$D,MATCH(41529,Max!$A:$A,0))=2), INDEX(Max!$D:$D,MATCH(41529,Max!$A:$A,0)), 0), 0)</f>
        <v>0</v>
      </c>
    </row>
    <row r="547" spans="1:9" ht="15.75" customHeight="1" x14ac:dyDescent="0.2">
      <c r="A547" s="1">
        <v>51617</v>
      </c>
      <c r="B547" s="1" t="s">
        <v>84</v>
      </c>
      <c r="C547" s="1" t="s">
        <v>1353</v>
      </c>
      <c r="D547" s="1" t="str">
        <f t="shared" si="2"/>
        <v>1</v>
      </c>
      <c r="E547" s="1" t="s">
        <v>1354</v>
      </c>
      <c r="G547" s="1">
        <f t="array" ref="G547">IF(ISNUMBER(MATCH(51617,Camille!$A:$A,0)), IF(OR(INDEX(Camille!$D:$D,MATCH(51617,Camille!$A:$A,0))=1, INDEX(Camille!$D:$D,MATCH(51617,Camille!$A:$A,0))=2), INDEX(Camille!$D:$D,MATCH(51617,Camille!$A:$A,0)), 0), 0)</f>
        <v>1</v>
      </c>
      <c r="H547" s="1">
        <f t="array" ref="H547">IF(ISNUMBER(MATCH(51617,Telmo!$A:$A,0)), IF(OR(INDEX(Telmo!$D:$D,MATCH(51617,Telmo!$A:$A,0))=1, INDEX(Telmo!$D:$D,MATCH(51617,Telmo!$A:$A,0))=2), INDEX(Telmo!$D:$D,MATCH(51617,Telmo!$A:$A,0)), 0), 0)</f>
        <v>0</v>
      </c>
      <c r="I547" s="1">
        <f t="array" ref="I547">IF(ISNUMBER(MATCH(51617,Max!$A:$A,0)), IF(OR(INDEX(Max!$D:$D,MATCH(51617,Max!$A:$A,0))=1, INDEX(Max!$D:$D,MATCH(51617,Max!$A:$A,0))=2), INDEX(Max!$D:$D,MATCH(51617,Max!$A:$A,0)), 0), 0)</f>
        <v>0</v>
      </c>
    </row>
    <row r="548" spans="1:9" ht="15.75" customHeight="1" x14ac:dyDescent="0.2">
      <c r="A548" s="1">
        <v>23415</v>
      </c>
      <c r="B548" s="1" t="s">
        <v>460</v>
      </c>
      <c r="C548" s="1" t="s">
        <v>1355</v>
      </c>
      <c r="D548" s="1" t="str">
        <f t="shared" si="2"/>
        <v>2</v>
      </c>
      <c r="E548" s="1" t="s">
        <v>1356</v>
      </c>
      <c r="G548" s="1">
        <f t="array" ref="G548">IF(ISNUMBER(MATCH(23415,Camille!$A:$A,0)), IF(OR(INDEX(Camille!$D:$D,MATCH(23415,Camille!$A:$A,0))=1, INDEX(Camille!$D:$D,MATCH(23415,Camille!$A:$A,0))=2), INDEX(Camille!$D:$D,MATCH(23415,Camille!$A:$A,0)), 0), 0)</f>
        <v>2</v>
      </c>
      <c r="H548" s="1">
        <f t="array" ref="H548">IF(ISNUMBER(MATCH(23415,Telmo!$A:$A,0)), IF(OR(INDEX(Telmo!$D:$D,MATCH(23415,Telmo!$A:$A,0))=1, INDEX(Telmo!$D:$D,MATCH(23415,Telmo!$A:$A,0))=2), INDEX(Telmo!$D:$D,MATCH(23415,Telmo!$A:$A,0)), 0), 0)</f>
        <v>0</v>
      </c>
      <c r="I548" s="1">
        <f t="array" ref="I548">IF(ISNUMBER(MATCH(23415,Max!$A:$A,0)), IF(OR(INDEX(Max!$D:$D,MATCH(23415,Max!$A:$A,0))=1, INDEX(Max!$D:$D,MATCH(23415,Max!$A:$A,0))=2), INDEX(Max!$D:$D,MATCH(23415,Max!$A:$A,0)), 0), 0)</f>
        <v>0</v>
      </c>
    </row>
    <row r="549" spans="1:9" ht="15.75" customHeight="1" x14ac:dyDescent="0.2">
      <c r="A549" s="1">
        <v>12660</v>
      </c>
      <c r="B549" s="1" t="s">
        <v>1357</v>
      </c>
      <c r="C549" s="1" t="s">
        <v>1358</v>
      </c>
      <c r="D549" s="1" t="str">
        <f t="shared" si="2"/>
        <v>2</v>
      </c>
      <c r="E549" s="1" t="s">
        <v>1359</v>
      </c>
      <c r="G549" s="1">
        <f t="array" ref="G549">IF(ISNUMBER(MATCH(12660,Camille!$A:$A,0)), IF(OR(INDEX(Camille!$D:$D,MATCH(12660,Camille!$A:$A,0))=1, INDEX(Camille!$D:$D,MATCH(12660,Camille!$A:$A,0))=2), INDEX(Camille!$D:$D,MATCH(12660,Camille!$A:$A,0)), 0), 0)</f>
        <v>2</v>
      </c>
      <c r="H549" s="1">
        <f t="array" ref="H549">IF(ISNUMBER(MATCH(12660,Telmo!$A:$A,0)), IF(OR(INDEX(Telmo!$D:$D,MATCH(12660,Telmo!$A:$A,0))=1, INDEX(Telmo!$D:$D,MATCH(12660,Telmo!$A:$A,0))=2), INDEX(Telmo!$D:$D,MATCH(12660,Telmo!$A:$A,0)), 0), 0)</f>
        <v>0</v>
      </c>
      <c r="I549" s="1">
        <f t="array" ref="I549">IF(ISNUMBER(MATCH(12660,Max!$A:$A,0)), IF(OR(INDEX(Max!$D:$D,MATCH(12660,Max!$A:$A,0))=1, INDEX(Max!$D:$D,MATCH(12660,Max!$A:$A,0))=2), INDEX(Max!$D:$D,MATCH(12660,Max!$A:$A,0)), 0), 0)</f>
        <v>0</v>
      </c>
    </row>
    <row r="550" spans="1:9" ht="15.75" customHeight="1" x14ac:dyDescent="0.2">
      <c r="A550" s="1">
        <v>71430</v>
      </c>
      <c r="B550" s="1" t="s">
        <v>167</v>
      </c>
      <c r="C550" s="1" t="s">
        <v>1360</v>
      </c>
      <c r="D550" s="1" t="str">
        <f t="shared" si="2"/>
        <v>1</v>
      </c>
      <c r="E550" s="1" t="s">
        <v>1361</v>
      </c>
      <c r="G550" s="1">
        <f t="array" ref="G550">IF(ISNUMBER(MATCH(71430,Camille!$A:$A,0)), IF(OR(INDEX(Camille!$D:$D,MATCH(71430,Camille!$A:$A,0))=1, INDEX(Camille!$D:$D,MATCH(71430,Camille!$A:$A,0))=2), INDEX(Camille!$D:$D,MATCH(71430,Camille!$A:$A,0)), 0), 0)</f>
        <v>1</v>
      </c>
      <c r="H550" s="1">
        <f t="array" ref="H550">IF(ISNUMBER(MATCH(71430,Telmo!$A:$A,0)), IF(OR(INDEX(Telmo!$D:$D,MATCH(71430,Telmo!$A:$A,0))=1, INDEX(Telmo!$D:$D,MATCH(71430,Telmo!$A:$A,0))=2), INDEX(Telmo!$D:$D,MATCH(71430,Telmo!$A:$A,0)), 0), 0)</f>
        <v>0</v>
      </c>
      <c r="I550" s="1">
        <f t="array" ref="I550">IF(ISNUMBER(MATCH(71430,Max!$A:$A,0)), IF(OR(INDEX(Max!$D:$D,MATCH(71430,Max!$A:$A,0))=1, INDEX(Max!$D:$D,MATCH(71430,Max!$A:$A,0))=2), INDEX(Max!$D:$D,MATCH(71430,Max!$A:$A,0)), 0), 0)</f>
        <v>0</v>
      </c>
    </row>
    <row r="551" spans="1:9" ht="15.75" customHeight="1" x14ac:dyDescent="0.2">
      <c r="A551" s="1">
        <v>36988</v>
      </c>
      <c r="B551" s="1" t="s">
        <v>35</v>
      </c>
      <c r="C551" s="1" t="s">
        <v>1362</v>
      </c>
      <c r="D551" s="1" t="str">
        <f t="shared" si="2"/>
        <v>2</v>
      </c>
      <c r="E551" s="1" t="s">
        <v>1363</v>
      </c>
      <c r="G551" s="1">
        <f t="array" ref="G551">IF(ISNUMBER(MATCH(36988,Camille!$A:$A,0)), IF(OR(INDEX(Camille!$D:$D,MATCH(36988,Camille!$A:$A,0))=1, INDEX(Camille!$D:$D,MATCH(36988,Camille!$A:$A,0))=2), INDEX(Camille!$D:$D,MATCH(36988,Camille!$A:$A,0)), 0), 0)</f>
        <v>2</v>
      </c>
      <c r="H551" s="1">
        <f t="array" ref="H551">IF(ISNUMBER(MATCH(36988,Telmo!$A:$A,0)), IF(OR(INDEX(Telmo!$D:$D,MATCH(36988,Telmo!$A:$A,0))=1, INDEX(Telmo!$D:$D,MATCH(36988,Telmo!$A:$A,0))=2), INDEX(Telmo!$D:$D,MATCH(36988,Telmo!$A:$A,0)), 0), 0)</f>
        <v>0</v>
      </c>
      <c r="I551" s="1">
        <f t="array" ref="I551">IF(ISNUMBER(MATCH(36988,Max!$A:$A,0)), IF(OR(INDEX(Max!$D:$D,MATCH(36988,Max!$A:$A,0))=1, INDEX(Max!$D:$D,MATCH(36988,Max!$A:$A,0))=2), INDEX(Max!$D:$D,MATCH(36988,Max!$A:$A,0)), 0), 0)</f>
        <v>0</v>
      </c>
    </row>
    <row r="552" spans="1:9" ht="15.75" customHeight="1" x14ac:dyDescent="0.2">
      <c r="A552" s="1">
        <v>11555</v>
      </c>
      <c r="B552" s="1" t="s">
        <v>90</v>
      </c>
      <c r="C552" s="1" t="s">
        <v>1364</v>
      </c>
      <c r="D552" s="1" t="str">
        <f t="shared" si="2"/>
        <v>2</v>
      </c>
      <c r="E552" s="1" t="s">
        <v>1365</v>
      </c>
      <c r="G552" s="1">
        <f t="array" ref="G552">IF(ISNUMBER(MATCH(11555,Camille!$A:$A,0)), IF(OR(INDEX(Camille!$D:$D,MATCH(11555,Camille!$A:$A,0))=1, INDEX(Camille!$D:$D,MATCH(11555,Camille!$A:$A,0))=2), INDEX(Camille!$D:$D,MATCH(11555,Camille!$A:$A,0)), 0), 0)</f>
        <v>2</v>
      </c>
      <c r="H552" s="1">
        <f t="array" ref="H552">IF(ISNUMBER(MATCH(11555,Telmo!$A:$A,0)), IF(OR(INDEX(Telmo!$D:$D,MATCH(11555,Telmo!$A:$A,0))=1, INDEX(Telmo!$D:$D,MATCH(11555,Telmo!$A:$A,0))=2), INDEX(Telmo!$D:$D,MATCH(11555,Telmo!$A:$A,0)), 0), 0)</f>
        <v>0</v>
      </c>
      <c r="I552" s="1">
        <f t="array" ref="I552">IF(ISNUMBER(MATCH(11555,Max!$A:$A,0)), IF(OR(INDEX(Max!$D:$D,MATCH(11555,Max!$A:$A,0))=1, INDEX(Max!$D:$D,MATCH(11555,Max!$A:$A,0))=2), INDEX(Max!$D:$D,MATCH(11555,Max!$A:$A,0)), 0), 0)</f>
        <v>0</v>
      </c>
    </row>
    <row r="553" spans="1:9" ht="15.75" customHeight="1" x14ac:dyDescent="0.2">
      <c r="A553" s="1">
        <v>7677</v>
      </c>
      <c r="B553" s="1" t="s">
        <v>35</v>
      </c>
      <c r="C553" s="1" t="s">
        <v>1366</v>
      </c>
      <c r="D553" s="1" t="str">
        <f t="shared" si="2"/>
        <v>2</v>
      </c>
      <c r="E553" s="1" t="s">
        <v>1367</v>
      </c>
      <c r="G553" s="1">
        <f t="array" ref="G553">IF(ISNUMBER(MATCH(7677,Camille!$A:$A,0)), IF(OR(INDEX(Camille!$D:$D,MATCH(7677,Camille!$A:$A,0))=1, INDEX(Camille!$D:$D,MATCH(7677,Camille!$A:$A,0))=2), INDEX(Camille!$D:$D,MATCH(7677,Camille!$A:$A,0)), 0), 0)</f>
        <v>2</v>
      </c>
      <c r="H553" s="1">
        <f t="array" ref="H553">IF(ISNUMBER(MATCH(7677,Telmo!$A:$A,0)), IF(OR(INDEX(Telmo!$D:$D,MATCH(7677,Telmo!$A:$A,0))=1, INDEX(Telmo!$D:$D,MATCH(7677,Telmo!$A:$A,0))=2), INDEX(Telmo!$D:$D,MATCH(7677,Telmo!$A:$A,0)), 0), 0)</f>
        <v>0</v>
      </c>
      <c r="I553" s="1">
        <f t="array" ref="I553">IF(ISNUMBER(MATCH(7677,Max!$A:$A,0)), IF(OR(INDEX(Max!$D:$D,MATCH(7677,Max!$A:$A,0))=1, INDEX(Max!$D:$D,MATCH(7677,Max!$A:$A,0))=2), INDEX(Max!$D:$D,MATCH(7677,Max!$A:$A,0)), 0), 0)</f>
        <v>0</v>
      </c>
    </row>
    <row r="554" spans="1:9" ht="15.75" customHeight="1" x14ac:dyDescent="0.2">
      <c r="A554" s="1">
        <v>71370</v>
      </c>
      <c r="B554" s="1" t="s">
        <v>23</v>
      </c>
      <c r="C554" s="1" t="s">
        <v>1368</v>
      </c>
      <c r="D554" s="1" t="str">
        <f t="shared" si="2"/>
        <v>2</v>
      </c>
      <c r="E554" s="1" t="s">
        <v>1369</v>
      </c>
      <c r="G554" s="1">
        <f t="array" ref="G554">IF(ISNUMBER(MATCH(71370,Camille!$A:$A,0)), IF(OR(INDEX(Camille!$D:$D,MATCH(71370,Camille!$A:$A,0))=1, INDEX(Camille!$D:$D,MATCH(71370,Camille!$A:$A,0))=2), INDEX(Camille!$D:$D,MATCH(71370,Camille!$A:$A,0)), 0), 0)</f>
        <v>2</v>
      </c>
      <c r="H554" s="1">
        <f t="array" ref="H554">IF(ISNUMBER(MATCH(71370,Telmo!$A:$A,0)), IF(OR(INDEX(Telmo!$D:$D,MATCH(71370,Telmo!$A:$A,0))=1, INDEX(Telmo!$D:$D,MATCH(71370,Telmo!$A:$A,0))=2), INDEX(Telmo!$D:$D,MATCH(71370,Telmo!$A:$A,0)), 0), 0)</f>
        <v>0</v>
      </c>
      <c r="I554" s="1">
        <f t="array" ref="I554">IF(ISNUMBER(MATCH(71370,Max!$A:$A,0)), IF(OR(INDEX(Max!$D:$D,MATCH(71370,Max!$A:$A,0))=1, INDEX(Max!$D:$D,MATCH(71370,Max!$A:$A,0))=2), INDEX(Max!$D:$D,MATCH(71370,Max!$A:$A,0)), 0), 0)</f>
        <v>0</v>
      </c>
    </row>
    <row r="555" spans="1:9" ht="15.75" customHeight="1" x14ac:dyDescent="0.2">
      <c r="A555" s="1">
        <v>58667</v>
      </c>
      <c r="B555" s="1" t="s">
        <v>1021</v>
      </c>
      <c r="C555" s="1" t="s">
        <v>1370</v>
      </c>
      <c r="D555" s="1" t="str">
        <f t="shared" si="2"/>
        <v>2</v>
      </c>
      <c r="E555" s="1" t="s">
        <v>1371</v>
      </c>
      <c r="G555" s="1">
        <f t="array" ref="G555">IF(ISNUMBER(MATCH(58667,Camille!$A:$A,0)), IF(OR(INDEX(Camille!$D:$D,MATCH(58667,Camille!$A:$A,0))=1, INDEX(Camille!$D:$D,MATCH(58667,Camille!$A:$A,0))=2), INDEX(Camille!$D:$D,MATCH(58667,Camille!$A:$A,0)), 0), 0)</f>
        <v>2</v>
      </c>
      <c r="H555" s="1">
        <f t="array" ref="H555">IF(ISNUMBER(MATCH(58667,Telmo!$A:$A,0)), IF(OR(INDEX(Telmo!$D:$D,MATCH(58667,Telmo!$A:$A,0))=1, INDEX(Telmo!$D:$D,MATCH(58667,Telmo!$A:$A,0))=2), INDEX(Telmo!$D:$D,MATCH(58667,Telmo!$A:$A,0)), 0), 0)</f>
        <v>0</v>
      </c>
      <c r="I555" s="1">
        <f t="array" ref="I555">IF(ISNUMBER(MATCH(58667,Max!$A:$A,0)), IF(OR(INDEX(Max!$D:$D,MATCH(58667,Max!$A:$A,0))=1, INDEX(Max!$D:$D,MATCH(58667,Max!$A:$A,0))=2), INDEX(Max!$D:$D,MATCH(58667,Max!$A:$A,0)), 0), 0)</f>
        <v>0</v>
      </c>
    </row>
    <row r="556" spans="1:9" ht="15.75" customHeight="1" x14ac:dyDescent="0.2">
      <c r="A556" s="1">
        <v>42153</v>
      </c>
      <c r="B556" s="1" t="s">
        <v>936</v>
      </c>
      <c r="C556" s="1" t="s">
        <v>1372</v>
      </c>
      <c r="D556" s="1" t="str">
        <f t="shared" si="2"/>
        <v>2</v>
      </c>
      <c r="E556" s="1" t="s">
        <v>1373</v>
      </c>
      <c r="G556" s="1">
        <f t="array" ref="G556">IF(ISNUMBER(MATCH(42153,Camille!$A:$A,0)), IF(OR(INDEX(Camille!$D:$D,MATCH(42153,Camille!$A:$A,0))=1, INDEX(Camille!$D:$D,MATCH(42153,Camille!$A:$A,0))=2), INDEX(Camille!$D:$D,MATCH(42153,Camille!$A:$A,0)), 0), 0)</f>
        <v>2</v>
      </c>
      <c r="H556" s="1">
        <f t="array" ref="H556">IF(ISNUMBER(MATCH(42153,Telmo!$A:$A,0)), IF(OR(INDEX(Telmo!$D:$D,MATCH(42153,Telmo!$A:$A,0))=1, INDEX(Telmo!$D:$D,MATCH(42153,Telmo!$A:$A,0))=2), INDEX(Telmo!$D:$D,MATCH(42153,Telmo!$A:$A,0)), 0), 0)</f>
        <v>0</v>
      </c>
      <c r="I556" s="1">
        <f t="array" ref="I556">IF(ISNUMBER(MATCH(42153,Max!$A:$A,0)), IF(OR(INDEX(Max!$D:$D,MATCH(42153,Max!$A:$A,0))=1, INDEX(Max!$D:$D,MATCH(42153,Max!$A:$A,0))=2), INDEX(Max!$D:$D,MATCH(42153,Max!$A:$A,0)), 0), 0)</f>
        <v>0</v>
      </c>
    </row>
    <row r="557" spans="1:9" ht="15.75" customHeight="1" x14ac:dyDescent="0.2">
      <c r="A557" s="1">
        <v>6154</v>
      </c>
      <c r="B557" s="1" t="s">
        <v>153</v>
      </c>
      <c r="C557" s="1" t="s">
        <v>1374</v>
      </c>
      <c r="D557" s="1" t="str">
        <f t="shared" si="2"/>
        <v>2</v>
      </c>
      <c r="E557" s="1" t="s">
        <v>1375</v>
      </c>
      <c r="G557" s="1">
        <f t="array" ref="G557">IF(ISNUMBER(MATCH(6154,Camille!$A:$A,0)), IF(OR(INDEX(Camille!$D:$D,MATCH(6154,Camille!$A:$A,0))=1, INDEX(Camille!$D:$D,MATCH(6154,Camille!$A:$A,0))=2), INDEX(Camille!$D:$D,MATCH(6154,Camille!$A:$A,0)), 0), 0)</f>
        <v>2</v>
      </c>
      <c r="H557" s="1">
        <f t="array" ref="H557">IF(ISNUMBER(MATCH(6154,Telmo!$A:$A,0)), IF(OR(INDEX(Telmo!$D:$D,MATCH(6154,Telmo!$A:$A,0))=1, INDEX(Telmo!$D:$D,MATCH(6154,Telmo!$A:$A,0))=2), INDEX(Telmo!$D:$D,MATCH(6154,Telmo!$A:$A,0)), 0), 0)</f>
        <v>0</v>
      </c>
      <c r="I557" s="1">
        <f t="array" ref="I557">IF(ISNUMBER(MATCH(6154,Max!$A:$A,0)), IF(OR(INDEX(Max!$D:$D,MATCH(6154,Max!$A:$A,0))=1, INDEX(Max!$D:$D,MATCH(6154,Max!$A:$A,0))=2), INDEX(Max!$D:$D,MATCH(6154,Max!$A:$A,0)), 0), 0)</f>
        <v>0</v>
      </c>
    </row>
    <row r="558" spans="1:9" ht="15.75" customHeight="1" x14ac:dyDescent="0.2">
      <c r="A558" s="1">
        <v>10335</v>
      </c>
      <c r="B558" s="1" t="s">
        <v>1001</v>
      </c>
      <c r="C558" s="1" t="s">
        <v>1376</v>
      </c>
      <c r="D558" s="1" t="str">
        <f t="shared" si="2"/>
        <v>1</v>
      </c>
      <c r="E558" s="1" t="s">
        <v>1377</v>
      </c>
      <c r="G558" s="1">
        <f t="array" ref="G558">IF(ISNUMBER(MATCH(10335,Camille!$A:$A,0)), IF(OR(INDEX(Camille!$D:$D,MATCH(10335,Camille!$A:$A,0))=1, INDEX(Camille!$D:$D,MATCH(10335,Camille!$A:$A,0))=2), INDEX(Camille!$D:$D,MATCH(10335,Camille!$A:$A,0)), 0), 0)</f>
        <v>1</v>
      </c>
      <c r="H558" s="1">
        <f t="array" ref="H558">IF(ISNUMBER(MATCH(10335,Telmo!$A:$A,0)), IF(OR(INDEX(Telmo!$D:$D,MATCH(10335,Telmo!$A:$A,0))=1, INDEX(Telmo!$D:$D,MATCH(10335,Telmo!$A:$A,0))=2), INDEX(Telmo!$D:$D,MATCH(10335,Telmo!$A:$A,0)), 0), 0)</f>
        <v>0</v>
      </c>
      <c r="I558" s="1">
        <f t="array" ref="I558">IF(ISNUMBER(MATCH(10335,Max!$A:$A,0)), IF(OR(INDEX(Max!$D:$D,MATCH(10335,Max!$A:$A,0))=1, INDEX(Max!$D:$D,MATCH(10335,Max!$A:$A,0))=2), INDEX(Max!$D:$D,MATCH(10335,Max!$A:$A,0)), 0), 0)</f>
        <v>0</v>
      </c>
    </row>
    <row r="559" spans="1:9" ht="15.75" customHeight="1" x14ac:dyDescent="0.2">
      <c r="A559" s="1">
        <v>54694</v>
      </c>
      <c r="B559" s="1" t="s">
        <v>244</v>
      </c>
      <c r="C559" s="1" t="s">
        <v>1378</v>
      </c>
      <c r="D559" s="1" t="str">
        <f t="shared" si="2"/>
        <v>1</v>
      </c>
      <c r="E559" s="1" t="s">
        <v>1379</v>
      </c>
      <c r="G559" s="1">
        <f t="array" ref="G559">IF(ISNUMBER(MATCH(54694,Camille!$A:$A,0)), IF(OR(INDEX(Camille!$D:$D,MATCH(54694,Camille!$A:$A,0))=1, INDEX(Camille!$D:$D,MATCH(54694,Camille!$A:$A,0))=2), INDEX(Camille!$D:$D,MATCH(54694,Camille!$A:$A,0)), 0), 0)</f>
        <v>1</v>
      </c>
      <c r="H559" s="1">
        <f t="array" ref="H559">IF(ISNUMBER(MATCH(54694,Telmo!$A:$A,0)), IF(OR(INDEX(Telmo!$D:$D,MATCH(54694,Telmo!$A:$A,0))=1, INDEX(Telmo!$D:$D,MATCH(54694,Telmo!$A:$A,0))=2), INDEX(Telmo!$D:$D,MATCH(54694,Telmo!$A:$A,0)), 0), 0)</f>
        <v>0</v>
      </c>
      <c r="I559" s="1">
        <f t="array" ref="I559">IF(ISNUMBER(MATCH(54694,Max!$A:$A,0)), IF(OR(INDEX(Max!$D:$D,MATCH(54694,Max!$A:$A,0))=1, INDEX(Max!$D:$D,MATCH(54694,Max!$A:$A,0))=2), INDEX(Max!$D:$D,MATCH(54694,Max!$A:$A,0)), 0), 0)</f>
        <v>0</v>
      </c>
    </row>
    <row r="560" spans="1:9" ht="15.75" customHeight="1" x14ac:dyDescent="0.2">
      <c r="A560" s="1">
        <v>26098</v>
      </c>
      <c r="B560" s="1" t="s">
        <v>1350</v>
      </c>
      <c r="C560" s="1" t="s">
        <v>1380</v>
      </c>
      <c r="D560" s="1" t="str">
        <f t="shared" si="2"/>
        <v>2</v>
      </c>
      <c r="E560" s="1" t="s">
        <v>1381</v>
      </c>
      <c r="G560" s="1">
        <f t="array" ref="G560">IF(ISNUMBER(MATCH(26098,Camille!$A:$A,0)), IF(OR(INDEX(Camille!$D:$D,MATCH(26098,Camille!$A:$A,0))=1, INDEX(Camille!$D:$D,MATCH(26098,Camille!$A:$A,0))=2), INDEX(Camille!$D:$D,MATCH(26098,Camille!$A:$A,0)), 0), 0)</f>
        <v>2</v>
      </c>
      <c r="H560" s="1">
        <f t="array" ref="H560">IF(ISNUMBER(MATCH(26098,Telmo!$A:$A,0)), IF(OR(INDEX(Telmo!$D:$D,MATCH(26098,Telmo!$A:$A,0))=1, INDEX(Telmo!$D:$D,MATCH(26098,Telmo!$A:$A,0))=2), INDEX(Telmo!$D:$D,MATCH(26098,Telmo!$A:$A,0)), 0), 0)</f>
        <v>0</v>
      </c>
      <c r="I560" s="1">
        <f t="array" ref="I560">IF(ISNUMBER(MATCH(26098,Max!$A:$A,0)), IF(OR(INDEX(Max!$D:$D,MATCH(26098,Max!$A:$A,0))=1, INDEX(Max!$D:$D,MATCH(26098,Max!$A:$A,0))=2), INDEX(Max!$D:$D,MATCH(26098,Max!$A:$A,0)), 0), 0)</f>
        <v>0</v>
      </c>
    </row>
    <row r="561" spans="1:9" ht="15.75" customHeight="1" x14ac:dyDescent="0.2">
      <c r="A561" s="1">
        <v>31733</v>
      </c>
      <c r="B561" s="1" t="s">
        <v>244</v>
      </c>
      <c r="C561" s="1" t="s">
        <v>1382</v>
      </c>
      <c r="D561" s="1" t="str">
        <f t="shared" si="2"/>
        <v>1</v>
      </c>
      <c r="E561" s="1" t="s">
        <v>1383</v>
      </c>
      <c r="G561" s="1">
        <f t="array" ref="G561">IF(ISNUMBER(MATCH(31733,Camille!$A:$A,0)), IF(OR(INDEX(Camille!$D:$D,MATCH(31733,Camille!$A:$A,0))=1, INDEX(Camille!$D:$D,MATCH(31733,Camille!$A:$A,0))=2), INDEX(Camille!$D:$D,MATCH(31733,Camille!$A:$A,0)), 0), 0)</f>
        <v>1</v>
      </c>
      <c r="H561" s="1">
        <f t="array" ref="H561">IF(ISNUMBER(MATCH(31733,Telmo!$A:$A,0)), IF(OR(INDEX(Telmo!$D:$D,MATCH(31733,Telmo!$A:$A,0))=1, INDEX(Telmo!$D:$D,MATCH(31733,Telmo!$A:$A,0))=2), INDEX(Telmo!$D:$D,MATCH(31733,Telmo!$A:$A,0)), 0), 0)</f>
        <v>0</v>
      </c>
      <c r="I561" s="1">
        <f t="array" ref="I561">IF(ISNUMBER(MATCH(31733,Max!$A:$A,0)), IF(OR(INDEX(Max!$D:$D,MATCH(31733,Max!$A:$A,0))=1, INDEX(Max!$D:$D,MATCH(31733,Max!$A:$A,0))=2), INDEX(Max!$D:$D,MATCH(31733,Max!$A:$A,0)), 0), 0)</f>
        <v>0</v>
      </c>
    </row>
    <row r="562" spans="1:9" ht="15.75" customHeight="1" x14ac:dyDescent="0.2">
      <c r="A562" s="1">
        <v>65713</v>
      </c>
      <c r="B562" s="1" t="s">
        <v>32</v>
      </c>
      <c r="C562" s="1" t="s">
        <v>1384</v>
      </c>
      <c r="D562" s="1" t="str">
        <f t="shared" si="2"/>
        <v>1</v>
      </c>
      <c r="E562" s="1" t="s">
        <v>1385</v>
      </c>
      <c r="G562" s="1">
        <f t="array" ref="G562">IF(ISNUMBER(MATCH(65713,Camille!$A:$A,0)), IF(OR(INDEX(Camille!$D:$D,MATCH(65713,Camille!$A:$A,0))=1, INDEX(Camille!$D:$D,MATCH(65713,Camille!$A:$A,0))=2), INDEX(Camille!$D:$D,MATCH(65713,Camille!$A:$A,0)), 0), 0)</f>
        <v>1</v>
      </c>
      <c r="H562" s="1">
        <f t="array" ref="H562">IF(ISNUMBER(MATCH(65713,Telmo!$A:$A,0)), IF(OR(INDEX(Telmo!$D:$D,MATCH(65713,Telmo!$A:$A,0))=1, INDEX(Telmo!$D:$D,MATCH(65713,Telmo!$A:$A,0))=2), INDEX(Telmo!$D:$D,MATCH(65713,Telmo!$A:$A,0)), 0), 0)</f>
        <v>0</v>
      </c>
      <c r="I562" s="1">
        <f t="array" ref="I562">IF(ISNUMBER(MATCH(65713,Max!$A:$A,0)), IF(OR(INDEX(Max!$D:$D,MATCH(65713,Max!$A:$A,0))=1, INDEX(Max!$D:$D,MATCH(65713,Max!$A:$A,0))=2), INDEX(Max!$D:$D,MATCH(65713,Max!$A:$A,0)), 0), 0)</f>
        <v>0</v>
      </c>
    </row>
    <row r="563" spans="1:9" ht="15.75" customHeight="1" x14ac:dyDescent="0.2">
      <c r="A563" s="1">
        <v>53586</v>
      </c>
      <c r="B563" s="1" t="s">
        <v>1386</v>
      </c>
      <c r="C563" s="1" t="s">
        <v>1387</v>
      </c>
      <c r="D563" s="1" t="str">
        <f t="shared" si="2"/>
        <v>2</v>
      </c>
      <c r="E563" s="1" t="s">
        <v>1388</v>
      </c>
      <c r="G563" s="1">
        <f t="array" ref="G563">IF(ISNUMBER(MATCH(53586,Camille!$A:$A,0)), IF(OR(INDEX(Camille!$D:$D,MATCH(53586,Camille!$A:$A,0))=1, INDEX(Camille!$D:$D,MATCH(53586,Camille!$A:$A,0))=2), INDEX(Camille!$D:$D,MATCH(53586,Camille!$A:$A,0)), 0), 0)</f>
        <v>2</v>
      </c>
      <c r="H563" s="1">
        <f t="array" ref="H563">IF(ISNUMBER(MATCH(53586,Telmo!$A:$A,0)), IF(OR(INDEX(Telmo!$D:$D,MATCH(53586,Telmo!$A:$A,0))=1, INDEX(Telmo!$D:$D,MATCH(53586,Telmo!$A:$A,0))=2), INDEX(Telmo!$D:$D,MATCH(53586,Telmo!$A:$A,0)), 0), 0)</f>
        <v>0</v>
      </c>
      <c r="I563" s="1">
        <f t="array" ref="I563">IF(ISNUMBER(MATCH(53586,Max!$A:$A,0)), IF(OR(INDEX(Max!$D:$D,MATCH(53586,Max!$A:$A,0))=1, INDEX(Max!$D:$D,MATCH(53586,Max!$A:$A,0))=2), INDEX(Max!$D:$D,MATCH(53586,Max!$A:$A,0)), 0), 0)</f>
        <v>0</v>
      </c>
    </row>
    <row r="564" spans="1:9" ht="15.75" customHeight="1" x14ac:dyDescent="0.2">
      <c r="A564" s="1">
        <v>10877</v>
      </c>
      <c r="B564" s="1" t="s">
        <v>172</v>
      </c>
      <c r="C564" s="1" t="s">
        <v>1389</v>
      </c>
      <c r="D564" s="1" t="str">
        <f t="shared" si="2"/>
        <v>2</v>
      </c>
      <c r="E564" s="1" t="s">
        <v>1390</v>
      </c>
      <c r="G564" s="1">
        <f t="array" ref="G564">IF(ISNUMBER(MATCH(10877,Camille!$A:$A,0)), IF(OR(INDEX(Camille!$D:$D,MATCH(10877,Camille!$A:$A,0))=1, INDEX(Camille!$D:$D,MATCH(10877,Camille!$A:$A,0))=2), INDEX(Camille!$D:$D,MATCH(10877,Camille!$A:$A,0)), 0), 0)</f>
        <v>2</v>
      </c>
      <c r="H564" s="1">
        <f t="array" ref="H564">IF(ISNUMBER(MATCH(10877,Telmo!$A:$A,0)), IF(OR(INDEX(Telmo!$D:$D,MATCH(10877,Telmo!$A:$A,0))=1, INDEX(Telmo!$D:$D,MATCH(10877,Telmo!$A:$A,0))=2), INDEX(Telmo!$D:$D,MATCH(10877,Telmo!$A:$A,0)), 0), 0)</f>
        <v>0</v>
      </c>
      <c r="I564" s="1">
        <f t="array" ref="I564">IF(ISNUMBER(MATCH(10877,Max!$A:$A,0)), IF(OR(INDEX(Max!$D:$D,MATCH(10877,Max!$A:$A,0))=1, INDEX(Max!$D:$D,MATCH(10877,Max!$A:$A,0))=2), INDEX(Max!$D:$D,MATCH(10877,Max!$A:$A,0)), 0), 0)</f>
        <v>0</v>
      </c>
    </row>
    <row r="565" spans="1:9" ht="15.75" customHeight="1" x14ac:dyDescent="0.2">
      <c r="A565" s="1">
        <v>35921</v>
      </c>
      <c r="B565" s="1" t="s">
        <v>430</v>
      </c>
      <c r="C565" s="1" t="s">
        <v>1391</v>
      </c>
      <c r="D565" s="1" t="str">
        <f t="shared" si="2"/>
        <v>2</v>
      </c>
      <c r="E565" s="1" t="s">
        <v>1392</v>
      </c>
      <c r="G565" s="1">
        <f t="array" ref="G565">IF(ISNUMBER(MATCH(35921,Camille!$A:$A,0)), IF(OR(INDEX(Camille!$D:$D,MATCH(35921,Camille!$A:$A,0))=1, INDEX(Camille!$D:$D,MATCH(35921,Camille!$A:$A,0))=2), INDEX(Camille!$D:$D,MATCH(35921,Camille!$A:$A,0)), 0), 0)</f>
        <v>2</v>
      </c>
      <c r="H565" s="1">
        <f t="array" ref="H565">IF(ISNUMBER(MATCH(35921,Telmo!$A:$A,0)), IF(OR(INDEX(Telmo!$D:$D,MATCH(35921,Telmo!$A:$A,0))=1, INDEX(Telmo!$D:$D,MATCH(35921,Telmo!$A:$A,0))=2), INDEX(Telmo!$D:$D,MATCH(35921,Telmo!$A:$A,0)), 0), 0)</f>
        <v>0</v>
      </c>
      <c r="I565" s="1">
        <f t="array" ref="I565">IF(ISNUMBER(MATCH(35921,Max!$A:$A,0)), IF(OR(INDEX(Max!$D:$D,MATCH(35921,Max!$A:$A,0))=1, INDEX(Max!$D:$D,MATCH(35921,Max!$A:$A,0))=2), INDEX(Max!$D:$D,MATCH(35921,Max!$A:$A,0)), 0), 0)</f>
        <v>0</v>
      </c>
    </row>
    <row r="566" spans="1:9" ht="15.75" customHeight="1" x14ac:dyDescent="0.2">
      <c r="A566" s="1">
        <v>42792</v>
      </c>
      <c r="B566" s="1" t="s">
        <v>466</v>
      </c>
      <c r="C566" s="1" t="s">
        <v>1393</v>
      </c>
      <c r="D566" s="1" t="str">
        <f t="shared" si="2"/>
        <v>2</v>
      </c>
      <c r="E566" s="1" t="s">
        <v>1394</v>
      </c>
      <c r="G566" s="1">
        <f t="array" ref="G566">IF(ISNUMBER(MATCH(42792,Camille!$A:$A,0)), IF(OR(INDEX(Camille!$D:$D,MATCH(42792,Camille!$A:$A,0))=1, INDEX(Camille!$D:$D,MATCH(42792,Camille!$A:$A,0))=2), INDEX(Camille!$D:$D,MATCH(42792,Camille!$A:$A,0)), 0), 0)</f>
        <v>2</v>
      </c>
      <c r="H566" s="1">
        <f t="array" ref="H566">IF(ISNUMBER(MATCH(42792,Telmo!$A:$A,0)), IF(OR(INDEX(Telmo!$D:$D,MATCH(42792,Telmo!$A:$A,0))=1, INDEX(Telmo!$D:$D,MATCH(42792,Telmo!$A:$A,0))=2), INDEX(Telmo!$D:$D,MATCH(42792,Telmo!$A:$A,0)), 0), 0)</f>
        <v>0</v>
      </c>
      <c r="I566" s="1">
        <f t="array" ref="I566">IF(ISNUMBER(MATCH(42792,Max!$A:$A,0)), IF(OR(INDEX(Max!$D:$D,MATCH(42792,Max!$A:$A,0))=1, INDEX(Max!$D:$D,MATCH(42792,Max!$A:$A,0))=2), INDEX(Max!$D:$D,MATCH(42792,Max!$A:$A,0)), 0), 0)</f>
        <v>0</v>
      </c>
    </row>
    <row r="567" spans="1:9" ht="15.75" customHeight="1" x14ac:dyDescent="0.2">
      <c r="A567" s="1">
        <v>2238</v>
      </c>
      <c r="B567" s="1" t="s">
        <v>1395</v>
      </c>
      <c r="C567" s="1" t="s">
        <v>1396</v>
      </c>
      <c r="D567" s="1" t="str">
        <f t="shared" si="2"/>
        <v>2</v>
      </c>
      <c r="E567" s="1" t="s">
        <v>1397</v>
      </c>
      <c r="G567" s="1">
        <f t="array" ref="G567">IF(ISNUMBER(MATCH(2238,Camille!$A:$A,0)), IF(OR(INDEX(Camille!$D:$D,MATCH(2238,Camille!$A:$A,0))=1, INDEX(Camille!$D:$D,MATCH(2238,Camille!$A:$A,0))=2), INDEX(Camille!$D:$D,MATCH(2238,Camille!$A:$A,0)), 0), 0)</f>
        <v>2</v>
      </c>
      <c r="H567" s="1">
        <f t="array" ref="H567">IF(ISNUMBER(MATCH(2238,Telmo!$A:$A,0)), IF(OR(INDEX(Telmo!$D:$D,MATCH(2238,Telmo!$A:$A,0))=1, INDEX(Telmo!$D:$D,MATCH(2238,Telmo!$A:$A,0))=2), INDEX(Telmo!$D:$D,MATCH(2238,Telmo!$A:$A,0)), 0), 0)</f>
        <v>0</v>
      </c>
      <c r="I567" s="1">
        <f t="array" ref="I567">IF(ISNUMBER(MATCH(2238,Max!$A:$A,0)), IF(OR(INDEX(Max!$D:$D,MATCH(2238,Max!$A:$A,0))=1, INDEX(Max!$D:$D,MATCH(2238,Max!$A:$A,0))=2), INDEX(Max!$D:$D,MATCH(2238,Max!$A:$A,0)), 0), 0)</f>
        <v>0</v>
      </c>
    </row>
    <row r="568" spans="1:9" ht="15.75" customHeight="1" x14ac:dyDescent="0.2">
      <c r="A568" s="1">
        <v>4527</v>
      </c>
      <c r="B568" s="1" t="s">
        <v>172</v>
      </c>
      <c r="C568" s="1" t="s">
        <v>1398</v>
      </c>
      <c r="D568" s="1" t="str">
        <f t="shared" si="2"/>
        <v>2</v>
      </c>
      <c r="E568" s="1" t="s">
        <v>1399</v>
      </c>
      <c r="G568" s="1">
        <f t="array" ref="G568">IF(ISNUMBER(MATCH(4527,Camille!$A:$A,0)), IF(OR(INDEX(Camille!$D:$D,MATCH(4527,Camille!$A:$A,0))=1, INDEX(Camille!$D:$D,MATCH(4527,Camille!$A:$A,0))=2), INDEX(Camille!$D:$D,MATCH(4527,Camille!$A:$A,0)), 0), 0)</f>
        <v>2</v>
      </c>
      <c r="H568" s="1">
        <f t="array" ref="H568">IF(ISNUMBER(MATCH(4527,Telmo!$A:$A,0)), IF(OR(INDEX(Telmo!$D:$D,MATCH(4527,Telmo!$A:$A,0))=1, INDEX(Telmo!$D:$D,MATCH(4527,Telmo!$A:$A,0))=2), INDEX(Telmo!$D:$D,MATCH(4527,Telmo!$A:$A,0)), 0), 0)</f>
        <v>0</v>
      </c>
      <c r="I568" s="1">
        <f t="array" ref="I568">IF(ISNUMBER(MATCH(4527,Max!$A:$A,0)), IF(OR(INDEX(Max!$D:$D,MATCH(4527,Max!$A:$A,0))=1, INDEX(Max!$D:$D,MATCH(4527,Max!$A:$A,0))=2), INDEX(Max!$D:$D,MATCH(4527,Max!$A:$A,0)), 0), 0)</f>
        <v>0</v>
      </c>
    </row>
    <row r="569" spans="1:9" ht="15.75" customHeight="1" x14ac:dyDescent="0.2">
      <c r="A569" s="1">
        <v>14149</v>
      </c>
      <c r="B569" s="1" t="s">
        <v>159</v>
      </c>
      <c r="C569" s="1" t="s">
        <v>1400</v>
      </c>
      <c r="D569" s="1" t="str">
        <f t="shared" si="2"/>
        <v>1</v>
      </c>
      <c r="E569" s="1" t="s">
        <v>1401</v>
      </c>
      <c r="G569" s="1">
        <f t="array" ref="G569">IF(ISNUMBER(MATCH(14149,Camille!$A:$A,0)), IF(OR(INDEX(Camille!$D:$D,MATCH(14149,Camille!$A:$A,0))=1, INDEX(Camille!$D:$D,MATCH(14149,Camille!$A:$A,0))=2), INDEX(Camille!$D:$D,MATCH(14149,Camille!$A:$A,0)), 0), 0)</f>
        <v>1</v>
      </c>
      <c r="H569" s="1">
        <f t="array" ref="H569">IF(ISNUMBER(MATCH(14149,Telmo!$A:$A,0)), IF(OR(INDEX(Telmo!$D:$D,MATCH(14149,Telmo!$A:$A,0))=1, INDEX(Telmo!$D:$D,MATCH(14149,Telmo!$A:$A,0))=2), INDEX(Telmo!$D:$D,MATCH(14149,Telmo!$A:$A,0)), 0), 0)</f>
        <v>0</v>
      </c>
      <c r="I569" s="1">
        <f t="array" ref="I569">IF(ISNUMBER(MATCH(14149,Max!$A:$A,0)), IF(OR(INDEX(Max!$D:$D,MATCH(14149,Max!$A:$A,0))=1, INDEX(Max!$D:$D,MATCH(14149,Max!$A:$A,0))=2), INDEX(Max!$D:$D,MATCH(14149,Max!$A:$A,0)), 0), 0)</f>
        <v>0</v>
      </c>
    </row>
    <row r="570" spans="1:9" ht="15.75" customHeight="1" x14ac:dyDescent="0.2">
      <c r="A570" s="1">
        <v>53605</v>
      </c>
      <c r="B570" s="1" t="s">
        <v>244</v>
      </c>
      <c r="C570" s="1" t="s">
        <v>1402</v>
      </c>
      <c r="D570" s="1" t="str">
        <f t="shared" si="2"/>
        <v>1</v>
      </c>
      <c r="E570" s="1" t="s">
        <v>1403</v>
      </c>
      <c r="G570" s="1">
        <f t="array" ref="G570">IF(ISNUMBER(MATCH(53605,Camille!$A:$A,0)), IF(OR(INDEX(Camille!$D:$D,MATCH(53605,Camille!$A:$A,0))=1, INDEX(Camille!$D:$D,MATCH(53605,Camille!$A:$A,0))=2), INDEX(Camille!$D:$D,MATCH(53605,Camille!$A:$A,0)), 0), 0)</f>
        <v>1</v>
      </c>
      <c r="H570" s="1">
        <f t="array" ref="H570">IF(ISNUMBER(MATCH(53605,Telmo!$A:$A,0)), IF(OR(INDEX(Telmo!$D:$D,MATCH(53605,Telmo!$A:$A,0))=1, INDEX(Telmo!$D:$D,MATCH(53605,Telmo!$A:$A,0))=2), INDEX(Telmo!$D:$D,MATCH(53605,Telmo!$A:$A,0)), 0), 0)</f>
        <v>0</v>
      </c>
      <c r="I570" s="1">
        <f t="array" ref="I570">IF(ISNUMBER(MATCH(53605,Max!$A:$A,0)), IF(OR(INDEX(Max!$D:$D,MATCH(53605,Max!$A:$A,0))=1, INDEX(Max!$D:$D,MATCH(53605,Max!$A:$A,0))=2), INDEX(Max!$D:$D,MATCH(53605,Max!$A:$A,0)), 0), 0)</f>
        <v>0</v>
      </c>
    </row>
    <row r="571" spans="1:9" ht="15.75" customHeight="1" x14ac:dyDescent="0.2">
      <c r="A571" s="1">
        <v>36288</v>
      </c>
      <c r="B571" s="1" t="s">
        <v>180</v>
      </c>
      <c r="C571" s="1" t="s">
        <v>1404</v>
      </c>
      <c r="D571" s="1" t="str">
        <f t="shared" si="2"/>
        <v>2</v>
      </c>
      <c r="E571" s="1" t="s">
        <v>1405</v>
      </c>
      <c r="G571" s="1">
        <f t="array" ref="G571">IF(ISNUMBER(MATCH(36288,Camille!$A:$A,0)), IF(OR(INDEX(Camille!$D:$D,MATCH(36288,Camille!$A:$A,0))=1, INDEX(Camille!$D:$D,MATCH(36288,Camille!$A:$A,0))=2), INDEX(Camille!$D:$D,MATCH(36288,Camille!$A:$A,0)), 0), 0)</f>
        <v>2</v>
      </c>
      <c r="H571" s="1">
        <f t="array" ref="H571">IF(ISNUMBER(MATCH(36288,Telmo!$A:$A,0)), IF(OR(INDEX(Telmo!$D:$D,MATCH(36288,Telmo!$A:$A,0))=1, INDEX(Telmo!$D:$D,MATCH(36288,Telmo!$A:$A,0))=2), INDEX(Telmo!$D:$D,MATCH(36288,Telmo!$A:$A,0)), 0), 0)</f>
        <v>0</v>
      </c>
      <c r="I571" s="1">
        <f t="array" ref="I571">IF(ISNUMBER(MATCH(36288,Max!$A:$A,0)), IF(OR(INDEX(Max!$D:$D,MATCH(36288,Max!$A:$A,0))=1, INDEX(Max!$D:$D,MATCH(36288,Max!$A:$A,0))=2), INDEX(Max!$D:$D,MATCH(36288,Max!$A:$A,0)), 0), 0)</f>
        <v>0</v>
      </c>
    </row>
    <row r="572" spans="1:9" ht="15.75" customHeight="1" x14ac:dyDescent="0.2">
      <c r="A572" s="1">
        <v>71413</v>
      </c>
      <c r="B572" s="1" t="s">
        <v>11</v>
      </c>
      <c r="C572" s="1" t="s">
        <v>1406</v>
      </c>
      <c r="D572" s="1" t="str">
        <f t="shared" si="2"/>
        <v>2</v>
      </c>
      <c r="E572" s="1" t="s">
        <v>1407</v>
      </c>
      <c r="G572" s="1">
        <f t="array" ref="G572">IF(ISNUMBER(MATCH(71413,Camille!$A:$A,0)), IF(OR(INDEX(Camille!$D:$D,MATCH(71413,Camille!$A:$A,0))=1, INDEX(Camille!$D:$D,MATCH(71413,Camille!$A:$A,0))=2), INDEX(Camille!$D:$D,MATCH(71413,Camille!$A:$A,0)), 0), 0)</f>
        <v>2</v>
      </c>
      <c r="H572" s="1">
        <f t="array" ref="H572">IF(ISNUMBER(MATCH(71413,Telmo!$A:$A,0)), IF(OR(INDEX(Telmo!$D:$D,MATCH(71413,Telmo!$A:$A,0))=1, INDEX(Telmo!$D:$D,MATCH(71413,Telmo!$A:$A,0))=2), INDEX(Telmo!$D:$D,MATCH(71413,Telmo!$A:$A,0)), 0), 0)</f>
        <v>0</v>
      </c>
      <c r="I572" s="1">
        <f t="array" ref="I572">IF(ISNUMBER(MATCH(71413,Max!$A:$A,0)), IF(OR(INDEX(Max!$D:$D,MATCH(71413,Max!$A:$A,0))=1, INDEX(Max!$D:$D,MATCH(71413,Max!$A:$A,0))=2), INDEX(Max!$D:$D,MATCH(71413,Max!$A:$A,0)), 0), 0)</f>
        <v>0</v>
      </c>
    </row>
    <row r="573" spans="1:9" ht="15.75" customHeight="1" x14ac:dyDescent="0.2">
      <c r="A573" s="1">
        <v>67484</v>
      </c>
      <c r="B573" s="1" t="s">
        <v>405</v>
      </c>
      <c r="C573" s="1" t="s">
        <v>1408</v>
      </c>
      <c r="D573" s="1" t="str">
        <f t="shared" si="2"/>
        <v>2</v>
      </c>
      <c r="E573" s="1" t="s">
        <v>1409</v>
      </c>
      <c r="G573" s="1">
        <f t="array" ref="G573">IF(ISNUMBER(MATCH(67484,Camille!$A:$A,0)), IF(OR(INDEX(Camille!$D:$D,MATCH(67484,Camille!$A:$A,0))=1, INDEX(Camille!$D:$D,MATCH(67484,Camille!$A:$A,0))=2), INDEX(Camille!$D:$D,MATCH(67484,Camille!$A:$A,0)), 0), 0)</f>
        <v>2</v>
      </c>
      <c r="H573" s="1">
        <f t="array" ref="H573">IF(ISNUMBER(MATCH(67484,Telmo!$A:$A,0)), IF(OR(INDEX(Telmo!$D:$D,MATCH(67484,Telmo!$A:$A,0))=1, INDEX(Telmo!$D:$D,MATCH(67484,Telmo!$A:$A,0))=2), INDEX(Telmo!$D:$D,MATCH(67484,Telmo!$A:$A,0)), 0), 0)</f>
        <v>0</v>
      </c>
      <c r="I573" s="1">
        <f t="array" ref="I573">IF(ISNUMBER(MATCH(67484,Max!$A:$A,0)), IF(OR(INDEX(Max!$D:$D,MATCH(67484,Max!$A:$A,0))=1, INDEX(Max!$D:$D,MATCH(67484,Max!$A:$A,0))=2), INDEX(Max!$D:$D,MATCH(67484,Max!$A:$A,0)), 0), 0)</f>
        <v>0</v>
      </c>
    </row>
    <row r="574" spans="1:9" ht="15.75" customHeight="1" x14ac:dyDescent="0.2">
      <c r="A574" s="1">
        <v>64455</v>
      </c>
      <c r="B574" s="1" t="s">
        <v>1410</v>
      </c>
      <c r="C574" s="1" t="s">
        <v>1411</v>
      </c>
      <c r="D574" s="1" t="str">
        <f t="shared" si="2"/>
        <v>1</v>
      </c>
      <c r="E574" s="1" t="s">
        <v>1412</v>
      </c>
      <c r="G574" s="1">
        <f t="array" ref="G574">IF(ISNUMBER(MATCH(64455,Camille!$A:$A,0)), IF(OR(INDEX(Camille!$D:$D,MATCH(64455,Camille!$A:$A,0))=1, INDEX(Camille!$D:$D,MATCH(64455,Camille!$A:$A,0))=2), INDEX(Camille!$D:$D,MATCH(64455,Camille!$A:$A,0)), 0), 0)</f>
        <v>1</v>
      </c>
      <c r="H574" s="1">
        <f t="array" ref="H574">IF(ISNUMBER(MATCH(64455,Telmo!$A:$A,0)), IF(OR(INDEX(Telmo!$D:$D,MATCH(64455,Telmo!$A:$A,0))=1, INDEX(Telmo!$D:$D,MATCH(64455,Telmo!$A:$A,0))=2), INDEX(Telmo!$D:$D,MATCH(64455,Telmo!$A:$A,0)), 0), 0)</f>
        <v>0</v>
      </c>
      <c r="I574" s="1">
        <f t="array" ref="I574">IF(ISNUMBER(MATCH(64455,Max!$A:$A,0)), IF(OR(INDEX(Max!$D:$D,MATCH(64455,Max!$A:$A,0))=1, INDEX(Max!$D:$D,MATCH(64455,Max!$A:$A,0))=2), INDEX(Max!$D:$D,MATCH(64455,Max!$A:$A,0)), 0), 0)</f>
        <v>0</v>
      </c>
    </row>
    <row r="575" spans="1:9" ht="15.75" customHeight="1" x14ac:dyDescent="0.2">
      <c r="A575" s="1">
        <v>58084</v>
      </c>
      <c r="B575" s="1" t="s">
        <v>32</v>
      </c>
      <c r="C575" s="1" t="s">
        <v>1413</v>
      </c>
      <c r="D575" s="1" t="str">
        <f t="shared" si="2"/>
        <v>1</v>
      </c>
      <c r="E575" s="1" t="s">
        <v>1414</v>
      </c>
      <c r="G575" s="1">
        <f t="array" ref="G575">IF(ISNUMBER(MATCH(58084,Camille!$A:$A,0)), IF(OR(INDEX(Camille!$D:$D,MATCH(58084,Camille!$A:$A,0))=1, INDEX(Camille!$D:$D,MATCH(58084,Camille!$A:$A,0))=2), INDEX(Camille!$D:$D,MATCH(58084,Camille!$A:$A,0)), 0), 0)</f>
        <v>1</v>
      </c>
      <c r="H575" s="1">
        <f t="array" ref="H575">IF(ISNUMBER(MATCH(58084,Telmo!$A:$A,0)), IF(OR(INDEX(Telmo!$D:$D,MATCH(58084,Telmo!$A:$A,0))=1, INDEX(Telmo!$D:$D,MATCH(58084,Telmo!$A:$A,0))=2), INDEX(Telmo!$D:$D,MATCH(58084,Telmo!$A:$A,0)), 0), 0)</f>
        <v>0</v>
      </c>
      <c r="I575" s="1">
        <f t="array" ref="I575">IF(ISNUMBER(MATCH(58084,Max!$A:$A,0)), IF(OR(INDEX(Max!$D:$D,MATCH(58084,Max!$A:$A,0))=1, INDEX(Max!$D:$D,MATCH(58084,Max!$A:$A,0))=2), INDEX(Max!$D:$D,MATCH(58084,Max!$A:$A,0)), 0), 0)</f>
        <v>0</v>
      </c>
    </row>
    <row r="576" spans="1:9" ht="15.75" customHeight="1" x14ac:dyDescent="0.2">
      <c r="A576" s="1">
        <v>41949</v>
      </c>
      <c r="B576" s="1" t="s">
        <v>1415</v>
      </c>
      <c r="C576" s="1" t="s">
        <v>1416</v>
      </c>
      <c r="D576" s="1" t="str">
        <f t="shared" si="2"/>
        <v>2</v>
      </c>
      <c r="E576" s="1" t="s">
        <v>1417</v>
      </c>
      <c r="G576" s="1">
        <f t="array" ref="G576">IF(ISNUMBER(MATCH(41949,Camille!$A:$A,0)), IF(OR(INDEX(Camille!$D:$D,MATCH(41949,Camille!$A:$A,0))=1, INDEX(Camille!$D:$D,MATCH(41949,Camille!$A:$A,0))=2), INDEX(Camille!$D:$D,MATCH(41949,Camille!$A:$A,0)), 0), 0)</f>
        <v>2</v>
      </c>
      <c r="H576" s="1">
        <f t="array" ref="H576">IF(ISNUMBER(MATCH(41949,Telmo!$A:$A,0)), IF(OR(INDEX(Telmo!$D:$D,MATCH(41949,Telmo!$A:$A,0))=1, INDEX(Telmo!$D:$D,MATCH(41949,Telmo!$A:$A,0))=2), INDEX(Telmo!$D:$D,MATCH(41949,Telmo!$A:$A,0)), 0), 0)</f>
        <v>0</v>
      </c>
      <c r="I576" s="1">
        <f t="array" ref="I576">IF(ISNUMBER(MATCH(41949,Max!$A:$A,0)), IF(OR(INDEX(Max!$D:$D,MATCH(41949,Max!$A:$A,0))=1, INDEX(Max!$D:$D,MATCH(41949,Max!$A:$A,0))=2), INDEX(Max!$D:$D,MATCH(41949,Max!$A:$A,0)), 0), 0)</f>
        <v>0</v>
      </c>
    </row>
    <row r="577" spans="1:9" ht="15.75" customHeight="1" x14ac:dyDescent="0.2">
      <c r="A577" s="1">
        <v>43746</v>
      </c>
      <c r="B577" s="1" t="s">
        <v>1418</v>
      </c>
      <c r="C577" s="1" t="s">
        <v>1419</v>
      </c>
      <c r="D577" s="1" t="str">
        <f t="shared" si="2"/>
        <v>2</v>
      </c>
      <c r="E577" s="1" t="s">
        <v>1420</v>
      </c>
      <c r="G577" s="1">
        <f t="array" ref="G577">IF(ISNUMBER(MATCH(43746,Camille!$A:$A,0)), IF(OR(INDEX(Camille!$D:$D,MATCH(43746,Camille!$A:$A,0))=1, INDEX(Camille!$D:$D,MATCH(43746,Camille!$A:$A,0))=2), INDEX(Camille!$D:$D,MATCH(43746,Camille!$A:$A,0)), 0), 0)</f>
        <v>2</v>
      </c>
      <c r="H577" s="1">
        <f t="array" ref="H577">IF(ISNUMBER(MATCH(43746,Telmo!$A:$A,0)), IF(OR(INDEX(Telmo!$D:$D,MATCH(43746,Telmo!$A:$A,0))=1, INDEX(Telmo!$D:$D,MATCH(43746,Telmo!$A:$A,0))=2), INDEX(Telmo!$D:$D,MATCH(43746,Telmo!$A:$A,0)), 0), 0)</f>
        <v>0</v>
      </c>
      <c r="I577" s="1">
        <f t="array" ref="I577">IF(ISNUMBER(MATCH(43746,Max!$A:$A,0)), IF(OR(INDEX(Max!$D:$D,MATCH(43746,Max!$A:$A,0))=1, INDEX(Max!$D:$D,MATCH(43746,Max!$A:$A,0))=2), INDEX(Max!$D:$D,MATCH(43746,Max!$A:$A,0)), 0), 0)</f>
        <v>0</v>
      </c>
    </row>
    <row r="578" spans="1:9" ht="15.75" customHeight="1" x14ac:dyDescent="0.2">
      <c r="A578" s="1">
        <v>19887</v>
      </c>
      <c r="B578" s="1" t="s">
        <v>301</v>
      </c>
      <c r="C578" s="1" t="s">
        <v>1421</v>
      </c>
      <c r="D578" s="1" t="str">
        <f t="shared" si="2"/>
        <v>2</v>
      </c>
      <c r="E578" s="1" t="s">
        <v>1422</v>
      </c>
      <c r="G578" s="1">
        <f t="array" ref="G578">IF(ISNUMBER(MATCH(19887,Camille!$A:$A,0)), IF(OR(INDEX(Camille!$D:$D,MATCH(19887,Camille!$A:$A,0))=1, INDEX(Camille!$D:$D,MATCH(19887,Camille!$A:$A,0))=2), INDEX(Camille!$D:$D,MATCH(19887,Camille!$A:$A,0)), 0), 0)</f>
        <v>2</v>
      </c>
      <c r="H578" s="1">
        <f t="array" ref="H578">IF(ISNUMBER(MATCH(19887,Telmo!$A:$A,0)), IF(OR(INDEX(Telmo!$D:$D,MATCH(19887,Telmo!$A:$A,0))=1, INDEX(Telmo!$D:$D,MATCH(19887,Telmo!$A:$A,0))=2), INDEX(Telmo!$D:$D,MATCH(19887,Telmo!$A:$A,0)), 0), 0)</f>
        <v>0</v>
      </c>
      <c r="I578" s="1">
        <f t="array" ref="I578">IF(ISNUMBER(MATCH(19887,Max!$A:$A,0)), IF(OR(INDEX(Max!$D:$D,MATCH(19887,Max!$A:$A,0))=1, INDEX(Max!$D:$D,MATCH(19887,Max!$A:$A,0))=2), INDEX(Max!$D:$D,MATCH(19887,Max!$A:$A,0)), 0), 0)</f>
        <v>0</v>
      </c>
    </row>
    <row r="579" spans="1:9" ht="15.75" customHeight="1" x14ac:dyDescent="0.2">
      <c r="A579" s="1">
        <v>66298</v>
      </c>
      <c r="B579" s="1" t="s">
        <v>457</v>
      </c>
      <c r="C579" s="1" t="s">
        <v>1423</v>
      </c>
      <c r="D579" s="1" t="str">
        <f t="shared" si="2"/>
        <v>2</v>
      </c>
      <c r="E579" s="1" t="s">
        <v>1424</v>
      </c>
      <c r="G579" s="1">
        <f t="array" ref="G579">IF(ISNUMBER(MATCH(66298,Camille!$A:$A,0)), IF(OR(INDEX(Camille!$D:$D,MATCH(66298,Camille!$A:$A,0))=1, INDEX(Camille!$D:$D,MATCH(66298,Camille!$A:$A,0))=2), INDEX(Camille!$D:$D,MATCH(66298,Camille!$A:$A,0)), 0), 0)</f>
        <v>2</v>
      </c>
      <c r="H579" s="1">
        <f t="array" ref="H579">IF(ISNUMBER(MATCH(66298,Telmo!$A:$A,0)), IF(OR(INDEX(Telmo!$D:$D,MATCH(66298,Telmo!$A:$A,0))=1, INDEX(Telmo!$D:$D,MATCH(66298,Telmo!$A:$A,0))=2), INDEX(Telmo!$D:$D,MATCH(66298,Telmo!$A:$A,0)), 0), 0)</f>
        <v>0</v>
      </c>
      <c r="I579" s="1">
        <f t="array" ref="I579">IF(ISNUMBER(MATCH(66298,Max!$A:$A,0)), IF(OR(INDEX(Max!$D:$D,MATCH(66298,Max!$A:$A,0))=1, INDEX(Max!$D:$D,MATCH(66298,Max!$A:$A,0))=2), INDEX(Max!$D:$D,MATCH(66298,Max!$A:$A,0)), 0), 0)</f>
        <v>0</v>
      </c>
    </row>
    <row r="580" spans="1:9" ht="15.75" customHeight="1" x14ac:dyDescent="0.2">
      <c r="A580" s="1">
        <v>5249</v>
      </c>
      <c r="B580" s="1" t="s">
        <v>129</v>
      </c>
      <c r="C580" s="1" t="s">
        <v>1425</v>
      </c>
      <c r="D580" s="1" t="str">
        <f t="shared" si="2"/>
        <v>2</v>
      </c>
      <c r="E580" s="1" t="s">
        <v>1426</v>
      </c>
      <c r="G580" s="1">
        <f t="array" ref="G580">IF(ISNUMBER(MATCH(5249,Camille!$A:$A,0)), IF(OR(INDEX(Camille!$D:$D,MATCH(5249,Camille!$A:$A,0))=1, INDEX(Camille!$D:$D,MATCH(5249,Camille!$A:$A,0))=2), INDEX(Camille!$D:$D,MATCH(5249,Camille!$A:$A,0)), 0), 0)</f>
        <v>2</v>
      </c>
      <c r="H580" s="1">
        <f t="array" ref="H580">IF(ISNUMBER(MATCH(5249,Telmo!$A:$A,0)), IF(OR(INDEX(Telmo!$D:$D,MATCH(5249,Telmo!$A:$A,0))=1, INDEX(Telmo!$D:$D,MATCH(5249,Telmo!$A:$A,0))=2), INDEX(Telmo!$D:$D,MATCH(5249,Telmo!$A:$A,0)), 0), 0)</f>
        <v>0</v>
      </c>
      <c r="I580" s="1">
        <f t="array" ref="I580">IF(ISNUMBER(MATCH(5249,Max!$A:$A,0)), IF(OR(INDEX(Max!$D:$D,MATCH(5249,Max!$A:$A,0))=1, INDEX(Max!$D:$D,MATCH(5249,Max!$A:$A,0))=2), INDEX(Max!$D:$D,MATCH(5249,Max!$A:$A,0)), 0), 0)</f>
        <v>0</v>
      </c>
    </row>
    <row r="581" spans="1:9" ht="15.75" customHeight="1" x14ac:dyDescent="0.2">
      <c r="A581" s="1">
        <v>64274</v>
      </c>
      <c r="B581" s="1" t="s">
        <v>109</v>
      </c>
      <c r="C581" s="1" t="s">
        <v>1427</v>
      </c>
      <c r="D581" s="1" t="str">
        <f t="shared" si="2"/>
        <v>1</v>
      </c>
      <c r="E581" s="1" t="s">
        <v>1428</v>
      </c>
      <c r="G581" s="1">
        <f t="array" ref="G581">IF(ISNUMBER(MATCH(64274,Camille!$A:$A,0)), IF(OR(INDEX(Camille!$D:$D,MATCH(64274,Camille!$A:$A,0))=1, INDEX(Camille!$D:$D,MATCH(64274,Camille!$A:$A,0))=2), INDEX(Camille!$D:$D,MATCH(64274,Camille!$A:$A,0)), 0), 0)</f>
        <v>1</v>
      </c>
      <c r="H581" s="1">
        <f t="array" ref="H581">IF(ISNUMBER(MATCH(64274,Telmo!$A:$A,0)), IF(OR(INDEX(Telmo!$D:$D,MATCH(64274,Telmo!$A:$A,0))=1, INDEX(Telmo!$D:$D,MATCH(64274,Telmo!$A:$A,0))=2), INDEX(Telmo!$D:$D,MATCH(64274,Telmo!$A:$A,0)), 0), 0)</f>
        <v>0</v>
      </c>
      <c r="I581" s="1">
        <f t="array" ref="I581">IF(ISNUMBER(MATCH(64274,Max!$A:$A,0)), IF(OR(INDEX(Max!$D:$D,MATCH(64274,Max!$A:$A,0))=1, INDEX(Max!$D:$D,MATCH(64274,Max!$A:$A,0))=2), INDEX(Max!$D:$D,MATCH(64274,Max!$A:$A,0)), 0), 0)</f>
        <v>0</v>
      </c>
    </row>
    <row r="582" spans="1:9" ht="15.75" customHeight="1" x14ac:dyDescent="0.2">
      <c r="A582" s="1">
        <v>32201</v>
      </c>
      <c r="B582" s="1" t="s">
        <v>866</v>
      </c>
      <c r="C582" s="1" t="s">
        <v>1429</v>
      </c>
      <c r="D582" s="1" t="str">
        <f t="shared" si="2"/>
        <v>2</v>
      </c>
      <c r="E582" s="1" t="s">
        <v>1430</v>
      </c>
      <c r="G582" s="1">
        <f t="array" ref="G582">IF(ISNUMBER(MATCH(32201,Camille!$A:$A,0)), IF(OR(INDEX(Camille!$D:$D,MATCH(32201,Camille!$A:$A,0))=1, INDEX(Camille!$D:$D,MATCH(32201,Camille!$A:$A,0))=2), INDEX(Camille!$D:$D,MATCH(32201,Camille!$A:$A,0)), 0), 0)</f>
        <v>2</v>
      </c>
      <c r="H582" s="1">
        <f t="array" ref="H582">IF(ISNUMBER(MATCH(32201,Telmo!$A:$A,0)), IF(OR(INDEX(Telmo!$D:$D,MATCH(32201,Telmo!$A:$A,0))=1, INDEX(Telmo!$D:$D,MATCH(32201,Telmo!$A:$A,0))=2), INDEX(Telmo!$D:$D,MATCH(32201,Telmo!$A:$A,0)), 0), 0)</f>
        <v>0</v>
      </c>
      <c r="I582" s="1">
        <f t="array" ref="I582">IF(ISNUMBER(MATCH(32201,Max!$A:$A,0)), IF(OR(INDEX(Max!$D:$D,MATCH(32201,Max!$A:$A,0))=1, INDEX(Max!$D:$D,MATCH(32201,Max!$A:$A,0))=2), INDEX(Max!$D:$D,MATCH(32201,Max!$A:$A,0)), 0), 0)</f>
        <v>0</v>
      </c>
    </row>
    <row r="583" spans="1:9" ht="15.75" customHeight="1" x14ac:dyDescent="0.2">
      <c r="A583" s="1">
        <v>29781</v>
      </c>
      <c r="B583" s="1" t="s">
        <v>405</v>
      </c>
      <c r="C583" s="1" t="s">
        <v>1431</v>
      </c>
      <c r="D583" s="1" t="str">
        <f t="shared" si="2"/>
        <v>2</v>
      </c>
      <c r="E583" s="1" t="s">
        <v>1432</v>
      </c>
      <c r="G583" s="1">
        <f t="array" ref="G583">IF(ISNUMBER(MATCH(29781,Camille!$A:$A,0)), IF(OR(INDEX(Camille!$D:$D,MATCH(29781,Camille!$A:$A,0))=1, INDEX(Camille!$D:$D,MATCH(29781,Camille!$A:$A,0))=2), INDEX(Camille!$D:$D,MATCH(29781,Camille!$A:$A,0)), 0), 0)</f>
        <v>2</v>
      </c>
      <c r="H583" s="1">
        <f t="array" ref="H583">IF(ISNUMBER(MATCH(29781,Telmo!$A:$A,0)), IF(OR(INDEX(Telmo!$D:$D,MATCH(29781,Telmo!$A:$A,0))=1, INDEX(Telmo!$D:$D,MATCH(29781,Telmo!$A:$A,0))=2), INDEX(Telmo!$D:$D,MATCH(29781,Telmo!$A:$A,0)), 0), 0)</f>
        <v>0</v>
      </c>
      <c r="I583" s="1">
        <f t="array" ref="I583">IF(ISNUMBER(MATCH(29781,Max!$A:$A,0)), IF(OR(INDEX(Max!$D:$D,MATCH(29781,Max!$A:$A,0))=1, INDEX(Max!$D:$D,MATCH(29781,Max!$A:$A,0))=2), INDEX(Max!$D:$D,MATCH(29781,Max!$A:$A,0)), 0), 0)</f>
        <v>0</v>
      </c>
    </row>
    <row r="584" spans="1:9" ht="15.75" customHeight="1" x14ac:dyDescent="0.2">
      <c r="A584" s="1">
        <v>40200</v>
      </c>
      <c r="B584" s="1" t="s">
        <v>1433</v>
      </c>
      <c r="C584" s="1" t="s">
        <v>1434</v>
      </c>
      <c r="D584" s="1" t="str">
        <f t="shared" si="2"/>
        <v>2</v>
      </c>
      <c r="E584" s="1" t="s">
        <v>1435</v>
      </c>
      <c r="G584" s="1">
        <f t="array" ref="G584">IF(ISNUMBER(MATCH(40200,Camille!$A:$A,0)), IF(OR(INDEX(Camille!$D:$D,MATCH(40200,Camille!$A:$A,0))=1, INDEX(Camille!$D:$D,MATCH(40200,Camille!$A:$A,0))=2), INDEX(Camille!$D:$D,MATCH(40200,Camille!$A:$A,0)), 0), 0)</f>
        <v>2</v>
      </c>
      <c r="H584" s="1">
        <f t="array" ref="H584">IF(ISNUMBER(MATCH(40200,Telmo!$A:$A,0)), IF(OR(INDEX(Telmo!$D:$D,MATCH(40200,Telmo!$A:$A,0))=1, INDEX(Telmo!$D:$D,MATCH(40200,Telmo!$A:$A,0))=2), INDEX(Telmo!$D:$D,MATCH(40200,Telmo!$A:$A,0)), 0), 0)</f>
        <v>0</v>
      </c>
      <c r="I584" s="1">
        <f t="array" ref="I584">IF(ISNUMBER(MATCH(40200,Max!$A:$A,0)), IF(OR(INDEX(Max!$D:$D,MATCH(40200,Max!$A:$A,0))=1, INDEX(Max!$D:$D,MATCH(40200,Max!$A:$A,0))=2), INDEX(Max!$D:$D,MATCH(40200,Max!$A:$A,0)), 0), 0)</f>
        <v>0</v>
      </c>
    </row>
    <row r="585" spans="1:9" ht="15.75" customHeight="1" x14ac:dyDescent="0.2">
      <c r="A585" s="1">
        <v>52564</v>
      </c>
      <c r="B585" s="1" t="s">
        <v>490</v>
      </c>
      <c r="C585" s="1" t="s">
        <v>1436</v>
      </c>
      <c r="D585" s="1" t="str">
        <f t="shared" si="2"/>
        <v>2</v>
      </c>
      <c r="E585" s="1" t="s">
        <v>1437</v>
      </c>
      <c r="G585" s="1">
        <f t="array" ref="G585">IF(ISNUMBER(MATCH(52564,Camille!$A:$A,0)), IF(OR(INDEX(Camille!$D:$D,MATCH(52564,Camille!$A:$A,0))=1, INDEX(Camille!$D:$D,MATCH(52564,Camille!$A:$A,0))=2), INDEX(Camille!$D:$D,MATCH(52564,Camille!$A:$A,0)), 0), 0)</f>
        <v>2</v>
      </c>
      <c r="H585" s="1">
        <f t="array" ref="H585">IF(ISNUMBER(MATCH(52564,Telmo!$A:$A,0)), IF(OR(INDEX(Telmo!$D:$D,MATCH(52564,Telmo!$A:$A,0))=1, INDEX(Telmo!$D:$D,MATCH(52564,Telmo!$A:$A,0))=2), INDEX(Telmo!$D:$D,MATCH(52564,Telmo!$A:$A,0)), 0), 0)</f>
        <v>0</v>
      </c>
      <c r="I585" s="1">
        <f t="array" ref="I585">IF(ISNUMBER(MATCH(52564,Max!$A:$A,0)), IF(OR(INDEX(Max!$D:$D,MATCH(52564,Max!$A:$A,0))=1, INDEX(Max!$D:$D,MATCH(52564,Max!$A:$A,0))=2), INDEX(Max!$D:$D,MATCH(52564,Max!$A:$A,0)), 0), 0)</f>
        <v>0</v>
      </c>
    </row>
    <row r="586" spans="1:9" ht="15.75" customHeight="1" x14ac:dyDescent="0.2">
      <c r="A586" s="1">
        <v>58474</v>
      </c>
      <c r="B586" s="1" t="s">
        <v>466</v>
      </c>
      <c r="C586" s="1" t="s">
        <v>1438</v>
      </c>
      <c r="D586" s="1" t="str">
        <f t="shared" si="2"/>
        <v>1</v>
      </c>
      <c r="E586" s="1" t="s">
        <v>1439</v>
      </c>
      <c r="G586" s="1">
        <f t="array" ref="G586">IF(ISNUMBER(MATCH(58474,Camille!$A:$A,0)), IF(OR(INDEX(Camille!$D:$D,MATCH(58474,Camille!$A:$A,0))=1, INDEX(Camille!$D:$D,MATCH(58474,Camille!$A:$A,0))=2), INDEX(Camille!$D:$D,MATCH(58474,Camille!$A:$A,0)), 0), 0)</f>
        <v>1</v>
      </c>
      <c r="H586" s="1">
        <f t="array" ref="H586">IF(ISNUMBER(MATCH(58474,Telmo!$A:$A,0)), IF(OR(INDEX(Telmo!$D:$D,MATCH(58474,Telmo!$A:$A,0))=1, INDEX(Telmo!$D:$D,MATCH(58474,Telmo!$A:$A,0))=2), INDEX(Telmo!$D:$D,MATCH(58474,Telmo!$A:$A,0)), 0), 0)</f>
        <v>0</v>
      </c>
      <c r="I586" s="1">
        <f t="array" ref="I586">IF(ISNUMBER(MATCH(58474,Max!$A:$A,0)), IF(OR(INDEX(Max!$D:$D,MATCH(58474,Max!$A:$A,0))=1, INDEX(Max!$D:$D,MATCH(58474,Max!$A:$A,0))=2), INDEX(Max!$D:$D,MATCH(58474,Max!$A:$A,0)), 0), 0)</f>
        <v>0</v>
      </c>
    </row>
    <row r="587" spans="1:9" ht="15.75" customHeight="1" x14ac:dyDescent="0.2">
      <c r="A587" s="1">
        <v>61045</v>
      </c>
      <c r="B587" s="1" t="s">
        <v>276</v>
      </c>
      <c r="C587" s="1" t="s">
        <v>1440</v>
      </c>
      <c r="D587" s="1" t="str">
        <f t="shared" si="2"/>
        <v>1</v>
      </c>
      <c r="E587" s="1" t="s">
        <v>1441</v>
      </c>
      <c r="G587" s="1">
        <f t="array" ref="G587">IF(ISNUMBER(MATCH(61045,Camille!$A:$A,0)), IF(OR(INDEX(Camille!$D:$D,MATCH(61045,Camille!$A:$A,0))=1, INDEX(Camille!$D:$D,MATCH(61045,Camille!$A:$A,0))=2), INDEX(Camille!$D:$D,MATCH(61045,Camille!$A:$A,0)), 0), 0)</f>
        <v>1</v>
      </c>
      <c r="H587" s="1">
        <f t="array" ref="H587">IF(ISNUMBER(MATCH(61045,Telmo!$A:$A,0)), IF(OR(INDEX(Telmo!$D:$D,MATCH(61045,Telmo!$A:$A,0))=1, INDEX(Telmo!$D:$D,MATCH(61045,Telmo!$A:$A,0))=2), INDEX(Telmo!$D:$D,MATCH(61045,Telmo!$A:$A,0)), 0), 0)</f>
        <v>0</v>
      </c>
      <c r="I587" s="1">
        <f t="array" ref="I587">IF(ISNUMBER(MATCH(61045,Max!$A:$A,0)), IF(OR(INDEX(Max!$D:$D,MATCH(61045,Max!$A:$A,0))=1, INDEX(Max!$D:$D,MATCH(61045,Max!$A:$A,0))=2), INDEX(Max!$D:$D,MATCH(61045,Max!$A:$A,0)), 0), 0)</f>
        <v>0</v>
      </c>
    </row>
    <row r="588" spans="1:9" ht="15.75" customHeight="1" x14ac:dyDescent="0.2">
      <c r="A588" s="1">
        <v>71307</v>
      </c>
      <c r="B588" s="1" t="s">
        <v>249</v>
      </c>
      <c r="C588" s="1" t="s">
        <v>1442</v>
      </c>
      <c r="D588" s="1" t="str">
        <f t="shared" si="2"/>
        <v>2</v>
      </c>
      <c r="E588" s="1" t="s">
        <v>1443</v>
      </c>
      <c r="G588" s="1">
        <f t="array" ref="G588">IF(ISNUMBER(MATCH(71307,Camille!$A:$A,0)), IF(OR(INDEX(Camille!$D:$D,MATCH(71307,Camille!$A:$A,0))=1, INDEX(Camille!$D:$D,MATCH(71307,Camille!$A:$A,0))=2), INDEX(Camille!$D:$D,MATCH(71307,Camille!$A:$A,0)), 0), 0)</f>
        <v>2</v>
      </c>
      <c r="H588" s="1">
        <f t="array" ref="H588">IF(ISNUMBER(MATCH(71307,Telmo!$A:$A,0)), IF(OR(INDEX(Telmo!$D:$D,MATCH(71307,Telmo!$A:$A,0))=1, INDEX(Telmo!$D:$D,MATCH(71307,Telmo!$A:$A,0))=2), INDEX(Telmo!$D:$D,MATCH(71307,Telmo!$A:$A,0)), 0), 0)</f>
        <v>0</v>
      </c>
      <c r="I588" s="1">
        <f t="array" ref="I588">IF(ISNUMBER(MATCH(71307,Max!$A:$A,0)), IF(OR(INDEX(Max!$D:$D,MATCH(71307,Max!$A:$A,0))=1, INDEX(Max!$D:$D,MATCH(71307,Max!$A:$A,0))=2), INDEX(Max!$D:$D,MATCH(71307,Max!$A:$A,0)), 0), 0)</f>
        <v>0</v>
      </c>
    </row>
    <row r="589" spans="1:9" ht="15.75" customHeight="1" x14ac:dyDescent="0.2">
      <c r="A589" s="1">
        <v>60686</v>
      </c>
      <c r="B589" s="1" t="s">
        <v>1433</v>
      </c>
      <c r="C589" s="1" t="s">
        <v>1444</v>
      </c>
      <c r="D589" s="1" t="str">
        <f t="shared" si="2"/>
        <v>2</v>
      </c>
      <c r="E589" s="1" t="s">
        <v>1445</v>
      </c>
      <c r="G589" s="1">
        <f t="array" ref="G589">IF(ISNUMBER(MATCH(60686,Camille!$A:$A,0)), IF(OR(INDEX(Camille!$D:$D,MATCH(60686,Camille!$A:$A,0))=1, INDEX(Camille!$D:$D,MATCH(60686,Camille!$A:$A,0))=2), INDEX(Camille!$D:$D,MATCH(60686,Camille!$A:$A,0)), 0), 0)</f>
        <v>2</v>
      </c>
      <c r="H589" s="1">
        <f t="array" ref="H589">IF(ISNUMBER(MATCH(60686,Telmo!$A:$A,0)), IF(OR(INDEX(Telmo!$D:$D,MATCH(60686,Telmo!$A:$A,0))=1, INDEX(Telmo!$D:$D,MATCH(60686,Telmo!$A:$A,0))=2), INDEX(Telmo!$D:$D,MATCH(60686,Telmo!$A:$A,0)), 0), 0)</f>
        <v>0</v>
      </c>
      <c r="I589" s="1">
        <f t="array" ref="I589">IF(ISNUMBER(MATCH(60686,Max!$A:$A,0)), IF(OR(INDEX(Max!$D:$D,MATCH(60686,Max!$A:$A,0))=1, INDEX(Max!$D:$D,MATCH(60686,Max!$A:$A,0))=2), INDEX(Max!$D:$D,MATCH(60686,Max!$A:$A,0)), 0), 0)</f>
        <v>0</v>
      </c>
    </row>
    <row r="590" spans="1:9" ht="15.75" customHeight="1" x14ac:dyDescent="0.2">
      <c r="A590" s="1">
        <v>61430</v>
      </c>
      <c r="B590" s="1" t="s">
        <v>172</v>
      </c>
      <c r="C590" s="1" t="s">
        <v>1446</v>
      </c>
      <c r="D590" s="1" t="str">
        <f t="shared" si="2"/>
        <v>2</v>
      </c>
      <c r="E590" s="1" t="s">
        <v>1447</v>
      </c>
      <c r="G590" s="1">
        <f t="array" ref="G590">IF(ISNUMBER(MATCH(61430,Camille!$A:$A,0)), IF(OR(INDEX(Camille!$D:$D,MATCH(61430,Camille!$A:$A,0))=1, INDEX(Camille!$D:$D,MATCH(61430,Camille!$A:$A,0))=2), INDEX(Camille!$D:$D,MATCH(61430,Camille!$A:$A,0)), 0), 0)</f>
        <v>2</v>
      </c>
      <c r="H590" s="1">
        <f t="array" ref="H590">IF(ISNUMBER(MATCH(61430,Telmo!$A:$A,0)), IF(OR(INDEX(Telmo!$D:$D,MATCH(61430,Telmo!$A:$A,0))=1, INDEX(Telmo!$D:$D,MATCH(61430,Telmo!$A:$A,0))=2), INDEX(Telmo!$D:$D,MATCH(61430,Telmo!$A:$A,0)), 0), 0)</f>
        <v>0</v>
      </c>
      <c r="I590" s="1">
        <f t="array" ref="I590">IF(ISNUMBER(MATCH(61430,Max!$A:$A,0)), IF(OR(INDEX(Max!$D:$D,MATCH(61430,Max!$A:$A,0))=1, INDEX(Max!$D:$D,MATCH(61430,Max!$A:$A,0))=2), INDEX(Max!$D:$D,MATCH(61430,Max!$A:$A,0)), 0), 0)</f>
        <v>0</v>
      </c>
    </row>
    <row r="591" spans="1:9" ht="15.75" customHeight="1" x14ac:dyDescent="0.2">
      <c r="A591" s="1">
        <v>7936</v>
      </c>
      <c r="B591" s="1" t="s">
        <v>1415</v>
      </c>
      <c r="C591" s="1" t="s">
        <v>1448</v>
      </c>
      <c r="D591" s="1" t="str">
        <f t="shared" si="2"/>
        <v>1</v>
      </c>
      <c r="E591" s="1" t="s">
        <v>1449</v>
      </c>
      <c r="G591" s="1">
        <f t="array" ref="G591">IF(ISNUMBER(MATCH(7936,Camille!$A:$A,0)), IF(OR(INDEX(Camille!$D:$D,MATCH(7936,Camille!$A:$A,0))=1, INDEX(Camille!$D:$D,MATCH(7936,Camille!$A:$A,0))=2), INDEX(Camille!$D:$D,MATCH(7936,Camille!$A:$A,0)), 0), 0)</f>
        <v>1</v>
      </c>
      <c r="H591" s="1">
        <f t="array" ref="H591">IF(ISNUMBER(MATCH(7936,Telmo!$A:$A,0)), IF(OR(INDEX(Telmo!$D:$D,MATCH(7936,Telmo!$A:$A,0))=1, INDEX(Telmo!$D:$D,MATCH(7936,Telmo!$A:$A,0))=2), INDEX(Telmo!$D:$D,MATCH(7936,Telmo!$A:$A,0)), 0), 0)</f>
        <v>0</v>
      </c>
      <c r="I591" s="1">
        <f t="array" ref="I591">IF(ISNUMBER(MATCH(7936,Max!$A:$A,0)), IF(OR(INDEX(Max!$D:$D,MATCH(7936,Max!$A:$A,0))=1, INDEX(Max!$D:$D,MATCH(7936,Max!$A:$A,0))=2), INDEX(Max!$D:$D,MATCH(7936,Max!$A:$A,0)), 0), 0)</f>
        <v>0</v>
      </c>
    </row>
    <row r="592" spans="1:9" ht="15.75" customHeight="1" x14ac:dyDescent="0.2">
      <c r="A592" s="1">
        <v>40023</v>
      </c>
      <c r="B592" s="1" t="s">
        <v>276</v>
      </c>
      <c r="C592" s="1" t="s">
        <v>1450</v>
      </c>
      <c r="D592" s="1" t="str">
        <f t="shared" si="2"/>
        <v>1</v>
      </c>
      <c r="E592" s="1" t="s">
        <v>1451</v>
      </c>
      <c r="G592" s="1">
        <f t="array" ref="G592">IF(ISNUMBER(MATCH(40023,Camille!$A:$A,0)), IF(OR(INDEX(Camille!$D:$D,MATCH(40023,Camille!$A:$A,0))=1, INDEX(Camille!$D:$D,MATCH(40023,Camille!$A:$A,0))=2), INDEX(Camille!$D:$D,MATCH(40023,Camille!$A:$A,0)), 0), 0)</f>
        <v>1</v>
      </c>
      <c r="H592" s="1">
        <f t="array" ref="H592">IF(ISNUMBER(MATCH(40023,Telmo!$A:$A,0)), IF(OR(INDEX(Telmo!$D:$D,MATCH(40023,Telmo!$A:$A,0))=1, INDEX(Telmo!$D:$D,MATCH(40023,Telmo!$A:$A,0))=2), INDEX(Telmo!$D:$D,MATCH(40023,Telmo!$A:$A,0)), 0), 0)</f>
        <v>0</v>
      </c>
      <c r="I592" s="1">
        <f t="array" ref="I592">IF(ISNUMBER(MATCH(40023,Max!$A:$A,0)), IF(OR(INDEX(Max!$D:$D,MATCH(40023,Max!$A:$A,0))=1, INDEX(Max!$D:$D,MATCH(40023,Max!$A:$A,0))=2), INDEX(Max!$D:$D,MATCH(40023,Max!$A:$A,0)), 0), 0)</f>
        <v>0</v>
      </c>
    </row>
    <row r="593" spans="1:9" ht="15.75" customHeight="1" x14ac:dyDescent="0.2">
      <c r="A593" s="1">
        <v>6403</v>
      </c>
      <c r="B593" s="1" t="s">
        <v>1452</v>
      </c>
      <c r="C593" s="1" t="s">
        <v>1453</v>
      </c>
      <c r="D593" s="1" t="str">
        <f t="shared" si="2"/>
        <v>2</v>
      </c>
      <c r="E593" s="1" t="s">
        <v>1454</v>
      </c>
      <c r="G593" s="1">
        <f t="array" ref="G593">IF(ISNUMBER(MATCH(6403,Camille!$A:$A,0)), IF(OR(INDEX(Camille!$D:$D,MATCH(6403,Camille!$A:$A,0))=1, INDEX(Camille!$D:$D,MATCH(6403,Camille!$A:$A,0))=2), INDEX(Camille!$D:$D,MATCH(6403,Camille!$A:$A,0)), 0), 0)</f>
        <v>2</v>
      </c>
      <c r="H593" s="1">
        <f t="array" ref="H593">IF(ISNUMBER(MATCH(6403,Telmo!$A:$A,0)), IF(OR(INDEX(Telmo!$D:$D,MATCH(6403,Telmo!$A:$A,0))=1, INDEX(Telmo!$D:$D,MATCH(6403,Telmo!$A:$A,0))=2), INDEX(Telmo!$D:$D,MATCH(6403,Telmo!$A:$A,0)), 0), 0)</f>
        <v>0</v>
      </c>
      <c r="I593" s="1">
        <f t="array" ref="I593">IF(ISNUMBER(MATCH(6403,Max!$A:$A,0)), IF(OR(INDEX(Max!$D:$D,MATCH(6403,Max!$A:$A,0))=1, INDEX(Max!$D:$D,MATCH(6403,Max!$A:$A,0))=2), INDEX(Max!$D:$D,MATCH(6403,Max!$A:$A,0)), 0), 0)</f>
        <v>0</v>
      </c>
    </row>
    <row r="594" spans="1:9" ht="15.75" customHeight="1" x14ac:dyDescent="0.2">
      <c r="A594" s="1">
        <v>19957</v>
      </c>
      <c r="B594" s="1" t="s">
        <v>1455</v>
      </c>
      <c r="C594" s="1" t="s">
        <v>1456</v>
      </c>
      <c r="D594" s="1" t="str">
        <f t="shared" si="2"/>
        <v>1</v>
      </c>
      <c r="E594" s="1" t="s">
        <v>1457</v>
      </c>
      <c r="G594" s="1">
        <f t="array" ref="G594">IF(ISNUMBER(MATCH(19957,Camille!$A:$A,0)), IF(OR(INDEX(Camille!$D:$D,MATCH(19957,Camille!$A:$A,0))=1, INDEX(Camille!$D:$D,MATCH(19957,Camille!$A:$A,0))=2), INDEX(Camille!$D:$D,MATCH(19957,Camille!$A:$A,0)), 0), 0)</f>
        <v>1</v>
      </c>
      <c r="H594" s="1">
        <f t="array" ref="H594">IF(ISNUMBER(MATCH(19957,Telmo!$A:$A,0)), IF(OR(INDEX(Telmo!$D:$D,MATCH(19957,Telmo!$A:$A,0))=1, INDEX(Telmo!$D:$D,MATCH(19957,Telmo!$A:$A,0))=2), INDEX(Telmo!$D:$D,MATCH(19957,Telmo!$A:$A,0)), 0), 0)</f>
        <v>0</v>
      </c>
      <c r="I594" s="1">
        <f t="array" ref="I594">IF(ISNUMBER(MATCH(19957,Max!$A:$A,0)), IF(OR(INDEX(Max!$D:$D,MATCH(19957,Max!$A:$A,0))=1, INDEX(Max!$D:$D,MATCH(19957,Max!$A:$A,0))=2), INDEX(Max!$D:$D,MATCH(19957,Max!$A:$A,0)), 0), 0)</f>
        <v>0</v>
      </c>
    </row>
    <row r="595" spans="1:9" ht="15.75" customHeight="1" x14ac:dyDescent="0.2">
      <c r="A595" s="1">
        <v>53462</v>
      </c>
      <c r="B595" s="1" t="s">
        <v>1458</v>
      </c>
      <c r="C595" s="1" t="s">
        <v>1459</v>
      </c>
      <c r="D595" s="1" t="str">
        <f t="shared" si="2"/>
        <v>2</v>
      </c>
      <c r="E595" s="1" t="s">
        <v>1460</v>
      </c>
      <c r="G595" s="1">
        <f t="array" ref="G595">IF(ISNUMBER(MATCH(53462,Camille!$A:$A,0)), IF(OR(INDEX(Camille!$D:$D,MATCH(53462,Camille!$A:$A,0))=1, INDEX(Camille!$D:$D,MATCH(53462,Camille!$A:$A,0))=2), INDEX(Camille!$D:$D,MATCH(53462,Camille!$A:$A,0)), 0), 0)</f>
        <v>2</v>
      </c>
      <c r="H595" s="1">
        <f t="array" ref="H595">IF(ISNUMBER(MATCH(53462,Telmo!$A:$A,0)), IF(OR(INDEX(Telmo!$D:$D,MATCH(53462,Telmo!$A:$A,0))=1, INDEX(Telmo!$D:$D,MATCH(53462,Telmo!$A:$A,0))=2), INDEX(Telmo!$D:$D,MATCH(53462,Telmo!$A:$A,0)), 0), 0)</f>
        <v>0</v>
      </c>
      <c r="I595" s="1">
        <f t="array" ref="I595">IF(ISNUMBER(MATCH(53462,Max!$A:$A,0)), IF(OR(INDEX(Max!$D:$D,MATCH(53462,Max!$A:$A,0))=1, INDEX(Max!$D:$D,MATCH(53462,Max!$A:$A,0))=2), INDEX(Max!$D:$D,MATCH(53462,Max!$A:$A,0)), 0), 0)</f>
        <v>0</v>
      </c>
    </row>
    <row r="596" spans="1:9" ht="15.75" customHeight="1" x14ac:dyDescent="0.2">
      <c r="A596" s="1">
        <v>36376</v>
      </c>
      <c r="B596" s="1" t="s">
        <v>687</v>
      </c>
      <c r="C596" s="1" t="s">
        <v>1461</v>
      </c>
      <c r="D596" s="1" t="str">
        <f t="shared" si="2"/>
        <v>1</v>
      </c>
      <c r="E596" s="1" t="s">
        <v>1462</v>
      </c>
      <c r="G596" s="1">
        <f t="array" ref="G596">IF(ISNUMBER(MATCH(36376,Camille!$A:$A,0)), IF(OR(INDEX(Camille!$D:$D,MATCH(36376,Camille!$A:$A,0))=1, INDEX(Camille!$D:$D,MATCH(36376,Camille!$A:$A,0))=2), INDEX(Camille!$D:$D,MATCH(36376,Camille!$A:$A,0)), 0), 0)</f>
        <v>1</v>
      </c>
      <c r="H596" s="1">
        <f t="array" ref="H596">IF(ISNUMBER(MATCH(36376,Telmo!$A:$A,0)), IF(OR(INDEX(Telmo!$D:$D,MATCH(36376,Telmo!$A:$A,0))=1, INDEX(Telmo!$D:$D,MATCH(36376,Telmo!$A:$A,0))=2), INDEX(Telmo!$D:$D,MATCH(36376,Telmo!$A:$A,0)), 0), 0)</f>
        <v>0</v>
      </c>
      <c r="I596" s="1">
        <f t="array" ref="I596">IF(ISNUMBER(MATCH(36376,Max!$A:$A,0)), IF(OR(INDEX(Max!$D:$D,MATCH(36376,Max!$A:$A,0))=1, INDEX(Max!$D:$D,MATCH(36376,Max!$A:$A,0))=2), INDEX(Max!$D:$D,MATCH(36376,Max!$A:$A,0)), 0), 0)</f>
        <v>0</v>
      </c>
    </row>
    <row r="597" spans="1:9" ht="15.75" customHeight="1" x14ac:dyDescent="0.2">
      <c r="A597" s="1">
        <v>22893</v>
      </c>
      <c r="B597" s="1" t="s">
        <v>1463</v>
      </c>
      <c r="C597" s="1" t="s">
        <v>1464</v>
      </c>
      <c r="D597" s="1" t="str">
        <f t="shared" si="2"/>
        <v>2</v>
      </c>
      <c r="E597" s="1" t="s">
        <v>1465</v>
      </c>
      <c r="G597" s="1">
        <f t="array" ref="G597">IF(ISNUMBER(MATCH(22893,Camille!$A:$A,0)), IF(OR(INDEX(Camille!$D:$D,MATCH(22893,Camille!$A:$A,0))=1, INDEX(Camille!$D:$D,MATCH(22893,Camille!$A:$A,0))=2), INDEX(Camille!$D:$D,MATCH(22893,Camille!$A:$A,0)), 0), 0)</f>
        <v>2</v>
      </c>
      <c r="H597" s="1">
        <f t="array" ref="H597">IF(ISNUMBER(MATCH(22893,Telmo!$A:$A,0)), IF(OR(INDEX(Telmo!$D:$D,MATCH(22893,Telmo!$A:$A,0))=1, INDEX(Telmo!$D:$D,MATCH(22893,Telmo!$A:$A,0))=2), INDEX(Telmo!$D:$D,MATCH(22893,Telmo!$A:$A,0)), 0), 0)</f>
        <v>0</v>
      </c>
      <c r="I597" s="1">
        <f t="array" ref="I597">IF(ISNUMBER(MATCH(22893,Max!$A:$A,0)), IF(OR(INDEX(Max!$D:$D,MATCH(22893,Max!$A:$A,0))=1, INDEX(Max!$D:$D,MATCH(22893,Max!$A:$A,0))=2), INDEX(Max!$D:$D,MATCH(22893,Max!$A:$A,0)), 0), 0)</f>
        <v>0</v>
      </c>
    </row>
    <row r="598" spans="1:9" ht="15.75" customHeight="1" x14ac:dyDescent="0.2">
      <c r="A598" s="1">
        <v>51800</v>
      </c>
      <c r="B598" s="1" t="s">
        <v>405</v>
      </c>
      <c r="C598" s="1" t="s">
        <v>1466</v>
      </c>
      <c r="D598" s="1" t="str">
        <f t="shared" si="2"/>
        <v>1</v>
      </c>
      <c r="E598" s="1" t="s">
        <v>1467</v>
      </c>
      <c r="G598" s="1">
        <f t="array" ref="G598">IF(ISNUMBER(MATCH(51800,Camille!$A:$A,0)), IF(OR(INDEX(Camille!$D:$D,MATCH(51800,Camille!$A:$A,0))=1, INDEX(Camille!$D:$D,MATCH(51800,Camille!$A:$A,0))=2), INDEX(Camille!$D:$D,MATCH(51800,Camille!$A:$A,0)), 0), 0)</f>
        <v>1</v>
      </c>
      <c r="H598" s="1">
        <f t="array" ref="H598">IF(ISNUMBER(MATCH(51800,Telmo!$A:$A,0)), IF(OR(INDEX(Telmo!$D:$D,MATCH(51800,Telmo!$A:$A,0))=1, INDEX(Telmo!$D:$D,MATCH(51800,Telmo!$A:$A,0))=2), INDEX(Telmo!$D:$D,MATCH(51800,Telmo!$A:$A,0)), 0), 0)</f>
        <v>0</v>
      </c>
      <c r="I598" s="1">
        <f t="array" ref="I598">IF(ISNUMBER(MATCH(51800,Max!$A:$A,0)), IF(OR(INDEX(Max!$D:$D,MATCH(51800,Max!$A:$A,0))=1, INDEX(Max!$D:$D,MATCH(51800,Max!$A:$A,0))=2), INDEX(Max!$D:$D,MATCH(51800,Max!$A:$A,0)), 0), 0)</f>
        <v>0</v>
      </c>
    </row>
    <row r="599" spans="1:9" ht="15.75" customHeight="1" x14ac:dyDescent="0.2">
      <c r="A599" s="1">
        <v>30731</v>
      </c>
      <c r="B599" s="1" t="s">
        <v>1468</v>
      </c>
      <c r="C599" s="1" t="s">
        <v>1469</v>
      </c>
      <c r="D599" s="1" t="str">
        <f t="shared" si="2"/>
        <v>2</v>
      </c>
      <c r="E599" s="1" t="s">
        <v>1470</v>
      </c>
      <c r="G599" s="1">
        <f t="array" ref="G599">IF(ISNUMBER(MATCH(30731,Camille!$A:$A,0)), IF(OR(INDEX(Camille!$D:$D,MATCH(30731,Camille!$A:$A,0))=1, INDEX(Camille!$D:$D,MATCH(30731,Camille!$A:$A,0))=2), INDEX(Camille!$D:$D,MATCH(30731,Camille!$A:$A,0)), 0), 0)</f>
        <v>2</v>
      </c>
      <c r="H599" s="1">
        <f t="array" ref="H599">IF(ISNUMBER(MATCH(30731,Telmo!$A:$A,0)), IF(OR(INDEX(Telmo!$D:$D,MATCH(30731,Telmo!$A:$A,0))=1, INDEX(Telmo!$D:$D,MATCH(30731,Telmo!$A:$A,0))=2), INDEX(Telmo!$D:$D,MATCH(30731,Telmo!$A:$A,0)), 0), 0)</f>
        <v>0</v>
      </c>
      <c r="I599" s="1">
        <f t="array" ref="I599">IF(ISNUMBER(MATCH(30731,Max!$A:$A,0)), IF(OR(INDEX(Max!$D:$D,MATCH(30731,Max!$A:$A,0))=1, INDEX(Max!$D:$D,MATCH(30731,Max!$A:$A,0))=2), INDEX(Max!$D:$D,MATCH(30731,Max!$A:$A,0)), 0), 0)</f>
        <v>0</v>
      </c>
    </row>
    <row r="600" spans="1:9" ht="15.75" customHeight="1" x14ac:dyDescent="0.2">
      <c r="A600" s="1">
        <v>26778</v>
      </c>
      <c r="B600" s="1" t="s">
        <v>1471</v>
      </c>
      <c r="C600" s="1" t="s">
        <v>1472</v>
      </c>
      <c r="D600" s="1" t="str">
        <f t="shared" si="2"/>
        <v>2</v>
      </c>
      <c r="E600" s="1" t="s">
        <v>1473</v>
      </c>
      <c r="G600" s="1">
        <f t="array" ref="G600">IF(ISNUMBER(MATCH(26778,Camille!$A:$A,0)), IF(OR(INDEX(Camille!$D:$D,MATCH(26778,Camille!$A:$A,0))=1, INDEX(Camille!$D:$D,MATCH(26778,Camille!$A:$A,0))=2), INDEX(Camille!$D:$D,MATCH(26778,Camille!$A:$A,0)), 0), 0)</f>
        <v>2</v>
      </c>
      <c r="H600" s="1">
        <f t="array" ref="H600">IF(ISNUMBER(MATCH(26778,Telmo!$A:$A,0)), IF(OR(INDEX(Telmo!$D:$D,MATCH(26778,Telmo!$A:$A,0))=1, INDEX(Telmo!$D:$D,MATCH(26778,Telmo!$A:$A,0))=2), INDEX(Telmo!$D:$D,MATCH(26778,Telmo!$A:$A,0)), 0), 0)</f>
        <v>0</v>
      </c>
      <c r="I600" s="1">
        <f t="array" ref="I600">IF(ISNUMBER(MATCH(26778,Max!$A:$A,0)), IF(OR(INDEX(Max!$D:$D,MATCH(26778,Max!$A:$A,0))=1, INDEX(Max!$D:$D,MATCH(26778,Max!$A:$A,0))=2), INDEX(Max!$D:$D,MATCH(26778,Max!$A:$A,0)), 0), 0)</f>
        <v>0</v>
      </c>
    </row>
    <row r="601" spans="1:9" ht="15.75" customHeight="1" x14ac:dyDescent="0.2">
      <c r="A601" s="1">
        <v>45109</v>
      </c>
      <c r="B601" s="1" t="s">
        <v>1474</v>
      </c>
      <c r="C601" s="1" t="s">
        <v>1475</v>
      </c>
      <c r="D601" s="1" t="str">
        <f t="shared" si="2"/>
        <v>2</v>
      </c>
      <c r="E601" s="1" t="s">
        <v>1476</v>
      </c>
      <c r="G601" s="1">
        <f t="array" ref="G601">IF(ISNUMBER(MATCH(45109,Camille!$A:$A,0)), IF(OR(INDEX(Camille!$D:$D,MATCH(45109,Camille!$A:$A,0))=1, INDEX(Camille!$D:$D,MATCH(45109,Camille!$A:$A,0))=2), INDEX(Camille!$D:$D,MATCH(45109,Camille!$A:$A,0)), 0), 0)</f>
        <v>2</v>
      </c>
      <c r="H601" s="1">
        <f t="array" ref="H601">IF(ISNUMBER(MATCH(45109,Telmo!$A:$A,0)), IF(OR(INDEX(Telmo!$D:$D,MATCH(45109,Telmo!$A:$A,0))=1, INDEX(Telmo!$D:$D,MATCH(45109,Telmo!$A:$A,0))=2), INDEX(Telmo!$D:$D,MATCH(45109,Telmo!$A:$A,0)), 0), 0)</f>
        <v>0</v>
      </c>
      <c r="I601" s="1">
        <f t="array" ref="I601">IF(ISNUMBER(MATCH(45109,Max!$A:$A,0)), IF(OR(INDEX(Max!$D:$D,MATCH(45109,Max!$A:$A,0))=1, INDEX(Max!$D:$D,MATCH(45109,Max!$A:$A,0))=2), INDEX(Max!$D:$D,MATCH(45109,Max!$A:$A,0)), 0), 0)</f>
        <v>0</v>
      </c>
    </row>
    <row r="602" spans="1:9" ht="15.75" customHeight="1" x14ac:dyDescent="0.2">
      <c r="A602" s="1">
        <v>28446</v>
      </c>
      <c r="B602" s="1" t="s">
        <v>1477</v>
      </c>
      <c r="C602" s="1" t="s">
        <v>1478</v>
      </c>
      <c r="D602" s="1" t="str">
        <f t="shared" si="2"/>
        <v>2</v>
      </c>
      <c r="E602" s="1" t="s">
        <v>1479</v>
      </c>
      <c r="G602" s="1">
        <f t="array" ref="G602">IF(ISNUMBER(MATCH(28446,Camille!$A:$A,0)), IF(OR(INDEX(Camille!$D:$D,MATCH(28446,Camille!$A:$A,0))=1, INDEX(Camille!$D:$D,MATCH(28446,Camille!$A:$A,0))=2), INDEX(Camille!$D:$D,MATCH(28446,Camille!$A:$A,0)), 0), 0)</f>
        <v>2</v>
      </c>
      <c r="H602" s="1">
        <f t="array" ref="H602">IF(ISNUMBER(MATCH(28446,Telmo!$A:$A,0)), IF(OR(INDEX(Telmo!$D:$D,MATCH(28446,Telmo!$A:$A,0))=1, INDEX(Telmo!$D:$D,MATCH(28446,Telmo!$A:$A,0))=2), INDEX(Telmo!$D:$D,MATCH(28446,Telmo!$A:$A,0)), 0), 0)</f>
        <v>0</v>
      </c>
      <c r="I602" s="1">
        <f t="array" ref="I602">IF(ISNUMBER(MATCH(28446,Max!$A:$A,0)), IF(OR(INDEX(Max!$D:$D,MATCH(28446,Max!$A:$A,0))=1, INDEX(Max!$D:$D,MATCH(28446,Max!$A:$A,0))=2), INDEX(Max!$D:$D,MATCH(28446,Max!$A:$A,0)), 0), 0)</f>
        <v>0</v>
      </c>
    </row>
    <row r="603" spans="1:9" ht="15.75" customHeight="1" x14ac:dyDescent="0.2">
      <c r="A603" s="1">
        <v>31689</v>
      </c>
      <c r="B603" s="1" t="s">
        <v>408</v>
      </c>
      <c r="C603" s="1" t="s">
        <v>1480</v>
      </c>
      <c r="D603" s="1" t="str">
        <f t="shared" si="2"/>
        <v>2</v>
      </c>
      <c r="E603" s="1" t="s">
        <v>1481</v>
      </c>
      <c r="G603" s="1">
        <f t="array" ref="G603">IF(ISNUMBER(MATCH(31689,Camille!$A:$A,0)), IF(OR(INDEX(Camille!$D:$D,MATCH(31689,Camille!$A:$A,0))=1, INDEX(Camille!$D:$D,MATCH(31689,Camille!$A:$A,0))=2), INDEX(Camille!$D:$D,MATCH(31689,Camille!$A:$A,0)), 0), 0)</f>
        <v>2</v>
      </c>
      <c r="H603" s="1">
        <f t="array" ref="H603">IF(ISNUMBER(MATCH(31689,Telmo!$A:$A,0)), IF(OR(INDEX(Telmo!$D:$D,MATCH(31689,Telmo!$A:$A,0))=1, INDEX(Telmo!$D:$D,MATCH(31689,Telmo!$A:$A,0))=2), INDEX(Telmo!$D:$D,MATCH(31689,Telmo!$A:$A,0)), 0), 0)</f>
        <v>0</v>
      </c>
      <c r="I603" s="1">
        <f t="array" ref="I603">IF(ISNUMBER(MATCH(31689,Max!$A:$A,0)), IF(OR(INDEX(Max!$D:$D,MATCH(31689,Max!$A:$A,0))=1, INDEX(Max!$D:$D,MATCH(31689,Max!$A:$A,0))=2), INDEX(Max!$D:$D,MATCH(31689,Max!$A:$A,0)), 0), 0)</f>
        <v>0</v>
      </c>
    </row>
    <row r="604" spans="1:9" ht="15.75" customHeight="1" x14ac:dyDescent="0.2">
      <c r="A604" s="1">
        <v>23390</v>
      </c>
      <c r="B604" s="1" t="s">
        <v>301</v>
      </c>
      <c r="C604" s="1" t="s">
        <v>1482</v>
      </c>
      <c r="D604" s="1" t="str">
        <f t="shared" si="2"/>
        <v>1</v>
      </c>
      <c r="E604" s="1" t="s">
        <v>1483</v>
      </c>
      <c r="G604" s="1">
        <f t="array" ref="G604">IF(ISNUMBER(MATCH(23390,Camille!$A:$A,0)), IF(OR(INDEX(Camille!$D:$D,MATCH(23390,Camille!$A:$A,0))=1, INDEX(Camille!$D:$D,MATCH(23390,Camille!$A:$A,0))=2), INDEX(Camille!$D:$D,MATCH(23390,Camille!$A:$A,0)), 0), 0)</f>
        <v>1</v>
      </c>
      <c r="H604" s="1">
        <f t="array" ref="H604">IF(ISNUMBER(MATCH(23390,Telmo!$A:$A,0)), IF(OR(INDEX(Telmo!$D:$D,MATCH(23390,Telmo!$A:$A,0))=1, INDEX(Telmo!$D:$D,MATCH(23390,Telmo!$A:$A,0))=2), INDEX(Telmo!$D:$D,MATCH(23390,Telmo!$A:$A,0)), 0), 0)</f>
        <v>0</v>
      </c>
      <c r="I604" s="1">
        <f t="array" ref="I604">IF(ISNUMBER(MATCH(23390,Max!$A:$A,0)), IF(OR(INDEX(Max!$D:$D,MATCH(23390,Max!$A:$A,0))=1, INDEX(Max!$D:$D,MATCH(23390,Max!$A:$A,0))=2), INDEX(Max!$D:$D,MATCH(23390,Max!$A:$A,0)), 0), 0)</f>
        <v>0</v>
      </c>
    </row>
    <row r="605" spans="1:9" ht="15.75" customHeight="1" x14ac:dyDescent="0.2">
      <c r="A605" s="1">
        <v>3202</v>
      </c>
      <c r="B605" s="1" t="s">
        <v>103</v>
      </c>
      <c r="C605" s="1" t="s">
        <v>1484</v>
      </c>
      <c r="D605" s="1" t="str">
        <f t="shared" si="2"/>
        <v>2</v>
      </c>
      <c r="E605" s="1" t="s">
        <v>1485</v>
      </c>
      <c r="G605" s="1">
        <f t="array" ref="G605">IF(ISNUMBER(MATCH(3202,Camille!$A:$A,0)), IF(OR(INDEX(Camille!$D:$D,MATCH(3202,Camille!$A:$A,0))=1, INDEX(Camille!$D:$D,MATCH(3202,Camille!$A:$A,0))=2), INDEX(Camille!$D:$D,MATCH(3202,Camille!$A:$A,0)), 0), 0)</f>
        <v>2</v>
      </c>
      <c r="H605" s="1">
        <f t="array" ref="H605">IF(ISNUMBER(MATCH(3202,Telmo!$A:$A,0)), IF(OR(INDEX(Telmo!$D:$D,MATCH(3202,Telmo!$A:$A,0))=1, INDEX(Telmo!$D:$D,MATCH(3202,Telmo!$A:$A,0))=2), INDEX(Telmo!$D:$D,MATCH(3202,Telmo!$A:$A,0)), 0), 0)</f>
        <v>0</v>
      </c>
      <c r="I605" s="1">
        <f t="array" ref="I605">IF(ISNUMBER(MATCH(3202,Max!$A:$A,0)), IF(OR(INDEX(Max!$D:$D,MATCH(3202,Max!$A:$A,0))=1, INDEX(Max!$D:$D,MATCH(3202,Max!$A:$A,0))=2), INDEX(Max!$D:$D,MATCH(3202,Max!$A:$A,0)), 0), 0)</f>
        <v>0</v>
      </c>
    </row>
    <row r="606" spans="1:9" ht="15.75" customHeight="1" x14ac:dyDescent="0.2">
      <c r="A606" s="1">
        <v>54247</v>
      </c>
      <c r="B606" s="1" t="s">
        <v>422</v>
      </c>
      <c r="C606" s="1" t="s">
        <v>1486</v>
      </c>
      <c r="D606" s="1" t="str">
        <f t="shared" si="2"/>
        <v>1</v>
      </c>
      <c r="E606" s="1" t="s">
        <v>1487</v>
      </c>
      <c r="G606" s="1">
        <f t="array" ref="G606">IF(ISNUMBER(MATCH(54247,Camille!$A:$A,0)), IF(OR(INDEX(Camille!$D:$D,MATCH(54247,Camille!$A:$A,0))=1, INDEX(Camille!$D:$D,MATCH(54247,Camille!$A:$A,0))=2), INDEX(Camille!$D:$D,MATCH(54247,Camille!$A:$A,0)), 0), 0)</f>
        <v>1</v>
      </c>
      <c r="H606" s="1">
        <f t="array" ref="H606">IF(ISNUMBER(MATCH(54247,Telmo!$A:$A,0)), IF(OR(INDEX(Telmo!$D:$D,MATCH(54247,Telmo!$A:$A,0))=1, INDEX(Telmo!$D:$D,MATCH(54247,Telmo!$A:$A,0))=2), INDEX(Telmo!$D:$D,MATCH(54247,Telmo!$A:$A,0)), 0), 0)</f>
        <v>0</v>
      </c>
      <c r="I606" s="1">
        <f t="array" ref="I606">IF(ISNUMBER(MATCH(54247,Max!$A:$A,0)), IF(OR(INDEX(Max!$D:$D,MATCH(54247,Max!$A:$A,0))=1, INDEX(Max!$D:$D,MATCH(54247,Max!$A:$A,0))=2), INDEX(Max!$D:$D,MATCH(54247,Max!$A:$A,0)), 0), 0)</f>
        <v>0</v>
      </c>
    </row>
    <row r="607" spans="1:9" ht="15.75" customHeight="1" x14ac:dyDescent="0.2">
      <c r="A607" s="1">
        <v>2315</v>
      </c>
      <c r="B607" s="1" t="s">
        <v>1488</v>
      </c>
      <c r="C607" s="1" t="s">
        <v>1489</v>
      </c>
      <c r="D607" s="1" t="str">
        <f t="shared" si="2"/>
        <v>2</v>
      </c>
      <c r="E607" s="1" t="s">
        <v>1490</v>
      </c>
      <c r="G607" s="1">
        <f t="array" ref="G607">IF(ISNUMBER(MATCH(2315,Camille!$A:$A,0)), IF(OR(INDEX(Camille!$D:$D,MATCH(2315,Camille!$A:$A,0))=1, INDEX(Camille!$D:$D,MATCH(2315,Camille!$A:$A,0))=2), INDEX(Camille!$D:$D,MATCH(2315,Camille!$A:$A,0)), 0), 0)</f>
        <v>2</v>
      </c>
      <c r="H607" s="1">
        <f t="array" ref="H607">IF(ISNUMBER(MATCH(2315,Telmo!$A:$A,0)), IF(OR(INDEX(Telmo!$D:$D,MATCH(2315,Telmo!$A:$A,0))=1, INDEX(Telmo!$D:$D,MATCH(2315,Telmo!$A:$A,0))=2), INDEX(Telmo!$D:$D,MATCH(2315,Telmo!$A:$A,0)), 0), 0)</f>
        <v>0</v>
      </c>
      <c r="I607" s="1">
        <f t="array" ref="I607">IF(ISNUMBER(MATCH(2315,Max!$A:$A,0)), IF(OR(INDEX(Max!$D:$D,MATCH(2315,Max!$A:$A,0))=1, INDEX(Max!$D:$D,MATCH(2315,Max!$A:$A,0))=2), INDEX(Max!$D:$D,MATCH(2315,Max!$A:$A,0)), 0), 0)</f>
        <v>0</v>
      </c>
    </row>
    <row r="608" spans="1:9" ht="15.75" customHeight="1" x14ac:dyDescent="0.2">
      <c r="A608" s="1">
        <v>12284</v>
      </c>
      <c r="B608" s="1" t="s">
        <v>728</v>
      </c>
      <c r="C608" s="1" t="s">
        <v>1491</v>
      </c>
      <c r="D608" s="1" t="str">
        <f t="shared" si="2"/>
        <v>2</v>
      </c>
      <c r="E608" s="1" t="s">
        <v>1492</v>
      </c>
      <c r="G608" s="1">
        <f t="array" ref="G608">IF(ISNUMBER(MATCH(12284,Camille!$A:$A,0)), IF(OR(INDEX(Camille!$D:$D,MATCH(12284,Camille!$A:$A,0))=1, INDEX(Camille!$D:$D,MATCH(12284,Camille!$A:$A,0))=2), INDEX(Camille!$D:$D,MATCH(12284,Camille!$A:$A,0)), 0), 0)</f>
        <v>2</v>
      </c>
      <c r="H608" s="1">
        <f t="array" ref="H608">IF(ISNUMBER(MATCH(12284,Telmo!$A:$A,0)), IF(OR(INDEX(Telmo!$D:$D,MATCH(12284,Telmo!$A:$A,0))=1, INDEX(Telmo!$D:$D,MATCH(12284,Telmo!$A:$A,0))=2), INDEX(Telmo!$D:$D,MATCH(12284,Telmo!$A:$A,0)), 0), 0)</f>
        <v>0</v>
      </c>
      <c r="I608" s="1">
        <f t="array" ref="I608">IF(ISNUMBER(MATCH(12284,Max!$A:$A,0)), IF(OR(INDEX(Max!$D:$D,MATCH(12284,Max!$A:$A,0))=1, INDEX(Max!$D:$D,MATCH(12284,Max!$A:$A,0))=2), INDEX(Max!$D:$D,MATCH(12284,Max!$A:$A,0)), 0), 0)</f>
        <v>0</v>
      </c>
    </row>
    <row r="609" spans="1:9" ht="15.75" customHeight="1" x14ac:dyDescent="0.2">
      <c r="A609" s="1">
        <v>58792</v>
      </c>
      <c r="B609" s="1" t="s">
        <v>14</v>
      </c>
      <c r="C609" s="1" t="s">
        <v>1493</v>
      </c>
      <c r="D609" s="1" t="str">
        <f t="shared" si="2"/>
        <v>1</v>
      </c>
      <c r="E609" s="1" t="s">
        <v>1494</v>
      </c>
      <c r="G609" s="1">
        <f t="array" ref="G609">IF(ISNUMBER(MATCH(58792,Camille!$A:$A,0)), IF(OR(INDEX(Camille!$D:$D,MATCH(58792,Camille!$A:$A,0))=1, INDEX(Camille!$D:$D,MATCH(58792,Camille!$A:$A,0))=2), INDEX(Camille!$D:$D,MATCH(58792,Camille!$A:$A,0)), 0), 0)</f>
        <v>1</v>
      </c>
      <c r="H609" s="1">
        <f t="array" ref="H609">IF(ISNUMBER(MATCH(58792,Telmo!$A:$A,0)), IF(OR(INDEX(Telmo!$D:$D,MATCH(58792,Telmo!$A:$A,0))=1, INDEX(Telmo!$D:$D,MATCH(58792,Telmo!$A:$A,0))=2), INDEX(Telmo!$D:$D,MATCH(58792,Telmo!$A:$A,0)), 0), 0)</f>
        <v>0</v>
      </c>
      <c r="I609" s="1">
        <f t="array" ref="I609">IF(ISNUMBER(MATCH(58792,Max!$A:$A,0)), IF(OR(INDEX(Max!$D:$D,MATCH(58792,Max!$A:$A,0))=1, INDEX(Max!$D:$D,MATCH(58792,Max!$A:$A,0))=2), INDEX(Max!$D:$D,MATCH(58792,Max!$A:$A,0)), 0), 0)</f>
        <v>0</v>
      </c>
    </row>
    <row r="610" spans="1:9" ht="15.75" customHeight="1" x14ac:dyDescent="0.2">
      <c r="A610" s="1">
        <v>7557</v>
      </c>
      <c r="B610" s="1" t="s">
        <v>797</v>
      </c>
      <c r="C610" s="1" t="s">
        <v>1495</v>
      </c>
      <c r="D610" s="1" t="str">
        <f t="shared" si="2"/>
        <v>2</v>
      </c>
      <c r="E610" s="1" t="s">
        <v>1496</v>
      </c>
      <c r="G610" s="1">
        <f t="array" ref="G610">IF(ISNUMBER(MATCH(7557,Camille!$A:$A,0)), IF(OR(INDEX(Camille!$D:$D,MATCH(7557,Camille!$A:$A,0))=1, INDEX(Camille!$D:$D,MATCH(7557,Camille!$A:$A,0))=2), INDEX(Camille!$D:$D,MATCH(7557,Camille!$A:$A,0)), 0), 0)</f>
        <v>2</v>
      </c>
      <c r="H610" s="1">
        <f t="array" ref="H610">IF(ISNUMBER(MATCH(7557,Telmo!$A:$A,0)), IF(OR(INDEX(Telmo!$D:$D,MATCH(7557,Telmo!$A:$A,0))=1, INDEX(Telmo!$D:$D,MATCH(7557,Telmo!$A:$A,0))=2), INDEX(Telmo!$D:$D,MATCH(7557,Telmo!$A:$A,0)), 0), 0)</f>
        <v>0</v>
      </c>
      <c r="I610" s="1">
        <f t="array" ref="I610">IF(ISNUMBER(MATCH(7557,Max!$A:$A,0)), IF(OR(INDEX(Max!$D:$D,MATCH(7557,Max!$A:$A,0))=1, INDEX(Max!$D:$D,MATCH(7557,Max!$A:$A,0))=2), INDEX(Max!$D:$D,MATCH(7557,Max!$A:$A,0)), 0), 0)</f>
        <v>0</v>
      </c>
    </row>
    <row r="611" spans="1:9" ht="15.75" customHeight="1" x14ac:dyDescent="0.2">
      <c r="A611" s="1">
        <v>41669</v>
      </c>
      <c r="B611" s="1" t="s">
        <v>430</v>
      </c>
      <c r="C611" s="1" t="s">
        <v>1497</v>
      </c>
      <c r="D611" s="1" t="str">
        <f t="shared" si="2"/>
        <v>2</v>
      </c>
      <c r="E611" s="1" t="s">
        <v>1498</v>
      </c>
      <c r="G611" s="1">
        <f t="array" ref="G611">IF(ISNUMBER(MATCH(41669,Camille!$A:$A,0)), IF(OR(INDEX(Camille!$D:$D,MATCH(41669,Camille!$A:$A,0))=1, INDEX(Camille!$D:$D,MATCH(41669,Camille!$A:$A,0))=2), INDEX(Camille!$D:$D,MATCH(41669,Camille!$A:$A,0)), 0), 0)</f>
        <v>2</v>
      </c>
      <c r="H611" s="1">
        <f t="array" ref="H611">IF(ISNUMBER(MATCH(41669,Telmo!$A:$A,0)), IF(OR(INDEX(Telmo!$D:$D,MATCH(41669,Telmo!$A:$A,0))=1, INDEX(Telmo!$D:$D,MATCH(41669,Telmo!$A:$A,0))=2), INDEX(Telmo!$D:$D,MATCH(41669,Telmo!$A:$A,0)), 0), 0)</f>
        <v>0</v>
      </c>
      <c r="I611" s="1">
        <f t="array" ref="I611">IF(ISNUMBER(MATCH(41669,Max!$A:$A,0)), IF(OR(INDEX(Max!$D:$D,MATCH(41669,Max!$A:$A,0))=1, INDEX(Max!$D:$D,MATCH(41669,Max!$A:$A,0))=2), INDEX(Max!$D:$D,MATCH(41669,Max!$A:$A,0)), 0), 0)</f>
        <v>0</v>
      </c>
    </row>
    <row r="612" spans="1:9" ht="15.75" customHeight="1" x14ac:dyDescent="0.2">
      <c r="A612" s="1">
        <v>28423</v>
      </c>
      <c r="B612" s="1" t="s">
        <v>244</v>
      </c>
      <c r="C612" s="1" t="s">
        <v>1499</v>
      </c>
      <c r="D612" s="1" t="str">
        <f t="shared" si="2"/>
        <v>1</v>
      </c>
      <c r="E612" s="1" t="s">
        <v>1500</v>
      </c>
      <c r="G612" s="1">
        <f t="array" ref="G612">IF(ISNUMBER(MATCH(28423,Camille!$A:$A,0)), IF(OR(INDEX(Camille!$D:$D,MATCH(28423,Camille!$A:$A,0))=1, INDEX(Camille!$D:$D,MATCH(28423,Camille!$A:$A,0))=2), INDEX(Camille!$D:$D,MATCH(28423,Camille!$A:$A,0)), 0), 0)</f>
        <v>1</v>
      </c>
      <c r="H612" s="1">
        <f t="array" ref="H612">IF(ISNUMBER(MATCH(28423,Telmo!$A:$A,0)), IF(OR(INDEX(Telmo!$D:$D,MATCH(28423,Telmo!$A:$A,0))=1, INDEX(Telmo!$D:$D,MATCH(28423,Telmo!$A:$A,0))=2), INDEX(Telmo!$D:$D,MATCH(28423,Telmo!$A:$A,0)), 0), 0)</f>
        <v>0</v>
      </c>
      <c r="I612" s="1">
        <f t="array" ref="I612">IF(ISNUMBER(MATCH(28423,Max!$A:$A,0)), IF(OR(INDEX(Max!$D:$D,MATCH(28423,Max!$A:$A,0))=1, INDEX(Max!$D:$D,MATCH(28423,Max!$A:$A,0))=2), INDEX(Max!$D:$D,MATCH(28423,Max!$A:$A,0)), 0), 0)</f>
        <v>0</v>
      </c>
    </row>
    <row r="613" spans="1:9" ht="15.75" customHeight="1" x14ac:dyDescent="0.2">
      <c r="A613" s="1">
        <v>3744</v>
      </c>
      <c r="B613" s="1" t="s">
        <v>1501</v>
      </c>
      <c r="C613" s="1" t="s">
        <v>1502</v>
      </c>
      <c r="D613" s="1" t="str">
        <f t="shared" si="2"/>
        <v>2</v>
      </c>
      <c r="E613" s="1" t="s">
        <v>1503</v>
      </c>
      <c r="G613" s="1">
        <f t="array" ref="G613">IF(ISNUMBER(MATCH(3744,Camille!$A:$A,0)), IF(OR(INDEX(Camille!$D:$D,MATCH(3744,Camille!$A:$A,0))=1, INDEX(Camille!$D:$D,MATCH(3744,Camille!$A:$A,0))=2), INDEX(Camille!$D:$D,MATCH(3744,Camille!$A:$A,0)), 0), 0)</f>
        <v>2</v>
      </c>
      <c r="H613" s="1">
        <f t="array" ref="H613">IF(ISNUMBER(MATCH(3744,Telmo!$A:$A,0)), IF(OR(INDEX(Telmo!$D:$D,MATCH(3744,Telmo!$A:$A,0))=1, INDEX(Telmo!$D:$D,MATCH(3744,Telmo!$A:$A,0))=2), INDEX(Telmo!$D:$D,MATCH(3744,Telmo!$A:$A,0)), 0), 0)</f>
        <v>0</v>
      </c>
      <c r="I613" s="1">
        <f t="array" ref="I613">IF(ISNUMBER(MATCH(3744,Max!$A:$A,0)), IF(OR(INDEX(Max!$D:$D,MATCH(3744,Max!$A:$A,0))=1, INDEX(Max!$D:$D,MATCH(3744,Max!$A:$A,0))=2), INDEX(Max!$D:$D,MATCH(3744,Max!$A:$A,0)), 0), 0)</f>
        <v>0</v>
      </c>
    </row>
    <row r="614" spans="1:9" ht="15.75" customHeight="1" x14ac:dyDescent="0.2">
      <c r="A614" s="1">
        <v>52491</v>
      </c>
      <c r="B614" s="1" t="s">
        <v>986</v>
      </c>
      <c r="C614" s="1" t="s">
        <v>1504</v>
      </c>
      <c r="D614" s="1" t="str">
        <f t="shared" si="2"/>
        <v>2</v>
      </c>
      <c r="E614" s="1" t="s">
        <v>1505</v>
      </c>
      <c r="G614" s="1">
        <f t="array" ref="G614">IF(ISNUMBER(MATCH(52491,Camille!$A:$A,0)), IF(OR(INDEX(Camille!$D:$D,MATCH(52491,Camille!$A:$A,0))=1, INDEX(Camille!$D:$D,MATCH(52491,Camille!$A:$A,0))=2), INDEX(Camille!$D:$D,MATCH(52491,Camille!$A:$A,0)), 0), 0)</f>
        <v>2</v>
      </c>
      <c r="H614" s="1">
        <f t="array" ref="H614">IF(ISNUMBER(MATCH(52491,Telmo!$A:$A,0)), IF(OR(INDEX(Telmo!$D:$D,MATCH(52491,Telmo!$A:$A,0))=1, INDEX(Telmo!$D:$D,MATCH(52491,Telmo!$A:$A,0))=2), INDEX(Telmo!$D:$D,MATCH(52491,Telmo!$A:$A,0)), 0), 0)</f>
        <v>0</v>
      </c>
      <c r="I614" s="1">
        <f t="array" ref="I614">IF(ISNUMBER(MATCH(52491,Max!$A:$A,0)), IF(OR(INDEX(Max!$D:$D,MATCH(52491,Max!$A:$A,0))=1, INDEX(Max!$D:$D,MATCH(52491,Max!$A:$A,0))=2), INDEX(Max!$D:$D,MATCH(52491,Max!$A:$A,0)), 0), 0)</f>
        <v>0</v>
      </c>
    </row>
    <row r="615" spans="1:9" ht="15.75" customHeight="1" x14ac:dyDescent="0.2">
      <c r="A615" s="1">
        <v>18165</v>
      </c>
      <c r="B615" s="1" t="s">
        <v>385</v>
      </c>
      <c r="C615" s="1" t="s">
        <v>1506</v>
      </c>
      <c r="D615" s="1" t="str">
        <f t="shared" si="2"/>
        <v>2</v>
      </c>
      <c r="E615" s="1" t="s">
        <v>1507</v>
      </c>
      <c r="G615" s="1">
        <f t="array" ref="G615">IF(ISNUMBER(MATCH(18165,Camille!$A:$A,0)), IF(OR(INDEX(Camille!$D:$D,MATCH(18165,Camille!$A:$A,0))=1, INDEX(Camille!$D:$D,MATCH(18165,Camille!$A:$A,0))=2), INDEX(Camille!$D:$D,MATCH(18165,Camille!$A:$A,0)), 0), 0)</f>
        <v>2</v>
      </c>
      <c r="H615" s="1">
        <f t="array" ref="H615">IF(ISNUMBER(MATCH(18165,Telmo!$A:$A,0)), IF(OR(INDEX(Telmo!$D:$D,MATCH(18165,Telmo!$A:$A,0))=1, INDEX(Telmo!$D:$D,MATCH(18165,Telmo!$A:$A,0))=2), INDEX(Telmo!$D:$D,MATCH(18165,Telmo!$A:$A,0)), 0), 0)</f>
        <v>0</v>
      </c>
      <c r="I615" s="1">
        <f t="array" ref="I615">IF(ISNUMBER(MATCH(18165,Max!$A:$A,0)), IF(OR(INDEX(Max!$D:$D,MATCH(18165,Max!$A:$A,0))=1, INDEX(Max!$D:$D,MATCH(18165,Max!$A:$A,0))=2), INDEX(Max!$D:$D,MATCH(18165,Max!$A:$A,0)), 0), 0)</f>
        <v>0</v>
      </c>
    </row>
    <row r="616" spans="1:9" ht="15.75" customHeight="1" x14ac:dyDescent="0.2">
      <c r="A616" s="1">
        <v>49518</v>
      </c>
      <c r="B616" s="1" t="s">
        <v>1508</v>
      </c>
      <c r="C616" s="1" t="s">
        <v>1509</v>
      </c>
      <c r="D616" s="1" t="str">
        <f t="shared" si="2"/>
        <v>2</v>
      </c>
      <c r="E616" s="1" t="s">
        <v>1510</v>
      </c>
      <c r="G616" s="1">
        <f t="array" ref="G616">IF(ISNUMBER(MATCH(49518,Camille!$A:$A,0)), IF(OR(INDEX(Camille!$D:$D,MATCH(49518,Camille!$A:$A,0))=1, INDEX(Camille!$D:$D,MATCH(49518,Camille!$A:$A,0))=2), INDEX(Camille!$D:$D,MATCH(49518,Camille!$A:$A,0)), 0), 0)</f>
        <v>2</v>
      </c>
      <c r="H616" s="1">
        <f t="array" ref="H616">IF(ISNUMBER(MATCH(49518,Telmo!$A:$A,0)), IF(OR(INDEX(Telmo!$D:$D,MATCH(49518,Telmo!$A:$A,0))=1, INDEX(Telmo!$D:$D,MATCH(49518,Telmo!$A:$A,0))=2), INDEX(Telmo!$D:$D,MATCH(49518,Telmo!$A:$A,0)), 0), 0)</f>
        <v>0</v>
      </c>
      <c r="I616" s="1">
        <f t="array" ref="I616">IF(ISNUMBER(MATCH(49518,Max!$A:$A,0)), IF(OR(INDEX(Max!$D:$D,MATCH(49518,Max!$A:$A,0))=1, INDEX(Max!$D:$D,MATCH(49518,Max!$A:$A,0))=2), INDEX(Max!$D:$D,MATCH(49518,Max!$A:$A,0)), 0), 0)</f>
        <v>0</v>
      </c>
    </row>
    <row r="617" spans="1:9" ht="15.75" customHeight="1" x14ac:dyDescent="0.2">
      <c r="A617" s="1">
        <v>7570</v>
      </c>
      <c r="B617" s="1" t="s">
        <v>1511</v>
      </c>
      <c r="C617" s="1" t="s">
        <v>1512</v>
      </c>
      <c r="D617" s="1" t="str">
        <f t="shared" si="2"/>
        <v>1</v>
      </c>
      <c r="E617" s="1" t="s">
        <v>1513</v>
      </c>
      <c r="G617" s="1">
        <f t="array" ref="G617">IF(ISNUMBER(MATCH(7570,Camille!$A:$A,0)), IF(OR(INDEX(Camille!$D:$D,MATCH(7570,Camille!$A:$A,0))=1, INDEX(Camille!$D:$D,MATCH(7570,Camille!$A:$A,0))=2), INDEX(Camille!$D:$D,MATCH(7570,Camille!$A:$A,0)), 0), 0)</f>
        <v>1</v>
      </c>
      <c r="H617" s="1">
        <f t="array" ref="H617">IF(ISNUMBER(MATCH(7570,Telmo!$A:$A,0)), IF(OR(INDEX(Telmo!$D:$D,MATCH(7570,Telmo!$A:$A,0))=1, INDEX(Telmo!$D:$D,MATCH(7570,Telmo!$A:$A,0))=2), INDEX(Telmo!$D:$D,MATCH(7570,Telmo!$A:$A,0)), 0), 0)</f>
        <v>0</v>
      </c>
      <c r="I617" s="1">
        <f t="array" ref="I617">IF(ISNUMBER(MATCH(7570,Max!$A:$A,0)), IF(OR(INDEX(Max!$D:$D,MATCH(7570,Max!$A:$A,0))=1, INDEX(Max!$D:$D,MATCH(7570,Max!$A:$A,0))=2), INDEX(Max!$D:$D,MATCH(7570,Max!$A:$A,0)), 0), 0)</f>
        <v>0</v>
      </c>
    </row>
    <row r="618" spans="1:9" ht="15.75" customHeight="1" x14ac:dyDescent="0.2">
      <c r="A618" s="1">
        <v>50918</v>
      </c>
      <c r="B618" s="1" t="s">
        <v>172</v>
      </c>
      <c r="C618" s="1" t="s">
        <v>1514</v>
      </c>
      <c r="D618" s="1" t="str">
        <f t="shared" si="2"/>
        <v>2</v>
      </c>
      <c r="E618" s="1" t="s">
        <v>1515</v>
      </c>
      <c r="G618" s="1">
        <f t="array" ref="G618">IF(ISNUMBER(MATCH(50918,Camille!$A:$A,0)), IF(OR(INDEX(Camille!$D:$D,MATCH(50918,Camille!$A:$A,0))=1, INDEX(Camille!$D:$D,MATCH(50918,Camille!$A:$A,0))=2), INDEX(Camille!$D:$D,MATCH(50918,Camille!$A:$A,0)), 0), 0)</f>
        <v>2</v>
      </c>
      <c r="H618" s="1">
        <f t="array" ref="H618">IF(ISNUMBER(MATCH(50918,Telmo!$A:$A,0)), IF(OR(INDEX(Telmo!$D:$D,MATCH(50918,Telmo!$A:$A,0))=1, INDEX(Telmo!$D:$D,MATCH(50918,Telmo!$A:$A,0))=2), INDEX(Telmo!$D:$D,MATCH(50918,Telmo!$A:$A,0)), 0), 0)</f>
        <v>0</v>
      </c>
      <c r="I618" s="1">
        <f t="array" ref="I618">IF(ISNUMBER(MATCH(50918,Max!$A:$A,0)), IF(OR(INDEX(Max!$D:$D,MATCH(50918,Max!$A:$A,0))=1, INDEX(Max!$D:$D,MATCH(50918,Max!$A:$A,0))=2), INDEX(Max!$D:$D,MATCH(50918,Max!$A:$A,0)), 0), 0)</f>
        <v>0</v>
      </c>
    </row>
    <row r="619" spans="1:9" ht="15.75" customHeight="1" x14ac:dyDescent="0.2">
      <c r="A619" s="1">
        <v>52144</v>
      </c>
      <c r="B619" s="1" t="s">
        <v>1516</v>
      </c>
      <c r="C619" s="1" t="s">
        <v>1517</v>
      </c>
      <c r="D619" s="1" t="str">
        <f t="shared" si="2"/>
        <v>2</v>
      </c>
      <c r="E619" s="1" t="s">
        <v>1518</v>
      </c>
      <c r="G619" s="1">
        <f t="array" ref="G619">IF(ISNUMBER(MATCH(52144,Camille!$A:$A,0)), IF(OR(INDEX(Camille!$D:$D,MATCH(52144,Camille!$A:$A,0))=1, INDEX(Camille!$D:$D,MATCH(52144,Camille!$A:$A,0))=2), INDEX(Camille!$D:$D,MATCH(52144,Camille!$A:$A,0)), 0), 0)</f>
        <v>2</v>
      </c>
      <c r="H619" s="1">
        <f t="array" ref="H619">IF(ISNUMBER(MATCH(52144,Telmo!$A:$A,0)), IF(OR(INDEX(Telmo!$D:$D,MATCH(52144,Telmo!$A:$A,0))=1, INDEX(Telmo!$D:$D,MATCH(52144,Telmo!$A:$A,0))=2), INDEX(Telmo!$D:$D,MATCH(52144,Telmo!$A:$A,0)), 0), 0)</f>
        <v>0</v>
      </c>
      <c r="I619" s="1">
        <f t="array" ref="I619">IF(ISNUMBER(MATCH(52144,Max!$A:$A,0)), IF(OR(INDEX(Max!$D:$D,MATCH(52144,Max!$A:$A,0))=1, INDEX(Max!$D:$D,MATCH(52144,Max!$A:$A,0))=2), INDEX(Max!$D:$D,MATCH(52144,Max!$A:$A,0)), 0), 0)</f>
        <v>0</v>
      </c>
    </row>
    <row r="620" spans="1:9" ht="15.75" customHeight="1" x14ac:dyDescent="0.2">
      <c r="A620" s="1">
        <v>41636</v>
      </c>
      <c r="B620" s="1" t="s">
        <v>797</v>
      </c>
      <c r="C620" s="1" t="s">
        <v>1519</v>
      </c>
      <c r="D620" s="1" t="str">
        <f t="shared" si="2"/>
        <v>2</v>
      </c>
      <c r="E620" s="1" t="s">
        <v>1520</v>
      </c>
      <c r="G620" s="1">
        <f t="array" ref="G620">IF(ISNUMBER(MATCH(41636,Camille!$A:$A,0)), IF(OR(INDEX(Camille!$D:$D,MATCH(41636,Camille!$A:$A,0))=1, INDEX(Camille!$D:$D,MATCH(41636,Camille!$A:$A,0))=2), INDEX(Camille!$D:$D,MATCH(41636,Camille!$A:$A,0)), 0), 0)</f>
        <v>2</v>
      </c>
      <c r="H620" s="1">
        <f t="array" ref="H620">IF(ISNUMBER(MATCH(41636,Telmo!$A:$A,0)), IF(OR(INDEX(Telmo!$D:$D,MATCH(41636,Telmo!$A:$A,0))=1, INDEX(Telmo!$D:$D,MATCH(41636,Telmo!$A:$A,0))=2), INDEX(Telmo!$D:$D,MATCH(41636,Telmo!$A:$A,0)), 0), 0)</f>
        <v>0</v>
      </c>
      <c r="I620" s="1">
        <f t="array" ref="I620">IF(ISNUMBER(MATCH(41636,Max!$A:$A,0)), IF(OR(INDEX(Max!$D:$D,MATCH(41636,Max!$A:$A,0))=1, INDEX(Max!$D:$D,MATCH(41636,Max!$A:$A,0))=2), INDEX(Max!$D:$D,MATCH(41636,Max!$A:$A,0)), 0), 0)</f>
        <v>0</v>
      </c>
    </row>
    <row r="621" spans="1:9" ht="15.75" customHeight="1" x14ac:dyDescent="0.2">
      <c r="A621" s="1">
        <v>31798</v>
      </c>
      <c r="B621" s="1" t="s">
        <v>731</v>
      </c>
      <c r="C621" s="1" t="s">
        <v>1521</v>
      </c>
      <c r="D621" s="1" t="str">
        <f t="shared" si="2"/>
        <v>1</v>
      </c>
      <c r="E621" s="1" t="s">
        <v>1522</v>
      </c>
      <c r="G621" s="1">
        <f t="array" ref="G621">IF(ISNUMBER(MATCH(31798,Camille!$A:$A,0)), IF(OR(INDEX(Camille!$D:$D,MATCH(31798,Camille!$A:$A,0))=1, INDEX(Camille!$D:$D,MATCH(31798,Camille!$A:$A,0))=2), INDEX(Camille!$D:$D,MATCH(31798,Camille!$A:$A,0)), 0), 0)</f>
        <v>1</v>
      </c>
      <c r="H621" s="1">
        <f t="array" ref="H621">IF(ISNUMBER(MATCH(31798,Telmo!$A:$A,0)), IF(OR(INDEX(Telmo!$D:$D,MATCH(31798,Telmo!$A:$A,0))=1, INDEX(Telmo!$D:$D,MATCH(31798,Telmo!$A:$A,0))=2), INDEX(Telmo!$D:$D,MATCH(31798,Telmo!$A:$A,0)), 0), 0)</f>
        <v>0</v>
      </c>
      <c r="I621" s="1">
        <f t="array" ref="I621">IF(ISNUMBER(MATCH(31798,Max!$A:$A,0)), IF(OR(INDEX(Max!$D:$D,MATCH(31798,Max!$A:$A,0))=1, INDEX(Max!$D:$D,MATCH(31798,Max!$A:$A,0))=2), INDEX(Max!$D:$D,MATCH(31798,Max!$A:$A,0)), 0), 0)</f>
        <v>0</v>
      </c>
    </row>
    <row r="622" spans="1:9" ht="15.75" customHeight="1" x14ac:dyDescent="0.2">
      <c r="A622" s="1">
        <v>2536</v>
      </c>
      <c r="B622" s="1" t="s">
        <v>597</v>
      </c>
      <c r="C622" s="1" t="s">
        <v>1523</v>
      </c>
      <c r="D622" s="1" t="str">
        <f t="shared" si="2"/>
        <v>1</v>
      </c>
      <c r="E622" s="1" t="s">
        <v>1524</v>
      </c>
      <c r="G622" s="1">
        <f t="array" ref="G622">IF(ISNUMBER(MATCH(2536,Camille!$A:$A,0)), IF(OR(INDEX(Camille!$D:$D,MATCH(2536,Camille!$A:$A,0))=1, INDEX(Camille!$D:$D,MATCH(2536,Camille!$A:$A,0))=2), INDEX(Camille!$D:$D,MATCH(2536,Camille!$A:$A,0)), 0), 0)</f>
        <v>1</v>
      </c>
      <c r="H622" s="1">
        <f t="array" ref="H622">IF(ISNUMBER(MATCH(2536,Telmo!$A:$A,0)), IF(OR(INDEX(Telmo!$D:$D,MATCH(2536,Telmo!$A:$A,0))=1, INDEX(Telmo!$D:$D,MATCH(2536,Telmo!$A:$A,0))=2), INDEX(Telmo!$D:$D,MATCH(2536,Telmo!$A:$A,0)), 0), 0)</f>
        <v>0</v>
      </c>
      <c r="I622" s="1">
        <f t="array" ref="I622">IF(ISNUMBER(MATCH(2536,Max!$A:$A,0)), IF(OR(INDEX(Max!$D:$D,MATCH(2536,Max!$A:$A,0))=1, INDEX(Max!$D:$D,MATCH(2536,Max!$A:$A,0))=2), INDEX(Max!$D:$D,MATCH(2536,Max!$A:$A,0)), 0), 0)</f>
        <v>0</v>
      </c>
    </row>
    <row r="623" spans="1:9" ht="15.75" customHeight="1" x14ac:dyDescent="0.2">
      <c r="A623" s="1">
        <v>9276</v>
      </c>
      <c r="B623" s="1" t="s">
        <v>1211</v>
      </c>
      <c r="C623" s="1" t="s">
        <v>1525</v>
      </c>
      <c r="D623" s="1" t="str">
        <f t="shared" si="2"/>
        <v>2</v>
      </c>
      <c r="E623" s="1" t="s">
        <v>1526</v>
      </c>
      <c r="G623" s="1">
        <f t="array" ref="G623">IF(ISNUMBER(MATCH(9276,Camille!$A:$A,0)), IF(OR(INDEX(Camille!$D:$D,MATCH(9276,Camille!$A:$A,0))=1, INDEX(Camille!$D:$D,MATCH(9276,Camille!$A:$A,0))=2), INDEX(Camille!$D:$D,MATCH(9276,Camille!$A:$A,0)), 0), 0)</f>
        <v>2</v>
      </c>
      <c r="H623" s="1">
        <f t="array" ref="H623">IF(ISNUMBER(MATCH(9276,Telmo!$A:$A,0)), IF(OR(INDEX(Telmo!$D:$D,MATCH(9276,Telmo!$A:$A,0))=1, INDEX(Telmo!$D:$D,MATCH(9276,Telmo!$A:$A,0))=2), INDEX(Telmo!$D:$D,MATCH(9276,Telmo!$A:$A,0)), 0), 0)</f>
        <v>0</v>
      </c>
      <c r="I623" s="1">
        <f t="array" ref="I623">IF(ISNUMBER(MATCH(9276,Max!$A:$A,0)), IF(OR(INDEX(Max!$D:$D,MATCH(9276,Max!$A:$A,0))=1, INDEX(Max!$D:$D,MATCH(9276,Max!$A:$A,0))=2), INDEX(Max!$D:$D,MATCH(9276,Max!$A:$A,0)), 0), 0)</f>
        <v>0</v>
      </c>
    </row>
    <row r="624" spans="1:9" ht="15.75" customHeight="1" x14ac:dyDescent="0.2">
      <c r="A624" s="1">
        <v>70799</v>
      </c>
      <c r="B624" s="1" t="s">
        <v>1527</v>
      </c>
      <c r="C624" s="1" t="s">
        <v>1528</v>
      </c>
      <c r="D624" s="1" t="str">
        <f t="shared" si="2"/>
        <v>2</v>
      </c>
      <c r="E624" s="1" t="s">
        <v>1529</v>
      </c>
      <c r="G624" s="1">
        <f t="array" ref="G624">IF(ISNUMBER(MATCH(70799,Camille!$A:$A,0)), IF(OR(INDEX(Camille!$D:$D,MATCH(70799,Camille!$A:$A,0))=1, INDEX(Camille!$D:$D,MATCH(70799,Camille!$A:$A,0))=2), INDEX(Camille!$D:$D,MATCH(70799,Camille!$A:$A,0)), 0), 0)</f>
        <v>2</v>
      </c>
      <c r="H624" s="1">
        <f t="array" ref="H624">IF(ISNUMBER(MATCH(70799,Telmo!$A:$A,0)), IF(OR(INDEX(Telmo!$D:$D,MATCH(70799,Telmo!$A:$A,0))=1, INDEX(Telmo!$D:$D,MATCH(70799,Telmo!$A:$A,0))=2), INDEX(Telmo!$D:$D,MATCH(70799,Telmo!$A:$A,0)), 0), 0)</f>
        <v>0</v>
      </c>
      <c r="I624" s="1">
        <f t="array" ref="I624">IF(ISNUMBER(MATCH(70799,Max!$A:$A,0)), IF(OR(INDEX(Max!$D:$D,MATCH(70799,Max!$A:$A,0))=1, INDEX(Max!$D:$D,MATCH(70799,Max!$A:$A,0))=2), INDEX(Max!$D:$D,MATCH(70799,Max!$A:$A,0)), 0), 0)</f>
        <v>0</v>
      </c>
    </row>
    <row r="625" spans="1:9" ht="15.75" customHeight="1" x14ac:dyDescent="0.2">
      <c r="A625" s="1">
        <v>37590</v>
      </c>
      <c r="B625" s="1" t="s">
        <v>14</v>
      </c>
      <c r="C625" s="1" t="s">
        <v>1530</v>
      </c>
      <c r="D625" s="1" t="str">
        <f t="shared" si="2"/>
        <v>1</v>
      </c>
      <c r="E625" s="1" t="s">
        <v>1531</v>
      </c>
      <c r="G625" s="1">
        <f t="array" ref="G625">IF(ISNUMBER(MATCH(37590,Camille!$A:$A,0)), IF(OR(INDEX(Camille!$D:$D,MATCH(37590,Camille!$A:$A,0))=1, INDEX(Camille!$D:$D,MATCH(37590,Camille!$A:$A,0))=2), INDEX(Camille!$D:$D,MATCH(37590,Camille!$A:$A,0)), 0), 0)</f>
        <v>1</v>
      </c>
      <c r="H625" s="1">
        <f t="array" ref="H625">IF(ISNUMBER(MATCH(37590,Telmo!$A:$A,0)), IF(OR(INDEX(Telmo!$D:$D,MATCH(37590,Telmo!$A:$A,0))=1, INDEX(Telmo!$D:$D,MATCH(37590,Telmo!$A:$A,0))=2), INDEX(Telmo!$D:$D,MATCH(37590,Telmo!$A:$A,0)), 0), 0)</f>
        <v>0</v>
      </c>
      <c r="I625" s="1">
        <f t="array" ref="I625">IF(ISNUMBER(MATCH(37590,Max!$A:$A,0)), IF(OR(INDEX(Max!$D:$D,MATCH(37590,Max!$A:$A,0))=1, INDEX(Max!$D:$D,MATCH(37590,Max!$A:$A,0))=2), INDEX(Max!$D:$D,MATCH(37590,Max!$A:$A,0)), 0), 0)</f>
        <v>0</v>
      </c>
    </row>
    <row r="626" spans="1:9" ht="15.75" customHeight="1" x14ac:dyDescent="0.2">
      <c r="A626" s="1">
        <v>46531</v>
      </c>
      <c r="B626" s="1" t="s">
        <v>1034</v>
      </c>
      <c r="C626" s="1" t="s">
        <v>1532</v>
      </c>
      <c r="D626" s="1" t="str">
        <f t="shared" si="2"/>
        <v>2</v>
      </c>
      <c r="E626" s="1" t="s">
        <v>1533</v>
      </c>
      <c r="G626" s="1">
        <f t="array" ref="G626">IF(ISNUMBER(MATCH(46531,Camille!$A:$A,0)), IF(OR(INDEX(Camille!$D:$D,MATCH(46531,Camille!$A:$A,0))=1, INDEX(Camille!$D:$D,MATCH(46531,Camille!$A:$A,0))=2), INDEX(Camille!$D:$D,MATCH(46531,Camille!$A:$A,0)), 0), 0)</f>
        <v>2</v>
      </c>
      <c r="H626" s="1">
        <f t="array" ref="H626">IF(ISNUMBER(MATCH(46531,Telmo!$A:$A,0)), IF(OR(INDEX(Telmo!$D:$D,MATCH(46531,Telmo!$A:$A,0))=1, INDEX(Telmo!$D:$D,MATCH(46531,Telmo!$A:$A,0))=2), INDEX(Telmo!$D:$D,MATCH(46531,Telmo!$A:$A,0)), 0), 0)</f>
        <v>0</v>
      </c>
      <c r="I626" s="1">
        <f t="array" ref="I626">IF(ISNUMBER(MATCH(46531,Max!$A:$A,0)), IF(OR(INDEX(Max!$D:$D,MATCH(46531,Max!$A:$A,0))=1, INDEX(Max!$D:$D,MATCH(46531,Max!$A:$A,0))=2), INDEX(Max!$D:$D,MATCH(46531,Max!$A:$A,0)), 0), 0)</f>
        <v>0</v>
      </c>
    </row>
    <row r="627" spans="1:9" ht="15.75" customHeight="1" x14ac:dyDescent="0.2">
      <c r="A627" s="1">
        <v>45197</v>
      </c>
      <c r="B627" s="1" t="s">
        <v>1052</v>
      </c>
      <c r="C627" s="1" t="s">
        <v>1534</v>
      </c>
      <c r="D627" s="1" t="str">
        <f t="shared" si="2"/>
        <v>2</v>
      </c>
      <c r="E627" s="1" t="s">
        <v>1535</v>
      </c>
      <c r="G627" s="1">
        <f t="array" ref="G627">IF(ISNUMBER(MATCH(45197,Camille!$A:$A,0)), IF(OR(INDEX(Camille!$D:$D,MATCH(45197,Camille!$A:$A,0))=1, INDEX(Camille!$D:$D,MATCH(45197,Camille!$A:$A,0))=2), INDEX(Camille!$D:$D,MATCH(45197,Camille!$A:$A,0)), 0), 0)</f>
        <v>2</v>
      </c>
      <c r="H627" s="1">
        <f t="array" ref="H627">IF(ISNUMBER(MATCH(45197,Telmo!$A:$A,0)), IF(OR(INDEX(Telmo!$D:$D,MATCH(45197,Telmo!$A:$A,0))=1, INDEX(Telmo!$D:$D,MATCH(45197,Telmo!$A:$A,0))=2), INDEX(Telmo!$D:$D,MATCH(45197,Telmo!$A:$A,0)), 0), 0)</f>
        <v>0</v>
      </c>
      <c r="I627" s="1">
        <f t="array" ref="I627">IF(ISNUMBER(MATCH(45197,Max!$A:$A,0)), IF(OR(INDEX(Max!$D:$D,MATCH(45197,Max!$A:$A,0))=1, INDEX(Max!$D:$D,MATCH(45197,Max!$A:$A,0))=2), INDEX(Max!$D:$D,MATCH(45197,Max!$A:$A,0)), 0), 0)</f>
        <v>0</v>
      </c>
    </row>
    <row r="628" spans="1:9" ht="15.75" customHeight="1" x14ac:dyDescent="0.2">
      <c r="A628" s="1">
        <v>58333</v>
      </c>
      <c r="B628" s="1" t="s">
        <v>333</v>
      </c>
      <c r="C628" s="1" t="s">
        <v>1536</v>
      </c>
      <c r="D628" s="1" t="str">
        <f t="shared" si="2"/>
        <v>2</v>
      </c>
      <c r="E628" s="1" t="s">
        <v>1537</v>
      </c>
      <c r="G628" s="1">
        <f t="array" ref="G628">IF(ISNUMBER(MATCH(58333,Camille!$A:$A,0)), IF(OR(INDEX(Camille!$D:$D,MATCH(58333,Camille!$A:$A,0))=1, INDEX(Camille!$D:$D,MATCH(58333,Camille!$A:$A,0))=2), INDEX(Camille!$D:$D,MATCH(58333,Camille!$A:$A,0)), 0), 0)</f>
        <v>2</v>
      </c>
      <c r="H628" s="1">
        <f t="array" ref="H628">IF(ISNUMBER(MATCH(58333,Telmo!$A:$A,0)), IF(OR(INDEX(Telmo!$D:$D,MATCH(58333,Telmo!$A:$A,0))=1, INDEX(Telmo!$D:$D,MATCH(58333,Telmo!$A:$A,0))=2), INDEX(Telmo!$D:$D,MATCH(58333,Telmo!$A:$A,0)), 0), 0)</f>
        <v>0</v>
      </c>
      <c r="I628" s="1">
        <f t="array" ref="I628">IF(ISNUMBER(MATCH(58333,Max!$A:$A,0)), IF(OR(INDEX(Max!$D:$D,MATCH(58333,Max!$A:$A,0))=1, INDEX(Max!$D:$D,MATCH(58333,Max!$A:$A,0))=2), INDEX(Max!$D:$D,MATCH(58333,Max!$A:$A,0)), 0), 0)</f>
        <v>0</v>
      </c>
    </row>
    <row r="629" spans="1:9" ht="15.75" customHeight="1" x14ac:dyDescent="0.2">
      <c r="A629" s="1">
        <v>18963</v>
      </c>
      <c r="B629" s="1" t="s">
        <v>153</v>
      </c>
      <c r="C629" s="1" t="s">
        <v>1538</v>
      </c>
      <c r="D629" s="1" t="str">
        <f t="shared" si="2"/>
        <v>2</v>
      </c>
      <c r="E629" s="1" t="s">
        <v>1539</v>
      </c>
      <c r="G629" s="1">
        <f t="array" ref="G629">IF(ISNUMBER(MATCH(18963,Camille!$A:$A,0)), IF(OR(INDEX(Camille!$D:$D,MATCH(18963,Camille!$A:$A,0))=1, INDEX(Camille!$D:$D,MATCH(18963,Camille!$A:$A,0))=2), INDEX(Camille!$D:$D,MATCH(18963,Camille!$A:$A,0)), 0), 0)</f>
        <v>2</v>
      </c>
      <c r="H629" s="1">
        <f t="array" ref="H629">IF(ISNUMBER(MATCH(18963,Telmo!$A:$A,0)), IF(OR(INDEX(Telmo!$D:$D,MATCH(18963,Telmo!$A:$A,0))=1, INDEX(Telmo!$D:$D,MATCH(18963,Telmo!$A:$A,0))=2), INDEX(Telmo!$D:$D,MATCH(18963,Telmo!$A:$A,0)), 0), 0)</f>
        <v>0</v>
      </c>
      <c r="I629" s="1">
        <f t="array" ref="I629">IF(ISNUMBER(MATCH(18963,Max!$A:$A,0)), IF(OR(INDEX(Max!$D:$D,MATCH(18963,Max!$A:$A,0))=1, INDEX(Max!$D:$D,MATCH(18963,Max!$A:$A,0))=2), INDEX(Max!$D:$D,MATCH(18963,Max!$A:$A,0)), 0), 0)</f>
        <v>0</v>
      </c>
    </row>
    <row r="630" spans="1:9" ht="15.75" customHeight="1" x14ac:dyDescent="0.2">
      <c r="A630" s="1">
        <v>7613</v>
      </c>
      <c r="B630" s="1" t="s">
        <v>1540</v>
      </c>
      <c r="C630" s="1" t="s">
        <v>1541</v>
      </c>
      <c r="D630" s="1" t="str">
        <f t="shared" si="2"/>
        <v>2</v>
      </c>
      <c r="E630" s="1" t="s">
        <v>1542</v>
      </c>
      <c r="G630" s="1">
        <f t="array" ref="G630">IF(ISNUMBER(MATCH(7613,Camille!$A:$A,0)), IF(OR(INDEX(Camille!$D:$D,MATCH(7613,Camille!$A:$A,0))=1, INDEX(Camille!$D:$D,MATCH(7613,Camille!$A:$A,0))=2), INDEX(Camille!$D:$D,MATCH(7613,Camille!$A:$A,0)), 0), 0)</f>
        <v>2</v>
      </c>
      <c r="H630" s="1">
        <f t="array" ref="H630">IF(ISNUMBER(MATCH(7613,Telmo!$A:$A,0)), IF(OR(INDEX(Telmo!$D:$D,MATCH(7613,Telmo!$A:$A,0))=1, INDEX(Telmo!$D:$D,MATCH(7613,Telmo!$A:$A,0))=2), INDEX(Telmo!$D:$D,MATCH(7613,Telmo!$A:$A,0)), 0), 0)</f>
        <v>0</v>
      </c>
      <c r="I630" s="1">
        <f t="array" ref="I630">IF(ISNUMBER(MATCH(7613,Max!$A:$A,0)), IF(OR(INDEX(Max!$D:$D,MATCH(7613,Max!$A:$A,0))=1, INDEX(Max!$D:$D,MATCH(7613,Max!$A:$A,0))=2), INDEX(Max!$D:$D,MATCH(7613,Max!$A:$A,0)), 0), 0)</f>
        <v>0</v>
      </c>
    </row>
    <row r="631" spans="1:9" ht="15.75" customHeight="1" x14ac:dyDescent="0.2">
      <c r="A631" s="1">
        <v>45352</v>
      </c>
      <c r="B631" s="1" t="s">
        <v>1543</v>
      </c>
      <c r="C631" s="1" t="s">
        <v>1544</v>
      </c>
      <c r="D631" s="1" t="str">
        <f t="shared" si="2"/>
        <v>2</v>
      </c>
      <c r="E631" s="1" t="s">
        <v>1545</v>
      </c>
      <c r="G631" s="1">
        <f t="array" ref="G631">IF(ISNUMBER(MATCH(45352,Camille!$A:$A,0)), IF(OR(INDEX(Camille!$D:$D,MATCH(45352,Camille!$A:$A,0))=1, INDEX(Camille!$D:$D,MATCH(45352,Camille!$A:$A,0))=2), INDEX(Camille!$D:$D,MATCH(45352,Camille!$A:$A,0)), 0), 0)</f>
        <v>2</v>
      </c>
      <c r="H631" s="1">
        <f t="array" ref="H631">IF(ISNUMBER(MATCH(45352,Telmo!$A:$A,0)), IF(OR(INDEX(Telmo!$D:$D,MATCH(45352,Telmo!$A:$A,0))=1, INDEX(Telmo!$D:$D,MATCH(45352,Telmo!$A:$A,0))=2), INDEX(Telmo!$D:$D,MATCH(45352,Telmo!$A:$A,0)), 0), 0)</f>
        <v>0</v>
      </c>
      <c r="I631" s="1">
        <f t="array" ref="I631">IF(ISNUMBER(MATCH(45352,Max!$A:$A,0)), IF(OR(INDEX(Max!$D:$D,MATCH(45352,Max!$A:$A,0))=1, INDEX(Max!$D:$D,MATCH(45352,Max!$A:$A,0))=2), INDEX(Max!$D:$D,MATCH(45352,Max!$A:$A,0)), 0), 0)</f>
        <v>0</v>
      </c>
    </row>
    <row r="632" spans="1:9" ht="15.75" customHeight="1" x14ac:dyDescent="0.2">
      <c r="A632" s="1">
        <v>67182</v>
      </c>
      <c r="B632" s="1" t="s">
        <v>394</v>
      </c>
      <c r="C632" s="1" t="s">
        <v>1546</v>
      </c>
      <c r="D632" s="1" t="str">
        <f t="shared" si="2"/>
        <v>2</v>
      </c>
      <c r="E632" s="1" t="s">
        <v>1547</v>
      </c>
      <c r="G632" s="1">
        <f t="array" ref="G632">IF(ISNUMBER(MATCH(67182,Camille!$A:$A,0)), IF(OR(INDEX(Camille!$D:$D,MATCH(67182,Camille!$A:$A,0))=1, INDEX(Camille!$D:$D,MATCH(67182,Camille!$A:$A,0))=2), INDEX(Camille!$D:$D,MATCH(67182,Camille!$A:$A,0)), 0), 0)</f>
        <v>2</v>
      </c>
      <c r="H632" s="1">
        <f t="array" ref="H632">IF(ISNUMBER(MATCH(67182,Telmo!$A:$A,0)), IF(OR(INDEX(Telmo!$D:$D,MATCH(67182,Telmo!$A:$A,0))=1, INDEX(Telmo!$D:$D,MATCH(67182,Telmo!$A:$A,0))=2), INDEX(Telmo!$D:$D,MATCH(67182,Telmo!$A:$A,0)), 0), 0)</f>
        <v>0</v>
      </c>
      <c r="I632" s="1">
        <f t="array" ref="I632">IF(ISNUMBER(MATCH(67182,Max!$A:$A,0)), IF(OR(INDEX(Max!$D:$D,MATCH(67182,Max!$A:$A,0))=1, INDEX(Max!$D:$D,MATCH(67182,Max!$A:$A,0))=2), INDEX(Max!$D:$D,MATCH(67182,Max!$A:$A,0)), 0), 0)</f>
        <v>0</v>
      </c>
    </row>
    <row r="633" spans="1:9" ht="15.75" customHeight="1" x14ac:dyDescent="0.2">
      <c r="A633" s="1">
        <v>4200</v>
      </c>
      <c r="B633" s="1" t="s">
        <v>1548</v>
      </c>
      <c r="C633" s="1" t="s">
        <v>1549</v>
      </c>
      <c r="D633" s="1" t="str">
        <f t="shared" si="2"/>
        <v>2</v>
      </c>
      <c r="E633" s="1" t="s">
        <v>1550</v>
      </c>
      <c r="G633" s="1">
        <f t="array" ref="G633">IF(ISNUMBER(MATCH(4200,Camille!$A:$A,0)), IF(OR(INDEX(Camille!$D:$D,MATCH(4200,Camille!$A:$A,0))=1, INDEX(Camille!$D:$D,MATCH(4200,Camille!$A:$A,0))=2), INDEX(Camille!$D:$D,MATCH(4200,Camille!$A:$A,0)), 0), 0)</f>
        <v>2</v>
      </c>
      <c r="H633" s="1">
        <f t="array" ref="H633">IF(ISNUMBER(MATCH(4200,Telmo!$A:$A,0)), IF(OR(INDEX(Telmo!$D:$D,MATCH(4200,Telmo!$A:$A,0))=1, INDEX(Telmo!$D:$D,MATCH(4200,Telmo!$A:$A,0))=2), INDEX(Telmo!$D:$D,MATCH(4200,Telmo!$A:$A,0)), 0), 0)</f>
        <v>0</v>
      </c>
      <c r="I633" s="1">
        <f t="array" ref="I633">IF(ISNUMBER(MATCH(4200,Max!$A:$A,0)), IF(OR(INDEX(Max!$D:$D,MATCH(4200,Max!$A:$A,0))=1, INDEX(Max!$D:$D,MATCH(4200,Max!$A:$A,0))=2), INDEX(Max!$D:$D,MATCH(4200,Max!$A:$A,0)), 0), 0)</f>
        <v>0</v>
      </c>
    </row>
    <row r="634" spans="1:9" ht="15.75" customHeight="1" x14ac:dyDescent="0.2">
      <c r="A634" s="1">
        <v>52781</v>
      </c>
      <c r="B634" s="1" t="s">
        <v>1551</v>
      </c>
      <c r="C634" s="1" t="s">
        <v>1552</v>
      </c>
      <c r="D634" s="1" t="str">
        <f t="shared" si="2"/>
        <v>2</v>
      </c>
      <c r="E634" s="1" t="s">
        <v>1553</v>
      </c>
      <c r="G634" s="1">
        <f t="array" ref="G634">IF(ISNUMBER(MATCH(52781,Camille!$A:$A,0)), IF(OR(INDEX(Camille!$D:$D,MATCH(52781,Camille!$A:$A,0))=1, INDEX(Camille!$D:$D,MATCH(52781,Camille!$A:$A,0))=2), INDEX(Camille!$D:$D,MATCH(52781,Camille!$A:$A,0)), 0), 0)</f>
        <v>2</v>
      </c>
      <c r="H634" s="1">
        <f t="array" ref="H634">IF(ISNUMBER(MATCH(52781,Telmo!$A:$A,0)), IF(OR(INDEX(Telmo!$D:$D,MATCH(52781,Telmo!$A:$A,0))=1, INDEX(Telmo!$D:$D,MATCH(52781,Telmo!$A:$A,0))=2), INDEX(Telmo!$D:$D,MATCH(52781,Telmo!$A:$A,0)), 0), 0)</f>
        <v>0</v>
      </c>
      <c r="I634" s="1">
        <f t="array" ref="I634">IF(ISNUMBER(MATCH(52781,Max!$A:$A,0)), IF(OR(INDEX(Max!$D:$D,MATCH(52781,Max!$A:$A,0))=1, INDEX(Max!$D:$D,MATCH(52781,Max!$A:$A,0))=2), INDEX(Max!$D:$D,MATCH(52781,Max!$A:$A,0)), 0), 0)</f>
        <v>0</v>
      </c>
    </row>
    <row r="635" spans="1:9" ht="15.75" customHeight="1" x14ac:dyDescent="0.2">
      <c r="A635" s="1">
        <v>1402</v>
      </c>
      <c r="B635" s="1" t="s">
        <v>172</v>
      </c>
      <c r="C635" s="1" t="s">
        <v>1554</v>
      </c>
      <c r="D635" s="1" t="str">
        <f t="shared" si="2"/>
        <v>2</v>
      </c>
      <c r="E635" s="1" t="s">
        <v>1555</v>
      </c>
      <c r="G635" s="1">
        <f t="array" ref="G635">IF(ISNUMBER(MATCH(1402,Camille!$A:$A,0)), IF(OR(INDEX(Camille!$D:$D,MATCH(1402,Camille!$A:$A,0))=1, INDEX(Camille!$D:$D,MATCH(1402,Camille!$A:$A,0))=2), INDEX(Camille!$D:$D,MATCH(1402,Camille!$A:$A,0)), 0), 0)</f>
        <v>2</v>
      </c>
      <c r="H635" s="1">
        <f t="array" ref="H635">IF(ISNUMBER(MATCH(1402,Telmo!$A:$A,0)), IF(OR(INDEX(Telmo!$D:$D,MATCH(1402,Telmo!$A:$A,0))=1, INDEX(Telmo!$D:$D,MATCH(1402,Telmo!$A:$A,0))=2), INDEX(Telmo!$D:$D,MATCH(1402,Telmo!$A:$A,0)), 0), 0)</f>
        <v>0</v>
      </c>
      <c r="I635" s="1">
        <f t="array" ref="I635">IF(ISNUMBER(MATCH(1402,Max!$A:$A,0)), IF(OR(INDEX(Max!$D:$D,MATCH(1402,Max!$A:$A,0))=1, INDEX(Max!$D:$D,MATCH(1402,Max!$A:$A,0))=2), INDEX(Max!$D:$D,MATCH(1402,Max!$A:$A,0)), 0), 0)</f>
        <v>0</v>
      </c>
    </row>
    <row r="636" spans="1:9" ht="15.75" customHeight="1" x14ac:dyDescent="0.2">
      <c r="A636" s="1">
        <v>14577</v>
      </c>
      <c r="B636" s="1" t="s">
        <v>345</v>
      </c>
      <c r="C636" s="1" t="s">
        <v>1556</v>
      </c>
      <c r="D636" s="1" t="str">
        <f t="shared" si="2"/>
        <v>1</v>
      </c>
      <c r="E636" s="1" t="s">
        <v>1557</v>
      </c>
      <c r="G636" s="1">
        <f t="array" ref="G636">IF(ISNUMBER(MATCH(14577,Camille!$A:$A,0)), IF(OR(INDEX(Camille!$D:$D,MATCH(14577,Camille!$A:$A,0))=1, INDEX(Camille!$D:$D,MATCH(14577,Camille!$A:$A,0))=2), INDEX(Camille!$D:$D,MATCH(14577,Camille!$A:$A,0)), 0), 0)</f>
        <v>1</v>
      </c>
      <c r="H636" s="1">
        <f t="array" ref="H636">IF(ISNUMBER(MATCH(14577,Telmo!$A:$A,0)), IF(OR(INDEX(Telmo!$D:$D,MATCH(14577,Telmo!$A:$A,0))=1, INDEX(Telmo!$D:$D,MATCH(14577,Telmo!$A:$A,0))=2), INDEX(Telmo!$D:$D,MATCH(14577,Telmo!$A:$A,0)), 0), 0)</f>
        <v>0</v>
      </c>
      <c r="I636" s="1">
        <f t="array" ref="I636">IF(ISNUMBER(MATCH(14577,Max!$A:$A,0)), IF(OR(INDEX(Max!$D:$D,MATCH(14577,Max!$A:$A,0))=1, INDEX(Max!$D:$D,MATCH(14577,Max!$A:$A,0))=2), INDEX(Max!$D:$D,MATCH(14577,Max!$A:$A,0)), 0), 0)</f>
        <v>0</v>
      </c>
    </row>
    <row r="637" spans="1:9" ht="15.75" customHeight="1" x14ac:dyDescent="0.2">
      <c r="A637" s="1">
        <v>36</v>
      </c>
      <c r="B637" s="1" t="s">
        <v>172</v>
      </c>
      <c r="C637" s="1" t="s">
        <v>1558</v>
      </c>
      <c r="D637" s="1" t="str">
        <f t="shared" si="2"/>
        <v>2</v>
      </c>
      <c r="E637" s="1" t="s">
        <v>1559</v>
      </c>
      <c r="G637" s="1">
        <f t="array" ref="G637">IF(ISNUMBER(MATCH(36,Camille!$A:$A,0)), IF(OR(INDEX(Camille!$D:$D,MATCH(36,Camille!$A:$A,0))=1, INDEX(Camille!$D:$D,MATCH(36,Camille!$A:$A,0))=2), INDEX(Camille!$D:$D,MATCH(36,Camille!$A:$A,0)), 0), 0)</f>
        <v>2</v>
      </c>
      <c r="H637" s="1">
        <f t="array" ref="H637">IF(ISNUMBER(MATCH(36,Telmo!$A:$A,0)), IF(OR(INDEX(Telmo!$D:$D,MATCH(36,Telmo!$A:$A,0))=1, INDEX(Telmo!$D:$D,MATCH(36,Telmo!$A:$A,0))=2), INDEX(Telmo!$D:$D,MATCH(36,Telmo!$A:$A,0)), 0), 0)</f>
        <v>0</v>
      </c>
      <c r="I637" s="1">
        <f t="array" ref="I637">IF(ISNUMBER(MATCH(36,Max!$A:$A,0)), IF(OR(INDEX(Max!$D:$D,MATCH(36,Max!$A:$A,0))=1, INDEX(Max!$D:$D,MATCH(36,Max!$A:$A,0))=2), INDEX(Max!$D:$D,MATCH(36,Max!$A:$A,0)), 0), 0)</f>
        <v>0</v>
      </c>
    </row>
    <row r="638" spans="1:9" ht="15.75" customHeight="1" x14ac:dyDescent="0.2">
      <c r="A638" s="1">
        <v>51078</v>
      </c>
      <c r="B638" s="1" t="s">
        <v>1560</v>
      </c>
      <c r="C638" s="1" t="s">
        <v>1561</v>
      </c>
      <c r="D638" s="1" t="str">
        <f t="shared" si="2"/>
        <v>2</v>
      </c>
      <c r="E638" s="1" t="s">
        <v>1562</v>
      </c>
      <c r="G638" s="1">
        <f t="array" ref="G638">IF(ISNUMBER(MATCH(51078,Camille!$A:$A,0)), IF(OR(INDEX(Camille!$D:$D,MATCH(51078,Camille!$A:$A,0))=1, INDEX(Camille!$D:$D,MATCH(51078,Camille!$A:$A,0))=2), INDEX(Camille!$D:$D,MATCH(51078,Camille!$A:$A,0)), 0), 0)</f>
        <v>2</v>
      </c>
      <c r="H638" s="1">
        <f t="array" ref="H638">IF(ISNUMBER(MATCH(51078,Telmo!$A:$A,0)), IF(OR(INDEX(Telmo!$D:$D,MATCH(51078,Telmo!$A:$A,0))=1, INDEX(Telmo!$D:$D,MATCH(51078,Telmo!$A:$A,0))=2), INDEX(Telmo!$D:$D,MATCH(51078,Telmo!$A:$A,0)), 0), 0)</f>
        <v>0</v>
      </c>
      <c r="I638" s="1">
        <f t="array" ref="I638">IF(ISNUMBER(MATCH(51078,Max!$A:$A,0)), IF(OR(INDEX(Max!$D:$D,MATCH(51078,Max!$A:$A,0))=1, INDEX(Max!$D:$D,MATCH(51078,Max!$A:$A,0))=2), INDEX(Max!$D:$D,MATCH(51078,Max!$A:$A,0)), 0), 0)</f>
        <v>0</v>
      </c>
    </row>
    <row r="639" spans="1:9" ht="15.75" customHeight="1" x14ac:dyDescent="0.2">
      <c r="A639" s="1">
        <v>14338</v>
      </c>
      <c r="B639" s="1" t="s">
        <v>1455</v>
      </c>
      <c r="C639" s="1" t="s">
        <v>1563</v>
      </c>
      <c r="D639" s="1" t="str">
        <f t="shared" si="2"/>
        <v>2</v>
      </c>
      <c r="E639" s="1" t="s">
        <v>1564</v>
      </c>
      <c r="G639" s="1">
        <f t="array" ref="G639">IF(ISNUMBER(MATCH(14338,Camille!$A:$A,0)), IF(OR(INDEX(Camille!$D:$D,MATCH(14338,Camille!$A:$A,0))=1, INDEX(Camille!$D:$D,MATCH(14338,Camille!$A:$A,0))=2), INDEX(Camille!$D:$D,MATCH(14338,Camille!$A:$A,0)), 0), 0)</f>
        <v>2</v>
      </c>
      <c r="H639" s="1">
        <f t="array" ref="H639">IF(ISNUMBER(MATCH(14338,Telmo!$A:$A,0)), IF(OR(INDEX(Telmo!$D:$D,MATCH(14338,Telmo!$A:$A,0))=1, INDEX(Telmo!$D:$D,MATCH(14338,Telmo!$A:$A,0))=2), INDEX(Telmo!$D:$D,MATCH(14338,Telmo!$A:$A,0)), 0), 0)</f>
        <v>0</v>
      </c>
      <c r="I639" s="1">
        <f t="array" ref="I639">IF(ISNUMBER(MATCH(14338,Max!$A:$A,0)), IF(OR(INDEX(Max!$D:$D,MATCH(14338,Max!$A:$A,0))=1, INDEX(Max!$D:$D,MATCH(14338,Max!$A:$A,0))=2), INDEX(Max!$D:$D,MATCH(14338,Max!$A:$A,0)), 0), 0)</f>
        <v>0</v>
      </c>
    </row>
    <row r="640" spans="1:9" ht="15.75" customHeight="1" x14ac:dyDescent="0.2">
      <c r="A640" s="1">
        <v>70257</v>
      </c>
      <c r="B640" s="1" t="s">
        <v>32</v>
      </c>
      <c r="C640" s="1" t="s">
        <v>1565</v>
      </c>
      <c r="D640" s="1" t="str">
        <f t="shared" si="2"/>
        <v>2</v>
      </c>
      <c r="E640" s="1" t="s">
        <v>1566</v>
      </c>
      <c r="G640" s="1">
        <f t="array" ref="G640">IF(ISNUMBER(MATCH(70257,Camille!$A:$A,0)), IF(OR(INDEX(Camille!$D:$D,MATCH(70257,Camille!$A:$A,0))=1, INDEX(Camille!$D:$D,MATCH(70257,Camille!$A:$A,0))=2), INDEX(Camille!$D:$D,MATCH(70257,Camille!$A:$A,0)), 0), 0)</f>
        <v>2</v>
      </c>
      <c r="H640" s="1">
        <f t="array" ref="H640">IF(ISNUMBER(MATCH(70257,Telmo!$A:$A,0)), IF(OR(INDEX(Telmo!$D:$D,MATCH(70257,Telmo!$A:$A,0))=1, INDEX(Telmo!$D:$D,MATCH(70257,Telmo!$A:$A,0))=2), INDEX(Telmo!$D:$D,MATCH(70257,Telmo!$A:$A,0)), 0), 0)</f>
        <v>0</v>
      </c>
      <c r="I640" s="1">
        <f t="array" ref="I640">IF(ISNUMBER(MATCH(70257,Max!$A:$A,0)), IF(OR(INDEX(Max!$D:$D,MATCH(70257,Max!$A:$A,0))=1, INDEX(Max!$D:$D,MATCH(70257,Max!$A:$A,0))=2), INDEX(Max!$D:$D,MATCH(70257,Max!$A:$A,0)), 0), 0)</f>
        <v>0</v>
      </c>
    </row>
    <row r="641" spans="1:9" ht="15.75" customHeight="1" x14ac:dyDescent="0.2">
      <c r="A641" s="1">
        <v>2127</v>
      </c>
      <c r="B641" s="1" t="s">
        <v>1357</v>
      </c>
      <c r="C641" s="1" t="s">
        <v>1567</v>
      </c>
      <c r="D641" s="1" t="str">
        <f t="shared" si="2"/>
        <v>2</v>
      </c>
      <c r="E641" s="1" t="s">
        <v>1568</v>
      </c>
      <c r="G641" s="1">
        <f t="array" ref="G641">IF(ISNUMBER(MATCH(2127,Camille!$A:$A,0)), IF(OR(INDEX(Camille!$D:$D,MATCH(2127,Camille!$A:$A,0))=1, INDEX(Camille!$D:$D,MATCH(2127,Camille!$A:$A,0))=2), INDEX(Camille!$D:$D,MATCH(2127,Camille!$A:$A,0)), 0), 0)</f>
        <v>2</v>
      </c>
      <c r="H641" s="1">
        <f t="array" ref="H641">IF(ISNUMBER(MATCH(2127,Telmo!$A:$A,0)), IF(OR(INDEX(Telmo!$D:$D,MATCH(2127,Telmo!$A:$A,0))=1, INDEX(Telmo!$D:$D,MATCH(2127,Telmo!$A:$A,0))=2), INDEX(Telmo!$D:$D,MATCH(2127,Telmo!$A:$A,0)), 0), 0)</f>
        <v>0</v>
      </c>
      <c r="I641" s="1">
        <f t="array" ref="I641">IF(ISNUMBER(MATCH(2127,Max!$A:$A,0)), IF(OR(INDEX(Max!$D:$D,MATCH(2127,Max!$A:$A,0))=1, INDEX(Max!$D:$D,MATCH(2127,Max!$A:$A,0))=2), INDEX(Max!$D:$D,MATCH(2127,Max!$A:$A,0)), 0), 0)</f>
        <v>0</v>
      </c>
    </row>
    <row r="642" spans="1:9" ht="15.75" customHeight="1" x14ac:dyDescent="0.2">
      <c r="A642" s="1">
        <v>36046</v>
      </c>
      <c r="B642" s="1" t="s">
        <v>1569</v>
      </c>
      <c r="C642" s="1" t="s">
        <v>1570</v>
      </c>
      <c r="D642" s="1" t="str">
        <f t="shared" si="2"/>
        <v>2</v>
      </c>
      <c r="E642" s="1" t="s">
        <v>1571</v>
      </c>
      <c r="G642" s="1">
        <f t="array" ref="G642">IF(ISNUMBER(MATCH(36046,Camille!$A:$A,0)), IF(OR(INDEX(Camille!$D:$D,MATCH(36046,Camille!$A:$A,0))=1, INDEX(Camille!$D:$D,MATCH(36046,Camille!$A:$A,0))=2), INDEX(Camille!$D:$D,MATCH(36046,Camille!$A:$A,0)), 0), 0)</f>
        <v>2</v>
      </c>
      <c r="H642" s="1">
        <f t="array" ref="H642">IF(ISNUMBER(MATCH(36046,Telmo!$A:$A,0)), IF(OR(INDEX(Telmo!$D:$D,MATCH(36046,Telmo!$A:$A,0))=1, INDEX(Telmo!$D:$D,MATCH(36046,Telmo!$A:$A,0))=2), INDEX(Telmo!$D:$D,MATCH(36046,Telmo!$A:$A,0)), 0), 0)</f>
        <v>0</v>
      </c>
      <c r="I642" s="1">
        <f t="array" ref="I642">IF(ISNUMBER(MATCH(36046,Max!$A:$A,0)), IF(OR(INDEX(Max!$D:$D,MATCH(36046,Max!$A:$A,0))=1, INDEX(Max!$D:$D,MATCH(36046,Max!$A:$A,0))=2), INDEX(Max!$D:$D,MATCH(36046,Max!$A:$A,0)), 0), 0)</f>
        <v>0</v>
      </c>
    </row>
    <row r="643" spans="1:9" ht="15.75" customHeight="1" x14ac:dyDescent="0.2">
      <c r="A643" s="1">
        <v>7923</v>
      </c>
      <c r="B643" s="1" t="s">
        <v>144</v>
      </c>
      <c r="C643" s="1" t="s">
        <v>1572</v>
      </c>
      <c r="D643" s="1" t="str">
        <f t="shared" si="2"/>
        <v>2</v>
      </c>
      <c r="E643" s="1" t="s">
        <v>1573</v>
      </c>
      <c r="G643" s="1">
        <f t="array" ref="G643">IF(ISNUMBER(MATCH(7923,Camille!$A:$A,0)), IF(OR(INDEX(Camille!$D:$D,MATCH(7923,Camille!$A:$A,0))=1, INDEX(Camille!$D:$D,MATCH(7923,Camille!$A:$A,0))=2), INDEX(Camille!$D:$D,MATCH(7923,Camille!$A:$A,0)), 0), 0)</f>
        <v>2</v>
      </c>
      <c r="H643" s="1">
        <f t="array" ref="H643">IF(ISNUMBER(MATCH(7923,Telmo!$A:$A,0)), IF(OR(INDEX(Telmo!$D:$D,MATCH(7923,Telmo!$A:$A,0))=1, INDEX(Telmo!$D:$D,MATCH(7923,Telmo!$A:$A,0))=2), INDEX(Telmo!$D:$D,MATCH(7923,Telmo!$A:$A,0)), 0), 0)</f>
        <v>0</v>
      </c>
      <c r="I643" s="1">
        <f t="array" ref="I643">IF(ISNUMBER(MATCH(7923,Max!$A:$A,0)), IF(OR(INDEX(Max!$D:$D,MATCH(7923,Max!$A:$A,0))=1, INDEX(Max!$D:$D,MATCH(7923,Max!$A:$A,0))=2), INDEX(Max!$D:$D,MATCH(7923,Max!$A:$A,0)), 0), 0)</f>
        <v>0</v>
      </c>
    </row>
    <row r="644" spans="1:9" ht="15.75" customHeight="1" x14ac:dyDescent="0.2">
      <c r="A644" s="1">
        <v>3864</v>
      </c>
      <c r="B644" s="1" t="s">
        <v>32</v>
      </c>
      <c r="C644" s="1" t="s">
        <v>1574</v>
      </c>
      <c r="D644" s="1" t="str">
        <f t="shared" si="2"/>
        <v>2</v>
      </c>
      <c r="E644" s="1" t="s">
        <v>1575</v>
      </c>
      <c r="G644" s="1">
        <f t="array" ref="G644">IF(ISNUMBER(MATCH(3864,Camille!$A:$A,0)), IF(OR(INDEX(Camille!$D:$D,MATCH(3864,Camille!$A:$A,0))=1, INDEX(Camille!$D:$D,MATCH(3864,Camille!$A:$A,0))=2), INDEX(Camille!$D:$D,MATCH(3864,Camille!$A:$A,0)), 0), 0)</f>
        <v>2</v>
      </c>
      <c r="H644" s="1">
        <f t="array" ref="H644">IF(ISNUMBER(MATCH(3864,Telmo!$A:$A,0)), IF(OR(INDEX(Telmo!$D:$D,MATCH(3864,Telmo!$A:$A,0))=1, INDEX(Telmo!$D:$D,MATCH(3864,Telmo!$A:$A,0))=2), INDEX(Telmo!$D:$D,MATCH(3864,Telmo!$A:$A,0)), 0), 0)</f>
        <v>0</v>
      </c>
      <c r="I644" s="1">
        <f t="array" ref="I644">IF(ISNUMBER(MATCH(3864,Max!$A:$A,0)), IF(OR(INDEX(Max!$D:$D,MATCH(3864,Max!$A:$A,0))=1, INDEX(Max!$D:$D,MATCH(3864,Max!$A:$A,0))=2), INDEX(Max!$D:$D,MATCH(3864,Max!$A:$A,0)), 0), 0)</f>
        <v>0</v>
      </c>
    </row>
    <row r="645" spans="1:9" ht="15.75" customHeight="1" x14ac:dyDescent="0.2">
      <c r="A645" s="1">
        <v>19546</v>
      </c>
      <c r="B645" s="1" t="s">
        <v>276</v>
      </c>
      <c r="C645" s="1" t="s">
        <v>1576</v>
      </c>
      <c r="D645" s="1" t="str">
        <f t="shared" si="2"/>
        <v>1</v>
      </c>
      <c r="E645" s="1" t="s">
        <v>1577</v>
      </c>
      <c r="G645" s="1">
        <f t="array" ref="G645">IF(ISNUMBER(MATCH(19546,Camille!$A:$A,0)), IF(OR(INDEX(Camille!$D:$D,MATCH(19546,Camille!$A:$A,0))=1, INDEX(Camille!$D:$D,MATCH(19546,Camille!$A:$A,0))=2), INDEX(Camille!$D:$D,MATCH(19546,Camille!$A:$A,0)), 0), 0)</f>
        <v>1</v>
      </c>
      <c r="H645" s="1">
        <f t="array" ref="H645">IF(ISNUMBER(MATCH(19546,Telmo!$A:$A,0)), IF(OR(INDEX(Telmo!$D:$D,MATCH(19546,Telmo!$A:$A,0))=1, INDEX(Telmo!$D:$D,MATCH(19546,Telmo!$A:$A,0))=2), INDEX(Telmo!$D:$D,MATCH(19546,Telmo!$A:$A,0)), 0), 0)</f>
        <v>0</v>
      </c>
      <c r="I645" s="1">
        <f t="array" ref="I645">IF(ISNUMBER(MATCH(19546,Max!$A:$A,0)), IF(OR(INDEX(Max!$D:$D,MATCH(19546,Max!$A:$A,0))=1, INDEX(Max!$D:$D,MATCH(19546,Max!$A:$A,0))=2), INDEX(Max!$D:$D,MATCH(19546,Max!$A:$A,0)), 0), 0)</f>
        <v>0</v>
      </c>
    </row>
    <row r="646" spans="1:9" ht="15.75" customHeight="1" x14ac:dyDescent="0.2">
      <c r="A646" s="1">
        <v>26258</v>
      </c>
      <c r="B646" s="1" t="s">
        <v>167</v>
      </c>
      <c r="C646" s="1" t="s">
        <v>1578</v>
      </c>
      <c r="D646" s="1" t="str">
        <f t="shared" si="2"/>
        <v>1</v>
      </c>
      <c r="E646" s="1" t="s">
        <v>1579</v>
      </c>
      <c r="G646" s="1">
        <f t="array" ref="G646">IF(ISNUMBER(MATCH(26258,Camille!$A:$A,0)), IF(OR(INDEX(Camille!$D:$D,MATCH(26258,Camille!$A:$A,0))=1, INDEX(Camille!$D:$D,MATCH(26258,Camille!$A:$A,0))=2), INDEX(Camille!$D:$D,MATCH(26258,Camille!$A:$A,0)), 0), 0)</f>
        <v>1</v>
      </c>
      <c r="H646" s="1">
        <f t="array" ref="H646">IF(ISNUMBER(MATCH(26258,Telmo!$A:$A,0)), IF(OR(INDEX(Telmo!$D:$D,MATCH(26258,Telmo!$A:$A,0))=1, INDEX(Telmo!$D:$D,MATCH(26258,Telmo!$A:$A,0))=2), INDEX(Telmo!$D:$D,MATCH(26258,Telmo!$A:$A,0)), 0), 0)</f>
        <v>0</v>
      </c>
      <c r="I646" s="1">
        <f t="array" ref="I646">IF(ISNUMBER(MATCH(26258,Max!$A:$A,0)), IF(OR(INDEX(Max!$D:$D,MATCH(26258,Max!$A:$A,0))=1, INDEX(Max!$D:$D,MATCH(26258,Max!$A:$A,0))=2), INDEX(Max!$D:$D,MATCH(26258,Max!$A:$A,0)), 0), 0)</f>
        <v>0</v>
      </c>
    </row>
    <row r="647" spans="1:9" ht="15.75" customHeight="1" x14ac:dyDescent="0.2">
      <c r="A647" s="1">
        <v>14892</v>
      </c>
      <c r="B647" s="1" t="s">
        <v>32</v>
      </c>
      <c r="C647" s="1" t="s">
        <v>1580</v>
      </c>
      <c r="D647" s="1" t="str">
        <f t="shared" si="2"/>
        <v>1</v>
      </c>
      <c r="E647" s="1" t="s">
        <v>1581</v>
      </c>
      <c r="G647" s="1">
        <f t="array" ref="G647">IF(ISNUMBER(MATCH(14892,Camille!$A:$A,0)), IF(OR(INDEX(Camille!$D:$D,MATCH(14892,Camille!$A:$A,0))=1, INDEX(Camille!$D:$D,MATCH(14892,Camille!$A:$A,0))=2), INDEX(Camille!$D:$D,MATCH(14892,Camille!$A:$A,0)), 0), 0)</f>
        <v>1</v>
      </c>
      <c r="H647" s="1">
        <f t="array" ref="H647">IF(ISNUMBER(MATCH(14892,Telmo!$A:$A,0)), IF(OR(INDEX(Telmo!$D:$D,MATCH(14892,Telmo!$A:$A,0))=1, INDEX(Telmo!$D:$D,MATCH(14892,Telmo!$A:$A,0))=2), INDEX(Telmo!$D:$D,MATCH(14892,Telmo!$A:$A,0)), 0), 0)</f>
        <v>0</v>
      </c>
      <c r="I647" s="1">
        <f t="array" ref="I647">IF(ISNUMBER(MATCH(14892,Max!$A:$A,0)), IF(OR(INDEX(Max!$D:$D,MATCH(14892,Max!$A:$A,0))=1, INDEX(Max!$D:$D,MATCH(14892,Max!$A:$A,0))=2), INDEX(Max!$D:$D,MATCH(14892,Max!$A:$A,0)), 0), 0)</f>
        <v>0</v>
      </c>
    </row>
    <row r="648" spans="1:9" ht="15.75" customHeight="1" x14ac:dyDescent="0.2">
      <c r="A648" s="1">
        <v>65046</v>
      </c>
      <c r="B648" s="1" t="s">
        <v>84</v>
      </c>
      <c r="C648" s="1" t="s">
        <v>1582</v>
      </c>
      <c r="D648" s="1" t="str">
        <f t="shared" si="2"/>
        <v>2</v>
      </c>
      <c r="E648" s="1" t="s">
        <v>1583</v>
      </c>
      <c r="G648" s="1">
        <f t="array" ref="G648">IF(ISNUMBER(MATCH(65046,Camille!$A:$A,0)), IF(OR(INDEX(Camille!$D:$D,MATCH(65046,Camille!$A:$A,0))=1, INDEX(Camille!$D:$D,MATCH(65046,Camille!$A:$A,0))=2), INDEX(Camille!$D:$D,MATCH(65046,Camille!$A:$A,0)), 0), 0)</f>
        <v>2</v>
      </c>
      <c r="H648" s="1">
        <f t="array" ref="H648">IF(ISNUMBER(MATCH(65046,Telmo!$A:$A,0)), IF(OR(INDEX(Telmo!$D:$D,MATCH(65046,Telmo!$A:$A,0))=1, INDEX(Telmo!$D:$D,MATCH(65046,Telmo!$A:$A,0))=2), INDEX(Telmo!$D:$D,MATCH(65046,Telmo!$A:$A,0)), 0), 0)</f>
        <v>0</v>
      </c>
      <c r="I648" s="1">
        <f t="array" ref="I648">IF(ISNUMBER(MATCH(65046,Max!$A:$A,0)), IF(OR(INDEX(Max!$D:$D,MATCH(65046,Max!$A:$A,0))=1, INDEX(Max!$D:$D,MATCH(65046,Max!$A:$A,0))=2), INDEX(Max!$D:$D,MATCH(65046,Max!$A:$A,0)), 0), 0)</f>
        <v>0</v>
      </c>
    </row>
    <row r="649" spans="1:9" ht="15.75" customHeight="1" x14ac:dyDescent="0.2">
      <c r="A649" s="1">
        <v>41360</v>
      </c>
      <c r="B649" s="1" t="s">
        <v>32</v>
      </c>
      <c r="C649" s="1" t="s">
        <v>1584</v>
      </c>
      <c r="D649" s="1" t="str">
        <f t="shared" si="2"/>
        <v>1</v>
      </c>
      <c r="E649" s="1" t="s">
        <v>1585</v>
      </c>
      <c r="G649" s="1">
        <f t="array" ref="G649">IF(ISNUMBER(MATCH(41360,Camille!$A:$A,0)), IF(OR(INDEX(Camille!$D:$D,MATCH(41360,Camille!$A:$A,0))=1, INDEX(Camille!$D:$D,MATCH(41360,Camille!$A:$A,0))=2), INDEX(Camille!$D:$D,MATCH(41360,Camille!$A:$A,0)), 0), 0)</f>
        <v>1</v>
      </c>
      <c r="H649" s="1">
        <f t="array" ref="H649">IF(ISNUMBER(MATCH(41360,Telmo!$A:$A,0)), IF(OR(INDEX(Telmo!$D:$D,MATCH(41360,Telmo!$A:$A,0))=1, INDEX(Telmo!$D:$D,MATCH(41360,Telmo!$A:$A,0))=2), INDEX(Telmo!$D:$D,MATCH(41360,Telmo!$A:$A,0)), 0), 0)</f>
        <v>0</v>
      </c>
      <c r="I649" s="1">
        <f t="array" ref="I649">IF(ISNUMBER(MATCH(41360,Max!$A:$A,0)), IF(OR(INDEX(Max!$D:$D,MATCH(41360,Max!$A:$A,0))=1, INDEX(Max!$D:$D,MATCH(41360,Max!$A:$A,0))=2), INDEX(Max!$D:$D,MATCH(41360,Max!$A:$A,0)), 0), 0)</f>
        <v>0</v>
      </c>
    </row>
    <row r="650" spans="1:9" ht="15.75" customHeight="1" x14ac:dyDescent="0.2">
      <c r="A650" s="1">
        <v>43985</v>
      </c>
      <c r="B650" s="1" t="s">
        <v>191</v>
      </c>
      <c r="C650" s="1" t="s">
        <v>1586</v>
      </c>
      <c r="D650" s="1" t="str">
        <f t="shared" si="2"/>
        <v>2</v>
      </c>
      <c r="E650" s="1" t="s">
        <v>1587</v>
      </c>
      <c r="G650" s="1">
        <f t="array" ref="G650">IF(ISNUMBER(MATCH(43985,Camille!$A:$A,0)), IF(OR(INDEX(Camille!$D:$D,MATCH(43985,Camille!$A:$A,0))=1, INDEX(Camille!$D:$D,MATCH(43985,Camille!$A:$A,0))=2), INDEX(Camille!$D:$D,MATCH(43985,Camille!$A:$A,0)), 0), 0)</f>
        <v>2</v>
      </c>
      <c r="H650" s="1">
        <f t="array" ref="H650">IF(ISNUMBER(MATCH(43985,Telmo!$A:$A,0)), IF(OR(INDEX(Telmo!$D:$D,MATCH(43985,Telmo!$A:$A,0))=1, INDEX(Telmo!$D:$D,MATCH(43985,Telmo!$A:$A,0))=2), INDEX(Telmo!$D:$D,MATCH(43985,Telmo!$A:$A,0)), 0), 0)</f>
        <v>0</v>
      </c>
      <c r="I650" s="1">
        <f t="array" ref="I650">IF(ISNUMBER(MATCH(43985,Max!$A:$A,0)), IF(OR(INDEX(Max!$D:$D,MATCH(43985,Max!$A:$A,0))=1, INDEX(Max!$D:$D,MATCH(43985,Max!$A:$A,0))=2), INDEX(Max!$D:$D,MATCH(43985,Max!$A:$A,0)), 0), 0)</f>
        <v>0</v>
      </c>
    </row>
    <row r="651" spans="1:9" ht="15.75" customHeight="1" x14ac:dyDescent="0.2">
      <c r="A651" s="1">
        <v>53935</v>
      </c>
      <c r="B651" s="1" t="s">
        <v>701</v>
      </c>
      <c r="C651" s="1" t="s">
        <v>1588</v>
      </c>
      <c r="D651" s="1" t="str">
        <f t="shared" si="2"/>
        <v>2</v>
      </c>
      <c r="E651" s="1" t="s">
        <v>1589</v>
      </c>
      <c r="G651" s="1">
        <f t="array" ref="G651">IF(ISNUMBER(MATCH(53935,Camille!$A:$A,0)), IF(OR(INDEX(Camille!$D:$D,MATCH(53935,Camille!$A:$A,0))=1, INDEX(Camille!$D:$D,MATCH(53935,Camille!$A:$A,0))=2), INDEX(Camille!$D:$D,MATCH(53935,Camille!$A:$A,0)), 0), 0)</f>
        <v>2</v>
      </c>
      <c r="H651" s="1">
        <f t="array" ref="H651">IF(ISNUMBER(MATCH(53935,Telmo!$A:$A,0)), IF(OR(INDEX(Telmo!$D:$D,MATCH(53935,Telmo!$A:$A,0))=1, INDEX(Telmo!$D:$D,MATCH(53935,Telmo!$A:$A,0))=2), INDEX(Telmo!$D:$D,MATCH(53935,Telmo!$A:$A,0)), 0), 0)</f>
        <v>0</v>
      </c>
      <c r="I651" s="1">
        <f t="array" ref="I651">IF(ISNUMBER(MATCH(53935,Max!$A:$A,0)), IF(OR(INDEX(Max!$D:$D,MATCH(53935,Max!$A:$A,0))=1, INDEX(Max!$D:$D,MATCH(53935,Max!$A:$A,0))=2), INDEX(Max!$D:$D,MATCH(53935,Max!$A:$A,0)), 0), 0)</f>
        <v>0</v>
      </c>
    </row>
    <row r="652" spans="1:9" ht="15.75" customHeight="1" x14ac:dyDescent="0.2">
      <c r="A652" s="1">
        <v>40540</v>
      </c>
      <c r="B652" s="1" t="s">
        <v>315</v>
      </c>
      <c r="C652" s="1" t="s">
        <v>1590</v>
      </c>
      <c r="D652" s="1" t="str">
        <f t="shared" si="2"/>
        <v>1</v>
      </c>
      <c r="E652" s="1" t="s">
        <v>1591</v>
      </c>
      <c r="G652" s="1">
        <f t="array" ref="G652">IF(ISNUMBER(MATCH(40540,Camille!$A:$A,0)), IF(OR(INDEX(Camille!$D:$D,MATCH(40540,Camille!$A:$A,0))=1, INDEX(Camille!$D:$D,MATCH(40540,Camille!$A:$A,0))=2), INDEX(Camille!$D:$D,MATCH(40540,Camille!$A:$A,0)), 0), 0)</f>
        <v>1</v>
      </c>
      <c r="H652" s="1">
        <f t="array" ref="H652">IF(ISNUMBER(MATCH(40540,Telmo!$A:$A,0)), IF(OR(INDEX(Telmo!$D:$D,MATCH(40540,Telmo!$A:$A,0))=1, INDEX(Telmo!$D:$D,MATCH(40540,Telmo!$A:$A,0))=2), INDEX(Telmo!$D:$D,MATCH(40540,Telmo!$A:$A,0)), 0), 0)</f>
        <v>0</v>
      </c>
      <c r="I652" s="1">
        <f t="array" ref="I652">IF(ISNUMBER(MATCH(40540,Max!$A:$A,0)), IF(OR(INDEX(Max!$D:$D,MATCH(40540,Max!$A:$A,0))=1, INDEX(Max!$D:$D,MATCH(40540,Max!$A:$A,0))=2), INDEX(Max!$D:$D,MATCH(40540,Max!$A:$A,0)), 0), 0)</f>
        <v>0</v>
      </c>
    </row>
    <row r="653" spans="1:9" ht="15.75" customHeight="1" x14ac:dyDescent="0.2">
      <c r="A653" s="1">
        <v>15387</v>
      </c>
      <c r="B653" s="1" t="s">
        <v>1592</v>
      </c>
      <c r="C653" s="1" t="s">
        <v>1593</v>
      </c>
      <c r="D653" s="1" t="str">
        <f t="shared" si="2"/>
        <v>1</v>
      </c>
      <c r="E653" s="1" t="s">
        <v>1594</v>
      </c>
      <c r="G653" s="1">
        <f t="array" ref="G653">IF(ISNUMBER(MATCH(15387,Camille!$A:$A,0)), IF(OR(INDEX(Camille!$D:$D,MATCH(15387,Camille!$A:$A,0))=1, INDEX(Camille!$D:$D,MATCH(15387,Camille!$A:$A,0))=2), INDEX(Camille!$D:$D,MATCH(15387,Camille!$A:$A,0)), 0), 0)</f>
        <v>1</v>
      </c>
      <c r="H653" s="1">
        <f t="array" ref="H653">IF(ISNUMBER(MATCH(15387,Telmo!$A:$A,0)), IF(OR(INDEX(Telmo!$D:$D,MATCH(15387,Telmo!$A:$A,0))=1, INDEX(Telmo!$D:$D,MATCH(15387,Telmo!$A:$A,0))=2), INDEX(Telmo!$D:$D,MATCH(15387,Telmo!$A:$A,0)), 0), 0)</f>
        <v>0</v>
      </c>
      <c r="I653" s="1">
        <f t="array" ref="I653">IF(ISNUMBER(MATCH(15387,Max!$A:$A,0)), IF(OR(INDEX(Max!$D:$D,MATCH(15387,Max!$A:$A,0))=1, INDEX(Max!$D:$D,MATCH(15387,Max!$A:$A,0))=2), INDEX(Max!$D:$D,MATCH(15387,Max!$A:$A,0)), 0), 0)</f>
        <v>0</v>
      </c>
    </row>
    <row r="654" spans="1:9" ht="15.75" customHeight="1" x14ac:dyDescent="0.2">
      <c r="A654" s="1">
        <v>17991</v>
      </c>
      <c r="B654" s="1" t="s">
        <v>1021</v>
      </c>
      <c r="C654" s="1" t="s">
        <v>1595</v>
      </c>
      <c r="D654" s="1" t="str">
        <f t="shared" si="2"/>
        <v>2</v>
      </c>
      <c r="E654" s="1" t="s">
        <v>1596</v>
      </c>
      <c r="G654" s="1">
        <f t="array" ref="G654">IF(ISNUMBER(MATCH(17991,Camille!$A:$A,0)), IF(OR(INDEX(Camille!$D:$D,MATCH(17991,Camille!$A:$A,0))=1, INDEX(Camille!$D:$D,MATCH(17991,Camille!$A:$A,0))=2), INDEX(Camille!$D:$D,MATCH(17991,Camille!$A:$A,0)), 0), 0)</f>
        <v>2</v>
      </c>
      <c r="H654" s="1">
        <f t="array" ref="H654">IF(ISNUMBER(MATCH(17991,Telmo!$A:$A,0)), IF(OR(INDEX(Telmo!$D:$D,MATCH(17991,Telmo!$A:$A,0))=1, INDEX(Telmo!$D:$D,MATCH(17991,Telmo!$A:$A,0))=2), INDEX(Telmo!$D:$D,MATCH(17991,Telmo!$A:$A,0)), 0), 0)</f>
        <v>0</v>
      </c>
      <c r="I654" s="1">
        <f t="array" ref="I654">IF(ISNUMBER(MATCH(17991,Max!$A:$A,0)), IF(OR(INDEX(Max!$D:$D,MATCH(17991,Max!$A:$A,0))=1, INDEX(Max!$D:$D,MATCH(17991,Max!$A:$A,0))=2), INDEX(Max!$D:$D,MATCH(17991,Max!$A:$A,0)), 0), 0)</f>
        <v>0</v>
      </c>
    </row>
    <row r="655" spans="1:9" ht="15.75" customHeight="1" x14ac:dyDescent="0.2">
      <c r="A655" s="1">
        <v>40421</v>
      </c>
      <c r="B655" s="1" t="s">
        <v>399</v>
      </c>
      <c r="C655" s="1" t="s">
        <v>1597</v>
      </c>
      <c r="D655" s="1" t="str">
        <f t="shared" si="2"/>
        <v>2</v>
      </c>
      <c r="E655" s="1" t="s">
        <v>1598</v>
      </c>
      <c r="G655" s="1">
        <f t="array" ref="G655">IF(ISNUMBER(MATCH(40421,Camille!$A:$A,0)), IF(OR(INDEX(Camille!$D:$D,MATCH(40421,Camille!$A:$A,0))=1, INDEX(Camille!$D:$D,MATCH(40421,Camille!$A:$A,0))=2), INDEX(Camille!$D:$D,MATCH(40421,Camille!$A:$A,0)), 0), 0)</f>
        <v>2</v>
      </c>
      <c r="H655" s="1">
        <f t="array" ref="H655">IF(ISNUMBER(MATCH(40421,Telmo!$A:$A,0)), IF(OR(INDEX(Telmo!$D:$D,MATCH(40421,Telmo!$A:$A,0))=1, INDEX(Telmo!$D:$D,MATCH(40421,Telmo!$A:$A,0))=2), INDEX(Telmo!$D:$D,MATCH(40421,Telmo!$A:$A,0)), 0), 0)</f>
        <v>0</v>
      </c>
      <c r="I655" s="1">
        <f t="array" ref="I655">IF(ISNUMBER(MATCH(40421,Max!$A:$A,0)), IF(OR(INDEX(Max!$D:$D,MATCH(40421,Max!$A:$A,0))=1, INDEX(Max!$D:$D,MATCH(40421,Max!$A:$A,0))=2), INDEX(Max!$D:$D,MATCH(40421,Max!$A:$A,0)), 0), 0)</f>
        <v>0</v>
      </c>
    </row>
    <row r="656" spans="1:9" ht="15.75" customHeight="1" x14ac:dyDescent="0.2">
      <c r="A656" s="1">
        <v>58931</v>
      </c>
      <c r="B656" s="1" t="s">
        <v>75</v>
      </c>
      <c r="C656" s="1" t="s">
        <v>1599</v>
      </c>
      <c r="D656" s="1" t="str">
        <f t="shared" si="2"/>
        <v>2</v>
      </c>
      <c r="E656" s="1" t="s">
        <v>1600</v>
      </c>
      <c r="G656" s="1">
        <f t="array" ref="G656">IF(ISNUMBER(MATCH(58931,Camille!$A:$A,0)), IF(OR(INDEX(Camille!$D:$D,MATCH(58931,Camille!$A:$A,0))=1, INDEX(Camille!$D:$D,MATCH(58931,Camille!$A:$A,0))=2), INDEX(Camille!$D:$D,MATCH(58931,Camille!$A:$A,0)), 0), 0)</f>
        <v>2</v>
      </c>
      <c r="H656" s="1">
        <f t="array" ref="H656">IF(ISNUMBER(MATCH(58931,Telmo!$A:$A,0)), IF(OR(INDEX(Telmo!$D:$D,MATCH(58931,Telmo!$A:$A,0))=1, INDEX(Telmo!$D:$D,MATCH(58931,Telmo!$A:$A,0))=2), INDEX(Telmo!$D:$D,MATCH(58931,Telmo!$A:$A,0)), 0), 0)</f>
        <v>0</v>
      </c>
      <c r="I656" s="1">
        <f t="array" ref="I656">IF(ISNUMBER(MATCH(58931,Max!$A:$A,0)), IF(OR(INDEX(Max!$D:$D,MATCH(58931,Max!$A:$A,0))=1, INDEX(Max!$D:$D,MATCH(58931,Max!$A:$A,0))=2), INDEX(Max!$D:$D,MATCH(58931,Max!$A:$A,0)), 0), 0)</f>
        <v>0</v>
      </c>
    </row>
    <row r="657" spans="1:9" ht="15.75" customHeight="1" x14ac:dyDescent="0.2">
      <c r="A657" s="1">
        <v>20802</v>
      </c>
      <c r="B657" s="1" t="s">
        <v>1123</v>
      </c>
      <c r="C657" s="1" t="s">
        <v>1601</v>
      </c>
      <c r="D657" s="1" t="str">
        <f t="shared" si="2"/>
        <v>2</v>
      </c>
      <c r="E657" s="1" t="s">
        <v>1602</v>
      </c>
      <c r="G657" s="1">
        <f t="array" ref="G657">IF(ISNUMBER(MATCH(20802,Camille!$A:$A,0)), IF(OR(INDEX(Camille!$D:$D,MATCH(20802,Camille!$A:$A,0))=1, INDEX(Camille!$D:$D,MATCH(20802,Camille!$A:$A,0))=2), INDEX(Camille!$D:$D,MATCH(20802,Camille!$A:$A,0)), 0), 0)</f>
        <v>2</v>
      </c>
      <c r="H657" s="1">
        <f t="array" ref="H657">IF(ISNUMBER(MATCH(20802,Telmo!$A:$A,0)), IF(OR(INDEX(Telmo!$D:$D,MATCH(20802,Telmo!$A:$A,0))=1, INDEX(Telmo!$D:$D,MATCH(20802,Telmo!$A:$A,0))=2), INDEX(Telmo!$D:$D,MATCH(20802,Telmo!$A:$A,0)), 0), 0)</f>
        <v>0</v>
      </c>
      <c r="I657" s="1">
        <f t="array" ref="I657">IF(ISNUMBER(MATCH(20802,Max!$A:$A,0)), IF(OR(INDEX(Max!$D:$D,MATCH(20802,Max!$A:$A,0))=1, INDEX(Max!$D:$D,MATCH(20802,Max!$A:$A,0))=2), INDEX(Max!$D:$D,MATCH(20802,Max!$A:$A,0)), 0), 0)</f>
        <v>0</v>
      </c>
    </row>
    <row r="658" spans="1:9" ht="15.75" customHeight="1" x14ac:dyDescent="0.2">
      <c r="A658" s="1">
        <v>23724</v>
      </c>
      <c r="B658" s="1" t="s">
        <v>1603</v>
      </c>
      <c r="C658" s="1" t="s">
        <v>1604</v>
      </c>
      <c r="D658" s="1" t="str">
        <f t="shared" si="2"/>
        <v>2</v>
      </c>
      <c r="E658" s="1" t="s">
        <v>1605</v>
      </c>
      <c r="G658" s="1">
        <f t="array" ref="G658">IF(ISNUMBER(MATCH(23724,Camille!$A:$A,0)), IF(OR(INDEX(Camille!$D:$D,MATCH(23724,Camille!$A:$A,0))=1, INDEX(Camille!$D:$D,MATCH(23724,Camille!$A:$A,0))=2), INDEX(Camille!$D:$D,MATCH(23724,Camille!$A:$A,0)), 0), 0)</f>
        <v>2</v>
      </c>
      <c r="H658" s="1">
        <f t="array" ref="H658">IF(ISNUMBER(MATCH(23724,Telmo!$A:$A,0)), IF(OR(INDEX(Telmo!$D:$D,MATCH(23724,Telmo!$A:$A,0))=1, INDEX(Telmo!$D:$D,MATCH(23724,Telmo!$A:$A,0))=2), INDEX(Telmo!$D:$D,MATCH(23724,Telmo!$A:$A,0)), 0), 0)</f>
        <v>0</v>
      </c>
      <c r="I658" s="1">
        <f t="array" ref="I658">IF(ISNUMBER(MATCH(23724,Max!$A:$A,0)), IF(OR(INDEX(Max!$D:$D,MATCH(23724,Max!$A:$A,0))=1, INDEX(Max!$D:$D,MATCH(23724,Max!$A:$A,0))=2), INDEX(Max!$D:$D,MATCH(23724,Max!$A:$A,0)), 0), 0)</f>
        <v>0</v>
      </c>
    </row>
    <row r="659" spans="1:9" ht="15.75" customHeight="1" x14ac:dyDescent="0.2">
      <c r="A659" s="1">
        <v>50376</v>
      </c>
      <c r="B659" s="1" t="s">
        <v>1606</v>
      </c>
      <c r="C659" s="1" t="s">
        <v>1607</v>
      </c>
      <c r="D659" s="1" t="str">
        <f t="shared" si="2"/>
        <v>2</v>
      </c>
      <c r="E659" s="1" t="s">
        <v>1608</v>
      </c>
      <c r="G659" s="1">
        <f t="array" ref="G659">IF(ISNUMBER(MATCH(50376,Camille!$A:$A,0)), IF(OR(INDEX(Camille!$D:$D,MATCH(50376,Camille!$A:$A,0))=1, INDEX(Camille!$D:$D,MATCH(50376,Camille!$A:$A,0))=2), INDEX(Camille!$D:$D,MATCH(50376,Camille!$A:$A,0)), 0), 0)</f>
        <v>2</v>
      </c>
      <c r="H659" s="1">
        <f t="array" ref="H659">IF(ISNUMBER(MATCH(50376,Telmo!$A:$A,0)), IF(OR(INDEX(Telmo!$D:$D,MATCH(50376,Telmo!$A:$A,0))=1, INDEX(Telmo!$D:$D,MATCH(50376,Telmo!$A:$A,0))=2), INDEX(Telmo!$D:$D,MATCH(50376,Telmo!$A:$A,0)), 0), 0)</f>
        <v>0</v>
      </c>
      <c r="I659" s="1">
        <f t="array" ref="I659">IF(ISNUMBER(MATCH(50376,Max!$A:$A,0)), IF(OR(INDEX(Max!$D:$D,MATCH(50376,Max!$A:$A,0))=1, INDEX(Max!$D:$D,MATCH(50376,Max!$A:$A,0))=2), INDEX(Max!$D:$D,MATCH(50376,Max!$A:$A,0)), 0), 0)</f>
        <v>0</v>
      </c>
    </row>
    <row r="660" spans="1:9" ht="15.75" customHeight="1" x14ac:dyDescent="0.2">
      <c r="A660" s="1">
        <v>4198</v>
      </c>
      <c r="B660" s="1" t="s">
        <v>1609</v>
      </c>
      <c r="C660" s="1" t="s">
        <v>1610</v>
      </c>
      <c r="D660" s="1" t="str">
        <f t="shared" si="2"/>
        <v>2</v>
      </c>
      <c r="E660" s="1" t="s">
        <v>1611</v>
      </c>
      <c r="G660" s="1">
        <f t="array" ref="G660">IF(ISNUMBER(MATCH(4198,Camille!$A:$A,0)), IF(OR(INDEX(Camille!$D:$D,MATCH(4198,Camille!$A:$A,0))=1, INDEX(Camille!$D:$D,MATCH(4198,Camille!$A:$A,0))=2), INDEX(Camille!$D:$D,MATCH(4198,Camille!$A:$A,0)), 0), 0)</f>
        <v>2</v>
      </c>
      <c r="H660" s="1">
        <f t="array" ref="H660">IF(ISNUMBER(MATCH(4198,Telmo!$A:$A,0)), IF(OR(INDEX(Telmo!$D:$D,MATCH(4198,Telmo!$A:$A,0))=1, INDEX(Telmo!$D:$D,MATCH(4198,Telmo!$A:$A,0))=2), INDEX(Telmo!$D:$D,MATCH(4198,Telmo!$A:$A,0)), 0), 0)</f>
        <v>0</v>
      </c>
      <c r="I660" s="1">
        <f t="array" ref="I660">IF(ISNUMBER(MATCH(4198,Max!$A:$A,0)), IF(OR(INDEX(Max!$D:$D,MATCH(4198,Max!$A:$A,0))=1, INDEX(Max!$D:$D,MATCH(4198,Max!$A:$A,0))=2), INDEX(Max!$D:$D,MATCH(4198,Max!$A:$A,0)), 0), 0)</f>
        <v>0</v>
      </c>
    </row>
    <row r="661" spans="1:9" ht="15.75" customHeight="1" x14ac:dyDescent="0.2">
      <c r="A661" s="1">
        <v>71201</v>
      </c>
      <c r="B661" s="1" t="s">
        <v>728</v>
      </c>
      <c r="C661" s="1" t="s">
        <v>1612</v>
      </c>
      <c r="D661" s="1" t="str">
        <f t="shared" si="2"/>
        <v>2</v>
      </c>
      <c r="E661" s="1" t="s">
        <v>1613</v>
      </c>
      <c r="G661" s="1">
        <f t="array" ref="G661">IF(ISNUMBER(MATCH(71201,Camille!$A:$A,0)), IF(OR(INDEX(Camille!$D:$D,MATCH(71201,Camille!$A:$A,0))=1, INDEX(Camille!$D:$D,MATCH(71201,Camille!$A:$A,0))=2), INDEX(Camille!$D:$D,MATCH(71201,Camille!$A:$A,0)), 0), 0)</f>
        <v>2</v>
      </c>
      <c r="H661" s="1">
        <f t="array" ref="H661">IF(ISNUMBER(MATCH(71201,Telmo!$A:$A,0)), IF(OR(INDEX(Telmo!$D:$D,MATCH(71201,Telmo!$A:$A,0))=1, INDEX(Telmo!$D:$D,MATCH(71201,Telmo!$A:$A,0))=2), INDEX(Telmo!$D:$D,MATCH(71201,Telmo!$A:$A,0)), 0), 0)</f>
        <v>0</v>
      </c>
      <c r="I661" s="1">
        <f t="array" ref="I661">IF(ISNUMBER(MATCH(71201,Max!$A:$A,0)), IF(OR(INDEX(Max!$D:$D,MATCH(71201,Max!$A:$A,0))=1, INDEX(Max!$D:$D,MATCH(71201,Max!$A:$A,0))=2), INDEX(Max!$D:$D,MATCH(71201,Max!$A:$A,0)), 0), 0)</f>
        <v>0</v>
      </c>
    </row>
    <row r="662" spans="1:9" ht="15.75" customHeight="1" x14ac:dyDescent="0.2">
      <c r="A662" s="1">
        <v>71231</v>
      </c>
      <c r="B662" s="1" t="s">
        <v>1614</v>
      </c>
      <c r="C662" s="1" t="s">
        <v>1615</v>
      </c>
      <c r="D662" s="1" t="str">
        <f t="shared" si="2"/>
        <v>2</v>
      </c>
      <c r="E662" s="1" t="s">
        <v>1616</v>
      </c>
      <c r="G662" s="1">
        <f t="array" ref="G662">IF(ISNUMBER(MATCH(71231,Camille!$A:$A,0)), IF(OR(INDEX(Camille!$D:$D,MATCH(71231,Camille!$A:$A,0))=1, INDEX(Camille!$D:$D,MATCH(71231,Camille!$A:$A,0))=2), INDEX(Camille!$D:$D,MATCH(71231,Camille!$A:$A,0)), 0), 0)</f>
        <v>2</v>
      </c>
      <c r="H662" s="1">
        <f t="array" ref="H662">IF(ISNUMBER(MATCH(71231,Telmo!$A:$A,0)), IF(OR(INDEX(Telmo!$D:$D,MATCH(71231,Telmo!$A:$A,0))=1, INDEX(Telmo!$D:$D,MATCH(71231,Telmo!$A:$A,0))=2), INDEX(Telmo!$D:$D,MATCH(71231,Telmo!$A:$A,0)), 0), 0)</f>
        <v>0</v>
      </c>
      <c r="I662" s="1">
        <f t="array" ref="I662">IF(ISNUMBER(MATCH(71231,Max!$A:$A,0)), IF(OR(INDEX(Max!$D:$D,MATCH(71231,Max!$A:$A,0))=1, INDEX(Max!$D:$D,MATCH(71231,Max!$A:$A,0))=2), INDEX(Max!$D:$D,MATCH(71231,Max!$A:$A,0)), 0), 0)</f>
        <v>0</v>
      </c>
    </row>
    <row r="663" spans="1:9" ht="15.75" customHeight="1" x14ac:dyDescent="0.2">
      <c r="A663" s="1">
        <v>40027</v>
      </c>
      <c r="B663" s="1" t="s">
        <v>75</v>
      </c>
      <c r="C663" s="1" t="s">
        <v>1617</v>
      </c>
      <c r="D663" s="1" t="str">
        <f t="shared" si="2"/>
        <v>2</v>
      </c>
      <c r="E663" s="1" t="s">
        <v>1618</v>
      </c>
      <c r="G663" s="1">
        <f t="array" ref="G663">IF(ISNUMBER(MATCH(40027,Camille!$A:$A,0)), IF(OR(INDEX(Camille!$D:$D,MATCH(40027,Camille!$A:$A,0))=1, INDEX(Camille!$D:$D,MATCH(40027,Camille!$A:$A,0))=2), INDEX(Camille!$D:$D,MATCH(40027,Camille!$A:$A,0)), 0), 0)</f>
        <v>2</v>
      </c>
      <c r="H663" s="1">
        <f t="array" ref="H663">IF(ISNUMBER(MATCH(40027,Telmo!$A:$A,0)), IF(OR(INDEX(Telmo!$D:$D,MATCH(40027,Telmo!$A:$A,0))=1, INDEX(Telmo!$D:$D,MATCH(40027,Telmo!$A:$A,0))=2), INDEX(Telmo!$D:$D,MATCH(40027,Telmo!$A:$A,0)), 0), 0)</f>
        <v>0</v>
      </c>
      <c r="I663" s="1">
        <f t="array" ref="I663">IF(ISNUMBER(MATCH(40027,Max!$A:$A,0)), IF(OR(INDEX(Max!$D:$D,MATCH(40027,Max!$A:$A,0))=1, INDEX(Max!$D:$D,MATCH(40027,Max!$A:$A,0))=2), INDEX(Max!$D:$D,MATCH(40027,Max!$A:$A,0)), 0), 0)</f>
        <v>0</v>
      </c>
    </row>
    <row r="664" spans="1:9" ht="15.75" customHeight="1" x14ac:dyDescent="0.2">
      <c r="A664" s="1">
        <v>44482</v>
      </c>
      <c r="B664" s="1" t="s">
        <v>315</v>
      </c>
      <c r="C664" s="1" t="s">
        <v>1619</v>
      </c>
      <c r="D664" s="1" t="str">
        <f t="shared" si="2"/>
        <v>2</v>
      </c>
      <c r="E664" s="1" t="s">
        <v>1620</v>
      </c>
      <c r="G664" s="1">
        <f t="array" ref="G664">IF(ISNUMBER(MATCH(44482,Camille!$A:$A,0)), IF(OR(INDEX(Camille!$D:$D,MATCH(44482,Camille!$A:$A,0))=1, INDEX(Camille!$D:$D,MATCH(44482,Camille!$A:$A,0))=2), INDEX(Camille!$D:$D,MATCH(44482,Camille!$A:$A,0)), 0), 0)</f>
        <v>2</v>
      </c>
      <c r="H664" s="1">
        <f t="array" ref="H664">IF(ISNUMBER(MATCH(44482,Telmo!$A:$A,0)), IF(OR(INDEX(Telmo!$D:$D,MATCH(44482,Telmo!$A:$A,0))=1, INDEX(Telmo!$D:$D,MATCH(44482,Telmo!$A:$A,0))=2), INDEX(Telmo!$D:$D,MATCH(44482,Telmo!$A:$A,0)), 0), 0)</f>
        <v>0</v>
      </c>
      <c r="I664" s="1">
        <f t="array" ref="I664">IF(ISNUMBER(MATCH(44482,Max!$A:$A,0)), IF(OR(INDEX(Max!$D:$D,MATCH(44482,Max!$A:$A,0))=1, INDEX(Max!$D:$D,MATCH(44482,Max!$A:$A,0))=2), INDEX(Max!$D:$D,MATCH(44482,Max!$A:$A,0)), 0), 0)</f>
        <v>0</v>
      </c>
    </row>
    <row r="665" spans="1:9" ht="15.75" customHeight="1" x14ac:dyDescent="0.2">
      <c r="A665" s="1">
        <v>39557</v>
      </c>
      <c r="B665" s="1" t="s">
        <v>1614</v>
      </c>
      <c r="C665" s="1" t="s">
        <v>1621</v>
      </c>
      <c r="D665" s="1" t="str">
        <f t="shared" si="2"/>
        <v>1</v>
      </c>
      <c r="E665" s="1" t="s">
        <v>1622</v>
      </c>
      <c r="G665" s="1">
        <f t="array" ref="G665">IF(ISNUMBER(MATCH(39557,Camille!$A:$A,0)), IF(OR(INDEX(Camille!$D:$D,MATCH(39557,Camille!$A:$A,0))=1, INDEX(Camille!$D:$D,MATCH(39557,Camille!$A:$A,0))=2), INDEX(Camille!$D:$D,MATCH(39557,Camille!$A:$A,0)), 0), 0)</f>
        <v>1</v>
      </c>
      <c r="H665" s="1">
        <f t="array" ref="H665">IF(ISNUMBER(MATCH(39557,Telmo!$A:$A,0)), IF(OR(INDEX(Telmo!$D:$D,MATCH(39557,Telmo!$A:$A,0))=1, INDEX(Telmo!$D:$D,MATCH(39557,Telmo!$A:$A,0))=2), INDEX(Telmo!$D:$D,MATCH(39557,Telmo!$A:$A,0)), 0), 0)</f>
        <v>0</v>
      </c>
      <c r="I665" s="1">
        <f t="array" ref="I665">IF(ISNUMBER(MATCH(39557,Max!$A:$A,0)), IF(OR(INDEX(Max!$D:$D,MATCH(39557,Max!$A:$A,0))=1, INDEX(Max!$D:$D,MATCH(39557,Max!$A:$A,0))=2), INDEX(Max!$D:$D,MATCH(39557,Max!$A:$A,0)), 0), 0)</f>
        <v>0</v>
      </c>
    </row>
    <row r="666" spans="1:9" ht="15.75" customHeight="1" x14ac:dyDescent="0.2">
      <c r="A666" s="1">
        <v>62349</v>
      </c>
      <c r="B666" s="1" t="s">
        <v>1474</v>
      </c>
      <c r="C666" s="1" t="s">
        <v>1623</v>
      </c>
      <c r="D666" s="1" t="str">
        <f t="shared" si="2"/>
        <v>2</v>
      </c>
      <c r="E666" s="1" t="s">
        <v>1624</v>
      </c>
      <c r="G666" s="1">
        <f t="array" ref="G666">IF(ISNUMBER(MATCH(62349,Camille!$A:$A,0)), IF(OR(INDEX(Camille!$D:$D,MATCH(62349,Camille!$A:$A,0))=1, INDEX(Camille!$D:$D,MATCH(62349,Camille!$A:$A,0))=2), INDEX(Camille!$D:$D,MATCH(62349,Camille!$A:$A,0)), 0), 0)</f>
        <v>2</v>
      </c>
      <c r="H666" s="1">
        <f t="array" ref="H666">IF(ISNUMBER(MATCH(62349,Telmo!$A:$A,0)), IF(OR(INDEX(Telmo!$D:$D,MATCH(62349,Telmo!$A:$A,0))=1, INDEX(Telmo!$D:$D,MATCH(62349,Telmo!$A:$A,0))=2), INDEX(Telmo!$D:$D,MATCH(62349,Telmo!$A:$A,0)), 0), 0)</f>
        <v>0</v>
      </c>
      <c r="I666" s="1">
        <f t="array" ref="I666">IF(ISNUMBER(MATCH(62349,Max!$A:$A,0)), IF(OR(INDEX(Max!$D:$D,MATCH(62349,Max!$A:$A,0))=1, INDEX(Max!$D:$D,MATCH(62349,Max!$A:$A,0))=2), INDEX(Max!$D:$D,MATCH(62349,Max!$A:$A,0)), 0), 0)</f>
        <v>0</v>
      </c>
    </row>
    <row r="667" spans="1:9" ht="15.75" customHeight="1" x14ac:dyDescent="0.2">
      <c r="A667" s="1">
        <v>29668</v>
      </c>
      <c r="B667" s="1" t="s">
        <v>265</v>
      </c>
      <c r="C667" s="1" t="s">
        <v>1625</v>
      </c>
      <c r="D667" s="1" t="str">
        <f t="shared" si="2"/>
        <v>1</v>
      </c>
      <c r="E667" s="1" t="s">
        <v>1626</v>
      </c>
      <c r="G667" s="1">
        <f t="array" ref="G667">IF(ISNUMBER(MATCH(29668,Camille!$A:$A,0)), IF(OR(INDEX(Camille!$D:$D,MATCH(29668,Camille!$A:$A,0))=1, INDEX(Camille!$D:$D,MATCH(29668,Camille!$A:$A,0))=2), INDEX(Camille!$D:$D,MATCH(29668,Camille!$A:$A,0)), 0), 0)</f>
        <v>1</v>
      </c>
      <c r="H667" s="1">
        <f t="array" ref="H667">IF(ISNUMBER(MATCH(29668,Telmo!$A:$A,0)), IF(OR(INDEX(Telmo!$D:$D,MATCH(29668,Telmo!$A:$A,0))=1, INDEX(Telmo!$D:$D,MATCH(29668,Telmo!$A:$A,0))=2), INDEX(Telmo!$D:$D,MATCH(29668,Telmo!$A:$A,0)), 0), 0)</f>
        <v>0</v>
      </c>
      <c r="I667" s="1">
        <f t="array" ref="I667">IF(ISNUMBER(MATCH(29668,Max!$A:$A,0)), IF(OR(INDEX(Max!$D:$D,MATCH(29668,Max!$A:$A,0))=1, INDEX(Max!$D:$D,MATCH(29668,Max!$A:$A,0))=2), INDEX(Max!$D:$D,MATCH(29668,Max!$A:$A,0)), 0), 0)</f>
        <v>0</v>
      </c>
    </row>
    <row r="668" spans="1:9" ht="15.75" customHeight="1" x14ac:dyDescent="0.2">
      <c r="A668" s="1">
        <v>8079</v>
      </c>
      <c r="B668" s="1" t="s">
        <v>191</v>
      </c>
      <c r="C668" s="1" t="s">
        <v>1627</v>
      </c>
      <c r="D668" s="1" t="str">
        <f t="shared" si="2"/>
        <v>2</v>
      </c>
      <c r="E668" s="1" t="s">
        <v>1628</v>
      </c>
      <c r="G668" s="1">
        <f t="array" ref="G668">IF(ISNUMBER(MATCH(8079,Camille!$A:$A,0)), IF(OR(INDEX(Camille!$D:$D,MATCH(8079,Camille!$A:$A,0))=1, INDEX(Camille!$D:$D,MATCH(8079,Camille!$A:$A,0))=2), INDEX(Camille!$D:$D,MATCH(8079,Camille!$A:$A,0)), 0), 0)</f>
        <v>2</v>
      </c>
      <c r="H668" s="1">
        <f t="array" ref="H668">IF(ISNUMBER(MATCH(8079,Telmo!$A:$A,0)), IF(OR(INDEX(Telmo!$D:$D,MATCH(8079,Telmo!$A:$A,0))=1, INDEX(Telmo!$D:$D,MATCH(8079,Telmo!$A:$A,0))=2), INDEX(Telmo!$D:$D,MATCH(8079,Telmo!$A:$A,0)), 0), 0)</f>
        <v>0</v>
      </c>
      <c r="I668" s="1">
        <f t="array" ref="I668">IF(ISNUMBER(MATCH(8079,Max!$A:$A,0)), IF(OR(INDEX(Max!$D:$D,MATCH(8079,Max!$A:$A,0))=1, INDEX(Max!$D:$D,MATCH(8079,Max!$A:$A,0))=2), INDEX(Max!$D:$D,MATCH(8079,Max!$A:$A,0)), 0), 0)</f>
        <v>0</v>
      </c>
    </row>
    <row r="669" spans="1:9" ht="15.75" customHeight="1" x14ac:dyDescent="0.2">
      <c r="A669" s="1">
        <v>69</v>
      </c>
      <c r="B669" s="1" t="s">
        <v>23</v>
      </c>
      <c r="C669" s="1" t="s">
        <v>1629</v>
      </c>
      <c r="D669" s="1" t="str">
        <f t="shared" si="2"/>
        <v>2</v>
      </c>
      <c r="E669" s="1" t="s">
        <v>1630</v>
      </c>
      <c r="G669" s="1">
        <f t="array" ref="G669">IF(ISNUMBER(MATCH(69,Camille!$A:$A,0)), IF(OR(INDEX(Camille!$D:$D,MATCH(69,Camille!$A:$A,0))=1, INDEX(Camille!$D:$D,MATCH(69,Camille!$A:$A,0))=2), INDEX(Camille!$D:$D,MATCH(69,Camille!$A:$A,0)), 0), 0)</f>
        <v>2</v>
      </c>
      <c r="H669" s="1">
        <f t="array" ref="H669">IF(ISNUMBER(MATCH(69,Telmo!$A:$A,0)), IF(OR(INDEX(Telmo!$D:$D,MATCH(69,Telmo!$A:$A,0))=1, INDEX(Telmo!$D:$D,MATCH(69,Telmo!$A:$A,0))=2), INDEX(Telmo!$D:$D,MATCH(69,Telmo!$A:$A,0)), 0), 0)</f>
        <v>0</v>
      </c>
      <c r="I669" s="1">
        <f t="array" ref="I669">IF(ISNUMBER(MATCH(69,Max!$A:$A,0)), IF(OR(INDEX(Max!$D:$D,MATCH(69,Max!$A:$A,0))=1, INDEX(Max!$D:$D,MATCH(69,Max!$A:$A,0))=2), INDEX(Max!$D:$D,MATCH(69,Max!$A:$A,0)), 0), 0)</f>
        <v>0</v>
      </c>
    </row>
    <row r="670" spans="1:9" ht="15.75" customHeight="1" x14ac:dyDescent="0.2">
      <c r="A670" s="1">
        <v>1918</v>
      </c>
      <c r="B670" s="1" t="s">
        <v>11</v>
      </c>
      <c r="C670" s="1" t="s">
        <v>1631</v>
      </c>
      <c r="D670" s="1" t="str">
        <f t="shared" si="2"/>
        <v>1</v>
      </c>
      <c r="E670" s="1" t="s">
        <v>1632</v>
      </c>
      <c r="G670" s="1">
        <f t="array" ref="G670">IF(ISNUMBER(MATCH(1918,Camille!$A:$A,0)), IF(OR(INDEX(Camille!$D:$D,MATCH(1918,Camille!$A:$A,0))=1, INDEX(Camille!$D:$D,MATCH(1918,Camille!$A:$A,0))=2), INDEX(Camille!$D:$D,MATCH(1918,Camille!$A:$A,0)), 0), 0)</f>
        <v>1</v>
      </c>
      <c r="H670" s="1">
        <f t="array" ref="H670">IF(ISNUMBER(MATCH(1918,Telmo!$A:$A,0)), IF(OR(INDEX(Telmo!$D:$D,MATCH(1918,Telmo!$A:$A,0))=1, INDEX(Telmo!$D:$D,MATCH(1918,Telmo!$A:$A,0))=2), INDEX(Telmo!$D:$D,MATCH(1918,Telmo!$A:$A,0)), 0), 0)</f>
        <v>0</v>
      </c>
      <c r="I670" s="1">
        <f t="array" ref="I670">IF(ISNUMBER(MATCH(1918,Max!$A:$A,0)), IF(OR(INDEX(Max!$D:$D,MATCH(1918,Max!$A:$A,0))=1, INDEX(Max!$D:$D,MATCH(1918,Max!$A:$A,0))=2), INDEX(Max!$D:$D,MATCH(1918,Max!$A:$A,0)), 0), 0)</f>
        <v>0</v>
      </c>
    </row>
    <row r="671" spans="1:9" ht="15.75" customHeight="1" x14ac:dyDescent="0.2">
      <c r="A671" s="1">
        <v>40190</v>
      </c>
      <c r="B671" s="1" t="s">
        <v>202</v>
      </c>
      <c r="C671" s="1" t="s">
        <v>1633</v>
      </c>
      <c r="D671" s="1" t="str">
        <f t="shared" si="2"/>
        <v>2</v>
      </c>
      <c r="E671" s="1" t="s">
        <v>1634</v>
      </c>
      <c r="G671" s="1">
        <f t="array" ref="G671">IF(ISNUMBER(MATCH(40190,Camille!$A:$A,0)), IF(OR(INDEX(Camille!$D:$D,MATCH(40190,Camille!$A:$A,0))=1, INDEX(Camille!$D:$D,MATCH(40190,Camille!$A:$A,0))=2), INDEX(Camille!$D:$D,MATCH(40190,Camille!$A:$A,0)), 0), 0)</f>
        <v>2</v>
      </c>
      <c r="H671" s="1">
        <f t="array" ref="H671">IF(ISNUMBER(MATCH(40190,Telmo!$A:$A,0)), IF(OR(INDEX(Telmo!$D:$D,MATCH(40190,Telmo!$A:$A,0))=1, INDEX(Telmo!$D:$D,MATCH(40190,Telmo!$A:$A,0))=2), INDEX(Telmo!$D:$D,MATCH(40190,Telmo!$A:$A,0)), 0), 0)</f>
        <v>0</v>
      </c>
      <c r="I671" s="1">
        <f t="array" ref="I671">IF(ISNUMBER(MATCH(40190,Max!$A:$A,0)), IF(OR(INDEX(Max!$D:$D,MATCH(40190,Max!$A:$A,0))=1, INDEX(Max!$D:$D,MATCH(40190,Max!$A:$A,0))=2), INDEX(Max!$D:$D,MATCH(40190,Max!$A:$A,0)), 0), 0)</f>
        <v>0</v>
      </c>
    </row>
    <row r="672" spans="1:9" ht="15.75" customHeight="1" x14ac:dyDescent="0.2">
      <c r="A672" s="1">
        <v>62668</v>
      </c>
      <c r="B672" s="1" t="s">
        <v>1635</v>
      </c>
      <c r="C672" s="1" t="s">
        <v>1636</v>
      </c>
      <c r="D672" s="1" t="str">
        <f t="shared" si="2"/>
        <v>1</v>
      </c>
      <c r="E672" s="1" t="s">
        <v>1637</v>
      </c>
      <c r="G672" s="1">
        <f t="array" ref="G672">IF(ISNUMBER(MATCH(62668,Camille!$A:$A,0)), IF(OR(INDEX(Camille!$D:$D,MATCH(62668,Camille!$A:$A,0))=1, INDEX(Camille!$D:$D,MATCH(62668,Camille!$A:$A,0))=2), INDEX(Camille!$D:$D,MATCH(62668,Camille!$A:$A,0)), 0), 0)</f>
        <v>0</v>
      </c>
      <c r="H672" s="1">
        <f t="array" ref="H672">IF(ISNUMBER(MATCH(62668,Telmo!$A:$A,0)), IF(OR(INDEX(Telmo!$D:$D,MATCH(62668,Telmo!$A:$A,0))=1, INDEX(Telmo!$D:$D,MATCH(62668,Telmo!$A:$A,0))=2), INDEX(Telmo!$D:$D,MATCH(62668,Telmo!$A:$A,0)), 0), 0)</f>
        <v>1</v>
      </c>
      <c r="I672" s="1">
        <f t="array" ref="I672">IF(ISNUMBER(MATCH(62668,Max!$A:$A,0)), IF(OR(INDEX(Max!$D:$D,MATCH(62668,Max!$A:$A,0))=1, INDEX(Max!$D:$D,MATCH(62668,Max!$A:$A,0))=2), INDEX(Max!$D:$D,MATCH(62668,Max!$A:$A,0)), 0), 0)</f>
        <v>0</v>
      </c>
    </row>
    <row r="673" spans="1:9" ht="15.75" customHeight="1" x14ac:dyDescent="0.2">
      <c r="A673" s="1">
        <v>62030</v>
      </c>
      <c r="B673" s="1" t="s">
        <v>1638</v>
      </c>
      <c r="C673" s="1" t="s">
        <v>1639</v>
      </c>
      <c r="D673" s="1" t="str">
        <f t="shared" si="2"/>
        <v>2</v>
      </c>
      <c r="E673" s="1" t="s">
        <v>1640</v>
      </c>
      <c r="G673" s="1">
        <f t="array" ref="G673">IF(ISNUMBER(MATCH(62030,Camille!$A:$A,0)), IF(OR(INDEX(Camille!$D:$D,MATCH(62030,Camille!$A:$A,0))=1, INDEX(Camille!$D:$D,MATCH(62030,Camille!$A:$A,0))=2), INDEX(Camille!$D:$D,MATCH(62030,Camille!$A:$A,0)), 0), 0)</f>
        <v>0</v>
      </c>
      <c r="H673" s="1">
        <f t="array" ref="H673">IF(ISNUMBER(MATCH(62030,Telmo!$A:$A,0)), IF(OR(INDEX(Telmo!$D:$D,MATCH(62030,Telmo!$A:$A,0))=1, INDEX(Telmo!$D:$D,MATCH(62030,Telmo!$A:$A,0))=2), INDEX(Telmo!$D:$D,MATCH(62030,Telmo!$A:$A,0)), 0), 0)</f>
        <v>2</v>
      </c>
      <c r="I673" s="1">
        <f t="array" ref="I673">IF(ISNUMBER(MATCH(62030,Max!$A:$A,0)), IF(OR(INDEX(Max!$D:$D,MATCH(62030,Max!$A:$A,0))=1, INDEX(Max!$D:$D,MATCH(62030,Max!$A:$A,0))=2), INDEX(Max!$D:$D,MATCH(62030,Max!$A:$A,0)), 0), 0)</f>
        <v>0</v>
      </c>
    </row>
    <row r="674" spans="1:9" ht="15.75" customHeight="1" x14ac:dyDescent="0.2">
      <c r="A674" s="1">
        <v>61238</v>
      </c>
      <c r="B674" s="1" t="s">
        <v>1641</v>
      </c>
      <c r="C674" s="1" t="s">
        <v>1642</v>
      </c>
      <c r="D674" s="1" t="str">
        <f t="shared" si="2"/>
        <v>2</v>
      </c>
      <c r="E674" s="1" t="s">
        <v>1643</v>
      </c>
      <c r="G674" s="1">
        <f t="array" ref="G674">IF(ISNUMBER(MATCH(61238,Camille!$A:$A,0)), IF(OR(INDEX(Camille!$D:$D,MATCH(61238,Camille!$A:$A,0))=1, INDEX(Camille!$D:$D,MATCH(61238,Camille!$A:$A,0))=2), INDEX(Camille!$D:$D,MATCH(61238,Camille!$A:$A,0)), 0), 0)</f>
        <v>0</v>
      </c>
      <c r="H674" s="1">
        <f t="array" ref="H674">IF(ISNUMBER(MATCH(61238,Telmo!$A:$A,0)), IF(OR(INDEX(Telmo!$D:$D,MATCH(61238,Telmo!$A:$A,0))=1, INDEX(Telmo!$D:$D,MATCH(61238,Telmo!$A:$A,0))=2), INDEX(Telmo!$D:$D,MATCH(61238,Telmo!$A:$A,0)), 0), 0)</f>
        <v>2</v>
      </c>
      <c r="I674" s="1">
        <f t="array" ref="I674">IF(ISNUMBER(MATCH(61238,Max!$A:$A,0)), IF(OR(INDEX(Max!$D:$D,MATCH(61238,Max!$A:$A,0))=1, INDEX(Max!$D:$D,MATCH(61238,Max!$A:$A,0))=2), INDEX(Max!$D:$D,MATCH(61238,Max!$A:$A,0)), 0), 0)</f>
        <v>0</v>
      </c>
    </row>
    <row r="675" spans="1:9" ht="15.75" customHeight="1" x14ac:dyDescent="0.2">
      <c r="A675" s="1">
        <v>47830</v>
      </c>
      <c r="B675" s="1" t="s">
        <v>11</v>
      </c>
      <c r="C675" s="1" t="s">
        <v>1644</v>
      </c>
      <c r="D675" s="1" t="str">
        <f t="shared" si="2"/>
        <v>1</v>
      </c>
      <c r="E675" s="1" t="s">
        <v>1645</v>
      </c>
      <c r="G675" s="1">
        <f t="array" ref="G675">IF(ISNUMBER(MATCH(47830,Camille!$A:$A,0)), IF(OR(INDEX(Camille!$D:$D,MATCH(47830,Camille!$A:$A,0))=1, INDEX(Camille!$D:$D,MATCH(47830,Camille!$A:$A,0))=2), INDEX(Camille!$D:$D,MATCH(47830,Camille!$A:$A,0)), 0), 0)</f>
        <v>0</v>
      </c>
      <c r="H675" s="1">
        <f t="array" ref="H675">IF(ISNUMBER(MATCH(47830,Telmo!$A:$A,0)), IF(OR(INDEX(Telmo!$D:$D,MATCH(47830,Telmo!$A:$A,0))=1, INDEX(Telmo!$D:$D,MATCH(47830,Telmo!$A:$A,0))=2), INDEX(Telmo!$D:$D,MATCH(47830,Telmo!$A:$A,0)), 0), 0)</f>
        <v>1</v>
      </c>
      <c r="I675" s="1">
        <f t="array" ref="I675">IF(ISNUMBER(MATCH(47830,Max!$A:$A,0)), IF(OR(INDEX(Max!$D:$D,MATCH(47830,Max!$A:$A,0))=1, INDEX(Max!$D:$D,MATCH(47830,Max!$A:$A,0))=2), INDEX(Max!$D:$D,MATCH(47830,Max!$A:$A,0)), 0), 0)</f>
        <v>0</v>
      </c>
    </row>
    <row r="676" spans="1:9" ht="15.75" customHeight="1" x14ac:dyDescent="0.2">
      <c r="A676" s="1">
        <v>6486</v>
      </c>
      <c r="B676" s="1" t="s">
        <v>109</v>
      </c>
      <c r="C676" s="1" t="s">
        <v>1646</v>
      </c>
      <c r="D676" s="1" t="str">
        <f t="shared" si="2"/>
        <v>2</v>
      </c>
      <c r="E676" s="1" t="s">
        <v>1647</v>
      </c>
      <c r="G676" s="1">
        <f t="array" ref="G676">IF(ISNUMBER(MATCH(6486,Camille!$A:$A,0)), IF(OR(INDEX(Camille!$D:$D,MATCH(6486,Camille!$A:$A,0))=1, INDEX(Camille!$D:$D,MATCH(6486,Camille!$A:$A,0))=2), INDEX(Camille!$D:$D,MATCH(6486,Camille!$A:$A,0)), 0), 0)</f>
        <v>0</v>
      </c>
      <c r="H676" s="1">
        <f t="array" ref="H676">IF(ISNUMBER(MATCH(6486,Telmo!$A:$A,0)), IF(OR(INDEX(Telmo!$D:$D,MATCH(6486,Telmo!$A:$A,0))=1, INDEX(Telmo!$D:$D,MATCH(6486,Telmo!$A:$A,0))=2), INDEX(Telmo!$D:$D,MATCH(6486,Telmo!$A:$A,0)), 0), 0)</f>
        <v>2</v>
      </c>
      <c r="I676" s="1">
        <f t="array" ref="I676">IF(ISNUMBER(MATCH(6486,Max!$A:$A,0)), IF(OR(INDEX(Max!$D:$D,MATCH(6486,Max!$A:$A,0))=1, INDEX(Max!$D:$D,MATCH(6486,Max!$A:$A,0))=2), INDEX(Max!$D:$D,MATCH(6486,Max!$A:$A,0)), 0), 0)</f>
        <v>0</v>
      </c>
    </row>
    <row r="677" spans="1:9" ht="15.75" customHeight="1" x14ac:dyDescent="0.2">
      <c r="A677" s="1">
        <v>68634</v>
      </c>
      <c r="B677" s="1" t="s">
        <v>636</v>
      </c>
      <c r="C677" s="1" t="s">
        <v>1648</v>
      </c>
      <c r="D677" s="1" t="str">
        <f t="shared" si="2"/>
        <v>2</v>
      </c>
      <c r="E677" s="1" t="s">
        <v>1649</v>
      </c>
      <c r="G677" s="1">
        <f t="array" ref="G677">IF(ISNUMBER(MATCH(68634,Camille!$A:$A,0)), IF(OR(INDEX(Camille!$D:$D,MATCH(68634,Camille!$A:$A,0))=1, INDEX(Camille!$D:$D,MATCH(68634,Camille!$A:$A,0))=2), INDEX(Camille!$D:$D,MATCH(68634,Camille!$A:$A,0)), 0), 0)</f>
        <v>0</v>
      </c>
      <c r="H677" s="1">
        <f t="array" ref="H677">IF(ISNUMBER(MATCH(68634,Telmo!$A:$A,0)), IF(OR(INDEX(Telmo!$D:$D,MATCH(68634,Telmo!$A:$A,0))=1, INDEX(Telmo!$D:$D,MATCH(68634,Telmo!$A:$A,0))=2), INDEX(Telmo!$D:$D,MATCH(68634,Telmo!$A:$A,0)), 0), 0)</f>
        <v>2</v>
      </c>
      <c r="I677" s="1">
        <f t="array" ref="I677">IF(ISNUMBER(MATCH(68634,Max!$A:$A,0)), IF(OR(INDEX(Max!$D:$D,MATCH(68634,Max!$A:$A,0))=1, INDEX(Max!$D:$D,MATCH(68634,Max!$A:$A,0))=2), INDEX(Max!$D:$D,MATCH(68634,Max!$A:$A,0)), 0), 0)</f>
        <v>0</v>
      </c>
    </row>
    <row r="678" spans="1:9" ht="15.75" customHeight="1" x14ac:dyDescent="0.2">
      <c r="A678" s="1">
        <v>53046</v>
      </c>
      <c r="B678" s="1" t="s">
        <v>457</v>
      </c>
      <c r="C678" s="1" t="s">
        <v>1650</v>
      </c>
      <c r="D678" s="1" t="str">
        <f t="shared" si="2"/>
        <v>2</v>
      </c>
      <c r="E678" s="1" t="s">
        <v>1651</v>
      </c>
      <c r="G678" s="1">
        <f t="array" ref="G678">IF(ISNUMBER(MATCH(53046,Camille!$A:$A,0)), IF(OR(INDEX(Camille!$D:$D,MATCH(53046,Camille!$A:$A,0))=1, INDEX(Camille!$D:$D,MATCH(53046,Camille!$A:$A,0))=2), INDEX(Camille!$D:$D,MATCH(53046,Camille!$A:$A,0)), 0), 0)</f>
        <v>0</v>
      </c>
      <c r="H678" s="1">
        <f t="array" ref="H678">IF(ISNUMBER(MATCH(53046,Telmo!$A:$A,0)), IF(OR(INDEX(Telmo!$D:$D,MATCH(53046,Telmo!$A:$A,0))=1, INDEX(Telmo!$D:$D,MATCH(53046,Telmo!$A:$A,0))=2), INDEX(Telmo!$D:$D,MATCH(53046,Telmo!$A:$A,0)), 0), 0)</f>
        <v>2</v>
      </c>
      <c r="I678" s="1">
        <f t="array" ref="I678">IF(ISNUMBER(MATCH(53046,Max!$A:$A,0)), IF(OR(INDEX(Max!$D:$D,MATCH(53046,Max!$A:$A,0))=1, INDEX(Max!$D:$D,MATCH(53046,Max!$A:$A,0))=2), INDEX(Max!$D:$D,MATCH(53046,Max!$A:$A,0)), 0), 0)</f>
        <v>0</v>
      </c>
    </row>
    <row r="679" spans="1:9" ht="15.75" customHeight="1" x14ac:dyDescent="0.2">
      <c r="A679" s="1">
        <v>34216</v>
      </c>
      <c r="B679" s="1" t="s">
        <v>1652</v>
      </c>
      <c r="C679" s="1" t="s">
        <v>1653</v>
      </c>
      <c r="D679" s="1" t="str">
        <f t="shared" si="2"/>
        <v>1</v>
      </c>
      <c r="E679" s="1" t="s">
        <v>1654</v>
      </c>
      <c r="G679" s="1">
        <f t="array" ref="G679">IF(ISNUMBER(MATCH(34216,Camille!$A:$A,0)), IF(OR(INDEX(Camille!$D:$D,MATCH(34216,Camille!$A:$A,0))=1, INDEX(Camille!$D:$D,MATCH(34216,Camille!$A:$A,0))=2), INDEX(Camille!$D:$D,MATCH(34216,Camille!$A:$A,0)), 0), 0)</f>
        <v>0</v>
      </c>
      <c r="H679" s="1">
        <f t="array" ref="H679">IF(ISNUMBER(MATCH(34216,Telmo!$A:$A,0)), IF(OR(INDEX(Telmo!$D:$D,MATCH(34216,Telmo!$A:$A,0))=1, INDEX(Telmo!$D:$D,MATCH(34216,Telmo!$A:$A,0))=2), INDEX(Telmo!$D:$D,MATCH(34216,Telmo!$A:$A,0)), 0), 0)</f>
        <v>1</v>
      </c>
      <c r="I679" s="1">
        <f t="array" ref="I679">IF(ISNUMBER(MATCH(34216,Max!$A:$A,0)), IF(OR(INDEX(Max!$D:$D,MATCH(34216,Max!$A:$A,0))=1, INDEX(Max!$D:$D,MATCH(34216,Max!$A:$A,0))=2), INDEX(Max!$D:$D,MATCH(34216,Max!$A:$A,0)), 0), 0)</f>
        <v>0</v>
      </c>
    </row>
    <row r="680" spans="1:9" ht="15.75" customHeight="1" x14ac:dyDescent="0.2">
      <c r="A680" s="1">
        <v>36111</v>
      </c>
      <c r="B680" s="1" t="s">
        <v>549</v>
      </c>
      <c r="C680" s="1" t="s">
        <v>1655</v>
      </c>
      <c r="D680" s="1" t="str">
        <f t="shared" si="2"/>
        <v>2</v>
      </c>
      <c r="E680" s="1" t="s">
        <v>1656</v>
      </c>
      <c r="G680" s="1">
        <f t="array" ref="G680">IF(ISNUMBER(MATCH(36111,Camille!$A:$A,0)), IF(OR(INDEX(Camille!$D:$D,MATCH(36111,Camille!$A:$A,0))=1, INDEX(Camille!$D:$D,MATCH(36111,Camille!$A:$A,0))=2), INDEX(Camille!$D:$D,MATCH(36111,Camille!$A:$A,0)), 0), 0)</f>
        <v>0</v>
      </c>
      <c r="H680" s="1">
        <f t="array" ref="H680">IF(ISNUMBER(MATCH(36111,Telmo!$A:$A,0)), IF(OR(INDEX(Telmo!$D:$D,MATCH(36111,Telmo!$A:$A,0))=1, INDEX(Telmo!$D:$D,MATCH(36111,Telmo!$A:$A,0))=2), INDEX(Telmo!$D:$D,MATCH(36111,Telmo!$A:$A,0)), 0), 0)</f>
        <v>2</v>
      </c>
      <c r="I680" s="1">
        <f t="array" ref="I680">IF(ISNUMBER(MATCH(36111,Max!$A:$A,0)), IF(OR(INDEX(Max!$D:$D,MATCH(36111,Max!$A:$A,0))=1, INDEX(Max!$D:$D,MATCH(36111,Max!$A:$A,0))=2), INDEX(Max!$D:$D,MATCH(36111,Max!$A:$A,0)), 0), 0)</f>
        <v>0</v>
      </c>
    </row>
    <row r="681" spans="1:9" ht="15.75" customHeight="1" x14ac:dyDescent="0.2">
      <c r="A681" s="1">
        <v>11530</v>
      </c>
      <c r="B681" s="1" t="s">
        <v>1657</v>
      </c>
      <c r="C681" s="1" t="s">
        <v>1658</v>
      </c>
      <c r="D681" s="1" t="str">
        <f t="shared" si="2"/>
        <v>1</v>
      </c>
      <c r="E681" s="1" t="s">
        <v>1659</v>
      </c>
      <c r="G681" s="1">
        <f t="array" ref="G681">IF(ISNUMBER(MATCH(11530,Camille!$A:$A,0)), IF(OR(INDEX(Camille!$D:$D,MATCH(11530,Camille!$A:$A,0))=1, INDEX(Camille!$D:$D,MATCH(11530,Camille!$A:$A,0))=2), INDEX(Camille!$D:$D,MATCH(11530,Camille!$A:$A,0)), 0), 0)</f>
        <v>0</v>
      </c>
      <c r="H681" s="1">
        <f t="array" ref="H681">IF(ISNUMBER(MATCH(11530,Telmo!$A:$A,0)), IF(OR(INDEX(Telmo!$D:$D,MATCH(11530,Telmo!$A:$A,0))=1, INDEX(Telmo!$D:$D,MATCH(11530,Telmo!$A:$A,0))=2), INDEX(Telmo!$D:$D,MATCH(11530,Telmo!$A:$A,0)), 0), 0)</f>
        <v>1</v>
      </c>
      <c r="I681" s="1">
        <f t="array" ref="I681">IF(ISNUMBER(MATCH(11530,Max!$A:$A,0)), IF(OR(INDEX(Max!$D:$D,MATCH(11530,Max!$A:$A,0))=1, INDEX(Max!$D:$D,MATCH(11530,Max!$A:$A,0))=2), INDEX(Max!$D:$D,MATCH(11530,Max!$A:$A,0)), 0), 0)</f>
        <v>0</v>
      </c>
    </row>
    <row r="682" spans="1:9" ht="15.75" customHeight="1" x14ac:dyDescent="0.2">
      <c r="A682" s="1">
        <v>61941</v>
      </c>
      <c r="B682" s="1" t="s">
        <v>276</v>
      </c>
      <c r="C682" s="1" t="s">
        <v>1660</v>
      </c>
      <c r="D682" s="1" t="str">
        <f t="shared" si="2"/>
        <v>1</v>
      </c>
      <c r="E682" s="1" t="s">
        <v>1661</v>
      </c>
      <c r="G682" s="1">
        <f t="array" ref="G682">IF(ISNUMBER(MATCH(61941,Camille!$A:$A,0)), IF(OR(INDEX(Camille!$D:$D,MATCH(61941,Camille!$A:$A,0))=1, INDEX(Camille!$D:$D,MATCH(61941,Camille!$A:$A,0))=2), INDEX(Camille!$D:$D,MATCH(61941,Camille!$A:$A,0)), 0), 0)</f>
        <v>0</v>
      </c>
      <c r="H682" s="1">
        <f t="array" ref="H682">IF(ISNUMBER(MATCH(61941,Telmo!$A:$A,0)), IF(OR(INDEX(Telmo!$D:$D,MATCH(61941,Telmo!$A:$A,0))=1, INDEX(Telmo!$D:$D,MATCH(61941,Telmo!$A:$A,0))=2), INDEX(Telmo!$D:$D,MATCH(61941,Telmo!$A:$A,0)), 0), 0)</f>
        <v>1</v>
      </c>
      <c r="I682" s="1">
        <f t="array" ref="I682">IF(ISNUMBER(MATCH(61941,Max!$A:$A,0)), IF(OR(INDEX(Max!$D:$D,MATCH(61941,Max!$A:$A,0))=1, INDEX(Max!$D:$D,MATCH(61941,Max!$A:$A,0))=2), INDEX(Max!$D:$D,MATCH(61941,Max!$A:$A,0)), 0), 0)</f>
        <v>0</v>
      </c>
    </row>
    <row r="683" spans="1:9" ht="15.75" customHeight="1" x14ac:dyDescent="0.2">
      <c r="A683" s="1">
        <v>48493</v>
      </c>
      <c r="B683" s="1" t="s">
        <v>167</v>
      </c>
      <c r="C683" s="1" t="s">
        <v>1662</v>
      </c>
      <c r="D683" s="1" t="str">
        <f t="shared" si="2"/>
        <v>1</v>
      </c>
      <c r="E683" s="1" t="s">
        <v>1663</v>
      </c>
      <c r="G683" s="1">
        <f t="array" ref="G683">IF(ISNUMBER(MATCH(48493,Camille!$A:$A,0)), IF(OR(INDEX(Camille!$D:$D,MATCH(48493,Camille!$A:$A,0))=1, INDEX(Camille!$D:$D,MATCH(48493,Camille!$A:$A,0))=2), INDEX(Camille!$D:$D,MATCH(48493,Camille!$A:$A,0)), 0), 0)</f>
        <v>0</v>
      </c>
      <c r="H683" s="1">
        <f t="array" ref="H683">IF(ISNUMBER(MATCH(48493,Telmo!$A:$A,0)), IF(OR(INDEX(Telmo!$D:$D,MATCH(48493,Telmo!$A:$A,0))=1, INDEX(Telmo!$D:$D,MATCH(48493,Telmo!$A:$A,0))=2), INDEX(Telmo!$D:$D,MATCH(48493,Telmo!$A:$A,0)), 0), 0)</f>
        <v>1</v>
      </c>
      <c r="I683" s="1">
        <f t="array" ref="I683">IF(ISNUMBER(MATCH(48493,Max!$A:$A,0)), IF(OR(INDEX(Max!$D:$D,MATCH(48493,Max!$A:$A,0))=1, INDEX(Max!$D:$D,MATCH(48493,Max!$A:$A,0))=2), INDEX(Max!$D:$D,MATCH(48493,Max!$A:$A,0)), 0), 0)</f>
        <v>0</v>
      </c>
    </row>
    <row r="684" spans="1:9" ht="15.75" customHeight="1" x14ac:dyDescent="0.2">
      <c r="A684" s="1">
        <v>41342</v>
      </c>
      <c r="B684" s="1" t="s">
        <v>1664</v>
      </c>
      <c r="C684" s="1" t="s">
        <v>1665</v>
      </c>
      <c r="D684" s="1" t="str">
        <f t="shared" si="2"/>
        <v>2</v>
      </c>
      <c r="E684" s="1" t="s">
        <v>1666</v>
      </c>
      <c r="G684" s="1">
        <f t="array" ref="G684">IF(ISNUMBER(MATCH(41342,Camille!$A:$A,0)), IF(OR(INDEX(Camille!$D:$D,MATCH(41342,Camille!$A:$A,0))=1, INDEX(Camille!$D:$D,MATCH(41342,Camille!$A:$A,0))=2), INDEX(Camille!$D:$D,MATCH(41342,Camille!$A:$A,0)), 0), 0)</f>
        <v>0</v>
      </c>
      <c r="H684" s="1">
        <f t="array" ref="H684">IF(ISNUMBER(MATCH(41342,Telmo!$A:$A,0)), IF(OR(INDEX(Telmo!$D:$D,MATCH(41342,Telmo!$A:$A,0))=1, INDEX(Telmo!$D:$D,MATCH(41342,Telmo!$A:$A,0))=2), INDEX(Telmo!$D:$D,MATCH(41342,Telmo!$A:$A,0)), 0), 0)</f>
        <v>2</v>
      </c>
      <c r="I684" s="1">
        <f t="array" ref="I684">IF(ISNUMBER(MATCH(41342,Max!$A:$A,0)), IF(OR(INDEX(Max!$D:$D,MATCH(41342,Max!$A:$A,0))=1, INDEX(Max!$D:$D,MATCH(41342,Max!$A:$A,0))=2), INDEX(Max!$D:$D,MATCH(41342,Max!$A:$A,0)), 0), 0)</f>
        <v>0</v>
      </c>
    </row>
    <row r="685" spans="1:9" ht="15.75" customHeight="1" x14ac:dyDescent="0.2">
      <c r="A685" s="1">
        <v>39479</v>
      </c>
      <c r="B685" s="1" t="s">
        <v>728</v>
      </c>
      <c r="C685" s="1" t="s">
        <v>1667</v>
      </c>
      <c r="D685" s="1" t="str">
        <f t="shared" si="2"/>
        <v>2</v>
      </c>
      <c r="E685" s="1" t="s">
        <v>1668</v>
      </c>
      <c r="G685" s="1">
        <f t="array" ref="G685">IF(ISNUMBER(MATCH(39479,Camille!$A:$A,0)), IF(OR(INDEX(Camille!$D:$D,MATCH(39479,Camille!$A:$A,0))=1, INDEX(Camille!$D:$D,MATCH(39479,Camille!$A:$A,0))=2), INDEX(Camille!$D:$D,MATCH(39479,Camille!$A:$A,0)), 0), 0)</f>
        <v>0</v>
      </c>
      <c r="H685" s="1">
        <f t="array" ref="H685">IF(ISNUMBER(MATCH(39479,Telmo!$A:$A,0)), IF(OR(INDEX(Telmo!$D:$D,MATCH(39479,Telmo!$A:$A,0))=1, INDEX(Telmo!$D:$D,MATCH(39479,Telmo!$A:$A,0))=2), INDEX(Telmo!$D:$D,MATCH(39479,Telmo!$A:$A,0)), 0), 0)</f>
        <v>2</v>
      </c>
      <c r="I685" s="1">
        <f t="array" ref="I685">IF(ISNUMBER(MATCH(39479,Max!$A:$A,0)), IF(OR(INDEX(Max!$D:$D,MATCH(39479,Max!$A:$A,0))=1, INDEX(Max!$D:$D,MATCH(39479,Max!$A:$A,0))=2), INDEX(Max!$D:$D,MATCH(39479,Max!$A:$A,0)), 0), 0)</f>
        <v>0</v>
      </c>
    </row>
    <row r="686" spans="1:9" ht="15.75" customHeight="1" x14ac:dyDescent="0.2">
      <c r="A686" s="1">
        <v>41542</v>
      </c>
      <c r="B686" s="1" t="s">
        <v>1669</v>
      </c>
      <c r="C686" s="1" t="s">
        <v>1670</v>
      </c>
      <c r="D686" s="1" t="str">
        <f t="shared" si="2"/>
        <v>2</v>
      </c>
      <c r="E686" s="1" t="s">
        <v>1671</v>
      </c>
      <c r="G686" s="1">
        <f t="array" ref="G686">IF(ISNUMBER(MATCH(41542,Camille!$A:$A,0)), IF(OR(INDEX(Camille!$D:$D,MATCH(41542,Camille!$A:$A,0))=1, INDEX(Camille!$D:$D,MATCH(41542,Camille!$A:$A,0))=2), INDEX(Camille!$D:$D,MATCH(41542,Camille!$A:$A,0)), 0), 0)</f>
        <v>0</v>
      </c>
      <c r="H686" s="1">
        <f t="array" ref="H686">IF(ISNUMBER(MATCH(41542,Telmo!$A:$A,0)), IF(OR(INDEX(Telmo!$D:$D,MATCH(41542,Telmo!$A:$A,0))=1, INDEX(Telmo!$D:$D,MATCH(41542,Telmo!$A:$A,0))=2), INDEX(Telmo!$D:$D,MATCH(41542,Telmo!$A:$A,0)), 0), 0)</f>
        <v>2</v>
      </c>
      <c r="I686" s="1">
        <f t="array" ref="I686">IF(ISNUMBER(MATCH(41542,Max!$A:$A,0)), IF(OR(INDEX(Max!$D:$D,MATCH(41542,Max!$A:$A,0))=1, INDEX(Max!$D:$D,MATCH(41542,Max!$A:$A,0))=2), INDEX(Max!$D:$D,MATCH(41542,Max!$A:$A,0)), 0), 0)</f>
        <v>0</v>
      </c>
    </row>
    <row r="687" spans="1:9" ht="15.75" customHeight="1" x14ac:dyDescent="0.2">
      <c r="A687" s="1">
        <v>20295</v>
      </c>
      <c r="B687" s="1" t="s">
        <v>1672</v>
      </c>
      <c r="C687" s="1" t="s">
        <v>1673</v>
      </c>
      <c r="D687" s="1" t="str">
        <f t="shared" si="2"/>
        <v>2</v>
      </c>
      <c r="E687" s="1" t="s">
        <v>1674</v>
      </c>
      <c r="G687" s="1">
        <f t="array" ref="G687">IF(ISNUMBER(MATCH(20295,Camille!$A:$A,0)), IF(OR(INDEX(Camille!$D:$D,MATCH(20295,Camille!$A:$A,0))=1, INDEX(Camille!$D:$D,MATCH(20295,Camille!$A:$A,0))=2), INDEX(Camille!$D:$D,MATCH(20295,Camille!$A:$A,0)), 0), 0)</f>
        <v>0</v>
      </c>
      <c r="H687" s="1">
        <f t="array" ref="H687">IF(ISNUMBER(MATCH(20295,Telmo!$A:$A,0)), IF(OR(INDEX(Telmo!$D:$D,MATCH(20295,Telmo!$A:$A,0))=1, INDEX(Telmo!$D:$D,MATCH(20295,Telmo!$A:$A,0))=2), INDEX(Telmo!$D:$D,MATCH(20295,Telmo!$A:$A,0)), 0), 0)</f>
        <v>2</v>
      </c>
      <c r="I687" s="1">
        <f t="array" ref="I687">IF(ISNUMBER(MATCH(20295,Max!$A:$A,0)), IF(OR(INDEX(Max!$D:$D,MATCH(20295,Max!$A:$A,0))=1, INDEX(Max!$D:$D,MATCH(20295,Max!$A:$A,0))=2), INDEX(Max!$D:$D,MATCH(20295,Max!$A:$A,0)), 0), 0)</f>
        <v>0</v>
      </c>
    </row>
    <row r="688" spans="1:9" ht="15.75" customHeight="1" x14ac:dyDescent="0.2">
      <c r="A688" s="1">
        <v>37426</v>
      </c>
      <c r="B688" s="1" t="s">
        <v>1004</v>
      </c>
      <c r="C688" s="1" t="s">
        <v>1675</v>
      </c>
      <c r="D688" s="1" t="str">
        <f t="shared" si="2"/>
        <v>2</v>
      </c>
      <c r="E688" s="1" t="s">
        <v>1676</v>
      </c>
      <c r="G688" s="1">
        <f t="array" ref="G688">IF(ISNUMBER(MATCH(37426,Camille!$A:$A,0)), IF(OR(INDEX(Camille!$D:$D,MATCH(37426,Camille!$A:$A,0))=1, INDEX(Camille!$D:$D,MATCH(37426,Camille!$A:$A,0))=2), INDEX(Camille!$D:$D,MATCH(37426,Camille!$A:$A,0)), 0), 0)</f>
        <v>0</v>
      </c>
      <c r="H688" s="1">
        <f t="array" ref="H688">IF(ISNUMBER(MATCH(37426,Telmo!$A:$A,0)), IF(OR(INDEX(Telmo!$D:$D,MATCH(37426,Telmo!$A:$A,0))=1, INDEX(Telmo!$D:$D,MATCH(37426,Telmo!$A:$A,0))=2), INDEX(Telmo!$D:$D,MATCH(37426,Telmo!$A:$A,0)), 0), 0)</f>
        <v>2</v>
      </c>
      <c r="I688" s="1">
        <f t="array" ref="I688">IF(ISNUMBER(MATCH(37426,Max!$A:$A,0)), IF(OR(INDEX(Max!$D:$D,MATCH(37426,Max!$A:$A,0))=1, INDEX(Max!$D:$D,MATCH(37426,Max!$A:$A,0))=2), INDEX(Max!$D:$D,MATCH(37426,Max!$A:$A,0)), 0), 0)</f>
        <v>0</v>
      </c>
    </row>
    <row r="689" spans="1:9" ht="15.75" customHeight="1" x14ac:dyDescent="0.2">
      <c r="A689" s="1">
        <v>49481</v>
      </c>
      <c r="B689" s="1" t="s">
        <v>405</v>
      </c>
      <c r="C689" s="1" t="s">
        <v>1677</v>
      </c>
      <c r="D689" s="1" t="str">
        <f t="shared" si="2"/>
        <v>2</v>
      </c>
      <c r="E689" s="1" t="s">
        <v>1678</v>
      </c>
      <c r="G689" s="1">
        <f t="array" ref="G689">IF(ISNUMBER(MATCH(49481,Camille!$A:$A,0)), IF(OR(INDEX(Camille!$D:$D,MATCH(49481,Camille!$A:$A,0))=1, INDEX(Camille!$D:$D,MATCH(49481,Camille!$A:$A,0))=2), INDEX(Camille!$D:$D,MATCH(49481,Camille!$A:$A,0)), 0), 0)</f>
        <v>0</v>
      </c>
      <c r="H689" s="1">
        <f t="array" ref="H689">IF(ISNUMBER(MATCH(49481,Telmo!$A:$A,0)), IF(OR(INDEX(Telmo!$D:$D,MATCH(49481,Telmo!$A:$A,0))=1, INDEX(Telmo!$D:$D,MATCH(49481,Telmo!$A:$A,0))=2), INDEX(Telmo!$D:$D,MATCH(49481,Telmo!$A:$A,0)), 0), 0)</f>
        <v>2</v>
      </c>
      <c r="I689" s="1">
        <f t="array" ref="I689">IF(ISNUMBER(MATCH(49481,Max!$A:$A,0)), IF(OR(INDEX(Max!$D:$D,MATCH(49481,Max!$A:$A,0))=1, INDEX(Max!$D:$D,MATCH(49481,Max!$A:$A,0))=2), INDEX(Max!$D:$D,MATCH(49481,Max!$A:$A,0)), 0), 0)</f>
        <v>0</v>
      </c>
    </row>
    <row r="690" spans="1:9" ht="15.75" customHeight="1" x14ac:dyDescent="0.2">
      <c r="A690" s="1">
        <v>70452</v>
      </c>
      <c r="B690" s="1" t="s">
        <v>1679</v>
      </c>
      <c r="C690" s="1" t="s">
        <v>1680</v>
      </c>
      <c r="D690" s="1" t="str">
        <f t="shared" si="2"/>
        <v>1</v>
      </c>
      <c r="E690" s="1" t="s">
        <v>1681</v>
      </c>
      <c r="G690" s="1">
        <f t="array" ref="G690">IF(ISNUMBER(MATCH(70452,Camille!$A:$A,0)), IF(OR(INDEX(Camille!$D:$D,MATCH(70452,Camille!$A:$A,0))=1, INDEX(Camille!$D:$D,MATCH(70452,Camille!$A:$A,0))=2), INDEX(Camille!$D:$D,MATCH(70452,Camille!$A:$A,0)), 0), 0)</f>
        <v>0</v>
      </c>
      <c r="H690" s="1">
        <f t="array" ref="H690">IF(ISNUMBER(MATCH(70452,Telmo!$A:$A,0)), IF(OR(INDEX(Telmo!$D:$D,MATCH(70452,Telmo!$A:$A,0))=1, INDEX(Telmo!$D:$D,MATCH(70452,Telmo!$A:$A,0))=2), INDEX(Telmo!$D:$D,MATCH(70452,Telmo!$A:$A,0)), 0), 0)</f>
        <v>1</v>
      </c>
      <c r="I690" s="1">
        <f t="array" ref="I690">IF(ISNUMBER(MATCH(70452,Max!$A:$A,0)), IF(OR(INDEX(Max!$D:$D,MATCH(70452,Max!$A:$A,0))=1, INDEX(Max!$D:$D,MATCH(70452,Max!$A:$A,0))=2), INDEX(Max!$D:$D,MATCH(70452,Max!$A:$A,0)), 0), 0)</f>
        <v>0</v>
      </c>
    </row>
    <row r="691" spans="1:9" ht="15.75" customHeight="1" x14ac:dyDescent="0.2">
      <c r="A691" s="1">
        <v>23701</v>
      </c>
      <c r="B691" s="1" t="s">
        <v>1455</v>
      </c>
      <c r="C691" s="1" t="s">
        <v>1682</v>
      </c>
      <c r="D691" s="1" t="str">
        <f t="shared" si="2"/>
        <v>2</v>
      </c>
      <c r="E691" s="1" t="s">
        <v>1683</v>
      </c>
      <c r="G691" s="1">
        <f t="array" ref="G691">IF(ISNUMBER(MATCH(23701,Camille!$A:$A,0)), IF(OR(INDEX(Camille!$D:$D,MATCH(23701,Camille!$A:$A,0))=1, INDEX(Camille!$D:$D,MATCH(23701,Camille!$A:$A,0))=2), INDEX(Camille!$D:$D,MATCH(23701,Camille!$A:$A,0)), 0), 0)</f>
        <v>0</v>
      </c>
      <c r="H691" s="1">
        <f t="array" ref="H691">IF(ISNUMBER(MATCH(23701,Telmo!$A:$A,0)), IF(OR(INDEX(Telmo!$D:$D,MATCH(23701,Telmo!$A:$A,0))=1, INDEX(Telmo!$D:$D,MATCH(23701,Telmo!$A:$A,0))=2), INDEX(Telmo!$D:$D,MATCH(23701,Telmo!$A:$A,0)), 0), 0)</f>
        <v>2</v>
      </c>
      <c r="I691" s="1">
        <f t="array" ref="I691">IF(ISNUMBER(MATCH(23701,Max!$A:$A,0)), IF(OR(INDEX(Max!$D:$D,MATCH(23701,Max!$A:$A,0))=1, INDEX(Max!$D:$D,MATCH(23701,Max!$A:$A,0))=2), INDEX(Max!$D:$D,MATCH(23701,Max!$A:$A,0)), 0), 0)</f>
        <v>0</v>
      </c>
    </row>
    <row r="692" spans="1:9" ht="15.75" customHeight="1" x14ac:dyDescent="0.2">
      <c r="A692" s="1">
        <v>30771</v>
      </c>
      <c r="B692" s="1" t="s">
        <v>524</v>
      </c>
      <c r="C692" s="1" t="s">
        <v>1684</v>
      </c>
      <c r="D692" s="1" t="str">
        <f t="shared" si="2"/>
        <v>2</v>
      </c>
      <c r="E692" s="1" t="s">
        <v>1685</v>
      </c>
      <c r="G692" s="1">
        <f t="array" ref="G692">IF(ISNUMBER(MATCH(30771,Camille!$A:$A,0)), IF(OR(INDEX(Camille!$D:$D,MATCH(30771,Camille!$A:$A,0))=1, INDEX(Camille!$D:$D,MATCH(30771,Camille!$A:$A,0))=2), INDEX(Camille!$D:$D,MATCH(30771,Camille!$A:$A,0)), 0), 0)</f>
        <v>0</v>
      </c>
      <c r="H692" s="1">
        <f t="array" ref="H692">IF(ISNUMBER(MATCH(30771,Telmo!$A:$A,0)), IF(OR(INDEX(Telmo!$D:$D,MATCH(30771,Telmo!$A:$A,0))=1, INDEX(Telmo!$D:$D,MATCH(30771,Telmo!$A:$A,0))=2), INDEX(Telmo!$D:$D,MATCH(30771,Telmo!$A:$A,0)), 0), 0)</f>
        <v>2</v>
      </c>
      <c r="I692" s="1">
        <f t="array" ref="I692">IF(ISNUMBER(MATCH(30771,Max!$A:$A,0)), IF(OR(INDEX(Max!$D:$D,MATCH(30771,Max!$A:$A,0))=1, INDEX(Max!$D:$D,MATCH(30771,Max!$A:$A,0))=2), INDEX(Max!$D:$D,MATCH(30771,Max!$A:$A,0)), 0), 0)</f>
        <v>0</v>
      </c>
    </row>
    <row r="693" spans="1:9" ht="15.75" customHeight="1" x14ac:dyDescent="0.2">
      <c r="A693" s="1">
        <v>26537</v>
      </c>
      <c r="B693" s="1" t="s">
        <v>1686</v>
      </c>
      <c r="C693" s="1" t="s">
        <v>1687</v>
      </c>
      <c r="D693" s="1" t="str">
        <f t="shared" si="2"/>
        <v>1</v>
      </c>
      <c r="E693" s="1" t="s">
        <v>1688</v>
      </c>
      <c r="G693" s="1">
        <f t="array" ref="G693">IF(ISNUMBER(MATCH(26537,Camille!$A:$A,0)), IF(OR(INDEX(Camille!$D:$D,MATCH(26537,Camille!$A:$A,0))=1, INDEX(Camille!$D:$D,MATCH(26537,Camille!$A:$A,0))=2), INDEX(Camille!$D:$D,MATCH(26537,Camille!$A:$A,0)), 0), 0)</f>
        <v>0</v>
      </c>
      <c r="H693" s="1">
        <f t="array" ref="H693">IF(ISNUMBER(MATCH(26537,Telmo!$A:$A,0)), IF(OR(INDEX(Telmo!$D:$D,MATCH(26537,Telmo!$A:$A,0))=1, INDEX(Telmo!$D:$D,MATCH(26537,Telmo!$A:$A,0))=2), INDEX(Telmo!$D:$D,MATCH(26537,Telmo!$A:$A,0)), 0), 0)</f>
        <v>1</v>
      </c>
      <c r="I693" s="1">
        <f t="array" ref="I693">IF(ISNUMBER(MATCH(26537,Max!$A:$A,0)), IF(OR(INDEX(Max!$D:$D,MATCH(26537,Max!$A:$A,0))=1, INDEX(Max!$D:$D,MATCH(26537,Max!$A:$A,0))=2), INDEX(Max!$D:$D,MATCH(26537,Max!$A:$A,0)), 0), 0)</f>
        <v>0</v>
      </c>
    </row>
    <row r="694" spans="1:9" ht="15.75" customHeight="1" x14ac:dyDescent="0.2">
      <c r="A694" s="1">
        <v>64448</v>
      </c>
      <c r="B694" s="1" t="s">
        <v>1307</v>
      </c>
      <c r="C694" s="1" t="s">
        <v>1689</v>
      </c>
      <c r="D694" s="1" t="str">
        <f t="shared" si="2"/>
        <v>2</v>
      </c>
      <c r="E694" s="1" t="s">
        <v>1690</v>
      </c>
      <c r="G694" s="1">
        <f t="array" ref="G694">IF(ISNUMBER(MATCH(64448,Camille!$A:$A,0)), IF(OR(INDEX(Camille!$D:$D,MATCH(64448,Camille!$A:$A,0))=1, INDEX(Camille!$D:$D,MATCH(64448,Camille!$A:$A,0))=2), INDEX(Camille!$D:$D,MATCH(64448,Camille!$A:$A,0)), 0), 0)</f>
        <v>0</v>
      </c>
      <c r="H694" s="1">
        <f t="array" ref="H694">IF(ISNUMBER(MATCH(64448,Telmo!$A:$A,0)), IF(OR(INDEX(Telmo!$D:$D,MATCH(64448,Telmo!$A:$A,0))=1, INDEX(Telmo!$D:$D,MATCH(64448,Telmo!$A:$A,0))=2), INDEX(Telmo!$D:$D,MATCH(64448,Telmo!$A:$A,0)), 0), 0)</f>
        <v>2</v>
      </c>
      <c r="I694" s="1">
        <f t="array" ref="I694">IF(ISNUMBER(MATCH(64448,Max!$A:$A,0)), IF(OR(INDEX(Max!$D:$D,MATCH(64448,Max!$A:$A,0))=1, INDEX(Max!$D:$D,MATCH(64448,Max!$A:$A,0))=2), INDEX(Max!$D:$D,MATCH(64448,Max!$A:$A,0)), 0), 0)</f>
        <v>0</v>
      </c>
    </row>
    <row r="695" spans="1:9" ht="15.75" customHeight="1" x14ac:dyDescent="0.2">
      <c r="A695" s="1">
        <v>237</v>
      </c>
      <c r="B695" s="1" t="s">
        <v>1691</v>
      </c>
      <c r="C695" s="1" t="s">
        <v>1692</v>
      </c>
      <c r="D695" s="1" t="str">
        <f t="shared" si="2"/>
        <v>2</v>
      </c>
      <c r="E695" s="1" t="s">
        <v>1693</v>
      </c>
      <c r="G695" s="1">
        <f t="array" ref="G695">IF(ISNUMBER(MATCH(237,Camille!$A:$A,0)), IF(OR(INDEX(Camille!$D:$D,MATCH(237,Camille!$A:$A,0))=1, INDEX(Camille!$D:$D,MATCH(237,Camille!$A:$A,0))=2), INDEX(Camille!$D:$D,MATCH(237,Camille!$A:$A,0)), 0), 0)</f>
        <v>0</v>
      </c>
      <c r="H695" s="1">
        <f t="array" ref="H695">IF(ISNUMBER(MATCH(237,Telmo!$A:$A,0)), IF(OR(INDEX(Telmo!$D:$D,MATCH(237,Telmo!$A:$A,0))=1, INDEX(Telmo!$D:$D,MATCH(237,Telmo!$A:$A,0))=2), INDEX(Telmo!$D:$D,MATCH(237,Telmo!$A:$A,0)), 0), 0)</f>
        <v>2</v>
      </c>
      <c r="I695" s="1">
        <f t="array" ref="I695">IF(ISNUMBER(MATCH(237,Max!$A:$A,0)), IF(OR(INDEX(Max!$D:$D,MATCH(237,Max!$A:$A,0))=1, INDEX(Max!$D:$D,MATCH(237,Max!$A:$A,0))=2), INDEX(Max!$D:$D,MATCH(237,Max!$A:$A,0)), 0), 0)</f>
        <v>0</v>
      </c>
    </row>
    <row r="696" spans="1:9" ht="15.75" customHeight="1" x14ac:dyDescent="0.2">
      <c r="A696" s="1">
        <v>8257</v>
      </c>
      <c r="B696" s="1" t="s">
        <v>254</v>
      </c>
      <c r="C696" s="1" t="s">
        <v>1694</v>
      </c>
      <c r="D696" s="1" t="str">
        <f t="shared" si="2"/>
        <v>2</v>
      </c>
      <c r="E696" s="1" t="s">
        <v>1695</v>
      </c>
      <c r="G696" s="1">
        <f t="array" ref="G696">IF(ISNUMBER(MATCH(8257,Camille!$A:$A,0)), IF(OR(INDEX(Camille!$D:$D,MATCH(8257,Camille!$A:$A,0))=1, INDEX(Camille!$D:$D,MATCH(8257,Camille!$A:$A,0))=2), INDEX(Camille!$D:$D,MATCH(8257,Camille!$A:$A,0)), 0), 0)</f>
        <v>0</v>
      </c>
      <c r="H696" s="1">
        <f t="array" ref="H696">IF(ISNUMBER(MATCH(8257,Telmo!$A:$A,0)), IF(OR(INDEX(Telmo!$D:$D,MATCH(8257,Telmo!$A:$A,0))=1, INDEX(Telmo!$D:$D,MATCH(8257,Telmo!$A:$A,0))=2), INDEX(Telmo!$D:$D,MATCH(8257,Telmo!$A:$A,0)), 0), 0)</f>
        <v>2</v>
      </c>
      <c r="I696" s="1">
        <f t="array" ref="I696">IF(ISNUMBER(MATCH(8257,Max!$A:$A,0)), IF(OR(INDEX(Max!$D:$D,MATCH(8257,Max!$A:$A,0))=1, INDEX(Max!$D:$D,MATCH(8257,Max!$A:$A,0))=2), INDEX(Max!$D:$D,MATCH(8257,Max!$A:$A,0)), 0), 0)</f>
        <v>0</v>
      </c>
    </row>
    <row r="697" spans="1:9" ht="15.75" customHeight="1" x14ac:dyDescent="0.2">
      <c r="A697" s="1">
        <v>1705</v>
      </c>
      <c r="B697" s="1" t="s">
        <v>345</v>
      </c>
      <c r="C697" s="1" t="s">
        <v>1696</v>
      </c>
      <c r="D697" s="1" t="str">
        <f t="shared" si="2"/>
        <v>1</v>
      </c>
      <c r="E697" s="1" t="s">
        <v>1697</v>
      </c>
      <c r="G697" s="1">
        <f t="array" ref="G697">IF(ISNUMBER(MATCH(1705,Camille!$A:$A,0)), IF(OR(INDEX(Camille!$D:$D,MATCH(1705,Camille!$A:$A,0))=1, INDEX(Camille!$D:$D,MATCH(1705,Camille!$A:$A,0))=2), INDEX(Camille!$D:$D,MATCH(1705,Camille!$A:$A,0)), 0), 0)</f>
        <v>0</v>
      </c>
      <c r="H697" s="1">
        <f t="array" ref="H697">IF(ISNUMBER(MATCH(1705,Telmo!$A:$A,0)), IF(OR(INDEX(Telmo!$D:$D,MATCH(1705,Telmo!$A:$A,0))=1, INDEX(Telmo!$D:$D,MATCH(1705,Telmo!$A:$A,0))=2), INDEX(Telmo!$D:$D,MATCH(1705,Telmo!$A:$A,0)), 0), 0)</f>
        <v>1</v>
      </c>
      <c r="I697" s="1">
        <f t="array" ref="I697">IF(ISNUMBER(MATCH(1705,Max!$A:$A,0)), IF(OR(INDEX(Max!$D:$D,MATCH(1705,Max!$A:$A,0))=1, INDEX(Max!$D:$D,MATCH(1705,Max!$A:$A,0))=2), INDEX(Max!$D:$D,MATCH(1705,Max!$A:$A,0)), 0), 0)</f>
        <v>0</v>
      </c>
    </row>
    <row r="698" spans="1:9" ht="15.75" customHeight="1" x14ac:dyDescent="0.2">
      <c r="A698" s="1">
        <v>9958</v>
      </c>
      <c r="B698" s="1" t="s">
        <v>1698</v>
      </c>
      <c r="C698" s="1" t="s">
        <v>1699</v>
      </c>
      <c r="D698" s="1" t="str">
        <f t="shared" si="2"/>
        <v>2</v>
      </c>
      <c r="E698" s="1" t="s">
        <v>1700</v>
      </c>
      <c r="G698" s="1">
        <f t="array" ref="G698">IF(ISNUMBER(MATCH(9958,Camille!$A:$A,0)), IF(OR(INDEX(Camille!$D:$D,MATCH(9958,Camille!$A:$A,0))=1, INDEX(Camille!$D:$D,MATCH(9958,Camille!$A:$A,0))=2), INDEX(Camille!$D:$D,MATCH(9958,Camille!$A:$A,0)), 0), 0)</f>
        <v>0</v>
      </c>
      <c r="H698" s="1">
        <f t="array" ref="H698">IF(ISNUMBER(MATCH(9958,Telmo!$A:$A,0)), IF(OR(INDEX(Telmo!$D:$D,MATCH(9958,Telmo!$A:$A,0))=1, INDEX(Telmo!$D:$D,MATCH(9958,Telmo!$A:$A,0))=2), INDEX(Telmo!$D:$D,MATCH(9958,Telmo!$A:$A,0)), 0), 0)</f>
        <v>2</v>
      </c>
      <c r="I698" s="1">
        <f t="array" ref="I698">IF(ISNUMBER(MATCH(9958,Max!$A:$A,0)), IF(OR(INDEX(Max!$D:$D,MATCH(9958,Max!$A:$A,0))=1, INDEX(Max!$D:$D,MATCH(9958,Max!$A:$A,0))=2), INDEX(Max!$D:$D,MATCH(9958,Max!$A:$A,0)), 0), 0)</f>
        <v>0</v>
      </c>
    </row>
    <row r="699" spans="1:9" ht="15.75" customHeight="1" x14ac:dyDescent="0.2">
      <c r="A699" s="1">
        <v>51922</v>
      </c>
      <c r="B699" s="1" t="s">
        <v>276</v>
      </c>
      <c r="C699" s="1" t="s">
        <v>1701</v>
      </c>
      <c r="D699" s="1" t="str">
        <f t="shared" si="2"/>
        <v>2</v>
      </c>
      <c r="E699" s="1" t="s">
        <v>1702</v>
      </c>
      <c r="G699" s="1">
        <f t="array" ref="G699">IF(ISNUMBER(MATCH(51922,Camille!$A:$A,0)), IF(OR(INDEX(Camille!$D:$D,MATCH(51922,Camille!$A:$A,0))=1, INDEX(Camille!$D:$D,MATCH(51922,Camille!$A:$A,0))=2), INDEX(Camille!$D:$D,MATCH(51922,Camille!$A:$A,0)), 0), 0)</f>
        <v>0</v>
      </c>
      <c r="H699" s="1">
        <f t="array" ref="H699">IF(ISNUMBER(MATCH(51922,Telmo!$A:$A,0)), IF(OR(INDEX(Telmo!$D:$D,MATCH(51922,Telmo!$A:$A,0))=1, INDEX(Telmo!$D:$D,MATCH(51922,Telmo!$A:$A,0))=2), INDEX(Telmo!$D:$D,MATCH(51922,Telmo!$A:$A,0)), 0), 0)</f>
        <v>2</v>
      </c>
      <c r="I699" s="1">
        <f t="array" ref="I699">IF(ISNUMBER(MATCH(51922,Max!$A:$A,0)), IF(OR(INDEX(Max!$D:$D,MATCH(51922,Max!$A:$A,0))=1, INDEX(Max!$D:$D,MATCH(51922,Max!$A:$A,0))=2), INDEX(Max!$D:$D,MATCH(51922,Max!$A:$A,0)), 0), 0)</f>
        <v>0</v>
      </c>
    </row>
    <row r="700" spans="1:9" ht="15.75" customHeight="1" x14ac:dyDescent="0.2">
      <c r="A700" s="1">
        <v>56226</v>
      </c>
      <c r="B700" s="1" t="s">
        <v>751</v>
      </c>
      <c r="C700" s="1" t="s">
        <v>1703</v>
      </c>
      <c r="D700" s="1" t="str">
        <f t="shared" si="2"/>
        <v>2</v>
      </c>
      <c r="E700" s="1" t="s">
        <v>1704</v>
      </c>
      <c r="G700" s="1">
        <f t="array" ref="G700">IF(ISNUMBER(MATCH(56226,Camille!$A:$A,0)), IF(OR(INDEX(Camille!$D:$D,MATCH(56226,Camille!$A:$A,0))=1, INDEX(Camille!$D:$D,MATCH(56226,Camille!$A:$A,0))=2), INDEX(Camille!$D:$D,MATCH(56226,Camille!$A:$A,0)), 0), 0)</f>
        <v>0</v>
      </c>
      <c r="H700" s="1">
        <f t="array" ref="H700">IF(ISNUMBER(MATCH(56226,Telmo!$A:$A,0)), IF(OR(INDEX(Telmo!$D:$D,MATCH(56226,Telmo!$A:$A,0))=1, INDEX(Telmo!$D:$D,MATCH(56226,Telmo!$A:$A,0))=2), INDEX(Telmo!$D:$D,MATCH(56226,Telmo!$A:$A,0)), 0), 0)</f>
        <v>2</v>
      </c>
      <c r="I700" s="1">
        <f t="array" ref="I700">IF(ISNUMBER(MATCH(56226,Max!$A:$A,0)), IF(OR(INDEX(Max!$D:$D,MATCH(56226,Max!$A:$A,0))=1, INDEX(Max!$D:$D,MATCH(56226,Max!$A:$A,0))=2), INDEX(Max!$D:$D,MATCH(56226,Max!$A:$A,0)), 0), 0)</f>
        <v>0</v>
      </c>
    </row>
    <row r="701" spans="1:9" ht="15.75" customHeight="1" x14ac:dyDescent="0.2">
      <c r="A701" s="1">
        <v>52178</v>
      </c>
      <c r="B701" s="1" t="s">
        <v>172</v>
      </c>
      <c r="C701" s="1" t="s">
        <v>1705</v>
      </c>
      <c r="D701" s="1" t="str">
        <f t="shared" si="2"/>
        <v>2</v>
      </c>
      <c r="E701" s="1" t="s">
        <v>1706</v>
      </c>
      <c r="G701" s="1">
        <f t="array" ref="G701">IF(ISNUMBER(MATCH(52178,Camille!$A:$A,0)), IF(OR(INDEX(Camille!$D:$D,MATCH(52178,Camille!$A:$A,0))=1, INDEX(Camille!$D:$D,MATCH(52178,Camille!$A:$A,0))=2), INDEX(Camille!$D:$D,MATCH(52178,Camille!$A:$A,0)), 0), 0)</f>
        <v>0</v>
      </c>
      <c r="H701" s="1">
        <f t="array" ref="H701">IF(ISNUMBER(MATCH(52178,Telmo!$A:$A,0)), IF(OR(INDEX(Telmo!$D:$D,MATCH(52178,Telmo!$A:$A,0))=1, INDEX(Telmo!$D:$D,MATCH(52178,Telmo!$A:$A,0))=2), INDEX(Telmo!$D:$D,MATCH(52178,Telmo!$A:$A,0)), 0), 0)</f>
        <v>2</v>
      </c>
      <c r="I701" s="1">
        <f t="array" ref="I701">IF(ISNUMBER(MATCH(52178,Max!$A:$A,0)), IF(OR(INDEX(Max!$D:$D,MATCH(52178,Max!$A:$A,0))=1, INDEX(Max!$D:$D,MATCH(52178,Max!$A:$A,0))=2), INDEX(Max!$D:$D,MATCH(52178,Max!$A:$A,0)), 0), 0)</f>
        <v>0</v>
      </c>
    </row>
    <row r="702" spans="1:9" ht="15.75" customHeight="1" x14ac:dyDescent="0.2">
      <c r="A702" s="1">
        <v>65920</v>
      </c>
      <c r="B702" s="1" t="s">
        <v>56</v>
      </c>
      <c r="C702" s="1" t="s">
        <v>1707</v>
      </c>
      <c r="D702" s="1" t="str">
        <f t="shared" si="2"/>
        <v>2</v>
      </c>
      <c r="E702" s="1" t="s">
        <v>1708</v>
      </c>
      <c r="G702" s="1">
        <f t="array" ref="G702">IF(ISNUMBER(MATCH(65920,Camille!$A:$A,0)), IF(OR(INDEX(Camille!$D:$D,MATCH(65920,Camille!$A:$A,0))=1, INDEX(Camille!$D:$D,MATCH(65920,Camille!$A:$A,0))=2), INDEX(Camille!$D:$D,MATCH(65920,Camille!$A:$A,0)), 0), 0)</f>
        <v>0</v>
      </c>
      <c r="H702" s="1">
        <f t="array" ref="H702">IF(ISNUMBER(MATCH(65920,Telmo!$A:$A,0)), IF(OR(INDEX(Telmo!$D:$D,MATCH(65920,Telmo!$A:$A,0))=1, INDEX(Telmo!$D:$D,MATCH(65920,Telmo!$A:$A,0))=2), INDEX(Telmo!$D:$D,MATCH(65920,Telmo!$A:$A,0)), 0), 0)</f>
        <v>2</v>
      </c>
      <c r="I702" s="1">
        <f t="array" ref="I702">IF(ISNUMBER(MATCH(65920,Max!$A:$A,0)), IF(OR(INDEX(Max!$D:$D,MATCH(65920,Max!$A:$A,0))=1, INDEX(Max!$D:$D,MATCH(65920,Max!$A:$A,0))=2), INDEX(Max!$D:$D,MATCH(65920,Max!$A:$A,0)), 0), 0)</f>
        <v>0</v>
      </c>
    </row>
    <row r="703" spans="1:9" ht="15.75" customHeight="1" x14ac:dyDescent="0.2">
      <c r="A703" s="1">
        <v>54286</v>
      </c>
      <c r="B703" s="1" t="s">
        <v>301</v>
      </c>
      <c r="C703" s="1" t="s">
        <v>1709</v>
      </c>
      <c r="D703" s="1" t="str">
        <f t="shared" si="2"/>
        <v>2</v>
      </c>
      <c r="E703" s="1" t="s">
        <v>1710</v>
      </c>
      <c r="G703" s="1">
        <f t="array" ref="G703">IF(ISNUMBER(MATCH(54286,Camille!$A:$A,0)), IF(OR(INDEX(Camille!$D:$D,MATCH(54286,Camille!$A:$A,0))=1, INDEX(Camille!$D:$D,MATCH(54286,Camille!$A:$A,0))=2), INDEX(Camille!$D:$D,MATCH(54286,Camille!$A:$A,0)), 0), 0)</f>
        <v>0</v>
      </c>
      <c r="H703" s="1">
        <f t="array" ref="H703">IF(ISNUMBER(MATCH(54286,Telmo!$A:$A,0)), IF(OR(INDEX(Telmo!$D:$D,MATCH(54286,Telmo!$A:$A,0))=1, INDEX(Telmo!$D:$D,MATCH(54286,Telmo!$A:$A,0))=2), INDEX(Telmo!$D:$D,MATCH(54286,Telmo!$A:$A,0)), 0), 0)</f>
        <v>2</v>
      </c>
      <c r="I703" s="1">
        <f t="array" ref="I703">IF(ISNUMBER(MATCH(54286,Max!$A:$A,0)), IF(OR(INDEX(Max!$D:$D,MATCH(54286,Max!$A:$A,0))=1, INDEX(Max!$D:$D,MATCH(54286,Max!$A:$A,0))=2), INDEX(Max!$D:$D,MATCH(54286,Max!$A:$A,0)), 0), 0)</f>
        <v>0</v>
      </c>
    </row>
    <row r="704" spans="1:9" ht="15.75" customHeight="1" x14ac:dyDescent="0.2">
      <c r="A704" s="1">
        <v>38282</v>
      </c>
      <c r="B704" s="1" t="s">
        <v>1711</v>
      </c>
      <c r="C704" s="1" t="s">
        <v>1712</v>
      </c>
      <c r="D704" s="1" t="str">
        <f t="shared" si="2"/>
        <v>2</v>
      </c>
      <c r="E704" s="1" t="s">
        <v>1713</v>
      </c>
      <c r="G704" s="1">
        <f t="array" ref="G704">IF(ISNUMBER(MATCH(38282,Camille!$A:$A,0)), IF(OR(INDEX(Camille!$D:$D,MATCH(38282,Camille!$A:$A,0))=1, INDEX(Camille!$D:$D,MATCH(38282,Camille!$A:$A,0))=2), INDEX(Camille!$D:$D,MATCH(38282,Camille!$A:$A,0)), 0), 0)</f>
        <v>0</v>
      </c>
      <c r="H704" s="1">
        <f t="array" ref="H704">IF(ISNUMBER(MATCH(38282,Telmo!$A:$A,0)), IF(OR(INDEX(Telmo!$D:$D,MATCH(38282,Telmo!$A:$A,0))=1, INDEX(Telmo!$D:$D,MATCH(38282,Telmo!$A:$A,0))=2), INDEX(Telmo!$D:$D,MATCH(38282,Telmo!$A:$A,0)), 0), 0)</f>
        <v>2</v>
      </c>
      <c r="I704" s="1">
        <f t="array" ref="I704">IF(ISNUMBER(MATCH(38282,Max!$A:$A,0)), IF(OR(INDEX(Max!$D:$D,MATCH(38282,Max!$A:$A,0))=1, INDEX(Max!$D:$D,MATCH(38282,Max!$A:$A,0))=2), INDEX(Max!$D:$D,MATCH(38282,Max!$A:$A,0)), 0), 0)</f>
        <v>0</v>
      </c>
    </row>
    <row r="705" spans="1:9" ht="15.75" customHeight="1" x14ac:dyDescent="0.2">
      <c r="A705" s="1">
        <v>35700</v>
      </c>
      <c r="B705" s="1" t="s">
        <v>1144</v>
      </c>
      <c r="C705" s="1" t="s">
        <v>1714</v>
      </c>
      <c r="D705" s="1" t="str">
        <f t="shared" si="2"/>
        <v>2</v>
      </c>
      <c r="E705" s="1" t="s">
        <v>1715</v>
      </c>
      <c r="G705" s="1">
        <f t="array" ref="G705">IF(ISNUMBER(MATCH(35700,Camille!$A:$A,0)), IF(OR(INDEX(Camille!$D:$D,MATCH(35700,Camille!$A:$A,0))=1, INDEX(Camille!$D:$D,MATCH(35700,Camille!$A:$A,0))=2), INDEX(Camille!$D:$D,MATCH(35700,Camille!$A:$A,0)), 0), 0)</f>
        <v>0</v>
      </c>
      <c r="H705" s="1">
        <f t="array" ref="H705">IF(ISNUMBER(MATCH(35700,Telmo!$A:$A,0)), IF(OR(INDEX(Telmo!$D:$D,MATCH(35700,Telmo!$A:$A,0))=1, INDEX(Telmo!$D:$D,MATCH(35700,Telmo!$A:$A,0))=2), INDEX(Telmo!$D:$D,MATCH(35700,Telmo!$A:$A,0)), 0), 0)</f>
        <v>2</v>
      </c>
      <c r="I705" s="1">
        <f t="array" ref="I705">IF(ISNUMBER(MATCH(35700,Max!$A:$A,0)), IF(OR(INDEX(Max!$D:$D,MATCH(35700,Max!$A:$A,0))=1, INDEX(Max!$D:$D,MATCH(35700,Max!$A:$A,0))=2), INDEX(Max!$D:$D,MATCH(35700,Max!$A:$A,0)), 0), 0)</f>
        <v>0</v>
      </c>
    </row>
    <row r="706" spans="1:9" ht="15.75" customHeight="1" x14ac:dyDescent="0.2">
      <c r="A706" s="1">
        <v>36201</v>
      </c>
      <c r="B706" s="1" t="s">
        <v>466</v>
      </c>
      <c r="C706" s="1" t="s">
        <v>1716</v>
      </c>
      <c r="D706" s="1" t="str">
        <f t="shared" si="2"/>
        <v>1</v>
      </c>
      <c r="E706" s="1" t="s">
        <v>1717</v>
      </c>
      <c r="G706" s="1">
        <f t="array" ref="G706">IF(ISNUMBER(MATCH(36201,Camille!$A:$A,0)), IF(OR(INDEX(Camille!$D:$D,MATCH(36201,Camille!$A:$A,0))=1, INDEX(Camille!$D:$D,MATCH(36201,Camille!$A:$A,0))=2), INDEX(Camille!$D:$D,MATCH(36201,Camille!$A:$A,0)), 0), 0)</f>
        <v>0</v>
      </c>
      <c r="H706" s="1">
        <f t="array" ref="H706">IF(ISNUMBER(MATCH(36201,Telmo!$A:$A,0)), IF(OR(INDEX(Telmo!$D:$D,MATCH(36201,Telmo!$A:$A,0))=1, INDEX(Telmo!$D:$D,MATCH(36201,Telmo!$A:$A,0))=2), INDEX(Telmo!$D:$D,MATCH(36201,Telmo!$A:$A,0)), 0), 0)</f>
        <v>1</v>
      </c>
      <c r="I706" s="1">
        <f t="array" ref="I706">IF(ISNUMBER(MATCH(36201,Max!$A:$A,0)), IF(OR(INDEX(Max!$D:$D,MATCH(36201,Max!$A:$A,0))=1, INDEX(Max!$D:$D,MATCH(36201,Max!$A:$A,0))=2), INDEX(Max!$D:$D,MATCH(36201,Max!$A:$A,0)), 0), 0)</f>
        <v>0</v>
      </c>
    </row>
    <row r="707" spans="1:9" ht="15.75" customHeight="1" x14ac:dyDescent="0.2">
      <c r="A707" s="1">
        <v>12058</v>
      </c>
      <c r="B707" s="1" t="s">
        <v>64</v>
      </c>
      <c r="C707" s="1" t="s">
        <v>1718</v>
      </c>
      <c r="D707" s="1" t="str">
        <f t="shared" si="2"/>
        <v>1</v>
      </c>
      <c r="E707" s="1" t="s">
        <v>1719</v>
      </c>
      <c r="G707" s="1">
        <f t="array" ref="G707">IF(ISNUMBER(MATCH(12058,Camille!$A:$A,0)), IF(OR(INDEX(Camille!$D:$D,MATCH(12058,Camille!$A:$A,0))=1, INDEX(Camille!$D:$D,MATCH(12058,Camille!$A:$A,0))=2), INDEX(Camille!$D:$D,MATCH(12058,Camille!$A:$A,0)), 0), 0)</f>
        <v>0</v>
      </c>
      <c r="H707" s="1">
        <f t="array" ref="H707">IF(ISNUMBER(MATCH(12058,Telmo!$A:$A,0)), IF(OR(INDEX(Telmo!$D:$D,MATCH(12058,Telmo!$A:$A,0))=1, INDEX(Telmo!$D:$D,MATCH(12058,Telmo!$A:$A,0))=2), INDEX(Telmo!$D:$D,MATCH(12058,Telmo!$A:$A,0)), 0), 0)</f>
        <v>1</v>
      </c>
      <c r="I707" s="1">
        <f t="array" ref="I707">IF(ISNUMBER(MATCH(12058,Max!$A:$A,0)), IF(OR(INDEX(Max!$D:$D,MATCH(12058,Max!$A:$A,0))=1, INDEX(Max!$D:$D,MATCH(12058,Max!$A:$A,0))=2), INDEX(Max!$D:$D,MATCH(12058,Max!$A:$A,0)), 0), 0)</f>
        <v>0</v>
      </c>
    </row>
    <row r="708" spans="1:9" ht="15.75" customHeight="1" x14ac:dyDescent="0.2">
      <c r="A708" s="1">
        <v>48675</v>
      </c>
      <c r="B708" s="1" t="s">
        <v>490</v>
      </c>
      <c r="C708" s="1" t="s">
        <v>1720</v>
      </c>
      <c r="D708" s="1" t="str">
        <f t="shared" si="2"/>
        <v>2</v>
      </c>
      <c r="E708" s="1" t="s">
        <v>1721</v>
      </c>
      <c r="G708" s="1">
        <f t="array" ref="G708">IF(ISNUMBER(MATCH(48675,Camille!$A:$A,0)), IF(OR(INDEX(Camille!$D:$D,MATCH(48675,Camille!$A:$A,0))=1, INDEX(Camille!$D:$D,MATCH(48675,Camille!$A:$A,0))=2), INDEX(Camille!$D:$D,MATCH(48675,Camille!$A:$A,0)), 0), 0)</f>
        <v>0</v>
      </c>
      <c r="H708" s="1">
        <f t="array" ref="H708">IF(ISNUMBER(MATCH(48675,Telmo!$A:$A,0)), IF(OR(INDEX(Telmo!$D:$D,MATCH(48675,Telmo!$A:$A,0))=1, INDEX(Telmo!$D:$D,MATCH(48675,Telmo!$A:$A,0))=2), INDEX(Telmo!$D:$D,MATCH(48675,Telmo!$A:$A,0)), 0), 0)</f>
        <v>2</v>
      </c>
      <c r="I708" s="1">
        <f t="array" ref="I708">IF(ISNUMBER(MATCH(48675,Max!$A:$A,0)), IF(OR(INDEX(Max!$D:$D,MATCH(48675,Max!$A:$A,0))=1, INDEX(Max!$D:$D,MATCH(48675,Max!$A:$A,0))=2), INDEX(Max!$D:$D,MATCH(48675,Max!$A:$A,0)), 0), 0)</f>
        <v>0</v>
      </c>
    </row>
    <row r="709" spans="1:9" ht="15.75" customHeight="1" x14ac:dyDescent="0.2">
      <c r="A709" s="1">
        <v>11051</v>
      </c>
      <c r="B709" s="1" t="s">
        <v>172</v>
      </c>
      <c r="C709" s="1" t="s">
        <v>1722</v>
      </c>
      <c r="D709" s="1" t="str">
        <f t="shared" si="2"/>
        <v>2</v>
      </c>
      <c r="E709" s="1" t="s">
        <v>1723</v>
      </c>
      <c r="G709" s="1">
        <f t="array" ref="G709">IF(ISNUMBER(MATCH(11051,Camille!$A:$A,0)), IF(OR(INDEX(Camille!$D:$D,MATCH(11051,Camille!$A:$A,0))=1, INDEX(Camille!$D:$D,MATCH(11051,Camille!$A:$A,0))=2), INDEX(Camille!$D:$D,MATCH(11051,Camille!$A:$A,0)), 0), 0)</f>
        <v>0</v>
      </c>
      <c r="H709" s="1">
        <f t="array" ref="H709">IF(ISNUMBER(MATCH(11051,Telmo!$A:$A,0)), IF(OR(INDEX(Telmo!$D:$D,MATCH(11051,Telmo!$A:$A,0))=1, INDEX(Telmo!$D:$D,MATCH(11051,Telmo!$A:$A,0))=2), INDEX(Telmo!$D:$D,MATCH(11051,Telmo!$A:$A,0)), 0), 0)</f>
        <v>2</v>
      </c>
      <c r="I709" s="1">
        <f t="array" ref="I709">IF(ISNUMBER(MATCH(11051,Max!$A:$A,0)), IF(OR(INDEX(Max!$D:$D,MATCH(11051,Max!$A:$A,0))=1, INDEX(Max!$D:$D,MATCH(11051,Max!$A:$A,0))=2), INDEX(Max!$D:$D,MATCH(11051,Max!$A:$A,0)), 0), 0)</f>
        <v>0</v>
      </c>
    </row>
    <row r="710" spans="1:9" ht="15.75" customHeight="1" x14ac:dyDescent="0.2">
      <c r="A710" s="1">
        <v>24720</v>
      </c>
      <c r="B710" s="1" t="s">
        <v>597</v>
      </c>
      <c r="C710" s="1" t="s">
        <v>1724</v>
      </c>
      <c r="D710" s="1" t="str">
        <f t="shared" si="2"/>
        <v>1</v>
      </c>
      <c r="E710" s="1" t="s">
        <v>1725</v>
      </c>
      <c r="G710" s="1">
        <f t="array" ref="G710">IF(ISNUMBER(MATCH(24720,Camille!$A:$A,0)), IF(OR(INDEX(Camille!$D:$D,MATCH(24720,Camille!$A:$A,0))=1, INDEX(Camille!$D:$D,MATCH(24720,Camille!$A:$A,0))=2), INDEX(Camille!$D:$D,MATCH(24720,Camille!$A:$A,0)), 0), 0)</f>
        <v>0</v>
      </c>
      <c r="H710" s="1">
        <f t="array" ref="H710">IF(ISNUMBER(MATCH(24720,Telmo!$A:$A,0)), IF(OR(INDEX(Telmo!$D:$D,MATCH(24720,Telmo!$A:$A,0))=1, INDEX(Telmo!$D:$D,MATCH(24720,Telmo!$A:$A,0))=2), INDEX(Telmo!$D:$D,MATCH(24720,Telmo!$A:$A,0)), 0), 0)</f>
        <v>1</v>
      </c>
      <c r="I710" s="1">
        <f t="array" ref="I710">IF(ISNUMBER(MATCH(24720,Max!$A:$A,0)), IF(OR(INDEX(Max!$D:$D,MATCH(24720,Max!$A:$A,0))=1, INDEX(Max!$D:$D,MATCH(24720,Max!$A:$A,0))=2), INDEX(Max!$D:$D,MATCH(24720,Max!$A:$A,0)), 0), 0)</f>
        <v>0</v>
      </c>
    </row>
    <row r="711" spans="1:9" ht="15.75" customHeight="1" x14ac:dyDescent="0.2">
      <c r="A711" s="1">
        <v>43912</v>
      </c>
      <c r="B711" s="1" t="s">
        <v>552</v>
      </c>
      <c r="C711" s="1" t="s">
        <v>1726</v>
      </c>
      <c r="D711" s="1" t="str">
        <f t="shared" si="2"/>
        <v>1</v>
      </c>
      <c r="E711" s="1" t="s">
        <v>1727</v>
      </c>
      <c r="G711" s="1">
        <f t="array" ref="G711">IF(ISNUMBER(MATCH(43912,Camille!$A:$A,0)), IF(OR(INDEX(Camille!$D:$D,MATCH(43912,Camille!$A:$A,0))=1, INDEX(Camille!$D:$D,MATCH(43912,Camille!$A:$A,0))=2), INDEX(Camille!$D:$D,MATCH(43912,Camille!$A:$A,0)), 0), 0)</f>
        <v>0</v>
      </c>
      <c r="H711" s="1">
        <f t="array" ref="H711">IF(ISNUMBER(MATCH(43912,Telmo!$A:$A,0)), IF(OR(INDEX(Telmo!$D:$D,MATCH(43912,Telmo!$A:$A,0))=1, INDEX(Telmo!$D:$D,MATCH(43912,Telmo!$A:$A,0))=2), INDEX(Telmo!$D:$D,MATCH(43912,Telmo!$A:$A,0)), 0), 0)</f>
        <v>1</v>
      </c>
      <c r="I711" s="1">
        <f t="array" ref="I711">IF(ISNUMBER(MATCH(43912,Max!$A:$A,0)), IF(OR(INDEX(Max!$D:$D,MATCH(43912,Max!$A:$A,0))=1, INDEX(Max!$D:$D,MATCH(43912,Max!$A:$A,0))=2), INDEX(Max!$D:$D,MATCH(43912,Max!$A:$A,0)), 0), 0)</f>
        <v>0</v>
      </c>
    </row>
    <row r="712" spans="1:9" ht="15.75" customHeight="1" x14ac:dyDescent="0.2">
      <c r="A712" s="1">
        <v>52598</v>
      </c>
      <c r="B712" s="1" t="s">
        <v>1040</v>
      </c>
      <c r="C712" s="1" t="s">
        <v>1728</v>
      </c>
      <c r="D712" s="1" t="str">
        <f t="shared" si="2"/>
        <v>2</v>
      </c>
      <c r="E712" s="1" t="s">
        <v>1729</v>
      </c>
      <c r="G712" s="1">
        <f t="array" ref="G712">IF(ISNUMBER(MATCH(52598,Camille!$A:$A,0)), IF(OR(INDEX(Camille!$D:$D,MATCH(52598,Camille!$A:$A,0))=1, INDEX(Camille!$D:$D,MATCH(52598,Camille!$A:$A,0))=2), INDEX(Camille!$D:$D,MATCH(52598,Camille!$A:$A,0)), 0), 0)</f>
        <v>0</v>
      </c>
      <c r="H712" s="1">
        <f t="array" ref="H712">IF(ISNUMBER(MATCH(52598,Telmo!$A:$A,0)), IF(OR(INDEX(Telmo!$D:$D,MATCH(52598,Telmo!$A:$A,0))=1, INDEX(Telmo!$D:$D,MATCH(52598,Telmo!$A:$A,0))=2), INDEX(Telmo!$D:$D,MATCH(52598,Telmo!$A:$A,0)), 0), 0)</f>
        <v>2</v>
      </c>
      <c r="I712" s="1">
        <f t="array" ref="I712">IF(ISNUMBER(MATCH(52598,Max!$A:$A,0)), IF(OR(INDEX(Max!$D:$D,MATCH(52598,Max!$A:$A,0))=1, INDEX(Max!$D:$D,MATCH(52598,Max!$A:$A,0))=2), INDEX(Max!$D:$D,MATCH(52598,Max!$A:$A,0)), 0), 0)</f>
        <v>0</v>
      </c>
    </row>
    <row r="713" spans="1:9" ht="15.75" customHeight="1" x14ac:dyDescent="0.2">
      <c r="A713" s="1">
        <v>66931</v>
      </c>
      <c r="B713" s="1" t="s">
        <v>931</v>
      </c>
      <c r="C713" s="1" t="s">
        <v>1730</v>
      </c>
      <c r="D713" s="1" t="str">
        <f t="shared" si="2"/>
        <v>1</v>
      </c>
      <c r="E713" s="1" t="s">
        <v>1731</v>
      </c>
      <c r="G713" s="1">
        <f t="array" ref="G713">IF(ISNUMBER(MATCH(66931,Camille!$A:$A,0)), IF(OR(INDEX(Camille!$D:$D,MATCH(66931,Camille!$A:$A,0))=1, INDEX(Camille!$D:$D,MATCH(66931,Camille!$A:$A,0))=2), INDEX(Camille!$D:$D,MATCH(66931,Camille!$A:$A,0)), 0), 0)</f>
        <v>0</v>
      </c>
      <c r="H713" s="1">
        <f t="array" ref="H713">IF(ISNUMBER(MATCH(66931,Telmo!$A:$A,0)), IF(OR(INDEX(Telmo!$D:$D,MATCH(66931,Telmo!$A:$A,0))=1, INDEX(Telmo!$D:$D,MATCH(66931,Telmo!$A:$A,0))=2), INDEX(Telmo!$D:$D,MATCH(66931,Telmo!$A:$A,0)), 0), 0)</f>
        <v>1</v>
      </c>
      <c r="I713" s="1">
        <f t="array" ref="I713">IF(ISNUMBER(MATCH(66931,Max!$A:$A,0)), IF(OR(INDEX(Max!$D:$D,MATCH(66931,Max!$A:$A,0))=1, INDEX(Max!$D:$D,MATCH(66931,Max!$A:$A,0))=2), INDEX(Max!$D:$D,MATCH(66931,Max!$A:$A,0)), 0), 0)</f>
        <v>0</v>
      </c>
    </row>
    <row r="714" spans="1:9" ht="15.75" customHeight="1" x14ac:dyDescent="0.2">
      <c r="A714" s="1">
        <v>56062</v>
      </c>
      <c r="B714" s="1" t="s">
        <v>1732</v>
      </c>
      <c r="C714" s="1" t="s">
        <v>1733</v>
      </c>
      <c r="D714" s="1" t="str">
        <f t="shared" si="2"/>
        <v>2</v>
      </c>
      <c r="E714" s="1" t="s">
        <v>1734</v>
      </c>
      <c r="G714" s="1">
        <f t="array" ref="G714">IF(ISNUMBER(MATCH(56062,Camille!$A:$A,0)), IF(OR(INDEX(Camille!$D:$D,MATCH(56062,Camille!$A:$A,0))=1, INDEX(Camille!$D:$D,MATCH(56062,Camille!$A:$A,0))=2), INDEX(Camille!$D:$D,MATCH(56062,Camille!$A:$A,0)), 0), 0)</f>
        <v>0</v>
      </c>
      <c r="H714" s="1">
        <f t="array" ref="H714">IF(ISNUMBER(MATCH(56062,Telmo!$A:$A,0)), IF(OR(INDEX(Telmo!$D:$D,MATCH(56062,Telmo!$A:$A,0))=1, INDEX(Telmo!$D:$D,MATCH(56062,Telmo!$A:$A,0))=2), INDEX(Telmo!$D:$D,MATCH(56062,Telmo!$A:$A,0)), 0), 0)</f>
        <v>2</v>
      </c>
      <c r="I714" s="1">
        <f t="array" ref="I714">IF(ISNUMBER(MATCH(56062,Max!$A:$A,0)), IF(OR(INDEX(Max!$D:$D,MATCH(56062,Max!$A:$A,0))=1, INDEX(Max!$D:$D,MATCH(56062,Max!$A:$A,0))=2), INDEX(Max!$D:$D,MATCH(56062,Max!$A:$A,0)), 0), 0)</f>
        <v>0</v>
      </c>
    </row>
    <row r="715" spans="1:9" ht="15.75" customHeight="1" x14ac:dyDescent="0.2">
      <c r="A715" s="1">
        <v>1741</v>
      </c>
      <c r="B715" s="1" t="s">
        <v>457</v>
      </c>
      <c r="C715" s="1" t="s">
        <v>1735</v>
      </c>
      <c r="D715" s="1" t="str">
        <f t="shared" si="2"/>
        <v>2</v>
      </c>
      <c r="E715" s="1" t="s">
        <v>1736</v>
      </c>
      <c r="G715" s="1">
        <f t="array" ref="G715">IF(ISNUMBER(MATCH(1741,Camille!$A:$A,0)), IF(OR(INDEX(Camille!$D:$D,MATCH(1741,Camille!$A:$A,0))=1, INDEX(Camille!$D:$D,MATCH(1741,Camille!$A:$A,0))=2), INDEX(Camille!$D:$D,MATCH(1741,Camille!$A:$A,0)), 0), 0)</f>
        <v>0</v>
      </c>
      <c r="H715" s="1">
        <f t="array" ref="H715">IF(ISNUMBER(MATCH(1741,Telmo!$A:$A,0)), IF(OR(INDEX(Telmo!$D:$D,MATCH(1741,Telmo!$A:$A,0))=1, INDEX(Telmo!$D:$D,MATCH(1741,Telmo!$A:$A,0))=2), INDEX(Telmo!$D:$D,MATCH(1741,Telmo!$A:$A,0)), 0), 0)</f>
        <v>2</v>
      </c>
      <c r="I715" s="1">
        <f t="array" ref="I715">IF(ISNUMBER(MATCH(1741,Max!$A:$A,0)), IF(OR(INDEX(Max!$D:$D,MATCH(1741,Max!$A:$A,0))=1, INDEX(Max!$D:$D,MATCH(1741,Max!$A:$A,0))=2), INDEX(Max!$D:$D,MATCH(1741,Max!$A:$A,0)), 0), 0)</f>
        <v>0</v>
      </c>
    </row>
    <row r="716" spans="1:9" ht="15.75" customHeight="1" x14ac:dyDescent="0.2">
      <c r="A716" s="1">
        <v>4886</v>
      </c>
      <c r="B716" s="1" t="s">
        <v>1021</v>
      </c>
      <c r="C716" s="1" t="s">
        <v>1737</v>
      </c>
      <c r="D716" s="1" t="str">
        <f t="shared" si="2"/>
        <v>2</v>
      </c>
      <c r="E716" s="1" t="s">
        <v>1738</v>
      </c>
      <c r="G716" s="1">
        <f t="array" ref="G716">IF(ISNUMBER(MATCH(4886,Camille!$A:$A,0)), IF(OR(INDEX(Camille!$D:$D,MATCH(4886,Camille!$A:$A,0))=1, INDEX(Camille!$D:$D,MATCH(4886,Camille!$A:$A,0))=2), INDEX(Camille!$D:$D,MATCH(4886,Camille!$A:$A,0)), 0), 0)</f>
        <v>0</v>
      </c>
      <c r="H716" s="1">
        <f t="array" ref="H716">IF(ISNUMBER(MATCH(4886,Telmo!$A:$A,0)), IF(OR(INDEX(Telmo!$D:$D,MATCH(4886,Telmo!$A:$A,0))=1, INDEX(Telmo!$D:$D,MATCH(4886,Telmo!$A:$A,0))=2), INDEX(Telmo!$D:$D,MATCH(4886,Telmo!$A:$A,0)), 0), 0)</f>
        <v>2</v>
      </c>
      <c r="I716" s="1">
        <f t="array" ref="I716">IF(ISNUMBER(MATCH(4886,Max!$A:$A,0)), IF(OR(INDEX(Max!$D:$D,MATCH(4886,Max!$A:$A,0))=1, INDEX(Max!$D:$D,MATCH(4886,Max!$A:$A,0))=2), INDEX(Max!$D:$D,MATCH(4886,Max!$A:$A,0)), 0), 0)</f>
        <v>0</v>
      </c>
    </row>
    <row r="717" spans="1:9" ht="15.75" customHeight="1" x14ac:dyDescent="0.2">
      <c r="A717" s="1">
        <v>44800</v>
      </c>
      <c r="B717" s="1" t="s">
        <v>1739</v>
      </c>
      <c r="C717" s="1" t="s">
        <v>1740</v>
      </c>
      <c r="D717" s="1" t="str">
        <f t="shared" si="2"/>
        <v>1</v>
      </c>
      <c r="E717" s="1" t="s">
        <v>1741</v>
      </c>
      <c r="G717" s="1">
        <f t="array" ref="G717">IF(ISNUMBER(MATCH(44800,Camille!$A:$A,0)), IF(OR(INDEX(Camille!$D:$D,MATCH(44800,Camille!$A:$A,0))=1, INDEX(Camille!$D:$D,MATCH(44800,Camille!$A:$A,0))=2), INDEX(Camille!$D:$D,MATCH(44800,Camille!$A:$A,0)), 0), 0)</f>
        <v>0</v>
      </c>
      <c r="H717" s="1">
        <f t="array" ref="H717">IF(ISNUMBER(MATCH(44800,Telmo!$A:$A,0)), IF(OR(INDEX(Telmo!$D:$D,MATCH(44800,Telmo!$A:$A,0))=1, INDEX(Telmo!$D:$D,MATCH(44800,Telmo!$A:$A,0))=2), INDEX(Telmo!$D:$D,MATCH(44800,Telmo!$A:$A,0)), 0), 0)</f>
        <v>1</v>
      </c>
      <c r="I717" s="1">
        <f t="array" ref="I717">IF(ISNUMBER(MATCH(44800,Max!$A:$A,0)), IF(OR(INDEX(Max!$D:$D,MATCH(44800,Max!$A:$A,0))=1, INDEX(Max!$D:$D,MATCH(44800,Max!$A:$A,0))=2), INDEX(Max!$D:$D,MATCH(44800,Max!$A:$A,0)), 0), 0)</f>
        <v>0</v>
      </c>
    </row>
    <row r="718" spans="1:9" ht="15.75" customHeight="1" x14ac:dyDescent="0.2">
      <c r="A718" s="1">
        <v>40055</v>
      </c>
      <c r="B718" s="1" t="s">
        <v>1742</v>
      </c>
      <c r="C718" s="1" t="s">
        <v>1743</v>
      </c>
      <c r="D718" s="1" t="str">
        <f t="shared" si="2"/>
        <v>2</v>
      </c>
      <c r="E718" s="1" t="s">
        <v>1744</v>
      </c>
      <c r="G718" s="1">
        <f t="array" ref="G718">IF(ISNUMBER(MATCH(40055,Camille!$A:$A,0)), IF(OR(INDEX(Camille!$D:$D,MATCH(40055,Camille!$A:$A,0))=1, INDEX(Camille!$D:$D,MATCH(40055,Camille!$A:$A,0))=2), INDEX(Camille!$D:$D,MATCH(40055,Camille!$A:$A,0)), 0), 0)</f>
        <v>0</v>
      </c>
      <c r="H718" s="1">
        <f t="array" ref="H718">IF(ISNUMBER(MATCH(40055,Telmo!$A:$A,0)), IF(OR(INDEX(Telmo!$D:$D,MATCH(40055,Telmo!$A:$A,0))=1, INDEX(Telmo!$D:$D,MATCH(40055,Telmo!$A:$A,0))=2), INDEX(Telmo!$D:$D,MATCH(40055,Telmo!$A:$A,0)), 0), 0)</f>
        <v>2</v>
      </c>
      <c r="I718" s="1">
        <f t="array" ref="I718">IF(ISNUMBER(MATCH(40055,Max!$A:$A,0)), IF(OR(INDEX(Max!$D:$D,MATCH(40055,Max!$A:$A,0))=1, INDEX(Max!$D:$D,MATCH(40055,Max!$A:$A,0))=2), INDEX(Max!$D:$D,MATCH(40055,Max!$A:$A,0)), 0), 0)</f>
        <v>0</v>
      </c>
    </row>
    <row r="719" spans="1:9" ht="15.75" customHeight="1" x14ac:dyDescent="0.2">
      <c r="A719" s="1">
        <v>27217</v>
      </c>
      <c r="B719" s="1" t="s">
        <v>1075</v>
      </c>
      <c r="C719" s="1" t="s">
        <v>1745</v>
      </c>
      <c r="D719" s="1" t="str">
        <f t="shared" si="2"/>
        <v>2</v>
      </c>
      <c r="E719" s="1" t="s">
        <v>1746</v>
      </c>
      <c r="G719" s="1">
        <f t="array" ref="G719">IF(ISNUMBER(MATCH(27217,Camille!$A:$A,0)), IF(OR(INDEX(Camille!$D:$D,MATCH(27217,Camille!$A:$A,0))=1, INDEX(Camille!$D:$D,MATCH(27217,Camille!$A:$A,0))=2), INDEX(Camille!$D:$D,MATCH(27217,Camille!$A:$A,0)), 0), 0)</f>
        <v>0</v>
      </c>
      <c r="H719" s="1">
        <f t="array" ref="H719">IF(ISNUMBER(MATCH(27217,Telmo!$A:$A,0)), IF(OR(INDEX(Telmo!$D:$D,MATCH(27217,Telmo!$A:$A,0))=1, INDEX(Telmo!$D:$D,MATCH(27217,Telmo!$A:$A,0))=2), INDEX(Telmo!$D:$D,MATCH(27217,Telmo!$A:$A,0)), 0), 0)</f>
        <v>2</v>
      </c>
      <c r="I719" s="1">
        <f t="array" ref="I719">IF(ISNUMBER(MATCH(27217,Max!$A:$A,0)), IF(OR(INDEX(Max!$D:$D,MATCH(27217,Max!$A:$A,0))=1, INDEX(Max!$D:$D,MATCH(27217,Max!$A:$A,0))=2), INDEX(Max!$D:$D,MATCH(27217,Max!$A:$A,0)), 0), 0)</f>
        <v>0</v>
      </c>
    </row>
    <row r="720" spans="1:9" ht="15.75" customHeight="1" x14ac:dyDescent="0.2">
      <c r="A720" s="1">
        <v>59116</v>
      </c>
      <c r="B720" s="1" t="s">
        <v>696</v>
      </c>
      <c r="C720" s="1" t="s">
        <v>1747</v>
      </c>
      <c r="D720" s="1" t="str">
        <f t="shared" si="2"/>
        <v>2</v>
      </c>
      <c r="E720" s="1" t="s">
        <v>1748</v>
      </c>
      <c r="G720" s="1">
        <f t="array" ref="G720">IF(ISNUMBER(MATCH(59116,Camille!$A:$A,0)), IF(OR(INDEX(Camille!$D:$D,MATCH(59116,Camille!$A:$A,0))=1, INDEX(Camille!$D:$D,MATCH(59116,Camille!$A:$A,0))=2), INDEX(Camille!$D:$D,MATCH(59116,Camille!$A:$A,0)), 0), 0)</f>
        <v>0</v>
      </c>
      <c r="H720" s="1">
        <f t="array" ref="H720">IF(ISNUMBER(MATCH(59116,Telmo!$A:$A,0)), IF(OR(INDEX(Telmo!$D:$D,MATCH(59116,Telmo!$A:$A,0))=1, INDEX(Telmo!$D:$D,MATCH(59116,Telmo!$A:$A,0))=2), INDEX(Telmo!$D:$D,MATCH(59116,Telmo!$A:$A,0)), 0), 0)</f>
        <v>2</v>
      </c>
      <c r="I720" s="1">
        <f t="array" ref="I720">IF(ISNUMBER(MATCH(59116,Max!$A:$A,0)), IF(OR(INDEX(Max!$D:$D,MATCH(59116,Max!$A:$A,0))=1, INDEX(Max!$D:$D,MATCH(59116,Max!$A:$A,0))=2), INDEX(Max!$D:$D,MATCH(59116,Max!$A:$A,0)), 0), 0)</f>
        <v>0</v>
      </c>
    </row>
    <row r="721" spans="1:9" ht="15.75" customHeight="1" x14ac:dyDescent="0.2">
      <c r="A721" s="1">
        <v>21189</v>
      </c>
      <c r="B721" s="1" t="s">
        <v>38</v>
      </c>
      <c r="C721" s="1" t="s">
        <v>1749</v>
      </c>
      <c r="D721" s="1" t="str">
        <f t="shared" si="2"/>
        <v>2</v>
      </c>
      <c r="E721" s="1" t="s">
        <v>1750</v>
      </c>
      <c r="G721" s="1">
        <f t="array" ref="G721">IF(ISNUMBER(MATCH(21189,Camille!$A:$A,0)), IF(OR(INDEX(Camille!$D:$D,MATCH(21189,Camille!$A:$A,0))=1, INDEX(Camille!$D:$D,MATCH(21189,Camille!$A:$A,0))=2), INDEX(Camille!$D:$D,MATCH(21189,Camille!$A:$A,0)), 0), 0)</f>
        <v>0</v>
      </c>
      <c r="H721" s="1">
        <f t="array" ref="H721">IF(ISNUMBER(MATCH(21189,Telmo!$A:$A,0)), IF(OR(INDEX(Telmo!$D:$D,MATCH(21189,Telmo!$A:$A,0))=1, INDEX(Telmo!$D:$D,MATCH(21189,Telmo!$A:$A,0))=2), INDEX(Telmo!$D:$D,MATCH(21189,Telmo!$A:$A,0)), 0), 0)</f>
        <v>2</v>
      </c>
      <c r="I721" s="1">
        <f t="array" ref="I721">IF(ISNUMBER(MATCH(21189,Max!$A:$A,0)), IF(OR(INDEX(Max!$D:$D,MATCH(21189,Max!$A:$A,0))=1, INDEX(Max!$D:$D,MATCH(21189,Max!$A:$A,0))=2), INDEX(Max!$D:$D,MATCH(21189,Max!$A:$A,0)), 0), 0)</f>
        <v>0</v>
      </c>
    </row>
    <row r="722" spans="1:9" ht="15.75" customHeight="1" x14ac:dyDescent="0.2">
      <c r="A722" s="1">
        <v>22550</v>
      </c>
      <c r="B722" s="1" t="s">
        <v>159</v>
      </c>
      <c r="C722" s="1" t="s">
        <v>1751</v>
      </c>
      <c r="D722" s="1" t="str">
        <f t="shared" si="2"/>
        <v>2</v>
      </c>
      <c r="E722" s="1" t="s">
        <v>1752</v>
      </c>
      <c r="G722" s="1">
        <f t="array" ref="G722">IF(ISNUMBER(MATCH(22550,Camille!$A:$A,0)), IF(OR(INDEX(Camille!$D:$D,MATCH(22550,Camille!$A:$A,0))=1, INDEX(Camille!$D:$D,MATCH(22550,Camille!$A:$A,0))=2), INDEX(Camille!$D:$D,MATCH(22550,Camille!$A:$A,0)), 0), 0)</f>
        <v>0</v>
      </c>
      <c r="H722" s="1">
        <f t="array" ref="H722">IF(ISNUMBER(MATCH(22550,Telmo!$A:$A,0)), IF(OR(INDEX(Telmo!$D:$D,MATCH(22550,Telmo!$A:$A,0))=1, INDEX(Telmo!$D:$D,MATCH(22550,Telmo!$A:$A,0))=2), INDEX(Telmo!$D:$D,MATCH(22550,Telmo!$A:$A,0)), 0), 0)</f>
        <v>2</v>
      </c>
      <c r="I722" s="1">
        <f t="array" ref="I722">IF(ISNUMBER(MATCH(22550,Max!$A:$A,0)), IF(OR(INDEX(Max!$D:$D,MATCH(22550,Max!$A:$A,0))=1, INDEX(Max!$D:$D,MATCH(22550,Max!$A:$A,0))=2), INDEX(Max!$D:$D,MATCH(22550,Max!$A:$A,0)), 0), 0)</f>
        <v>0</v>
      </c>
    </row>
    <row r="723" spans="1:9" ht="15.75" customHeight="1" x14ac:dyDescent="0.2">
      <c r="A723" s="1">
        <v>7487</v>
      </c>
      <c r="B723" s="1" t="s">
        <v>991</v>
      </c>
      <c r="C723" s="1" t="s">
        <v>1753</v>
      </c>
      <c r="D723" s="1" t="str">
        <f t="shared" si="2"/>
        <v>1</v>
      </c>
      <c r="E723" s="1" t="s">
        <v>1754</v>
      </c>
      <c r="G723" s="1">
        <f t="array" ref="G723">IF(ISNUMBER(MATCH(7487,Camille!$A:$A,0)), IF(OR(INDEX(Camille!$D:$D,MATCH(7487,Camille!$A:$A,0))=1, INDEX(Camille!$D:$D,MATCH(7487,Camille!$A:$A,0))=2), INDEX(Camille!$D:$D,MATCH(7487,Camille!$A:$A,0)), 0), 0)</f>
        <v>0</v>
      </c>
      <c r="H723" s="1">
        <f t="array" ref="H723">IF(ISNUMBER(MATCH(7487,Telmo!$A:$A,0)), IF(OR(INDEX(Telmo!$D:$D,MATCH(7487,Telmo!$A:$A,0))=1, INDEX(Telmo!$D:$D,MATCH(7487,Telmo!$A:$A,0))=2), INDEX(Telmo!$D:$D,MATCH(7487,Telmo!$A:$A,0)), 0), 0)</f>
        <v>1</v>
      </c>
      <c r="I723" s="1">
        <f t="array" ref="I723">IF(ISNUMBER(MATCH(7487,Max!$A:$A,0)), IF(OR(INDEX(Max!$D:$D,MATCH(7487,Max!$A:$A,0))=1, INDEX(Max!$D:$D,MATCH(7487,Max!$A:$A,0))=2), INDEX(Max!$D:$D,MATCH(7487,Max!$A:$A,0)), 0), 0)</f>
        <v>0</v>
      </c>
    </row>
    <row r="724" spans="1:9" ht="15.75" customHeight="1" x14ac:dyDescent="0.2">
      <c r="A724" s="1">
        <v>68310</v>
      </c>
      <c r="B724" s="1" t="s">
        <v>1755</v>
      </c>
      <c r="C724" s="1" t="s">
        <v>1756</v>
      </c>
      <c r="D724" s="1" t="str">
        <f t="shared" si="2"/>
        <v>2</v>
      </c>
      <c r="E724" s="1" t="s">
        <v>1757</v>
      </c>
      <c r="G724" s="1">
        <f t="array" ref="G724">IF(ISNUMBER(MATCH(68310,Camille!$A:$A,0)), IF(OR(INDEX(Camille!$D:$D,MATCH(68310,Camille!$A:$A,0))=1, INDEX(Camille!$D:$D,MATCH(68310,Camille!$A:$A,0))=2), INDEX(Camille!$D:$D,MATCH(68310,Camille!$A:$A,0)), 0), 0)</f>
        <v>0</v>
      </c>
      <c r="H724" s="1">
        <f t="array" ref="H724">IF(ISNUMBER(MATCH(68310,Telmo!$A:$A,0)), IF(OR(INDEX(Telmo!$D:$D,MATCH(68310,Telmo!$A:$A,0))=1, INDEX(Telmo!$D:$D,MATCH(68310,Telmo!$A:$A,0))=2), INDEX(Telmo!$D:$D,MATCH(68310,Telmo!$A:$A,0)), 0), 0)</f>
        <v>2</v>
      </c>
      <c r="I724" s="1">
        <f t="array" ref="I724">IF(ISNUMBER(MATCH(68310,Max!$A:$A,0)), IF(OR(INDEX(Max!$D:$D,MATCH(68310,Max!$A:$A,0))=1, INDEX(Max!$D:$D,MATCH(68310,Max!$A:$A,0))=2), INDEX(Max!$D:$D,MATCH(68310,Max!$A:$A,0)), 0), 0)</f>
        <v>0</v>
      </c>
    </row>
    <row r="725" spans="1:9" ht="15.75" customHeight="1" x14ac:dyDescent="0.2">
      <c r="A725" s="1">
        <v>46025</v>
      </c>
      <c r="B725" s="1" t="s">
        <v>233</v>
      </c>
      <c r="C725" s="1" t="s">
        <v>1758</v>
      </c>
      <c r="D725" s="1" t="str">
        <f t="shared" si="2"/>
        <v>2</v>
      </c>
      <c r="E725" s="1" t="s">
        <v>1759</v>
      </c>
      <c r="G725" s="1">
        <f t="array" ref="G725">IF(ISNUMBER(MATCH(46025,Camille!$A:$A,0)), IF(OR(INDEX(Camille!$D:$D,MATCH(46025,Camille!$A:$A,0))=1, INDEX(Camille!$D:$D,MATCH(46025,Camille!$A:$A,0))=2), INDEX(Camille!$D:$D,MATCH(46025,Camille!$A:$A,0)), 0), 0)</f>
        <v>0</v>
      </c>
      <c r="H725" s="1">
        <f t="array" ref="H725">IF(ISNUMBER(MATCH(46025,Telmo!$A:$A,0)), IF(OR(INDEX(Telmo!$D:$D,MATCH(46025,Telmo!$A:$A,0))=1, INDEX(Telmo!$D:$D,MATCH(46025,Telmo!$A:$A,0))=2), INDEX(Telmo!$D:$D,MATCH(46025,Telmo!$A:$A,0)), 0), 0)</f>
        <v>2</v>
      </c>
      <c r="I725" s="1">
        <f t="array" ref="I725">IF(ISNUMBER(MATCH(46025,Max!$A:$A,0)), IF(OR(INDEX(Max!$D:$D,MATCH(46025,Max!$A:$A,0))=1, INDEX(Max!$D:$D,MATCH(46025,Max!$A:$A,0))=2), INDEX(Max!$D:$D,MATCH(46025,Max!$A:$A,0)), 0), 0)</f>
        <v>0</v>
      </c>
    </row>
    <row r="726" spans="1:9" ht="15.75" customHeight="1" x14ac:dyDescent="0.2">
      <c r="A726" s="1">
        <v>50362</v>
      </c>
      <c r="B726" s="1" t="s">
        <v>405</v>
      </c>
      <c r="C726" s="1" t="s">
        <v>1760</v>
      </c>
      <c r="D726" s="1" t="str">
        <f t="shared" si="2"/>
        <v>1</v>
      </c>
      <c r="E726" s="1" t="s">
        <v>1761</v>
      </c>
      <c r="G726" s="1">
        <f t="array" ref="G726">IF(ISNUMBER(MATCH(50362,Camille!$A:$A,0)), IF(OR(INDEX(Camille!$D:$D,MATCH(50362,Camille!$A:$A,0))=1, INDEX(Camille!$D:$D,MATCH(50362,Camille!$A:$A,0))=2), INDEX(Camille!$D:$D,MATCH(50362,Camille!$A:$A,0)), 0), 0)</f>
        <v>0</v>
      </c>
      <c r="H726" s="1">
        <f t="array" ref="H726">IF(ISNUMBER(MATCH(50362,Telmo!$A:$A,0)), IF(OR(INDEX(Telmo!$D:$D,MATCH(50362,Telmo!$A:$A,0))=1, INDEX(Telmo!$D:$D,MATCH(50362,Telmo!$A:$A,0))=2), INDEX(Telmo!$D:$D,MATCH(50362,Telmo!$A:$A,0)), 0), 0)</f>
        <v>1</v>
      </c>
      <c r="I726" s="1">
        <f t="array" ref="I726">IF(ISNUMBER(MATCH(50362,Max!$A:$A,0)), IF(OR(INDEX(Max!$D:$D,MATCH(50362,Max!$A:$A,0))=1, INDEX(Max!$D:$D,MATCH(50362,Max!$A:$A,0))=2), INDEX(Max!$D:$D,MATCH(50362,Max!$A:$A,0)), 0), 0)</f>
        <v>0</v>
      </c>
    </row>
    <row r="727" spans="1:9" ht="15.75" customHeight="1" x14ac:dyDescent="0.2">
      <c r="A727" s="1">
        <v>26909</v>
      </c>
      <c r="B727" s="1" t="s">
        <v>656</v>
      </c>
      <c r="C727" s="1" t="s">
        <v>1762</v>
      </c>
      <c r="D727" s="1" t="str">
        <f t="shared" si="2"/>
        <v>1</v>
      </c>
      <c r="E727" s="1" t="s">
        <v>1763</v>
      </c>
      <c r="G727" s="1">
        <f t="array" ref="G727">IF(ISNUMBER(MATCH(26909,Camille!$A:$A,0)), IF(OR(INDEX(Camille!$D:$D,MATCH(26909,Camille!$A:$A,0))=1, INDEX(Camille!$D:$D,MATCH(26909,Camille!$A:$A,0))=2), INDEX(Camille!$D:$D,MATCH(26909,Camille!$A:$A,0)), 0), 0)</f>
        <v>0</v>
      </c>
      <c r="H727" s="1">
        <f t="array" ref="H727">IF(ISNUMBER(MATCH(26909,Telmo!$A:$A,0)), IF(OR(INDEX(Telmo!$D:$D,MATCH(26909,Telmo!$A:$A,0))=1, INDEX(Telmo!$D:$D,MATCH(26909,Telmo!$A:$A,0))=2), INDEX(Telmo!$D:$D,MATCH(26909,Telmo!$A:$A,0)), 0), 0)</f>
        <v>1</v>
      </c>
      <c r="I727" s="1">
        <f t="array" ref="I727">IF(ISNUMBER(MATCH(26909,Max!$A:$A,0)), IF(OR(INDEX(Max!$D:$D,MATCH(26909,Max!$A:$A,0))=1, INDEX(Max!$D:$D,MATCH(26909,Max!$A:$A,0))=2), INDEX(Max!$D:$D,MATCH(26909,Max!$A:$A,0)), 0), 0)</f>
        <v>0</v>
      </c>
    </row>
    <row r="728" spans="1:9" ht="15.75" customHeight="1" x14ac:dyDescent="0.2">
      <c r="A728" s="1">
        <v>2172</v>
      </c>
      <c r="B728" s="1" t="s">
        <v>1764</v>
      </c>
      <c r="C728" s="1" t="s">
        <v>1765</v>
      </c>
      <c r="D728" s="1" t="str">
        <f t="shared" si="2"/>
        <v>1</v>
      </c>
      <c r="E728" s="1" t="s">
        <v>1766</v>
      </c>
      <c r="G728" s="1">
        <f t="array" ref="G728">IF(ISNUMBER(MATCH(2172,Camille!$A:$A,0)), IF(OR(INDEX(Camille!$D:$D,MATCH(2172,Camille!$A:$A,0))=1, INDEX(Camille!$D:$D,MATCH(2172,Camille!$A:$A,0))=2), INDEX(Camille!$D:$D,MATCH(2172,Camille!$A:$A,0)), 0), 0)</f>
        <v>0</v>
      </c>
      <c r="H728" s="1">
        <f t="array" ref="H728">IF(ISNUMBER(MATCH(2172,Telmo!$A:$A,0)), IF(OR(INDEX(Telmo!$D:$D,MATCH(2172,Telmo!$A:$A,0))=1, INDEX(Telmo!$D:$D,MATCH(2172,Telmo!$A:$A,0))=2), INDEX(Telmo!$D:$D,MATCH(2172,Telmo!$A:$A,0)), 0), 0)</f>
        <v>1</v>
      </c>
      <c r="I728" s="1">
        <f t="array" ref="I728">IF(ISNUMBER(MATCH(2172,Max!$A:$A,0)), IF(OR(INDEX(Max!$D:$D,MATCH(2172,Max!$A:$A,0))=1, INDEX(Max!$D:$D,MATCH(2172,Max!$A:$A,0))=2), INDEX(Max!$D:$D,MATCH(2172,Max!$A:$A,0)), 0), 0)</f>
        <v>0</v>
      </c>
    </row>
    <row r="729" spans="1:9" ht="15.75" customHeight="1" x14ac:dyDescent="0.2">
      <c r="A729" s="1">
        <v>34807</v>
      </c>
      <c r="B729" s="1" t="s">
        <v>357</v>
      </c>
      <c r="C729" s="1" t="s">
        <v>1767</v>
      </c>
      <c r="D729" s="1" t="str">
        <f t="shared" si="2"/>
        <v>2</v>
      </c>
      <c r="E729" s="1" t="s">
        <v>1768</v>
      </c>
      <c r="G729" s="1">
        <f t="array" ref="G729">IF(ISNUMBER(MATCH(34807,Camille!$A:$A,0)), IF(OR(INDEX(Camille!$D:$D,MATCH(34807,Camille!$A:$A,0))=1, INDEX(Camille!$D:$D,MATCH(34807,Camille!$A:$A,0))=2), INDEX(Camille!$D:$D,MATCH(34807,Camille!$A:$A,0)), 0), 0)</f>
        <v>0</v>
      </c>
      <c r="H729" s="1">
        <f t="array" ref="H729">IF(ISNUMBER(MATCH(34807,Telmo!$A:$A,0)), IF(OR(INDEX(Telmo!$D:$D,MATCH(34807,Telmo!$A:$A,0))=1, INDEX(Telmo!$D:$D,MATCH(34807,Telmo!$A:$A,0))=2), INDEX(Telmo!$D:$D,MATCH(34807,Telmo!$A:$A,0)), 0), 0)</f>
        <v>2</v>
      </c>
      <c r="I729" s="1">
        <f t="array" ref="I729">IF(ISNUMBER(MATCH(34807,Max!$A:$A,0)), IF(OR(INDEX(Max!$D:$D,MATCH(34807,Max!$A:$A,0))=1, INDEX(Max!$D:$D,MATCH(34807,Max!$A:$A,0))=2), INDEX(Max!$D:$D,MATCH(34807,Max!$A:$A,0)), 0), 0)</f>
        <v>0</v>
      </c>
    </row>
    <row r="730" spans="1:9" ht="15.75" customHeight="1" x14ac:dyDescent="0.2">
      <c r="A730" s="1">
        <v>36643</v>
      </c>
      <c r="B730" s="1" t="s">
        <v>103</v>
      </c>
      <c r="C730" s="1" t="s">
        <v>1769</v>
      </c>
      <c r="D730" s="1" t="str">
        <f t="shared" si="2"/>
        <v>2</v>
      </c>
      <c r="E730" s="1" t="s">
        <v>1770</v>
      </c>
      <c r="G730" s="1">
        <f t="array" ref="G730">IF(ISNUMBER(MATCH(36643,Camille!$A:$A,0)), IF(OR(INDEX(Camille!$D:$D,MATCH(36643,Camille!$A:$A,0))=1, INDEX(Camille!$D:$D,MATCH(36643,Camille!$A:$A,0))=2), INDEX(Camille!$D:$D,MATCH(36643,Camille!$A:$A,0)), 0), 0)</f>
        <v>0</v>
      </c>
      <c r="H730" s="1">
        <f t="array" ref="H730">IF(ISNUMBER(MATCH(36643,Telmo!$A:$A,0)), IF(OR(INDEX(Telmo!$D:$D,MATCH(36643,Telmo!$A:$A,0))=1, INDEX(Telmo!$D:$D,MATCH(36643,Telmo!$A:$A,0))=2), INDEX(Telmo!$D:$D,MATCH(36643,Telmo!$A:$A,0)), 0), 0)</f>
        <v>2</v>
      </c>
      <c r="I730" s="1">
        <f t="array" ref="I730">IF(ISNUMBER(MATCH(36643,Max!$A:$A,0)), IF(OR(INDEX(Max!$D:$D,MATCH(36643,Max!$A:$A,0))=1, INDEX(Max!$D:$D,MATCH(36643,Max!$A:$A,0))=2), INDEX(Max!$D:$D,MATCH(36643,Max!$A:$A,0)), 0), 0)</f>
        <v>0</v>
      </c>
    </row>
    <row r="731" spans="1:9" ht="15.75" customHeight="1" x14ac:dyDescent="0.2">
      <c r="A731" s="1">
        <v>11113</v>
      </c>
      <c r="B731" s="1" t="s">
        <v>172</v>
      </c>
      <c r="C731" s="1" t="s">
        <v>1771</v>
      </c>
      <c r="D731" s="1" t="str">
        <f t="shared" si="2"/>
        <v>2</v>
      </c>
      <c r="E731" s="1" t="s">
        <v>1772</v>
      </c>
      <c r="G731" s="1">
        <f t="array" ref="G731">IF(ISNUMBER(MATCH(11113,Camille!$A:$A,0)), IF(OR(INDEX(Camille!$D:$D,MATCH(11113,Camille!$A:$A,0))=1, INDEX(Camille!$D:$D,MATCH(11113,Camille!$A:$A,0))=2), INDEX(Camille!$D:$D,MATCH(11113,Camille!$A:$A,0)), 0), 0)</f>
        <v>0</v>
      </c>
      <c r="H731" s="1">
        <f t="array" ref="H731">IF(ISNUMBER(MATCH(11113,Telmo!$A:$A,0)), IF(OR(INDEX(Telmo!$D:$D,MATCH(11113,Telmo!$A:$A,0))=1, INDEX(Telmo!$D:$D,MATCH(11113,Telmo!$A:$A,0))=2), INDEX(Telmo!$D:$D,MATCH(11113,Telmo!$A:$A,0)), 0), 0)</f>
        <v>2</v>
      </c>
      <c r="I731" s="1">
        <f t="array" ref="I731">IF(ISNUMBER(MATCH(11113,Max!$A:$A,0)), IF(OR(INDEX(Max!$D:$D,MATCH(11113,Max!$A:$A,0))=1, INDEX(Max!$D:$D,MATCH(11113,Max!$A:$A,0))=2), INDEX(Max!$D:$D,MATCH(11113,Max!$A:$A,0)), 0), 0)</f>
        <v>0</v>
      </c>
    </row>
    <row r="732" spans="1:9" ht="15.75" customHeight="1" x14ac:dyDescent="0.2">
      <c r="A732" s="1">
        <v>23737</v>
      </c>
      <c r="B732" s="1" t="s">
        <v>466</v>
      </c>
      <c r="C732" s="1" t="s">
        <v>1773</v>
      </c>
      <c r="D732" s="1" t="str">
        <f t="shared" si="2"/>
        <v>1</v>
      </c>
      <c r="E732" s="1" t="s">
        <v>1774</v>
      </c>
      <c r="G732" s="1">
        <f t="array" ref="G732">IF(ISNUMBER(MATCH(23737,Camille!$A:$A,0)), IF(OR(INDEX(Camille!$D:$D,MATCH(23737,Camille!$A:$A,0))=1, INDEX(Camille!$D:$D,MATCH(23737,Camille!$A:$A,0))=2), INDEX(Camille!$D:$D,MATCH(23737,Camille!$A:$A,0)), 0), 0)</f>
        <v>0</v>
      </c>
      <c r="H732" s="1">
        <f t="array" ref="H732">IF(ISNUMBER(MATCH(23737,Telmo!$A:$A,0)), IF(OR(INDEX(Telmo!$D:$D,MATCH(23737,Telmo!$A:$A,0))=1, INDEX(Telmo!$D:$D,MATCH(23737,Telmo!$A:$A,0))=2), INDEX(Telmo!$D:$D,MATCH(23737,Telmo!$A:$A,0)), 0), 0)</f>
        <v>1</v>
      </c>
      <c r="I732" s="1">
        <f t="array" ref="I732">IF(ISNUMBER(MATCH(23737,Max!$A:$A,0)), IF(OR(INDEX(Max!$D:$D,MATCH(23737,Max!$A:$A,0))=1, INDEX(Max!$D:$D,MATCH(23737,Max!$A:$A,0))=2), INDEX(Max!$D:$D,MATCH(23737,Max!$A:$A,0)), 0), 0)</f>
        <v>0</v>
      </c>
    </row>
    <row r="733" spans="1:9" ht="15.75" customHeight="1" x14ac:dyDescent="0.2">
      <c r="A733" s="1">
        <v>71312</v>
      </c>
      <c r="B733" s="1" t="s">
        <v>153</v>
      </c>
      <c r="C733" s="1" t="s">
        <v>1775</v>
      </c>
      <c r="D733" s="1" t="str">
        <f t="shared" si="2"/>
        <v>2</v>
      </c>
      <c r="E733" s="1" t="s">
        <v>1776</v>
      </c>
      <c r="G733" s="1">
        <f t="array" ref="G733">IF(ISNUMBER(MATCH(71312,Camille!$A:$A,0)), IF(OR(INDEX(Camille!$D:$D,MATCH(71312,Camille!$A:$A,0))=1, INDEX(Camille!$D:$D,MATCH(71312,Camille!$A:$A,0))=2), INDEX(Camille!$D:$D,MATCH(71312,Camille!$A:$A,0)), 0), 0)</f>
        <v>0</v>
      </c>
      <c r="H733" s="1">
        <f t="array" ref="H733">IF(ISNUMBER(MATCH(71312,Telmo!$A:$A,0)), IF(OR(INDEX(Telmo!$D:$D,MATCH(71312,Telmo!$A:$A,0))=1, INDEX(Telmo!$D:$D,MATCH(71312,Telmo!$A:$A,0))=2), INDEX(Telmo!$D:$D,MATCH(71312,Telmo!$A:$A,0)), 0), 0)</f>
        <v>2</v>
      </c>
      <c r="I733" s="1">
        <f t="array" ref="I733">IF(ISNUMBER(MATCH(71312,Max!$A:$A,0)), IF(OR(INDEX(Max!$D:$D,MATCH(71312,Max!$A:$A,0))=1, INDEX(Max!$D:$D,MATCH(71312,Max!$A:$A,0))=2), INDEX(Max!$D:$D,MATCH(71312,Max!$A:$A,0)), 0), 0)</f>
        <v>0</v>
      </c>
    </row>
    <row r="734" spans="1:9" ht="15.75" customHeight="1" x14ac:dyDescent="0.2">
      <c r="A734" s="1">
        <v>59296</v>
      </c>
      <c r="B734" s="1" t="s">
        <v>194</v>
      </c>
      <c r="C734" s="1" t="s">
        <v>1777</v>
      </c>
      <c r="D734" s="1" t="str">
        <f t="shared" si="2"/>
        <v>2</v>
      </c>
      <c r="E734" s="1" t="s">
        <v>1778</v>
      </c>
      <c r="G734" s="1">
        <f t="array" ref="G734">IF(ISNUMBER(MATCH(59296,Camille!$A:$A,0)), IF(OR(INDEX(Camille!$D:$D,MATCH(59296,Camille!$A:$A,0))=1, INDEX(Camille!$D:$D,MATCH(59296,Camille!$A:$A,0))=2), INDEX(Camille!$D:$D,MATCH(59296,Camille!$A:$A,0)), 0), 0)</f>
        <v>0</v>
      </c>
      <c r="H734" s="1">
        <f t="array" ref="H734">IF(ISNUMBER(MATCH(59296,Telmo!$A:$A,0)), IF(OR(INDEX(Telmo!$D:$D,MATCH(59296,Telmo!$A:$A,0))=1, INDEX(Telmo!$D:$D,MATCH(59296,Telmo!$A:$A,0))=2), INDEX(Telmo!$D:$D,MATCH(59296,Telmo!$A:$A,0)), 0), 0)</f>
        <v>2</v>
      </c>
      <c r="I734" s="1">
        <f t="array" ref="I734">IF(ISNUMBER(MATCH(59296,Max!$A:$A,0)), IF(OR(INDEX(Max!$D:$D,MATCH(59296,Max!$A:$A,0))=1, INDEX(Max!$D:$D,MATCH(59296,Max!$A:$A,0))=2), INDEX(Max!$D:$D,MATCH(59296,Max!$A:$A,0)), 0), 0)</f>
        <v>0</v>
      </c>
    </row>
    <row r="735" spans="1:9" ht="15.75" customHeight="1" x14ac:dyDescent="0.2">
      <c r="A735" s="1">
        <v>3762</v>
      </c>
      <c r="B735" s="1" t="s">
        <v>191</v>
      </c>
      <c r="C735" s="1" t="s">
        <v>1779</v>
      </c>
      <c r="D735" s="1" t="str">
        <f t="shared" si="2"/>
        <v>1</v>
      </c>
      <c r="E735" s="1" t="s">
        <v>1780</v>
      </c>
      <c r="G735" s="1">
        <f t="array" ref="G735">IF(ISNUMBER(MATCH(3762,Camille!$A:$A,0)), IF(OR(INDEX(Camille!$D:$D,MATCH(3762,Camille!$A:$A,0))=1, INDEX(Camille!$D:$D,MATCH(3762,Camille!$A:$A,0))=2), INDEX(Camille!$D:$D,MATCH(3762,Camille!$A:$A,0)), 0), 0)</f>
        <v>0</v>
      </c>
      <c r="H735" s="1">
        <f t="array" ref="H735">IF(ISNUMBER(MATCH(3762,Telmo!$A:$A,0)), IF(OR(INDEX(Telmo!$D:$D,MATCH(3762,Telmo!$A:$A,0))=1, INDEX(Telmo!$D:$D,MATCH(3762,Telmo!$A:$A,0))=2), INDEX(Telmo!$D:$D,MATCH(3762,Telmo!$A:$A,0)), 0), 0)</f>
        <v>1</v>
      </c>
      <c r="I735" s="1">
        <f t="array" ref="I735">IF(ISNUMBER(MATCH(3762,Max!$A:$A,0)), IF(OR(INDEX(Max!$D:$D,MATCH(3762,Max!$A:$A,0))=1, INDEX(Max!$D:$D,MATCH(3762,Max!$A:$A,0))=2), INDEX(Max!$D:$D,MATCH(3762,Max!$A:$A,0)), 0), 0)</f>
        <v>0</v>
      </c>
    </row>
    <row r="736" spans="1:9" ht="15.75" customHeight="1" x14ac:dyDescent="0.2">
      <c r="A736" s="1">
        <v>54679</v>
      </c>
      <c r="B736" s="1" t="s">
        <v>14</v>
      </c>
      <c r="C736" s="1" t="s">
        <v>1781</v>
      </c>
      <c r="D736" s="1" t="str">
        <f t="shared" si="2"/>
        <v>1</v>
      </c>
      <c r="E736" s="1" t="s">
        <v>1782</v>
      </c>
      <c r="G736" s="1">
        <f t="array" ref="G736">IF(ISNUMBER(MATCH(54679,Camille!$A:$A,0)), IF(OR(INDEX(Camille!$D:$D,MATCH(54679,Camille!$A:$A,0))=1, INDEX(Camille!$D:$D,MATCH(54679,Camille!$A:$A,0))=2), INDEX(Camille!$D:$D,MATCH(54679,Camille!$A:$A,0)), 0), 0)</f>
        <v>0</v>
      </c>
      <c r="H736" s="1">
        <f t="array" ref="H736">IF(ISNUMBER(MATCH(54679,Telmo!$A:$A,0)), IF(OR(INDEX(Telmo!$D:$D,MATCH(54679,Telmo!$A:$A,0))=1, INDEX(Telmo!$D:$D,MATCH(54679,Telmo!$A:$A,0))=2), INDEX(Telmo!$D:$D,MATCH(54679,Telmo!$A:$A,0)), 0), 0)</f>
        <v>1</v>
      </c>
      <c r="I736" s="1">
        <f t="array" ref="I736">IF(ISNUMBER(MATCH(54679,Max!$A:$A,0)), IF(OR(INDEX(Max!$D:$D,MATCH(54679,Max!$A:$A,0))=1, INDEX(Max!$D:$D,MATCH(54679,Max!$A:$A,0))=2), INDEX(Max!$D:$D,MATCH(54679,Max!$A:$A,0)), 0), 0)</f>
        <v>0</v>
      </c>
    </row>
    <row r="737" spans="1:9" ht="15.75" customHeight="1" x14ac:dyDescent="0.2">
      <c r="A737" s="1">
        <v>48044</v>
      </c>
      <c r="B737" s="1" t="s">
        <v>506</v>
      </c>
      <c r="C737" s="1" t="s">
        <v>1783</v>
      </c>
      <c r="D737" s="1" t="str">
        <f t="shared" si="2"/>
        <v>2</v>
      </c>
      <c r="E737" s="1" t="s">
        <v>1784</v>
      </c>
      <c r="G737" s="1">
        <f t="array" ref="G737">IF(ISNUMBER(MATCH(48044,Camille!$A:$A,0)), IF(OR(INDEX(Camille!$D:$D,MATCH(48044,Camille!$A:$A,0))=1, INDEX(Camille!$D:$D,MATCH(48044,Camille!$A:$A,0))=2), INDEX(Camille!$D:$D,MATCH(48044,Camille!$A:$A,0)), 0), 0)</f>
        <v>0</v>
      </c>
      <c r="H737" s="1">
        <f t="array" ref="H737">IF(ISNUMBER(MATCH(48044,Telmo!$A:$A,0)), IF(OR(INDEX(Telmo!$D:$D,MATCH(48044,Telmo!$A:$A,0))=1, INDEX(Telmo!$D:$D,MATCH(48044,Telmo!$A:$A,0))=2), INDEX(Telmo!$D:$D,MATCH(48044,Telmo!$A:$A,0)), 0), 0)</f>
        <v>2</v>
      </c>
      <c r="I737" s="1">
        <f t="array" ref="I737">IF(ISNUMBER(MATCH(48044,Max!$A:$A,0)), IF(OR(INDEX(Max!$D:$D,MATCH(48044,Max!$A:$A,0))=1, INDEX(Max!$D:$D,MATCH(48044,Max!$A:$A,0))=2), INDEX(Max!$D:$D,MATCH(48044,Max!$A:$A,0)), 0), 0)</f>
        <v>0</v>
      </c>
    </row>
    <row r="738" spans="1:9" ht="15.75" customHeight="1" x14ac:dyDescent="0.2">
      <c r="A738" s="1">
        <v>67501</v>
      </c>
      <c r="B738" s="1" t="s">
        <v>1785</v>
      </c>
      <c r="C738" s="1" t="s">
        <v>1786</v>
      </c>
      <c r="D738" s="1" t="str">
        <f t="shared" si="2"/>
        <v>2</v>
      </c>
      <c r="E738" s="1" t="s">
        <v>1787</v>
      </c>
      <c r="G738" s="1">
        <f t="array" ref="G738">IF(ISNUMBER(MATCH(67501,Camille!$A:$A,0)), IF(OR(INDEX(Camille!$D:$D,MATCH(67501,Camille!$A:$A,0))=1, INDEX(Camille!$D:$D,MATCH(67501,Camille!$A:$A,0))=2), INDEX(Camille!$D:$D,MATCH(67501,Camille!$A:$A,0)), 0), 0)</f>
        <v>0</v>
      </c>
      <c r="H738" s="1">
        <f t="array" ref="H738">IF(ISNUMBER(MATCH(67501,Telmo!$A:$A,0)), IF(OR(INDEX(Telmo!$D:$D,MATCH(67501,Telmo!$A:$A,0))=1, INDEX(Telmo!$D:$D,MATCH(67501,Telmo!$A:$A,0))=2), INDEX(Telmo!$D:$D,MATCH(67501,Telmo!$A:$A,0)), 0), 0)</f>
        <v>2</v>
      </c>
      <c r="I738" s="1">
        <f t="array" ref="I738">IF(ISNUMBER(MATCH(67501,Max!$A:$A,0)), IF(OR(INDEX(Max!$D:$D,MATCH(67501,Max!$A:$A,0))=1, INDEX(Max!$D:$D,MATCH(67501,Max!$A:$A,0))=2), INDEX(Max!$D:$D,MATCH(67501,Max!$A:$A,0)), 0), 0)</f>
        <v>0</v>
      </c>
    </row>
    <row r="739" spans="1:9" ht="15.75" customHeight="1" x14ac:dyDescent="0.2">
      <c r="A739" s="1">
        <v>20062</v>
      </c>
      <c r="B739" s="1" t="s">
        <v>1788</v>
      </c>
      <c r="C739" s="1" t="s">
        <v>1789</v>
      </c>
      <c r="D739" s="1" t="str">
        <f t="shared" si="2"/>
        <v>2</v>
      </c>
      <c r="E739" s="1" t="s">
        <v>1790</v>
      </c>
      <c r="G739" s="1">
        <f t="array" ref="G739">IF(ISNUMBER(MATCH(20062,Camille!$A:$A,0)), IF(OR(INDEX(Camille!$D:$D,MATCH(20062,Camille!$A:$A,0))=1, INDEX(Camille!$D:$D,MATCH(20062,Camille!$A:$A,0))=2), INDEX(Camille!$D:$D,MATCH(20062,Camille!$A:$A,0)), 0), 0)</f>
        <v>0</v>
      </c>
      <c r="H739" s="1">
        <f t="array" ref="H739">IF(ISNUMBER(MATCH(20062,Telmo!$A:$A,0)), IF(OR(INDEX(Telmo!$D:$D,MATCH(20062,Telmo!$A:$A,0))=1, INDEX(Telmo!$D:$D,MATCH(20062,Telmo!$A:$A,0))=2), INDEX(Telmo!$D:$D,MATCH(20062,Telmo!$A:$A,0)), 0), 0)</f>
        <v>2</v>
      </c>
      <c r="I739" s="1">
        <f t="array" ref="I739">IF(ISNUMBER(MATCH(20062,Max!$A:$A,0)), IF(OR(INDEX(Max!$D:$D,MATCH(20062,Max!$A:$A,0))=1, INDEX(Max!$D:$D,MATCH(20062,Max!$A:$A,0))=2), INDEX(Max!$D:$D,MATCH(20062,Max!$A:$A,0)), 0), 0)</f>
        <v>0</v>
      </c>
    </row>
    <row r="740" spans="1:9" ht="15.75" customHeight="1" x14ac:dyDescent="0.2">
      <c r="A740" s="1">
        <v>38833</v>
      </c>
      <c r="B740" s="1" t="s">
        <v>14</v>
      </c>
      <c r="C740" s="1" t="s">
        <v>1791</v>
      </c>
      <c r="D740" s="1" t="str">
        <f t="shared" si="2"/>
        <v>2</v>
      </c>
      <c r="E740" s="1" t="s">
        <v>1792</v>
      </c>
      <c r="G740" s="1">
        <f t="array" ref="G740">IF(ISNUMBER(MATCH(38833,Camille!$A:$A,0)), IF(OR(INDEX(Camille!$D:$D,MATCH(38833,Camille!$A:$A,0))=1, INDEX(Camille!$D:$D,MATCH(38833,Camille!$A:$A,0))=2), INDEX(Camille!$D:$D,MATCH(38833,Camille!$A:$A,0)), 0), 0)</f>
        <v>0</v>
      </c>
      <c r="H740" s="1">
        <f t="array" ref="H740">IF(ISNUMBER(MATCH(38833,Telmo!$A:$A,0)), IF(OR(INDEX(Telmo!$D:$D,MATCH(38833,Telmo!$A:$A,0))=1, INDEX(Telmo!$D:$D,MATCH(38833,Telmo!$A:$A,0))=2), INDEX(Telmo!$D:$D,MATCH(38833,Telmo!$A:$A,0)), 0), 0)</f>
        <v>2</v>
      </c>
      <c r="I740" s="1">
        <f t="array" ref="I740">IF(ISNUMBER(MATCH(38833,Max!$A:$A,0)), IF(OR(INDEX(Max!$D:$D,MATCH(38833,Max!$A:$A,0))=1, INDEX(Max!$D:$D,MATCH(38833,Max!$A:$A,0))=2), INDEX(Max!$D:$D,MATCH(38833,Max!$A:$A,0)), 0), 0)</f>
        <v>0</v>
      </c>
    </row>
    <row r="741" spans="1:9" ht="15.75" customHeight="1" x14ac:dyDescent="0.2">
      <c r="A741" s="1">
        <v>58050</v>
      </c>
      <c r="B741" s="1" t="s">
        <v>254</v>
      </c>
      <c r="C741" s="1" t="s">
        <v>1793</v>
      </c>
      <c r="D741" s="1" t="str">
        <f t="shared" si="2"/>
        <v>1</v>
      </c>
      <c r="E741" s="1" t="s">
        <v>1794</v>
      </c>
      <c r="G741" s="1">
        <f t="array" ref="G741">IF(ISNUMBER(MATCH(58050,Camille!$A:$A,0)), IF(OR(INDEX(Camille!$D:$D,MATCH(58050,Camille!$A:$A,0))=1, INDEX(Camille!$D:$D,MATCH(58050,Camille!$A:$A,0))=2), INDEX(Camille!$D:$D,MATCH(58050,Camille!$A:$A,0)), 0), 0)</f>
        <v>0</v>
      </c>
      <c r="H741" s="1">
        <f t="array" ref="H741">IF(ISNUMBER(MATCH(58050,Telmo!$A:$A,0)), IF(OR(INDEX(Telmo!$D:$D,MATCH(58050,Telmo!$A:$A,0))=1, INDEX(Telmo!$D:$D,MATCH(58050,Telmo!$A:$A,0))=2), INDEX(Telmo!$D:$D,MATCH(58050,Telmo!$A:$A,0)), 0), 0)</f>
        <v>1</v>
      </c>
      <c r="I741" s="1">
        <f t="array" ref="I741">IF(ISNUMBER(MATCH(58050,Max!$A:$A,0)), IF(OR(INDEX(Max!$D:$D,MATCH(58050,Max!$A:$A,0))=1, INDEX(Max!$D:$D,MATCH(58050,Max!$A:$A,0))=2), INDEX(Max!$D:$D,MATCH(58050,Max!$A:$A,0)), 0), 0)</f>
        <v>0</v>
      </c>
    </row>
    <row r="742" spans="1:9" ht="15.75" customHeight="1" x14ac:dyDescent="0.2">
      <c r="A742" s="1">
        <v>51683</v>
      </c>
      <c r="B742" s="1" t="s">
        <v>172</v>
      </c>
      <c r="C742" s="1" t="s">
        <v>1795</v>
      </c>
      <c r="D742" s="1" t="str">
        <f t="shared" si="2"/>
        <v>2</v>
      </c>
      <c r="E742" s="1" t="s">
        <v>1796</v>
      </c>
      <c r="G742" s="1">
        <f t="array" ref="G742">IF(ISNUMBER(MATCH(51683,Camille!$A:$A,0)), IF(OR(INDEX(Camille!$D:$D,MATCH(51683,Camille!$A:$A,0))=1, INDEX(Camille!$D:$D,MATCH(51683,Camille!$A:$A,0))=2), INDEX(Camille!$D:$D,MATCH(51683,Camille!$A:$A,0)), 0), 0)</f>
        <v>0</v>
      </c>
      <c r="H742" s="1">
        <f t="array" ref="H742">IF(ISNUMBER(MATCH(51683,Telmo!$A:$A,0)), IF(OR(INDEX(Telmo!$D:$D,MATCH(51683,Telmo!$A:$A,0))=1, INDEX(Telmo!$D:$D,MATCH(51683,Telmo!$A:$A,0))=2), INDEX(Telmo!$D:$D,MATCH(51683,Telmo!$A:$A,0)), 0), 0)</f>
        <v>2</v>
      </c>
      <c r="I742" s="1">
        <f t="array" ref="I742">IF(ISNUMBER(MATCH(51683,Max!$A:$A,0)), IF(OR(INDEX(Max!$D:$D,MATCH(51683,Max!$A:$A,0))=1, INDEX(Max!$D:$D,MATCH(51683,Max!$A:$A,0))=2), INDEX(Max!$D:$D,MATCH(51683,Max!$A:$A,0)), 0), 0)</f>
        <v>0</v>
      </c>
    </row>
    <row r="743" spans="1:9" ht="15.75" customHeight="1" x14ac:dyDescent="0.2">
      <c r="A743" s="1">
        <v>35891</v>
      </c>
      <c r="B743" s="1" t="s">
        <v>490</v>
      </c>
      <c r="C743" s="1" t="s">
        <v>1797</v>
      </c>
      <c r="D743" s="1" t="str">
        <f t="shared" si="2"/>
        <v>1</v>
      </c>
      <c r="E743" s="1" t="s">
        <v>1798</v>
      </c>
      <c r="G743" s="1">
        <f t="array" ref="G743">IF(ISNUMBER(MATCH(35891,Camille!$A:$A,0)), IF(OR(INDEX(Camille!$D:$D,MATCH(35891,Camille!$A:$A,0))=1, INDEX(Camille!$D:$D,MATCH(35891,Camille!$A:$A,0))=2), INDEX(Camille!$D:$D,MATCH(35891,Camille!$A:$A,0)), 0), 0)</f>
        <v>0</v>
      </c>
      <c r="H743" s="1">
        <f t="array" ref="H743">IF(ISNUMBER(MATCH(35891,Telmo!$A:$A,0)), IF(OR(INDEX(Telmo!$D:$D,MATCH(35891,Telmo!$A:$A,0))=1, INDEX(Telmo!$D:$D,MATCH(35891,Telmo!$A:$A,0))=2), INDEX(Telmo!$D:$D,MATCH(35891,Telmo!$A:$A,0)), 0), 0)</f>
        <v>1</v>
      </c>
      <c r="I743" s="1">
        <f t="array" ref="I743">IF(ISNUMBER(MATCH(35891,Max!$A:$A,0)), IF(OR(INDEX(Max!$D:$D,MATCH(35891,Max!$A:$A,0))=1, INDEX(Max!$D:$D,MATCH(35891,Max!$A:$A,0))=2), INDEX(Max!$D:$D,MATCH(35891,Max!$A:$A,0)), 0), 0)</f>
        <v>0</v>
      </c>
    </row>
    <row r="744" spans="1:9" ht="15.75" customHeight="1" x14ac:dyDescent="0.2">
      <c r="A744" s="1">
        <v>20376</v>
      </c>
      <c r="B744" s="1" t="s">
        <v>838</v>
      </c>
      <c r="C744" s="1" t="s">
        <v>1799</v>
      </c>
      <c r="D744" s="1" t="str">
        <f t="shared" si="2"/>
        <v>1</v>
      </c>
      <c r="E744" s="1" t="s">
        <v>1800</v>
      </c>
      <c r="G744" s="1">
        <f t="array" ref="G744">IF(ISNUMBER(MATCH(20376,Camille!$A:$A,0)), IF(OR(INDEX(Camille!$D:$D,MATCH(20376,Camille!$A:$A,0))=1, INDEX(Camille!$D:$D,MATCH(20376,Camille!$A:$A,0))=2), INDEX(Camille!$D:$D,MATCH(20376,Camille!$A:$A,0)), 0), 0)</f>
        <v>0</v>
      </c>
      <c r="H744" s="1">
        <f t="array" ref="H744">IF(ISNUMBER(MATCH(20376,Telmo!$A:$A,0)), IF(OR(INDEX(Telmo!$D:$D,MATCH(20376,Telmo!$A:$A,0))=1, INDEX(Telmo!$D:$D,MATCH(20376,Telmo!$A:$A,0))=2), INDEX(Telmo!$D:$D,MATCH(20376,Telmo!$A:$A,0)), 0), 0)</f>
        <v>1</v>
      </c>
      <c r="I744" s="1">
        <f t="array" ref="I744">IF(ISNUMBER(MATCH(20376,Max!$A:$A,0)), IF(OR(INDEX(Max!$D:$D,MATCH(20376,Max!$A:$A,0))=1, INDEX(Max!$D:$D,MATCH(20376,Max!$A:$A,0))=2), INDEX(Max!$D:$D,MATCH(20376,Max!$A:$A,0)), 0), 0)</f>
        <v>0</v>
      </c>
    </row>
    <row r="745" spans="1:9" ht="15.75" customHeight="1" x14ac:dyDescent="0.2">
      <c r="A745" s="1">
        <v>53915</v>
      </c>
      <c r="B745" s="1" t="s">
        <v>791</v>
      </c>
      <c r="C745" s="1" t="s">
        <v>1801</v>
      </c>
      <c r="D745" s="1" t="str">
        <f t="shared" si="2"/>
        <v>2</v>
      </c>
      <c r="E745" s="1" t="s">
        <v>1802</v>
      </c>
      <c r="G745" s="1">
        <f t="array" ref="G745">IF(ISNUMBER(MATCH(53915,Camille!$A:$A,0)), IF(OR(INDEX(Camille!$D:$D,MATCH(53915,Camille!$A:$A,0))=1, INDEX(Camille!$D:$D,MATCH(53915,Camille!$A:$A,0))=2), INDEX(Camille!$D:$D,MATCH(53915,Camille!$A:$A,0)), 0), 0)</f>
        <v>0</v>
      </c>
      <c r="H745" s="1">
        <f t="array" ref="H745">IF(ISNUMBER(MATCH(53915,Telmo!$A:$A,0)), IF(OR(INDEX(Telmo!$D:$D,MATCH(53915,Telmo!$A:$A,0))=1, INDEX(Telmo!$D:$D,MATCH(53915,Telmo!$A:$A,0))=2), INDEX(Telmo!$D:$D,MATCH(53915,Telmo!$A:$A,0)), 0), 0)</f>
        <v>2</v>
      </c>
      <c r="I745" s="1">
        <f t="array" ref="I745">IF(ISNUMBER(MATCH(53915,Max!$A:$A,0)), IF(OR(INDEX(Max!$D:$D,MATCH(53915,Max!$A:$A,0))=1, INDEX(Max!$D:$D,MATCH(53915,Max!$A:$A,0))=2), INDEX(Max!$D:$D,MATCH(53915,Max!$A:$A,0)), 0), 0)</f>
        <v>0</v>
      </c>
    </row>
    <row r="746" spans="1:9" ht="15.75" customHeight="1" x14ac:dyDescent="0.2">
      <c r="A746" s="1">
        <v>7430</v>
      </c>
      <c r="B746" s="1" t="s">
        <v>1803</v>
      </c>
      <c r="C746" s="1" t="s">
        <v>1804</v>
      </c>
      <c r="D746" s="1" t="str">
        <f t="shared" si="2"/>
        <v>1</v>
      </c>
      <c r="E746" s="1" t="s">
        <v>1805</v>
      </c>
      <c r="G746" s="1">
        <f t="array" ref="G746">IF(ISNUMBER(MATCH(7430,Camille!$A:$A,0)), IF(OR(INDEX(Camille!$D:$D,MATCH(7430,Camille!$A:$A,0))=1, INDEX(Camille!$D:$D,MATCH(7430,Camille!$A:$A,0))=2), INDEX(Camille!$D:$D,MATCH(7430,Camille!$A:$A,0)), 0), 0)</f>
        <v>0</v>
      </c>
      <c r="H746" s="1">
        <f t="array" ref="H746">IF(ISNUMBER(MATCH(7430,Telmo!$A:$A,0)), IF(OR(INDEX(Telmo!$D:$D,MATCH(7430,Telmo!$A:$A,0))=1, INDEX(Telmo!$D:$D,MATCH(7430,Telmo!$A:$A,0))=2), INDEX(Telmo!$D:$D,MATCH(7430,Telmo!$A:$A,0)), 0), 0)</f>
        <v>1</v>
      </c>
      <c r="I746" s="1">
        <f t="array" ref="I746">IF(ISNUMBER(MATCH(7430,Max!$A:$A,0)), IF(OR(INDEX(Max!$D:$D,MATCH(7430,Max!$A:$A,0))=1, INDEX(Max!$D:$D,MATCH(7430,Max!$A:$A,0))=2), INDEX(Max!$D:$D,MATCH(7430,Max!$A:$A,0)), 0), 0)</f>
        <v>0</v>
      </c>
    </row>
    <row r="747" spans="1:9" ht="15.75" customHeight="1" x14ac:dyDescent="0.2">
      <c r="A747" s="1">
        <v>63534</v>
      </c>
      <c r="B747" s="1" t="s">
        <v>552</v>
      </c>
      <c r="C747" s="1" t="s">
        <v>1806</v>
      </c>
      <c r="D747" s="1" t="str">
        <f t="shared" si="2"/>
        <v>1</v>
      </c>
      <c r="E747" s="1" t="s">
        <v>1807</v>
      </c>
      <c r="G747" s="1">
        <f t="array" ref="G747">IF(ISNUMBER(MATCH(63534,Camille!$A:$A,0)), IF(OR(INDEX(Camille!$D:$D,MATCH(63534,Camille!$A:$A,0))=1, INDEX(Camille!$D:$D,MATCH(63534,Camille!$A:$A,0))=2), INDEX(Camille!$D:$D,MATCH(63534,Camille!$A:$A,0)), 0), 0)</f>
        <v>0</v>
      </c>
      <c r="H747" s="1">
        <f t="array" ref="H747">IF(ISNUMBER(MATCH(63534,Telmo!$A:$A,0)), IF(OR(INDEX(Telmo!$D:$D,MATCH(63534,Telmo!$A:$A,0))=1, INDEX(Telmo!$D:$D,MATCH(63534,Telmo!$A:$A,0))=2), INDEX(Telmo!$D:$D,MATCH(63534,Telmo!$A:$A,0)), 0), 0)</f>
        <v>1</v>
      </c>
      <c r="I747" s="1">
        <f t="array" ref="I747">IF(ISNUMBER(MATCH(63534,Max!$A:$A,0)), IF(OR(INDEX(Max!$D:$D,MATCH(63534,Max!$A:$A,0))=1, INDEX(Max!$D:$D,MATCH(63534,Max!$A:$A,0))=2), INDEX(Max!$D:$D,MATCH(63534,Max!$A:$A,0)), 0), 0)</f>
        <v>0</v>
      </c>
    </row>
    <row r="748" spans="1:9" ht="15.75" customHeight="1" x14ac:dyDescent="0.2">
      <c r="A748" s="1">
        <v>23149</v>
      </c>
      <c r="B748" s="1" t="s">
        <v>1037</v>
      </c>
      <c r="C748" s="1" t="s">
        <v>1808</v>
      </c>
      <c r="D748" s="1" t="str">
        <f t="shared" si="2"/>
        <v>1</v>
      </c>
      <c r="E748" s="1" t="s">
        <v>1809</v>
      </c>
      <c r="G748" s="1">
        <f t="array" ref="G748">IF(ISNUMBER(MATCH(23149,Camille!$A:$A,0)), IF(OR(INDEX(Camille!$D:$D,MATCH(23149,Camille!$A:$A,0))=1, INDEX(Camille!$D:$D,MATCH(23149,Camille!$A:$A,0))=2), INDEX(Camille!$D:$D,MATCH(23149,Camille!$A:$A,0)), 0), 0)</f>
        <v>0</v>
      </c>
      <c r="H748" s="1">
        <f t="array" ref="H748">IF(ISNUMBER(MATCH(23149,Telmo!$A:$A,0)), IF(OR(INDEX(Telmo!$D:$D,MATCH(23149,Telmo!$A:$A,0))=1, INDEX(Telmo!$D:$D,MATCH(23149,Telmo!$A:$A,0))=2), INDEX(Telmo!$D:$D,MATCH(23149,Telmo!$A:$A,0)), 0), 0)</f>
        <v>1</v>
      </c>
      <c r="I748" s="1">
        <f t="array" ref="I748">IF(ISNUMBER(MATCH(23149,Max!$A:$A,0)), IF(OR(INDEX(Max!$D:$D,MATCH(23149,Max!$A:$A,0))=1, INDEX(Max!$D:$D,MATCH(23149,Max!$A:$A,0))=2), INDEX(Max!$D:$D,MATCH(23149,Max!$A:$A,0)), 0), 0)</f>
        <v>0</v>
      </c>
    </row>
    <row r="749" spans="1:9" ht="15.75" customHeight="1" x14ac:dyDescent="0.2">
      <c r="A749" s="1">
        <v>67359</v>
      </c>
      <c r="B749" s="1" t="s">
        <v>466</v>
      </c>
      <c r="C749" s="1" t="s">
        <v>1810</v>
      </c>
      <c r="D749" s="1" t="str">
        <f t="shared" si="2"/>
        <v>1</v>
      </c>
      <c r="E749" s="1" t="s">
        <v>1811</v>
      </c>
      <c r="G749" s="1">
        <f t="array" ref="G749">IF(ISNUMBER(MATCH(67359,Camille!$A:$A,0)), IF(OR(INDEX(Camille!$D:$D,MATCH(67359,Camille!$A:$A,0))=1, INDEX(Camille!$D:$D,MATCH(67359,Camille!$A:$A,0))=2), INDEX(Camille!$D:$D,MATCH(67359,Camille!$A:$A,0)), 0), 0)</f>
        <v>0</v>
      </c>
      <c r="H749" s="1">
        <f t="array" ref="H749">IF(ISNUMBER(MATCH(67359,Telmo!$A:$A,0)), IF(OR(INDEX(Telmo!$D:$D,MATCH(67359,Telmo!$A:$A,0))=1, INDEX(Telmo!$D:$D,MATCH(67359,Telmo!$A:$A,0))=2), INDEX(Telmo!$D:$D,MATCH(67359,Telmo!$A:$A,0)), 0), 0)</f>
        <v>1</v>
      </c>
      <c r="I749" s="1">
        <f t="array" ref="I749">IF(ISNUMBER(MATCH(67359,Max!$A:$A,0)), IF(OR(INDEX(Max!$D:$D,MATCH(67359,Max!$A:$A,0))=1, INDEX(Max!$D:$D,MATCH(67359,Max!$A:$A,0))=2), INDEX(Max!$D:$D,MATCH(67359,Max!$A:$A,0)), 0), 0)</f>
        <v>0</v>
      </c>
    </row>
    <row r="750" spans="1:9" ht="15.75" customHeight="1" x14ac:dyDescent="0.2">
      <c r="A750" s="1">
        <v>59096</v>
      </c>
      <c r="B750" s="1" t="s">
        <v>408</v>
      </c>
      <c r="C750" s="1" t="s">
        <v>1812</v>
      </c>
      <c r="D750" s="1" t="str">
        <f t="shared" si="2"/>
        <v>2</v>
      </c>
      <c r="E750" s="1" t="s">
        <v>1813</v>
      </c>
      <c r="G750" s="1">
        <f t="array" ref="G750">IF(ISNUMBER(MATCH(59096,Camille!$A:$A,0)), IF(OR(INDEX(Camille!$D:$D,MATCH(59096,Camille!$A:$A,0))=1, INDEX(Camille!$D:$D,MATCH(59096,Camille!$A:$A,0))=2), INDEX(Camille!$D:$D,MATCH(59096,Camille!$A:$A,0)), 0), 0)</f>
        <v>0</v>
      </c>
      <c r="H750" s="1">
        <f t="array" ref="H750">IF(ISNUMBER(MATCH(59096,Telmo!$A:$A,0)), IF(OR(INDEX(Telmo!$D:$D,MATCH(59096,Telmo!$A:$A,0))=1, INDEX(Telmo!$D:$D,MATCH(59096,Telmo!$A:$A,0))=2), INDEX(Telmo!$D:$D,MATCH(59096,Telmo!$A:$A,0)), 0), 0)</f>
        <v>2</v>
      </c>
      <c r="I750" s="1">
        <f t="array" ref="I750">IF(ISNUMBER(MATCH(59096,Max!$A:$A,0)), IF(OR(INDEX(Max!$D:$D,MATCH(59096,Max!$A:$A,0))=1, INDEX(Max!$D:$D,MATCH(59096,Max!$A:$A,0))=2), INDEX(Max!$D:$D,MATCH(59096,Max!$A:$A,0)), 0), 0)</f>
        <v>0</v>
      </c>
    </row>
    <row r="751" spans="1:9" ht="15.75" customHeight="1" x14ac:dyDescent="0.2">
      <c r="A751" s="1">
        <v>9695</v>
      </c>
      <c r="B751" s="1" t="s">
        <v>1814</v>
      </c>
      <c r="C751" s="1" t="s">
        <v>1815</v>
      </c>
      <c r="D751" s="1" t="str">
        <f t="shared" si="2"/>
        <v>2</v>
      </c>
      <c r="E751" s="1" t="s">
        <v>1816</v>
      </c>
      <c r="G751" s="1">
        <f t="array" ref="G751">IF(ISNUMBER(MATCH(9695,Camille!$A:$A,0)), IF(OR(INDEX(Camille!$D:$D,MATCH(9695,Camille!$A:$A,0))=1, INDEX(Camille!$D:$D,MATCH(9695,Camille!$A:$A,0))=2), INDEX(Camille!$D:$D,MATCH(9695,Camille!$A:$A,0)), 0), 0)</f>
        <v>0</v>
      </c>
      <c r="H751" s="1">
        <f t="array" ref="H751">IF(ISNUMBER(MATCH(9695,Telmo!$A:$A,0)), IF(OR(INDEX(Telmo!$D:$D,MATCH(9695,Telmo!$A:$A,0))=1, INDEX(Telmo!$D:$D,MATCH(9695,Telmo!$A:$A,0))=2), INDEX(Telmo!$D:$D,MATCH(9695,Telmo!$A:$A,0)), 0), 0)</f>
        <v>2</v>
      </c>
      <c r="I751" s="1">
        <f t="array" ref="I751">IF(ISNUMBER(MATCH(9695,Max!$A:$A,0)), IF(OR(INDEX(Max!$D:$D,MATCH(9695,Max!$A:$A,0))=1, INDEX(Max!$D:$D,MATCH(9695,Max!$A:$A,0))=2), INDEX(Max!$D:$D,MATCH(9695,Max!$A:$A,0)), 0), 0)</f>
        <v>0</v>
      </c>
    </row>
    <row r="752" spans="1:9" ht="15.75" customHeight="1" x14ac:dyDescent="0.2">
      <c r="A752" s="1">
        <v>38038</v>
      </c>
      <c r="B752" s="1" t="s">
        <v>185</v>
      </c>
      <c r="C752" s="1" t="s">
        <v>1817</v>
      </c>
      <c r="D752" s="1" t="str">
        <f t="shared" si="2"/>
        <v>2</v>
      </c>
      <c r="E752" s="1" t="s">
        <v>1818</v>
      </c>
      <c r="G752" s="1">
        <f t="array" ref="G752">IF(ISNUMBER(MATCH(38038,Camille!$A:$A,0)), IF(OR(INDEX(Camille!$D:$D,MATCH(38038,Camille!$A:$A,0))=1, INDEX(Camille!$D:$D,MATCH(38038,Camille!$A:$A,0))=2), INDEX(Camille!$D:$D,MATCH(38038,Camille!$A:$A,0)), 0), 0)</f>
        <v>0</v>
      </c>
      <c r="H752" s="1">
        <f t="array" ref="H752">IF(ISNUMBER(MATCH(38038,Telmo!$A:$A,0)), IF(OR(INDEX(Telmo!$D:$D,MATCH(38038,Telmo!$A:$A,0))=1, INDEX(Telmo!$D:$D,MATCH(38038,Telmo!$A:$A,0))=2), INDEX(Telmo!$D:$D,MATCH(38038,Telmo!$A:$A,0)), 0), 0)</f>
        <v>2</v>
      </c>
      <c r="I752" s="1">
        <f t="array" ref="I752">IF(ISNUMBER(MATCH(38038,Max!$A:$A,0)), IF(OR(INDEX(Max!$D:$D,MATCH(38038,Max!$A:$A,0))=1, INDEX(Max!$D:$D,MATCH(38038,Max!$A:$A,0))=2), INDEX(Max!$D:$D,MATCH(38038,Max!$A:$A,0)), 0), 0)</f>
        <v>0</v>
      </c>
    </row>
    <row r="753" spans="1:9" ht="15.75" customHeight="1" x14ac:dyDescent="0.2">
      <c r="A753" s="1">
        <v>54221</v>
      </c>
      <c r="B753" s="1" t="s">
        <v>1819</v>
      </c>
      <c r="C753" s="1" t="s">
        <v>1820</v>
      </c>
      <c r="D753" s="1" t="str">
        <f t="shared" si="2"/>
        <v>1</v>
      </c>
      <c r="E753" s="1" t="s">
        <v>1821</v>
      </c>
      <c r="G753" s="1">
        <f t="array" ref="G753">IF(ISNUMBER(MATCH(54221,Camille!$A:$A,0)), IF(OR(INDEX(Camille!$D:$D,MATCH(54221,Camille!$A:$A,0))=1, INDEX(Camille!$D:$D,MATCH(54221,Camille!$A:$A,0))=2), INDEX(Camille!$D:$D,MATCH(54221,Camille!$A:$A,0)), 0), 0)</f>
        <v>0</v>
      </c>
      <c r="H753" s="1">
        <f t="array" ref="H753">IF(ISNUMBER(MATCH(54221,Telmo!$A:$A,0)), IF(OR(INDEX(Telmo!$D:$D,MATCH(54221,Telmo!$A:$A,0))=1, INDEX(Telmo!$D:$D,MATCH(54221,Telmo!$A:$A,0))=2), INDEX(Telmo!$D:$D,MATCH(54221,Telmo!$A:$A,0)), 0), 0)</f>
        <v>1</v>
      </c>
      <c r="I753" s="1">
        <f t="array" ref="I753">IF(ISNUMBER(MATCH(54221,Max!$A:$A,0)), IF(OR(INDEX(Max!$D:$D,MATCH(54221,Max!$A:$A,0))=1, INDEX(Max!$D:$D,MATCH(54221,Max!$A:$A,0))=2), INDEX(Max!$D:$D,MATCH(54221,Max!$A:$A,0)), 0), 0)</f>
        <v>0</v>
      </c>
    </row>
    <row r="754" spans="1:9" ht="15.75" customHeight="1" x14ac:dyDescent="0.2">
      <c r="A754" s="1">
        <v>37634</v>
      </c>
      <c r="B754" s="1" t="s">
        <v>1822</v>
      </c>
      <c r="C754" s="1" t="s">
        <v>1823</v>
      </c>
      <c r="D754" s="1" t="str">
        <f t="shared" si="2"/>
        <v>2</v>
      </c>
      <c r="E754" s="1" t="s">
        <v>1824</v>
      </c>
      <c r="G754" s="1">
        <f t="array" ref="G754">IF(ISNUMBER(MATCH(37634,Camille!$A:$A,0)), IF(OR(INDEX(Camille!$D:$D,MATCH(37634,Camille!$A:$A,0))=1, INDEX(Camille!$D:$D,MATCH(37634,Camille!$A:$A,0))=2), INDEX(Camille!$D:$D,MATCH(37634,Camille!$A:$A,0)), 0), 0)</f>
        <v>0</v>
      </c>
      <c r="H754" s="1">
        <f t="array" ref="H754">IF(ISNUMBER(MATCH(37634,Telmo!$A:$A,0)), IF(OR(INDEX(Telmo!$D:$D,MATCH(37634,Telmo!$A:$A,0))=1, INDEX(Telmo!$D:$D,MATCH(37634,Telmo!$A:$A,0))=2), INDEX(Telmo!$D:$D,MATCH(37634,Telmo!$A:$A,0)), 0), 0)</f>
        <v>2</v>
      </c>
      <c r="I754" s="1">
        <f t="array" ref="I754">IF(ISNUMBER(MATCH(37634,Max!$A:$A,0)), IF(OR(INDEX(Max!$D:$D,MATCH(37634,Max!$A:$A,0))=1, INDEX(Max!$D:$D,MATCH(37634,Max!$A:$A,0))=2), INDEX(Max!$D:$D,MATCH(37634,Max!$A:$A,0)), 0), 0)</f>
        <v>0</v>
      </c>
    </row>
    <row r="755" spans="1:9" ht="15.75" customHeight="1" x14ac:dyDescent="0.2">
      <c r="A755" s="1">
        <v>13365</v>
      </c>
      <c r="B755" s="1" t="s">
        <v>1825</v>
      </c>
      <c r="C755" s="1" t="s">
        <v>1826</v>
      </c>
      <c r="D755" s="1" t="str">
        <f t="shared" si="2"/>
        <v>2</v>
      </c>
      <c r="E755" s="1" t="s">
        <v>1827</v>
      </c>
      <c r="G755" s="1">
        <f t="array" ref="G755">IF(ISNUMBER(MATCH(13365,Camille!$A:$A,0)), IF(OR(INDEX(Camille!$D:$D,MATCH(13365,Camille!$A:$A,0))=1, INDEX(Camille!$D:$D,MATCH(13365,Camille!$A:$A,0))=2), INDEX(Camille!$D:$D,MATCH(13365,Camille!$A:$A,0)), 0), 0)</f>
        <v>0</v>
      </c>
      <c r="H755" s="1">
        <f t="array" ref="H755">IF(ISNUMBER(MATCH(13365,Telmo!$A:$A,0)), IF(OR(INDEX(Telmo!$D:$D,MATCH(13365,Telmo!$A:$A,0))=1, INDEX(Telmo!$D:$D,MATCH(13365,Telmo!$A:$A,0))=2), INDEX(Telmo!$D:$D,MATCH(13365,Telmo!$A:$A,0)), 0), 0)</f>
        <v>2</v>
      </c>
      <c r="I755" s="1">
        <f t="array" ref="I755">IF(ISNUMBER(MATCH(13365,Max!$A:$A,0)), IF(OR(INDEX(Max!$D:$D,MATCH(13365,Max!$A:$A,0))=1, INDEX(Max!$D:$D,MATCH(13365,Max!$A:$A,0))=2), INDEX(Max!$D:$D,MATCH(13365,Max!$A:$A,0)), 0), 0)</f>
        <v>0</v>
      </c>
    </row>
    <row r="756" spans="1:9" ht="15.75" customHeight="1" x14ac:dyDescent="0.2">
      <c r="A756" s="1">
        <v>40649</v>
      </c>
      <c r="B756" s="1" t="s">
        <v>90</v>
      </c>
      <c r="C756" s="1" t="s">
        <v>1828</v>
      </c>
      <c r="D756" s="1" t="str">
        <f t="shared" si="2"/>
        <v>2</v>
      </c>
      <c r="E756" s="1" t="s">
        <v>1829</v>
      </c>
      <c r="G756" s="1">
        <f t="array" ref="G756">IF(ISNUMBER(MATCH(40649,Camille!$A:$A,0)), IF(OR(INDEX(Camille!$D:$D,MATCH(40649,Camille!$A:$A,0))=1, INDEX(Camille!$D:$D,MATCH(40649,Camille!$A:$A,0))=2), INDEX(Camille!$D:$D,MATCH(40649,Camille!$A:$A,0)), 0), 0)</f>
        <v>0</v>
      </c>
      <c r="H756" s="1">
        <f t="array" ref="H756">IF(ISNUMBER(MATCH(40649,Telmo!$A:$A,0)), IF(OR(INDEX(Telmo!$D:$D,MATCH(40649,Telmo!$A:$A,0))=1, INDEX(Telmo!$D:$D,MATCH(40649,Telmo!$A:$A,0))=2), INDEX(Telmo!$D:$D,MATCH(40649,Telmo!$A:$A,0)), 0), 0)</f>
        <v>2</v>
      </c>
      <c r="I756" s="1">
        <f t="array" ref="I756">IF(ISNUMBER(MATCH(40649,Max!$A:$A,0)), IF(OR(INDEX(Max!$D:$D,MATCH(40649,Max!$A:$A,0))=1, INDEX(Max!$D:$D,MATCH(40649,Max!$A:$A,0))=2), INDEX(Max!$D:$D,MATCH(40649,Max!$A:$A,0)), 0), 0)</f>
        <v>0</v>
      </c>
    </row>
    <row r="757" spans="1:9" ht="15.75" customHeight="1" x14ac:dyDescent="0.2">
      <c r="A757" s="1">
        <v>14732</v>
      </c>
      <c r="B757" s="1" t="s">
        <v>153</v>
      </c>
      <c r="C757" s="1" t="s">
        <v>1830</v>
      </c>
      <c r="D757" s="1" t="str">
        <f t="shared" si="2"/>
        <v>2</v>
      </c>
      <c r="E757" s="1" t="s">
        <v>1831</v>
      </c>
      <c r="G757" s="1">
        <f t="array" ref="G757">IF(ISNUMBER(MATCH(14732,Camille!$A:$A,0)), IF(OR(INDEX(Camille!$D:$D,MATCH(14732,Camille!$A:$A,0))=1, INDEX(Camille!$D:$D,MATCH(14732,Camille!$A:$A,0))=2), INDEX(Camille!$D:$D,MATCH(14732,Camille!$A:$A,0)), 0), 0)</f>
        <v>0</v>
      </c>
      <c r="H757" s="1">
        <f t="array" ref="H757">IF(ISNUMBER(MATCH(14732,Telmo!$A:$A,0)), IF(OR(INDEX(Telmo!$D:$D,MATCH(14732,Telmo!$A:$A,0))=1, INDEX(Telmo!$D:$D,MATCH(14732,Telmo!$A:$A,0))=2), INDEX(Telmo!$D:$D,MATCH(14732,Telmo!$A:$A,0)), 0), 0)</f>
        <v>2</v>
      </c>
      <c r="I757" s="1">
        <f t="array" ref="I757">IF(ISNUMBER(MATCH(14732,Max!$A:$A,0)), IF(OR(INDEX(Max!$D:$D,MATCH(14732,Max!$A:$A,0))=1, INDEX(Max!$D:$D,MATCH(14732,Max!$A:$A,0))=2), INDEX(Max!$D:$D,MATCH(14732,Max!$A:$A,0)), 0), 0)</f>
        <v>0</v>
      </c>
    </row>
    <row r="758" spans="1:9" ht="15.75" customHeight="1" x14ac:dyDescent="0.2">
      <c r="A758" s="1">
        <v>27500</v>
      </c>
      <c r="B758" s="1" t="s">
        <v>326</v>
      </c>
      <c r="C758" s="1" t="s">
        <v>1832</v>
      </c>
      <c r="D758" s="1" t="str">
        <f t="shared" si="2"/>
        <v>1</v>
      </c>
      <c r="E758" s="1" t="s">
        <v>1833</v>
      </c>
      <c r="G758" s="1">
        <f t="array" ref="G758">IF(ISNUMBER(MATCH(27500,Camille!$A:$A,0)), IF(OR(INDEX(Camille!$D:$D,MATCH(27500,Camille!$A:$A,0))=1, INDEX(Camille!$D:$D,MATCH(27500,Camille!$A:$A,0))=2), INDEX(Camille!$D:$D,MATCH(27500,Camille!$A:$A,0)), 0), 0)</f>
        <v>0</v>
      </c>
      <c r="H758" s="1">
        <f t="array" ref="H758">IF(ISNUMBER(MATCH(27500,Telmo!$A:$A,0)), IF(OR(INDEX(Telmo!$D:$D,MATCH(27500,Telmo!$A:$A,0))=1, INDEX(Telmo!$D:$D,MATCH(27500,Telmo!$A:$A,0))=2), INDEX(Telmo!$D:$D,MATCH(27500,Telmo!$A:$A,0)), 0), 0)</f>
        <v>1</v>
      </c>
      <c r="I758" s="1">
        <f t="array" ref="I758">IF(ISNUMBER(MATCH(27500,Max!$A:$A,0)), IF(OR(INDEX(Max!$D:$D,MATCH(27500,Max!$A:$A,0))=1, INDEX(Max!$D:$D,MATCH(27500,Max!$A:$A,0))=2), INDEX(Max!$D:$D,MATCH(27500,Max!$A:$A,0)), 0), 0)</f>
        <v>0</v>
      </c>
    </row>
    <row r="759" spans="1:9" ht="15.75" customHeight="1" x14ac:dyDescent="0.2">
      <c r="A759" s="1">
        <v>66106</v>
      </c>
      <c r="B759" s="1" t="s">
        <v>490</v>
      </c>
      <c r="C759" s="1" t="s">
        <v>1834</v>
      </c>
      <c r="D759" s="1" t="str">
        <f t="shared" si="2"/>
        <v>1</v>
      </c>
      <c r="E759" s="1" t="s">
        <v>1835</v>
      </c>
      <c r="G759" s="1">
        <f t="array" ref="G759">IF(ISNUMBER(MATCH(66106,Camille!$A:$A,0)), IF(OR(INDEX(Camille!$D:$D,MATCH(66106,Camille!$A:$A,0))=1, INDEX(Camille!$D:$D,MATCH(66106,Camille!$A:$A,0))=2), INDEX(Camille!$D:$D,MATCH(66106,Camille!$A:$A,0)), 0), 0)</f>
        <v>0</v>
      </c>
      <c r="H759" s="1">
        <f t="array" ref="H759">IF(ISNUMBER(MATCH(66106,Telmo!$A:$A,0)), IF(OR(INDEX(Telmo!$D:$D,MATCH(66106,Telmo!$A:$A,0))=1, INDEX(Telmo!$D:$D,MATCH(66106,Telmo!$A:$A,0))=2), INDEX(Telmo!$D:$D,MATCH(66106,Telmo!$A:$A,0)), 0), 0)</f>
        <v>1</v>
      </c>
      <c r="I759" s="1">
        <f t="array" ref="I759">IF(ISNUMBER(MATCH(66106,Max!$A:$A,0)), IF(OR(INDEX(Max!$D:$D,MATCH(66106,Max!$A:$A,0))=1, INDEX(Max!$D:$D,MATCH(66106,Max!$A:$A,0))=2), INDEX(Max!$D:$D,MATCH(66106,Max!$A:$A,0)), 0), 0)</f>
        <v>0</v>
      </c>
    </row>
    <row r="760" spans="1:9" ht="15.75" customHeight="1" x14ac:dyDescent="0.2">
      <c r="A760" s="1">
        <v>35444</v>
      </c>
      <c r="B760" s="1" t="s">
        <v>167</v>
      </c>
      <c r="C760" s="1" t="s">
        <v>1836</v>
      </c>
      <c r="D760" s="1" t="str">
        <f t="shared" si="2"/>
        <v>1</v>
      </c>
      <c r="E760" s="1" t="s">
        <v>1837</v>
      </c>
      <c r="G760" s="1">
        <f t="array" ref="G760">IF(ISNUMBER(MATCH(35444,Camille!$A:$A,0)), IF(OR(INDEX(Camille!$D:$D,MATCH(35444,Camille!$A:$A,0))=1, INDEX(Camille!$D:$D,MATCH(35444,Camille!$A:$A,0))=2), INDEX(Camille!$D:$D,MATCH(35444,Camille!$A:$A,0)), 0), 0)</f>
        <v>0</v>
      </c>
      <c r="H760" s="1">
        <f t="array" ref="H760">IF(ISNUMBER(MATCH(35444,Telmo!$A:$A,0)), IF(OR(INDEX(Telmo!$D:$D,MATCH(35444,Telmo!$A:$A,0))=1, INDEX(Telmo!$D:$D,MATCH(35444,Telmo!$A:$A,0))=2), INDEX(Telmo!$D:$D,MATCH(35444,Telmo!$A:$A,0)), 0), 0)</f>
        <v>1</v>
      </c>
      <c r="I760" s="1">
        <f t="array" ref="I760">IF(ISNUMBER(MATCH(35444,Max!$A:$A,0)), IF(OR(INDEX(Max!$D:$D,MATCH(35444,Max!$A:$A,0))=1, INDEX(Max!$D:$D,MATCH(35444,Max!$A:$A,0))=2), INDEX(Max!$D:$D,MATCH(35444,Max!$A:$A,0)), 0), 0)</f>
        <v>0</v>
      </c>
    </row>
    <row r="761" spans="1:9" ht="15.75" customHeight="1" x14ac:dyDescent="0.2">
      <c r="A761" s="1">
        <v>56108</v>
      </c>
      <c r="B761" s="1" t="s">
        <v>1838</v>
      </c>
      <c r="C761" s="1" t="s">
        <v>1839</v>
      </c>
      <c r="D761" s="1" t="str">
        <f t="shared" si="2"/>
        <v>2</v>
      </c>
      <c r="E761" s="1" t="s">
        <v>1840</v>
      </c>
      <c r="G761" s="1">
        <f t="array" ref="G761">IF(ISNUMBER(MATCH(56108,Camille!$A:$A,0)), IF(OR(INDEX(Camille!$D:$D,MATCH(56108,Camille!$A:$A,0))=1, INDEX(Camille!$D:$D,MATCH(56108,Camille!$A:$A,0))=2), INDEX(Camille!$D:$D,MATCH(56108,Camille!$A:$A,0)), 0), 0)</f>
        <v>0</v>
      </c>
      <c r="H761" s="1">
        <f t="array" ref="H761">IF(ISNUMBER(MATCH(56108,Telmo!$A:$A,0)), IF(OR(INDEX(Telmo!$D:$D,MATCH(56108,Telmo!$A:$A,0))=1, INDEX(Telmo!$D:$D,MATCH(56108,Telmo!$A:$A,0))=2), INDEX(Telmo!$D:$D,MATCH(56108,Telmo!$A:$A,0)), 0), 0)</f>
        <v>2</v>
      </c>
      <c r="I761" s="1">
        <f t="array" ref="I761">IF(ISNUMBER(MATCH(56108,Max!$A:$A,0)), IF(OR(INDEX(Max!$D:$D,MATCH(56108,Max!$A:$A,0))=1, INDEX(Max!$D:$D,MATCH(56108,Max!$A:$A,0))=2), INDEX(Max!$D:$D,MATCH(56108,Max!$A:$A,0)), 0), 0)</f>
        <v>0</v>
      </c>
    </row>
    <row r="762" spans="1:9" ht="15.75" customHeight="1" x14ac:dyDescent="0.2">
      <c r="A762" s="1">
        <v>24401</v>
      </c>
      <c r="B762" s="1" t="s">
        <v>1841</v>
      </c>
      <c r="C762" s="1" t="s">
        <v>1842</v>
      </c>
      <c r="D762" s="1" t="str">
        <f t="shared" si="2"/>
        <v>2</v>
      </c>
      <c r="E762" s="1" t="s">
        <v>1843</v>
      </c>
      <c r="G762" s="1">
        <f t="array" ref="G762">IF(ISNUMBER(MATCH(24401,Camille!$A:$A,0)), IF(OR(INDEX(Camille!$D:$D,MATCH(24401,Camille!$A:$A,0))=1, INDEX(Camille!$D:$D,MATCH(24401,Camille!$A:$A,0))=2), INDEX(Camille!$D:$D,MATCH(24401,Camille!$A:$A,0)), 0), 0)</f>
        <v>0</v>
      </c>
      <c r="H762" s="1">
        <f t="array" ref="H762">IF(ISNUMBER(MATCH(24401,Telmo!$A:$A,0)), IF(OR(INDEX(Telmo!$D:$D,MATCH(24401,Telmo!$A:$A,0))=1, INDEX(Telmo!$D:$D,MATCH(24401,Telmo!$A:$A,0))=2), INDEX(Telmo!$D:$D,MATCH(24401,Telmo!$A:$A,0)), 0), 0)</f>
        <v>2</v>
      </c>
      <c r="I762" s="1">
        <f t="array" ref="I762">IF(ISNUMBER(MATCH(24401,Max!$A:$A,0)), IF(OR(INDEX(Max!$D:$D,MATCH(24401,Max!$A:$A,0))=1, INDEX(Max!$D:$D,MATCH(24401,Max!$A:$A,0))=2), INDEX(Max!$D:$D,MATCH(24401,Max!$A:$A,0)), 0), 0)</f>
        <v>0</v>
      </c>
    </row>
    <row r="763" spans="1:9" ht="15.75" customHeight="1" x14ac:dyDescent="0.2">
      <c r="A763" s="1">
        <v>15022</v>
      </c>
      <c r="B763" s="1" t="s">
        <v>1844</v>
      </c>
      <c r="C763" s="1" t="s">
        <v>1845</v>
      </c>
      <c r="D763" s="1" t="str">
        <f t="shared" si="2"/>
        <v>1</v>
      </c>
      <c r="E763" s="1" t="s">
        <v>1846</v>
      </c>
      <c r="G763" s="1">
        <f t="array" ref="G763">IF(ISNUMBER(MATCH(15022,Camille!$A:$A,0)), IF(OR(INDEX(Camille!$D:$D,MATCH(15022,Camille!$A:$A,0))=1, INDEX(Camille!$D:$D,MATCH(15022,Camille!$A:$A,0))=2), INDEX(Camille!$D:$D,MATCH(15022,Camille!$A:$A,0)), 0), 0)</f>
        <v>0</v>
      </c>
      <c r="H763" s="1">
        <f t="array" ref="H763">IF(ISNUMBER(MATCH(15022,Telmo!$A:$A,0)), IF(OR(INDEX(Telmo!$D:$D,MATCH(15022,Telmo!$A:$A,0))=1, INDEX(Telmo!$D:$D,MATCH(15022,Telmo!$A:$A,0))=2), INDEX(Telmo!$D:$D,MATCH(15022,Telmo!$A:$A,0)), 0), 0)</f>
        <v>1</v>
      </c>
      <c r="I763" s="1">
        <f t="array" ref="I763">IF(ISNUMBER(MATCH(15022,Max!$A:$A,0)), IF(OR(INDEX(Max!$D:$D,MATCH(15022,Max!$A:$A,0))=1, INDEX(Max!$D:$D,MATCH(15022,Max!$A:$A,0))=2), INDEX(Max!$D:$D,MATCH(15022,Max!$A:$A,0)), 0), 0)</f>
        <v>0</v>
      </c>
    </row>
    <row r="764" spans="1:9" ht="15.75" customHeight="1" x14ac:dyDescent="0.2">
      <c r="A764" s="1">
        <v>38743</v>
      </c>
      <c r="B764" s="1" t="s">
        <v>1307</v>
      </c>
      <c r="C764" s="1" t="s">
        <v>1847</v>
      </c>
      <c r="D764" s="1" t="str">
        <f t="shared" si="2"/>
        <v>1</v>
      </c>
      <c r="E764" s="1" t="s">
        <v>1848</v>
      </c>
      <c r="G764" s="1">
        <f t="array" ref="G764">IF(ISNUMBER(MATCH(38743,Camille!$A:$A,0)), IF(OR(INDEX(Camille!$D:$D,MATCH(38743,Camille!$A:$A,0))=1, INDEX(Camille!$D:$D,MATCH(38743,Camille!$A:$A,0))=2), INDEX(Camille!$D:$D,MATCH(38743,Camille!$A:$A,0)), 0), 0)</f>
        <v>0</v>
      </c>
      <c r="H764" s="1">
        <f t="array" ref="H764">IF(ISNUMBER(MATCH(38743,Telmo!$A:$A,0)), IF(OR(INDEX(Telmo!$D:$D,MATCH(38743,Telmo!$A:$A,0))=1, INDEX(Telmo!$D:$D,MATCH(38743,Telmo!$A:$A,0))=2), INDEX(Telmo!$D:$D,MATCH(38743,Telmo!$A:$A,0)), 0), 0)</f>
        <v>1</v>
      </c>
      <c r="I764" s="1">
        <f t="array" ref="I764">IF(ISNUMBER(MATCH(38743,Max!$A:$A,0)), IF(OR(INDEX(Max!$D:$D,MATCH(38743,Max!$A:$A,0))=1, INDEX(Max!$D:$D,MATCH(38743,Max!$A:$A,0))=2), INDEX(Max!$D:$D,MATCH(38743,Max!$A:$A,0)), 0), 0)</f>
        <v>0</v>
      </c>
    </row>
    <row r="765" spans="1:9" ht="15.75" customHeight="1" x14ac:dyDescent="0.2">
      <c r="A765" s="1">
        <v>47569</v>
      </c>
      <c r="B765" s="1" t="s">
        <v>32</v>
      </c>
      <c r="C765" s="1" t="s">
        <v>1849</v>
      </c>
      <c r="D765" s="1" t="str">
        <f t="shared" si="2"/>
        <v>2</v>
      </c>
      <c r="E765" s="1" t="s">
        <v>1850</v>
      </c>
      <c r="G765" s="1">
        <f t="array" ref="G765">IF(ISNUMBER(MATCH(47569,Camille!$A:$A,0)), IF(OR(INDEX(Camille!$D:$D,MATCH(47569,Camille!$A:$A,0))=1, INDEX(Camille!$D:$D,MATCH(47569,Camille!$A:$A,0))=2), INDEX(Camille!$D:$D,MATCH(47569,Camille!$A:$A,0)), 0), 0)</f>
        <v>0</v>
      </c>
      <c r="H765" s="1">
        <f t="array" ref="H765">IF(ISNUMBER(MATCH(47569,Telmo!$A:$A,0)), IF(OR(INDEX(Telmo!$D:$D,MATCH(47569,Telmo!$A:$A,0))=1, INDEX(Telmo!$D:$D,MATCH(47569,Telmo!$A:$A,0))=2), INDEX(Telmo!$D:$D,MATCH(47569,Telmo!$A:$A,0)), 0), 0)</f>
        <v>2</v>
      </c>
      <c r="I765" s="1">
        <f t="array" ref="I765">IF(ISNUMBER(MATCH(47569,Max!$A:$A,0)), IF(OR(INDEX(Max!$D:$D,MATCH(47569,Max!$A:$A,0))=1, INDEX(Max!$D:$D,MATCH(47569,Max!$A:$A,0))=2), INDEX(Max!$D:$D,MATCH(47569,Max!$A:$A,0)), 0), 0)</f>
        <v>0</v>
      </c>
    </row>
    <row r="766" spans="1:9" ht="15.75" customHeight="1" x14ac:dyDescent="0.2">
      <c r="A766" s="1">
        <v>44083</v>
      </c>
      <c r="B766" s="1" t="s">
        <v>430</v>
      </c>
      <c r="C766" s="1" t="s">
        <v>1851</v>
      </c>
      <c r="D766" s="1" t="str">
        <f t="shared" si="2"/>
        <v>2</v>
      </c>
      <c r="E766" s="1" t="s">
        <v>1852</v>
      </c>
      <c r="G766" s="1">
        <f t="array" ref="G766">IF(ISNUMBER(MATCH(44083,Camille!$A:$A,0)), IF(OR(INDEX(Camille!$D:$D,MATCH(44083,Camille!$A:$A,0))=1, INDEX(Camille!$D:$D,MATCH(44083,Camille!$A:$A,0))=2), INDEX(Camille!$D:$D,MATCH(44083,Camille!$A:$A,0)), 0), 0)</f>
        <v>0</v>
      </c>
      <c r="H766" s="1">
        <f t="array" ref="H766">IF(ISNUMBER(MATCH(44083,Telmo!$A:$A,0)), IF(OR(INDEX(Telmo!$D:$D,MATCH(44083,Telmo!$A:$A,0))=1, INDEX(Telmo!$D:$D,MATCH(44083,Telmo!$A:$A,0))=2), INDEX(Telmo!$D:$D,MATCH(44083,Telmo!$A:$A,0)), 0), 0)</f>
        <v>2</v>
      </c>
      <c r="I766" s="1">
        <f t="array" ref="I766">IF(ISNUMBER(MATCH(44083,Max!$A:$A,0)), IF(OR(INDEX(Max!$D:$D,MATCH(44083,Max!$A:$A,0))=1, INDEX(Max!$D:$D,MATCH(44083,Max!$A:$A,0))=2), INDEX(Max!$D:$D,MATCH(44083,Max!$A:$A,0)), 0), 0)</f>
        <v>0</v>
      </c>
    </row>
    <row r="767" spans="1:9" ht="15.75" customHeight="1" x14ac:dyDescent="0.2">
      <c r="A767" s="1">
        <v>71465</v>
      </c>
      <c r="B767" s="1" t="s">
        <v>1395</v>
      </c>
      <c r="C767" s="1" t="s">
        <v>1853</v>
      </c>
      <c r="D767" s="1" t="str">
        <f t="shared" si="2"/>
        <v>2</v>
      </c>
      <c r="E767" s="1" t="s">
        <v>1854</v>
      </c>
      <c r="G767" s="1">
        <f t="array" ref="G767">IF(ISNUMBER(MATCH(71465,Camille!$A:$A,0)), IF(OR(INDEX(Camille!$D:$D,MATCH(71465,Camille!$A:$A,0))=1, INDEX(Camille!$D:$D,MATCH(71465,Camille!$A:$A,0))=2), INDEX(Camille!$D:$D,MATCH(71465,Camille!$A:$A,0)), 0), 0)</f>
        <v>0</v>
      </c>
      <c r="H767" s="1">
        <f t="array" ref="H767">IF(ISNUMBER(MATCH(71465,Telmo!$A:$A,0)), IF(OR(INDEX(Telmo!$D:$D,MATCH(71465,Telmo!$A:$A,0))=1, INDEX(Telmo!$D:$D,MATCH(71465,Telmo!$A:$A,0))=2), INDEX(Telmo!$D:$D,MATCH(71465,Telmo!$A:$A,0)), 0), 0)</f>
        <v>2</v>
      </c>
      <c r="I767" s="1">
        <f t="array" ref="I767">IF(ISNUMBER(MATCH(71465,Max!$A:$A,0)), IF(OR(INDEX(Max!$D:$D,MATCH(71465,Max!$A:$A,0))=1, INDEX(Max!$D:$D,MATCH(71465,Max!$A:$A,0))=2), INDEX(Max!$D:$D,MATCH(71465,Max!$A:$A,0)), 0), 0)</f>
        <v>0</v>
      </c>
    </row>
    <row r="768" spans="1:9" ht="15.75" customHeight="1" x14ac:dyDescent="0.2">
      <c r="A768" s="1">
        <v>18077</v>
      </c>
      <c r="B768" s="1" t="s">
        <v>991</v>
      </c>
      <c r="C768" s="1" t="s">
        <v>1855</v>
      </c>
      <c r="D768" s="1" t="str">
        <f t="shared" si="2"/>
        <v>2</v>
      </c>
      <c r="E768" s="1" t="s">
        <v>1856</v>
      </c>
      <c r="G768" s="1">
        <f t="array" ref="G768">IF(ISNUMBER(MATCH(18077,Camille!$A:$A,0)), IF(OR(INDEX(Camille!$D:$D,MATCH(18077,Camille!$A:$A,0))=1, INDEX(Camille!$D:$D,MATCH(18077,Camille!$A:$A,0))=2), INDEX(Camille!$D:$D,MATCH(18077,Camille!$A:$A,0)), 0), 0)</f>
        <v>0</v>
      </c>
      <c r="H768" s="1">
        <f t="array" ref="H768">IF(ISNUMBER(MATCH(18077,Telmo!$A:$A,0)), IF(OR(INDEX(Telmo!$D:$D,MATCH(18077,Telmo!$A:$A,0))=1, INDEX(Telmo!$D:$D,MATCH(18077,Telmo!$A:$A,0))=2), INDEX(Telmo!$D:$D,MATCH(18077,Telmo!$A:$A,0)), 0), 0)</f>
        <v>2</v>
      </c>
      <c r="I768" s="1">
        <f t="array" ref="I768">IF(ISNUMBER(MATCH(18077,Max!$A:$A,0)), IF(OR(INDEX(Max!$D:$D,MATCH(18077,Max!$A:$A,0))=1, INDEX(Max!$D:$D,MATCH(18077,Max!$A:$A,0))=2), INDEX(Max!$D:$D,MATCH(18077,Max!$A:$A,0)), 0), 0)</f>
        <v>0</v>
      </c>
    </row>
    <row r="769" spans="1:9" ht="15.75" customHeight="1" x14ac:dyDescent="0.2">
      <c r="A769" s="1">
        <v>44749</v>
      </c>
      <c r="B769" s="1" t="s">
        <v>1838</v>
      </c>
      <c r="C769" s="1" t="s">
        <v>1857</v>
      </c>
      <c r="D769" s="1" t="str">
        <f t="shared" si="2"/>
        <v>2</v>
      </c>
      <c r="E769" s="1" t="s">
        <v>1858</v>
      </c>
      <c r="G769" s="1">
        <f t="array" ref="G769">IF(ISNUMBER(MATCH(44749,Camille!$A:$A,0)), IF(OR(INDEX(Camille!$D:$D,MATCH(44749,Camille!$A:$A,0))=1, INDEX(Camille!$D:$D,MATCH(44749,Camille!$A:$A,0))=2), INDEX(Camille!$D:$D,MATCH(44749,Camille!$A:$A,0)), 0), 0)</f>
        <v>0</v>
      </c>
      <c r="H769" s="1">
        <f t="array" ref="H769">IF(ISNUMBER(MATCH(44749,Telmo!$A:$A,0)), IF(OR(INDEX(Telmo!$D:$D,MATCH(44749,Telmo!$A:$A,0))=1, INDEX(Telmo!$D:$D,MATCH(44749,Telmo!$A:$A,0))=2), INDEX(Telmo!$D:$D,MATCH(44749,Telmo!$A:$A,0)), 0), 0)</f>
        <v>2</v>
      </c>
      <c r="I769" s="1">
        <f t="array" ref="I769">IF(ISNUMBER(MATCH(44749,Max!$A:$A,0)), IF(OR(INDEX(Max!$D:$D,MATCH(44749,Max!$A:$A,0))=1, INDEX(Max!$D:$D,MATCH(44749,Max!$A:$A,0))=2), INDEX(Max!$D:$D,MATCH(44749,Max!$A:$A,0)), 0), 0)</f>
        <v>0</v>
      </c>
    </row>
    <row r="770" spans="1:9" ht="15.75" customHeight="1" x14ac:dyDescent="0.2">
      <c r="A770" s="1">
        <v>30463</v>
      </c>
      <c r="B770" s="1" t="s">
        <v>533</v>
      </c>
      <c r="C770" s="1" t="s">
        <v>1859</v>
      </c>
      <c r="D770" s="1" t="str">
        <f t="shared" ref="D770:D1024" si="3">IF(SUM(G770:I770)=0, "", IF(COUNTIF(G770:I770, "1") &gt; 0, IF(COUNTIF(G770:I770, "2") &gt; 0, "3", "1"),IF(COUNTIF(G770:I770, "2") &gt; 0, "2", "")))</f>
        <v>2</v>
      </c>
      <c r="E770" s="1" t="s">
        <v>1860</v>
      </c>
      <c r="G770" s="1">
        <f t="array" ref="G770">IF(ISNUMBER(MATCH(30463,Camille!$A:$A,0)), IF(OR(INDEX(Camille!$D:$D,MATCH(30463,Camille!$A:$A,0))=1, INDEX(Camille!$D:$D,MATCH(30463,Camille!$A:$A,0))=2), INDEX(Camille!$D:$D,MATCH(30463,Camille!$A:$A,0)), 0), 0)</f>
        <v>0</v>
      </c>
      <c r="H770" s="1">
        <f t="array" ref="H770">IF(ISNUMBER(MATCH(30463,Telmo!$A:$A,0)), IF(OR(INDEX(Telmo!$D:$D,MATCH(30463,Telmo!$A:$A,0))=1, INDEX(Telmo!$D:$D,MATCH(30463,Telmo!$A:$A,0))=2), INDEX(Telmo!$D:$D,MATCH(30463,Telmo!$A:$A,0)), 0), 0)</f>
        <v>2</v>
      </c>
      <c r="I770" s="1">
        <f t="array" ref="I770">IF(ISNUMBER(MATCH(30463,Max!$A:$A,0)), IF(OR(INDEX(Max!$D:$D,MATCH(30463,Max!$A:$A,0))=1, INDEX(Max!$D:$D,MATCH(30463,Max!$A:$A,0))=2), INDEX(Max!$D:$D,MATCH(30463,Max!$A:$A,0)), 0), 0)</f>
        <v>0</v>
      </c>
    </row>
    <row r="771" spans="1:9" ht="15.75" customHeight="1" x14ac:dyDescent="0.2">
      <c r="A771" s="1">
        <v>33966</v>
      </c>
      <c r="B771" s="1" t="s">
        <v>32</v>
      </c>
      <c r="C771" s="1" t="s">
        <v>1861</v>
      </c>
      <c r="D771" s="1" t="str">
        <f t="shared" si="3"/>
        <v>2</v>
      </c>
      <c r="E771" s="1" t="s">
        <v>1862</v>
      </c>
      <c r="G771" s="1">
        <f t="array" ref="G771">IF(ISNUMBER(MATCH(33966,Camille!$A:$A,0)), IF(OR(INDEX(Camille!$D:$D,MATCH(33966,Camille!$A:$A,0))=1, INDEX(Camille!$D:$D,MATCH(33966,Camille!$A:$A,0))=2), INDEX(Camille!$D:$D,MATCH(33966,Camille!$A:$A,0)), 0), 0)</f>
        <v>0</v>
      </c>
      <c r="H771" s="1">
        <f t="array" ref="H771">IF(ISNUMBER(MATCH(33966,Telmo!$A:$A,0)), IF(OR(INDEX(Telmo!$D:$D,MATCH(33966,Telmo!$A:$A,0))=1, INDEX(Telmo!$D:$D,MATCH(33966,Telmo!$A:$A,0))=2), INDEX(Telmo!$D:$D,MATCH(33966,Telmo!$A:$A,0)), 0), 0)</f>
        <v>2</v>
      </c>
      <c r="I771" s="1">
        <f t="array" ref="I771">IF(ISNUMBER(MATCH(33966,Max!$A:$A,0)), IF(OR(INDEX(Max!$D:$D,MATCH(33966,Max!$A:$A,0))=1, INDEX(Max!$D:$D,MATCH(33966,Max!$A:$A,0))=2), INDEX(Max!$D:$D,MATCH(33966,Max!$A:$A,0)), 0), 0)</f>
        <v>0</v>
      </c>
    </row>
    <row r="772" spans="1:9" ht="15.75" customHeight="1" x14ac:dyDescent="0.2">
      <c r="A772" s="1">
        <v>48874</v>
      </c>
      <c r="B772" s="1" t="s">
        <v>233</v>
      </c>
      <c r="C772" s="1" t="s">
        <v>1863</v>
      </c>
      <c r="D772" s="1" t="str">
        <f t="shared" si="3"/>
        <v>2</v>
      </c>
      <c r="E772" s="1" t="s">
        <v>1864</v>
      </c>
      <c r="G772" s="1">
        <f t="array" ref="G772">IF(ISNUMBER(MATCH(48874,Camille!$A:$A,0)), IF(OR(INDEX(Camille!$D:$D,MATCH(48874,Camille!$A:$A,0))=1, INDEX(Camille!$D:$D,MATCH(48874,Camille!$A:$A,0))=2), INDEX(Camille!$D:$D,MATCH(48874,Camille!$A:$A,0)), 0), 0)</f>
        <v>0</v>
      </c>
      <c r="H772" s="1">
        <f t="array" ref="H772">IF(ISNUMBER(MATCH(48874,Telmo!$A:$A,0)), IF(OR(INDEX(Telmo!$D:$D,MATCH(48874,Telmo!$A:$A,0))=1, INDEX(Telmo!$D:$D,MATCH(48874,Telmo!$A:$A,0))=2), INDEX(Telmo!$D:$D,MATCH(48874,Telmo!$A:$A,0)), 0), 0)</f>
        <v>2</v>
      </c>
      <c r="I772" s="1">
        <f t="array" ref="I772">IF(ISNUMBER(MATCH(48874,Max!$A:$A,0)), IF(OR(INDEX(Max!$D:$D,MATCH(48874,Max!$A:$A,0))=1, INDEX(Max!$D:$D,MATCH(48874,Max!$A:$A,0))=2), INDEX(Max!$D:$D,MATCH(48874,Max!$A:$A,0)), 0), 0)</f>
        <v>0</v>
      </c>
    </row>
    <row r="773" spans="1:9" ht="15.75" customHeight="1" x14ac:dyDescent="0.2">
      <c r="A773" s="1">
        <v>20309</v>
      </c>
      <c r="B773" s="1" t="s">
        <v>32</v>
      </c>
      <c r="C773" s="1" t="s">
        <v>1865</v>
      </c>
      <c r="D773" s="1" t="str">
        <f t="shared" si="3"/>
        <v>2</v>
      </c>
      <c r="E773" s="1" t="s">
        <v>1866</v>
      </c>
      <c r="G773" s="1">
        <f t="array" ref="G773">IF(ISNUMBER(MATCH(20309,Camille!$A:$A,0)), IF(OR(INDEX(Camille!$D:$D,MATCH(20309,Camille!$A:$A,0))=1, INDEX(Camille!$D:$D,MATCH(20309,Camille!$A:$A,0))=2), INDEX(Camille!$D:$D,MATCH(20309,Camille!$A:$A,0)), 0), 0)</f>
        <v>0</v>
      </c>
      <c r="H773" s="1">
        <f t="array" ref="H773">IF(ISNUMBER(MATCH(20309,Telmo!$A:$A,0)), IF(OR(INDEX(Telmo!$D:$D,MATCH(20309,Telmo!$A:$A,0))=1, INDEX(Telmo!$D:$D,MATCH(20309,Telmo!$A:$A,0))=2), INDEX(Telmo!$D:$D,MATCH(20309,Telmo!$A:$A,0)), 0), 0)</f>
        <v>2</v>
      </c>
      <c r="I773" s="1">
        <f t="array" ref="I773">IF(ISNUMBER(MATCH(20309,Max!$A:$A,0)), IF(OR(INDEX(Max!$D:$D,MATCH(20309,Max!$A:$A,0))=1, INDEX(Max!$D:$D,MATCH(20309,Max!$A:$A,0))=2), INDEX(Max!$D:$D,MATCH(20309,Max!$A:$A,0)), 0), 0)</f>
        <v>0</v>
      </c>
    </row>
    <row r="774" spans="1:9" ht="15.75" customHeight="1" x14ac:dyDescent="0.2">
      <c r="A774" s="1">
        <v>56686</v>
      </c>
      <c r="B774" s="1" t="s">
        <v>1867</v>
      </c>
      <c r="C774" s="1" t="s">
        <v>1868</v>
      </c>
      <c r="D774" s="1" t="str">
        <f t="shared" si="3"/>
        <v>2</v>
      </c>
      <c r="E774" s="1" t="s">
        <v>1869</v>
      </c>
      <c r="G774" s="1">
        <f t="array" ref="G774">IF(ISNUMBER(MATCH(56686,Camille!$A:$A,0)), IF(OR(INDEX(Camille!$D:$D,MATCH(56686,Camille!$A:$A,0))=1, INDEX(Camille!$D:$D,MATCH(56686,Camille!$A:$A,0))=2), INDEX(Camille!$D:$D,MATCH(56686,Camille!$A:$A,0)), 0), 0)</f>
        <v>0</v>
      </c>
      <c r="H774" s="1">
        <f t="array" ref="H774">IF(ISNUMBER(MATCH(56686,Telmo!$A:$A,0)), IF(OR(INDEX(Telmo!$D:$D,MATCH(56686,Telmo!$A:$A,0))=1, INDEX(Telmo!$D:$D,MATCH(56686,Telmo!$A:$A,0))=2), INDEX(Telmo!$D:$D,MATCH(56686,Telmo!$A:$A,0)), 0), 0)</f>
        <v>2</v>
      </c>
      <c r="I774" s="1">
        <f t="array" ref="I774">IF(ISNUMBER(MATCH(56686,Max!$A:$A,0)), IF(OR(INDEX(Max!$D:$D,MATCH(56686,Max!$A:$A,0))=1, INDEX(Max!$D:$D,MATCH(56686,Max!$A:$A,0))=2), INDEX(Max!$D:$D,MATCH(56686,Max!$A:$A,0)), 0), 0)</f>
        <v>0</v>
      </c>
    </row>
    <row r="775" spans="1:9" ht="15.75" customHeight="1" x14ac:dyDescent="0.2">
      <c r="A775" s="1">
        <v>54029</v>
      </c>
      <c r="B775" s="1" t="s">
        <v>1870</v>
      </c>
      <c r="C775" s="1" t="s">
        <v>1871</v>
      </c>
      <c r="D775" s="1" t="str">
        <f t="shared" si="3"/>
        <v>2</v>
      </c>
      <c r="E775" s="1" t="s">
        <v>1872</v>
      </c>
      <c r="G775" s="1">
        <f t="array" ref="G775">IF(ISNUMBER(MATCH(54029,Camille!$A:$A,0)), IF(OR(INDEX(Camille!$D:$D,MATCH(54029,Camille!$A:$A,0))=1, INDEX(Camille!$D:$D,MATCH(54029,Camille!$A:$A,0))=2), INDEX(Camille!$D:$D,MATCH(54029,Camille!$A:$A,0)), 0), 0)</f>
        <v>0</v>
      </c>
      <c r="H775" s="1">
        <f t="array" ref="H775">IF(ISNUMBER(MATCH(54029,Telmo!$A:$A,0)), IF(OR(INDEX(Telmo!$D:$D,MATCH(54029,Telmo!$A:$A,0))=1, INDEX(Telmo!$D:$D,MATCH(54029,Telmo!$A:$A,0))=2), INDEX(Telmo!$D:$D,MATCH(54029,Telmo!$A:$A,0)), 0), 0)</f>
        <v>2</v>
      </c>
      <c r="I775" s="1">
        <f t="array" ref="I775">IF(ISNUMBER(MATCH(54029,Max!$A:$A,0)), IF(OR(INDEX(Max!$D:$D,MATCH(54029,Max!$A:$A,0))=1, INDEX(Max!$D:$D,MATCH(54029,Max!$A:$A,0))=2), INDEX(Max!$D:$D,MATCH(54029,Max!$A:$A,0)), 0), 0)</f>
        <v>0</v>
      </c>
    </row>
    <row r="776" spans="1:9" ht="15.75" customHeight="1" x14ac:dyDescent="0.2">
      <c r="A776" s="1">
        <v>9044</v>
      </c>
      <c r="B776" s="1" t="s">
        <v>254</v>
      </c>
      <c r="C776" s="1" t="s">
        <v>1873</v>
      </c>
      <c r="D776" s="1" t="str">
        <f t="shared" si="3"/>
        <v>2</v>
      </c>
      <c r="E776" s="1" t="s">
        <v>1874</v>
      </c>
      <c r="G776" s="1">
        <f t="array" ref="G776">IF(ISNUMBER(MATCH(9044,Camille!$A:$A,0)), IF(OR(INDEX(Camille!$D:$D,MATCH(9044,Camille!$A:$A,0))=1, INDEX(Camille!$D:$D,MATCH(9044,Camille!$A:$A,0))=2), INDEX(Camille!$D:$D,MATCH(9044,Camille!$A:$A,0)), 0), 0)</f>
        <v>0</v>
      </c>
      <c r="H776" s="1">
        <f t="array" ref="H776">IF(ISNUMBER(MATCH(9044,Telmo!$A:$A,0)), IF(OR(INDEX(Telmo!$D:$D,MATCH(9044,Telmo!$A:$A,0))=1, INDEX(Telmo!$D:$D,MATCH(9044,Telmo!$A:$A,0))=2), INDEX(Telmo!$D:$D,MATCH(9044,Telmo!$A:$A,0)), 0), 0)</f>
        <v>2</v>
      </c>
      <c r="I776" s="1">
        <f t="array" ref="I776">IF(ISNUMBER(MATCH(9044,Max!$A:$A,0)), IF(OR(INDEX(Max!$D:$D,MATCH(9044,Max!$A:$A,0))=1, INDEX(Max!$D:$D,MATCH(9044,Max!$A:$A,0))=2), INDEX(Max!$D:$D,MATCH(9044,Max!$A:$A,0)), 0), 0)</f>
        <v>0</v>
      </c>
    </row>
    <row r="777" spans="1:9" ht="15.75" customHeight="1" x14ac:dyDescent="0.2">
      <c r="A777" s="1">
        <v>51165</v>
      </c>
      <c r="B777" s="1" t="s">
        <v>1225</v>
      </c>
      <c r="C777" s="1" t="s">
        <v>1875</v>
      </c>
      <c r="D777" s="1" t="str">
        <f t="shared" si="3"/>
        <v>1</v>
      </c>
      <c r="E777" s="1" t="s">
        <v>1876</v>
      </c>
      <c r="G777" s="1">
        <f t="array" ref="G777">IF(ISNUMBER(MATCH(51165,Camille!$A:$A,0)), IF(OR(INDEX(Camille!$D:$D,MATCH(51165,Camille!$A:$A,0))=1, INDEX(Camille!$D:$D,MATCH(51165,Camille!$A:$A,0))=2), INDEX(Camille!$D:$D,MATCH(51165,Camille!$A:$A,0)), 0), 0)</f>
        <v>0</v>
      </c>
      <c r="H777" s="1">
        <f t="array" ref="H777">IF(ISNUMBER(MATCH(51165,Telmo!$A:$A,0)), IF(OR(INDEX(Telmo!$D:$D,MATCH(51165,Telmo!$A:$A,0))=1, INDEX(Telmo!$D:$D,MATCH(51165,Telmo!$A:$A,0))=2), INDEX(Telmo!$D:$D,MATCH(51165,Telmo!$A:$A,0)), 0), 0)</f>
        <v>1</v>
      </c>
      <c r="I777" s="1">
        <f t="array" ref="I777">IF(ISNUMBER(MATCH(51165,Max!$A:$A,0)), IF(OR(INDEX(Max!$D:$D,MATCH(51165,Max!$A:$A,0))=1, INDEX(Max!$D:$D,MATCH(51165,Max!$A:$A,0))=2), INDEX(Max!$D:$D,MATCH(51165,Max!$A:$A,0)), 0), 0)</f>
        <v>0</v>
      </c>
    </row>
    <row r="778" spans="1:9" ht="15.75" customHeight="1" x14ac:dyDescent="0.2">
      <c r="A778" s="1">
        <v>66893</v>
      </c>
      <c r="B778" s="1" t="s">
        <v>159</v>
      </c>
      <c r="C778" s="1" t="s">
        <v>1877</v>
      </c>
      <c r="D778" s="1" t="str">
        <f t="shared" si="3"/>
        <v>2</v>
      </c>
      <c r="E778" s="1" t="s">
        <v>1878</v>
      </c>
      <c r="G778" s="1">
        <f t="array" ref="G778">IF(ISNUMBER(MATCH(66893,Camille!$A:$A,0)), IF(OR(INDEX(Camille!$D:$D,MATCH(66893,Camille!$A:$A,0))=1, INDEX(Camille!$D:$D,MATCH(66893,Camille!$A:$A,0))=2), INDEX(Camille!$D:$D,MATCH(66893,Camille!$A:$A,0)), 0), 0)</f>
        <v>0</v>
      </c>
      <c r="H778" s="1">
        <f t="array" ref="H778">IF(ISNUMBER(MATCH(66893,Telmo!$A:$A,0)), IF(OR(INDEX(Telmo!$D:$D,MATCH(66893,Telmo!$A:$A,0))=1, INDEX(Telmo!$D:$D,MATCH(66893,Telmo!$A:$A,0))=2), INDEX(Telmo!$D:$D,MATCH(66893,Telmo!$A:$A,0)), 0), 0)</f>
        <v>2</v>
      </c>
      <c r="I778" s="1">
        <f t="array" ref="I778">IF(ISNUMBER(MATCH(66893,Max!$A:$A,0)), IF(OR(INDEX(Max!$D:$D,MATCH(66893,Max!$A:$A,0))=1, INDEX(Max!$D:$D,MATCH(66893,Max!$A:$A,0))=2), INDEX(Max!$D:$D,MATCH(66893,Max!$A:$A,0)), 0), 0)</f>
        <v>0</v>
      </c>
    </row>
    <row r="779" spans="1:9" ht="15.75" customHeight="1" x14ac:dyDescent="0.2">
      <c r="A779" s="1">
        <v>25115</v>
      </c>
      <c r="B779" s="1" t="s">
        <v>385</v>
      </c>
      <c r="C779" s="1" t="s">
        <v>1879</v>
      </c>
      <c r="D779" s="1" t="str">
        <f t="shared" si="3"/>
        <v>2</v>
      </c>
      <c r="E779" s="1" t="s">
        <v>1880</v>
      </c>
      <c r="G779" s="1">
        <f t="array" ref="G779">IF(ISNUMBER(MATCH(25115,Camille!$A:$A,0)), IF(OR(INDEX(Camille!$D:$D,MATCH(25115,Camille!$A:$A,0))=1, INDEX(Camille!$D:$D,MATCH(25115,Camille!$A:$A,0))=2), INDEX(Camille!$D:$D,MATCH(25115,Camille!$A:$A,0)), 0), 0)</f>
        <v>0</v>
      </c>
      <c r="H779" s="1">
        <f t="array" ref="H779">IF(ISNUMBER(MATCH(25115,Telmo!$A:$A,0)), IF(OR(INDEX(Telmo!$D:$D,MATCH(25115,Telmo!$A:$A,0))=1, INDEX(Telmo!$D:$D,MATCH(25115,Telmo!$A:$A,0))=2), INDEX(Telmo!$D:$D,MATCH(25115,Telmo!$A:$A,0)), 0), 0)</f>
        <v>2</v>
      </c>
      <c r="I779" s="1">
        <f t="array" ref="I779">IF(ISNUMBER(MATCH(25115,Max!$A:$A,0)), IF(OR(INDEX(Max!$D:$D,MATCH(25115,Max!$A:$A,0))=1, INDEX(Max!$D:$D,MATCH(25115,Max!$A:$A,0))=2), INDEX(Max!$D:$D,MATCH(25115,Max!$A:$A,0)), 0), 0)</f>
        <v>0</v>
      </c>
    </row>
    <row r="780" spans="1:9" ht="15.75" customHeight="1" x14ac:dyDescent="0.2">
      <c r="A780" s="1">
        <v>55046</v>
      </c>
      <c r="B780" s="1" t="s">
        <v>1881</v>
      </c>
      <c r="C780" s="1" t="s">
        <v>1882</v>
      </c>
      <c r="D780" s="1" t="str">
        <f t="shared" si="3"/>
        <v>2</v>
      </c>
      <c r="E780" s="1" t="s">
        <v>1883</v>
      </c>
      <c r="G780" s="1">
        <f t="array" ref="G780">IF(ISNUMBER(MATCH(55046,Camille!$A:$A,0)), IF(OR(INDEX(Camille!$D:$D,MATCH(55046,Camille!$A:$A,0))=1, INDEX(Camille!$D:$D,MATCH(55046,Camille!$A:$A,0))=2), INDEX(Camille!$D:$D,MATCH(55046,Camille!$A:$A,0)), 0), 0)</f>
        <v>0</v>
      </c>
      <c r="H780" s="1">
        <f t="array" ref="H780">IF(ISNUMBER(MATCH(55046,Telmo!$A:$A,0)), IF(OR(INDEX(Telmo!$D:$D,MATCH(55046,Telmo!$A:$A,0))=1, INDEX(Telmo!$D:$D,MATCH(55046,Telmo!$A:$A,0))=2), INDEX(Telmo!$D:$D,MATCH(55046,Telmo!$A:$A,0)), 0), 0)</f>
        <v>2</v>
      </c>
      <c r="I780" s="1">
        <f t="array" ref="I780">IF(ISNUMBER(MATCH(55046,Max!$A:$A,0)), IF(OR(INDEX(Max!$D:$D,MATCH(55046,Max!$A:$A,0))=1, INDEX(Max!$D:$D,MATCH(55046,Max!$A:$A,0))=2), INDEX(Max!$D:$D,MATCH(55046,Max!$A:$A,0)), 0), 0)</f>
        <v>0</v>
      </c>
    </row>
    <row r="781" spans="1:9" ht="15.75" customHeight="1" x14ac:dyDescent="0.2">
      <c r="A781" s="1">
        <v>50505</v>
      </c>
      <c r="B781" s="1" t="s">
        <v>144</v>
      </c>
      <c r="C781" s="1" t="s">
        <v>1884</v>
      </c>
      <c r="D781" s="1" t="str">
        <f t="shared" si="3"/>
        <v>2</v>
      </c>
      <c r="E781" s="1" t="s">
        <v>1885</v>
      </c>
      <c r="G781" s="1">
        <f t="array" ref="G781">IF(ISNUMBER(MATCH(50505,Camille!$A:$A,0)), IF(OR(INDEX(Camille!$D:$D,MATCH(50505,Camille!$A:$A,0))=1, INDEX(Camille!$D:$D,MATCH(50505,Camille!$A:$A,0))=2), INDEX(Camille!$D:$D,MATCH(50505,Camille!$A:$A,0)), 0), 0)</f>
        <v>0</v>
      </c>
      <c r="H781" s="1">
        <f t="array" ref="H781">IF(ISNUMBER(MATCH(50505,Telmo!$A:$A,0)), IF(OR(INDEX(Telmo!$D:$D,MATCH(50505,Telmo!$A:$A,0))=1, INDEX(Telmo!$D:$D,MATCH(50505,Telmo!$A:$A,0))=2), INDEX(Telmo!$D:$D,MATCH(50505,Telmo!$A:$A,0)), 0), 0)</f>
        <v>2</v>
      </c>
      <c r="I781" s="1">
        <f t="array" ref="I781">IF(ISNUMBER(MATCH(50505,Max!$A:$A,0)), IF(OR(INDEX(Max!$D:$D,MATCH(50505,Max!$A:$A,0))=1, INDEX(Max!$D:$D,MATCH(50505,Max!$A:$A,0))=2), INDEX(Max!$D:$D,MATCH(50505,Max!$A:$A,0)), 0), 0)</f>
        <v>0</v>
      </c>
    </row>
    <row r="782" spans="1:9" ht="15.75" customHeight="1" x14ac:dyDescent="0.2">
      <c r="A782" s="1">
        <v>5044</v>
      </c>
      <c r="B782" s="1" t="s">
        <v>11</v>
      </c>
      <c r="C782" s="1" t="s">
        <v>1886</v>
      </c>
      <c r="D782" s="1" t="str">
        <f t="shared" si="3"/>
        <v>2</v>
      </c>
      <c r="E782" s="1" t="s">
        <v>1887</v>
      </c>
      <c r="G782" s="1">
        <f t="array" ref="G782">IF(ISNUMBER(MATCH(5044,Camille!$A:$A,0)), IF(OR(INDEX(Camille!$D:$D,MATCH(5044,Camille!$A:$A,0))=1, INDEX(Camille!$D:$D,MATCH(5044,Camille!$A:$A,0))=2), INDEX(Camille!$D:$D,MATCH(5044,Camille!$A:$A,0)), 0), 0)</f>
        <v>0</v>
      </c>
      <c r="H782" s="1">
        <f t="array" ref="H782">IF(ISNUMBER(MATCH(5044,Telmo!$A:$A,0)), IF(OR(INDEX(Telmo!$D:$D,MATCH(5044,Telmo!$A:$A,0))=1, INDEX(Telmo!$D:$D,MATCH(5044,Telmo!$A:$A,0))=2), INDEX(Telmo!$D:$D,MATCH(5044,Telmo!$A:$A,0)), 0), 0)</f>
        <v>2</v>
      </c>
      <c r="I782" s="1">
        <f t="array" ref="I782">IF(ISNUMBER(MATCH(5044,Max!$A:$A,0)), IF(OR(INDEX(Max!$D:$D,MATCH(5044,Max!$A:$A,0))=1, INDEX(Max!$D:$D,MATCH(5044,Max!$A:$A,0))=2), INDEX(Max!$D:$D,MATCH(5044,Max!$A:$A,0)), 0), 0)</f>
        <v>0</v>
      </c>
    </row>
    <row r="783" spans="1:9" ht="15.75" customHeight="1" x14ac:dyDescent="0.2">
      <c r="A783" s="1">
        <v>25321</v>
      </c>
      <c r="B783" s="1" t="s">
        <v>268</v>
      </c>
      <c r="C783" s="1" t="s">
        <v>1888</v>
      </c>
      <c r="D783" s="1" t="str">
        <f t="shared" si="3"/>
        <v>2</v>
      </c>
      <c r="E783" s="1" t="s">
        <v>1889</v>
      </c>
      <c r="G783" s="1">
        <f t="array" ref="G783">IF(ISNUMBER(MATCH(25321,Camille!$A:$A,0)), IF(OR(INDEX(Camille!$D:$D,MATCH(25321,Camille!$A:$A,0))=1, INDEX(Camille!$D:$D,MATCH(25321,Camille!$A:$A,0))=2), INDEX(Camille!$D:$D,MATCH(25321,Camille!$A:$A,0)), 0), 0)</f>
        <v>0</v>
      </c>
      <c r="H783" s="1">
        <f t="array" ref="H783">IF(ISNUMBER(MATCH(25321,Telmo!$A:$A,0)), IF(OR(INDEX(Telmo!$D:$D,MATCH(25321,Telmo!$A:$A,0))=1, INDEX(Telmo!$D:$D,MATCH(25321,Telmo!$A:$A,0))=2), INDEX(Telmo!$D:$D,MATCH(25321,Telmo!$A:$A,0)), 0), 0)</f>
        <v>2</v>
      </c>
      <c r="I783" s="1">
        <f t="array" ref="I783">IF(ISNUMBER(MATCH(25321,Max!$A:$A,0)), IF(OR(INDEX(Max!$D:$D,MATCH(25321,Max!$A:$A,0))=1, INDEX(Max!$D:$D,MATCH(25321,Max!$A:$A,0))=2), INDEX(Max!$D:$D,MATCH(25321,Max!$A:$A,0)), 0), 0)</f>
        <v>0</v>
      </c>
    </row>
    <row r="784" spans="1:9" ht="15.75" customHeight="1" x14ac:dyDescent="0.2">
      <c r="A784" s="1">
        <v>62962</v>
      </c>
      <c r="B784" s="1" t="s">
        <v>38</v>
      </c>
      <c r="C784" s="1" t="s">
        <v>1890</v>
      </c>
      <c r="D784" s="1" t="str">
        <f t="shared" si="3"/>
        <v>2</v>
      </c>
      <c r="E784" s="1" t="s">
        <v>1891</v>
      </c>
      <c r="G784" s="1">
        <f t="array" ref="G784">IF(ISNUMBER(MATCH(62962,Camille!$A:$A,0)), IF(OR(INDEX(Camille!$D:$D,MATCH(62962,Camille!$A:$A,0))=1, INDEX(Camille!$D:$D,MATCH(62962,Camille!$A:$A,0))=2), INDEX(Camille!$D:$D,MATCH(62962,Camille!$A:$A,0)), 0), 0)</f>
        <v>0</v>
      </c>
      <c r="H784" s="1">
        <f t="array" ref="H784">IF(ISNUMBER(MATCH(62962,Telmo!$A:$A,0)), IF(OR(INDEX(Telmo!$D:$D,MATCH(62962,Telmo!$A:$A,0))=1, INDEX(Telmo!$D:$D,MATCH(62962,Telmo!$A:$A,0))=2), INDEX(Telmo!$D:$D,MATCH(62962,Telmo!$A:$A,0)), 0), 0)</f>
        <v>2</v>
      </c>
      <c r="I784" s="1">
        <f t="array" ref="I784">IF(ISNUMBER(MATCH(62962,Max!$A:$A,0)), IF(OR(INDEX(Max!$D:$D,MATCH(62962,Max!$A:$A,0))=1, INDEX(Max!$D:$D,MATCH(62962,Max!$A:$A,0))=2), INDEX(Max!$D:$D,MATCH(62962,Max!$A:$A,0)), 0), 0)</f>
        <v>0</v>
      </c>
    </row>
    <row r="785" spans="1:9" ht="15.75" customHeight="1" x14ac:dyDescent="0.2">
      <c r="A785" s="1">
        <v>60530</v>
      </c>
      <c r="B785" s="1" t="s">
        <v>1892</v>
      </c>
      <c r="C785" s="1" t="s">
        <v>1893</v>
      </c>
      <c r="D785" s="1" t="str">
        <f t="shared" si="3"/>
        <v>2</v>
      </c>
      <c r="E785" s="1" t="s">
        <v>1894</v>
      </c>
      <c r="G785" s="1">
        <f t="array" ref="G785">IF(ISNUMBER(MATCH(60530,Camille!$A:$A,0)), IF(OR(INDEX(Camille!$D:$D,MATCH(60530,Camille!$A:$A,0))=1, INDEX(Camille!$D:$D,MATCH(60530,Camille!$A:$A,0))=2), INDEX(Camille!$D:$D,MATCH(60530,Camille!$A:$A,0)), 0), 0)</f>
        <v>0</v>
      </c>
      <c r="H785" s="1">
        <f t="array" ref="H785">IF(ISNUMBER(MATCH(60530,Telmo!$A:$A,0)), IF(OR(INDEX(Telmo!$D:$D,MATCH(60530,Telmo!$A:$A,0))=1, INDEX(Telmo!$D:$D,MATCH(60530,Telmo!$A:$A,0))=2), INDEX(Telmo!$D:$D,MATCH(60530,Telmo!$A:$A,0)), 0), 0)</f>
        <v>2</v>
      </c>
      <c r="I785" s="1">
        <f t="array" ref="I785">IF(ISNUMBER(MATCH(60530,Max!$A:$A,0)), IF(OR(INDEX(Max!$D:$D,MATCH(60530,Max!$A:$A,0))=1, INDEX(Max!$D:$D,MATCH(60530,Max!$A:$A,0))=2), INDEX(Max!$D:$D,MATCH(60530,Max!$A:$A,0)), 0), 0)</f>
        <v>0</v>
      </c>
    </row>
    <row r="786" spans="1:9" ht="15.75" customHeight="1" x14ac:dyDescent="0.2">
      <c r="A786" s="1">
        <v>35160</v>
      </c>
      <c r="B786" s="1" t="s">
        <v>1895</v>
      </c>
      <c r="C786" s="1" t="s">
        <v>1896</v>
      </c>
      <c r="D786" s="1" t="str">
        <f t="shared" si="3"/>
        <v>2</v>
      </c>
      <c r="E786" s="1" t="s">
        <v>1897</v>
      </c>
      <c r="G786" s="1">
        <f t="array" ref="G786">IF(ISNUMBER(MATCH(35160,Camille!$A:$A,0)), IF(OR(INDEX(Camille!$D:$D,MATCH(35160,Camille!$A:$A,0))=1, INDEX(Camille!$D:$D,MATCH(35160,Camille!$A:$A,0))=2), INDEX(Camille!$D:$D,MATCH(35160,Camille!$A:$A,0)), 0), 0)</f>
        <v>0</v>
      </c>
      <c r="H786" s="1">
        <f t="array" ref="H786">IF(ISNUMBER(MATCH(35160,Telmo!$A:$A,0)), IF(OR(INDEX(Telmo!$D:$D,MATCH(35160,Telmo!$A:$A,0))=1, INDEX(Telmo!$D:$D,MATCH(35160,Telmo!$A:$A,0))=2), INDEX(Telmo!$D:$D,MATCH(35160,Telmo!$A:$A,0)), 0), 0)</f>
        <v>2</v>
      </c>
      <c r="I786" s="1">
        <f t="array" ref="I786">IF(ISNUMBER(MATCH(35160,Max!$A:$A,0)), IF(OR(INDEX(Max!$D:$D,MATCH(35160,Max!$A:$A,0))=1, INDEX(Max!$D:$D,MATCH(35160,Max!$A:$A,0))=2), INDEX(Max!$D:$D,MATCH(35160,Max!$A:$A,0)), 0), 0)</f>
        <v>0</v>
      </c>
    </row>
    <row r="787" spans="1:9" ht="15.75" customHeight="1" x14ac:dyDescent="0.2">
      <c r="A787" s="1">
        <v>16478</v>
      </c>
      <c r="B787" s="1" t="s">
        <v>1895</v>
      </c>
      <c r="C787" s="1" t="s">
        <v>1898</v>
      </c>
      <c r="D787" s="1" t="str">
        <f t="shared" si="3"/>
        <v>2</v>
      </c>
      <c r="E787" s="1" t="s">
        <v>1899</v>
      </c>
      <c r="G787" s="1">
        <f t="array" ref="G787">IF(ISNUMBER(MATCH(16478,Camille!$A:$A,0)), IF(OR(INDEX(Camille!$D:$D,MATCH(16478,Camille!$A:$A,0))=1, INDEX(Camille!$D:$D,MATCH(16478,Camille!$A:$A,0))=2), INDEX(Camille!$D:$D,MATCH(16478,Camille!$A:$A,0)), 0), 0)</f>
        <v>0</v>
      </c>
      <c r="H787" s="1">
        <f t="array" ref="H787">IF(ISNUMBER(MATCH(16478,Telmo!$A:$A,0)), IF(OR(INDEX(Telmo!$D:$D,MATCH(16478,Telmo!$A:$A,0))=1, INDEX(Telmo!$D:$D,MATCH(16478,Telmo!$A:$A,0))=2), INDEX(Telmo!$D:$D,MATCH(16478,Telmo!$A:$A,0)), 0), 0)</f>
        <v>2</v>
      </c>
      <c r="I787" s="1">
        <f t="array" ref="I787">IF(ISNUMBER(MATCH(16478,Max!$A:$A,0)), IF(OR(INDEX(Max!$D:$D,MATCH(16478,Max!$A:$A,0))=1, INDEX(Max!$D:$D,MATCH(16478,Max!$A:$A,0))=2), INDEX(Max!$D:$D,MATCH(16478,Max!$A:$A,0)), 0), 0)</f>
        <v>0</v>
      </c>
    </row>
    <row r="788" spans="1:9" ht="15.75" customHeight="1" x14ac:dyDescent="0.2">
      <c r="A788" s="1">
        <v>3154</v>
      </c>
      <c r="B788" s="1" t="s">
        <v>17</v>
      </c>
      <c r="C788" s="1" t="s">
        <v>1900</v>
      </c>
      <c r="D788" s="1" t="str">
        <f t="shared" si="3"/>
        <v>2</v>
      </c>
      <c r="E788" s="1" t="s">
        <v>1901</v>
      </c>
      <c r="G788" s="1">
        <f t="array" ref="G788">IF(ISNUMBER(MATCH(3154,Camille!$A:$A,0)), IF(OR(INDEX(Camille!$D:$D,MATCH(3154,Camille!$A:$A,0))=1, INDEX(Camille!$D:$D,MATCH(3154,Camille!$A:$A,0))=2), INDEX(Camille!$D:$D,MATCH(3154,Camille!$A:$A,0)), 0), 0)</f>
        <v>0</v>
      </c>
      <c r="H788" s="1">
        <f t="array" ref="H788">IF(ISNUMBER(MATCH(3154,Telmo!$A:$A,0)), IF(OR(INDEX(Telmo!$D:$D,MATCH(3154,Telmo!$A:$A,0))=1, INDEX(Telmo!$D:$D,MATCH(3154,Telmo!$A:$A,0))=2), INDEX(Telmo!$D:$D,MATCH(3154,Telmo!$A:$A,0)), 0), 0)</f>
        <v>2</v>
      </c>
      <c r="I788" s="1">
        <f t="array" ref="I788">IF(ISNUMBER(MATCH(3154,Max!$A:$A,0)), IF(OR(INDEX(Max!$D:$D,MATCH(3154,Max!$A:$A,0))=1, INDEX(Max!$D:$D,MATCH(3154,Max!$A:$A,0))=2), INDEX(Max!$D:$D,MATCH(3154,Max!$A:$A,0)), 0), 0)</f>
        <v>0</v>
      </c>
    </row>
    <row r="789" spans="1:9" ht="15.75" customHeight="1" x14ac:dyDescent="0.2">
      <c r="A789" s="1">
        <v>47505</v>
      </c>
      <c r="B789" s="1" t="s">
        <v>1052</v>
      </c>
      <c r="C789" s="1" t="s">
        <v>1902</v>
      </c>
      <c r="D789" s="1" t="str">
        <f t="shared" si="3"/>
        <v>2</v>
      </c>
      <c r="E789" s="1" t="s">
        <v>1903</v>
      </c>
      <c r="G789" s="1">
        <f t="array" ref="G789">IF(ISNUMBER(MATCH(47505,Camille!$A:$A,0)), IF(OR(INDEX(Camille!$D:$D,MATCH(47505,Camille!$A:$A,0))=1, INDEX(Camille!$D:$D,MATCH(47505,Camille!$A:$A,0))=2), INDEX(Camille!$D:$D,MATCH(47505,Camille!$A:$A,0)), 0), 0)</f>
        <v>0</v>
      </c>
      <c r="H789" s="1">
        <f t="array" ref="H789">IF(ISNUMBER(MATCH(47505,Telmo!$A:$A,0)), IF(OR(INDEX(Telmo!$D:$D,MATCH(47505,Telmo!$A:$A,0))=1, INDEX(Telmo!$D:$D,MATCH(47505,Telmo!$A:$A,0))=2), INDEX(Telmo!$D:$D,MATCH(47505,Telmo!$A:$A,0)), 0), 0)</f>
        <v>2</v>
      </c>
      <c r="I789" s="1">
        <f t="array" ref="I789">IF(ISNUMBER(MATCH(47505,Max!$A:$A,0)), IF(OR(INDEX(Max!$D:$D,MATCH(47505,Max!$A:$A,0))=1, INDEX(Max!$D:$D,MATCH(47505,Max!$A:$A,0))=2), INDEX(Max!$D:$D,MATCH(47505,Max!$A:$A,0)), 0), 0)</f>
        <v>0</v>
      </c>
    </row>
    <row r="790" spans="1:9" ht="15.75" customHeight="1" x14ac:dyDescent="0.2">
      <c r="A790" s="1">
        <v>32584</v>
      </c>
      <c r="B790" s="1" t="s">
        <v>100</v>
      </c>
      <c r="C790" s="1" t="s">
        <v>1904</v>
      </c>
      <c r="D790" s="1" t="str">
        <f t="shared" si="3"/>
        <v>2</v>
      </c>
      <c r="E790" s="1" t="s">
        <v>1905</v>
      </c>
      <c r="G790" s="1">
        <f t="array" ref="G790">IF(ISNUMBER(MATCH(32584,Camille!$A:$A,0)), IF(OR(INDEX(Camille!$D:$D,MATCH(32584,Camille!$A:$A,0))=1, INDEX(Camille!$D:$D,MATCH(32584,Camille!$A:$A,0))=2), INDEX(Camille!$D:$D,MATCH(32584,Camille!$A:$A,0)), 0), 0)</f>
        <v>0</v>
      </c>
      <c r="H790" s="1">
        <f t="array" ref="H790">IF(ISNUMBER(MATCH(32584,Telmo!$A:$A,0)), IF(OR(INDEX(Telmo!$D:$D,MATCH(32584,Telmo!$A:$A,0))=1, INDEX(Telmo!$D:$D,MATCH(32584,Telmo!$A:$A,0))=2), INDEX(Telmo!$D:$D,MATCH(32584,Telmo!$A:$A,0)), 0), 0)</f>
        <v>2</v>
      </c>
      <c r="I790" s="1">
        <f t="array" ref="I790">IF(ISNUMBER(MATCH(32584,Max!$A:$A,0)), IF(OR(INDEX(Max!$D:$D,MATCH(32584,Max!$A:$A,0))=1, INDEX(Max!$D:$D,MATCH(32584,Max!$A:$A,0))=2), INDEX(Max!$D:$D,MATCH(32584,Max!$A:$A,0)), 0), 0)</f>
        <v>0</v>
      </c>
    </row>
    <row r="791" spans="1:9" ht="15.75" customHeight="1" x14ac:dyDescent="0.2">
      <c r="A791" s="1">
        <v>42242</v>
      </c>
      <c r="B791" s="1" t="s">
        <v>385</v>
      </c>
      <c r="C791" s="1" t="s">
        <v>1906</v>
      </c>
      <c r="D791" s="1" t="str">
        <f t="shared" si="3"/>
        <v>2</v>
      </c>
      <c r="E791" s="1" t="s">
        <v>1907</v>
      </c>
      <c r="G791" s="1">
        <f t="array" ref="G791">IF(ISNUMBER(MATCH(42242,Camille!$A:$A,0)), IF(OR(INDEX(Camille!$D:$D,MATCH(42242,Camille!$A:$A,0))=1, INDEX(Camille!$D:$D,MATCH(42242,Camille!$A:$A,0))=2), INDEX(Camille!$D:$D,MATCH(42242,Camille!$A:$A,0)), 0), 0)</f>
        <v>0</v>
      </c>
      <c r="H791" s="1">
        <f t="array" ref="H791">IF(ISNUMBER(MATCH(42242,Telmo!$A:$A,0)), IF(OR(INDEX(Telmo!$D:$D,MATCH(42242,Telmo!$A:$A,0))=1, INDEX(Telmo!$D:$D,MATCH(42242,Telmo!$A:$A,0))=2), INDEX(Telmo!$D:$D,MATCH(42242,Telmo!$A:$A,0)), 0), 0)</f>
        <v>2</v>
      </c>
      <c r="I791" s="1">
        <f t="array" ref="I791">IF(ISNUMBER(MATCH(42242,Max!$A:$A,0)), IF(OR(INDEX(Max!$D:$D,MATCH(42242,Max!$A:$A,0))=1, INDEX(Max!$D:$D,MATCH(42242,Max!$A:$A,0))=2), INDEX(Max!$D:$D,MATCH(42242,Max!$A:$A,0)), 0), 0)</f>
        <v>0</v>
      </c>
    </row>
    <row r="792" spans="1:9" ht="15.75" customHeight="1" x14ac:dyDescent="0.2">
      <c r="A792" s="1">
        <v>21335</v>
      </c>
      <c r="B792" s="1" t="s">
        <v>144</v>
      </c>
      <c r="C792" s="1" t="s">
        <v>1908</v>
      </c>
      <c r="D792" s="1" t="str">
        <f t="shared" si="3"/>
        <v>2</v>
      </c>
      <c r="E792" s="1" t="s">
        <v>1909</v>
      </c>
      <c r="G792" s="1">
        <f t="array" ref="G792">IF(ISNUMBER(MATCH(21335,Camille!$A:$A,0)), IF(OR(INDEX(Camille!$D:$D,MATCH(21335,Camille!$A:$A,0))=1, INDEX(Camille!$D:$D,MATCH(21335,Camille!$A:$A,0))=2), INDEX(Camille!$D:$D,MATCH(21335,Camille!$A:$A,0)), 0), 0)</f>
        <v>0</v>
      </c>
      <c r="H792" s="1">
        <f t="array" ref="H792">IF(ISNUMBER(MATCH(21335,Telmo!$A:$A,0)), IF(OR(INDEX(Telmo!$D:$D,MATCH(21335,Telmo!$A:$A,0))=1, INDEX(Telmo!$D:$D,MATCH(21335,Telmo!$A:$A,0))=2), INDEX(Telmo!$D:$D,MATCH(21335,Telmo!$A:$A,0)), 0), 0)</f>
        <v>2</v>
      </c>
      <c r="I792" s="1">
        <f t="array" ref="I792">IF(ISNUMBER(MATCH(21335,Max!$A:$A,0)), IF(OR(INDEX(Max!$D:$D,MATCH(21335,Max!$A:$A,0))=1, INDEX(Max!$D:$D,MATCH(21335,Max!$A:$A,0))=2), INDEX(Max!$D:$D,MATCH(21335,Max!$A:$A,0)), 0), 0)</f>
        <v>0</v>
      </c>
    </row>
    <row r="793" spans="1:9" ht="15.75" customHeight="1" x14ac:dyDescent="0.2">
      <c r="A793" s="1">
        <v>12593</v>
      </c>
      <c r="B793" s="1" t="s">
        <v>120</v>
      </c>
      <c r="C793" s="1" t="s">
        <v>1910</v>
      </c>
      <c r="D793" s="1" t="str">
        <f t="shared" si="3"/>
        <v>1</v>
      </c>
      <c r="E793" s="1" t="s">
        <v>1911</v>
      </c>
      <c r="G793" s="1">
        <f t="array" ref="G793">IF(ISNUMBER(MATCH(12593,Camille!$A:$A,0)), IF(OR(INDEX(Camille!$D:$D,MATCH(12593,Camille!$A:$A,0))=1, INDEX(Camille!$D:$D,MATCH(12593,Camille!$A:$A,0))=2), INDEX(Camille!$D:$D,MATCH(12593,Camille!$A:$A,0)), 0), 0)</f>
        <v>0</v>
      </c>
      <c r="H793" s="1">
        <f t="array" ref="H793">IF(ISNUMBER(MATCH(12593,Telmo!$A:$A,0)), IF(OR(INDEX(Telmo!$D:$D,MATCH(12593,Telmo!$A:$A,0))=1, INDEX(Telmo!$D:$D,MATCH(12593,Telmo!$A:$A,0))=2), INDEX(Telmo!$D:$D,MATCH(12593,Telmo!$A:$A,0)), 0), 0)</f>
        <v>1</v>
      </c>
      <c r="I793" s="1">
        <f t="array" ref="I793">IF(ISNUMBER(MATCH(12593,Max!$A:$A,0)), IF(OR(INDEX(Max!$D:$D,MATCH(12593,Max!$A:$A,0))=1, INDEX(Max!$D:$D,MATCH(12593,Max!$A:$A,0))=2), INDEX(Max!$D:$D,MATCH(12593,Max!$A:$A,0)), 0), 0)</f>
        <v>0</v>
      </c>
    </row>
    <row r="794" spans="1:9" ht="15.75" customHeight="1" x14ac:dyDescent="0.2">
      <c r="A794" s="1">
        <v>43939</v>
      </c>
      <c r="B794" s="1" t="s">
        <v>32</v>
      </c>
      <c r="C794" s="1" t="s">
        <v>1912</v>
      </c>
      <c r="D794" s="1" t="str">
        <f t="shared" si="3"/>
        <v>1</v>
      </c>
      <c r="E794" s="1" t="s">
        <v>1913</v>
      </c>
      <c r="G794" s="1">
        <f t="array" ref="G794">IF(ISNUMBER(MATCH(43939,Camille!$A:$A,0)), IF(OR(INDEX(Camille!$D:$D,MATCH(43939,Camille!$A:$A,0))=1, INDEX(Camille!$D:$D,MATCH(43939,Camille!$A:$A,0))=2), INDEX(Camille!$D:$D,MATCH(43939,Camille!$A:$A,0)), 0), 0)</f>
        <v>0</v>
      </c>
      <c r="H794" s="1">
        <f t="array" ref="H794">IF(ISNUMBER(MATCH(43939,Telmo!$A:$A,0)), IF(OR(INDEX(Telmo!$D:$D,MATCH(43939,Telmo!$A:$A,0))=1, INDEX(Telmo!$D:$D,MATCH(43939,Telmo!$A:$A,0))=2), INDEX(Telmo!$D:$D,MATCH(43939,Telmo!$A:$A,0)), 0), 0)</f>
        <v>1</v>
      </c>
      <c r="I794" s="1">
        <f t="array" ref="I794">IF(ISNUMBER(MATCH(43939,Max!$A:$A,0)), IF(OR(INDEX(Max!$D:$D,MATCH(43939,Max!$A:$A,0))=1, INDEX(Max!$D:$D,MATCH(43939,Max!$A:$A,0))=2), INDEX(Max!$D:$D,MATCH(43939,Max!$A:$A,0)), 0), 0)</f>
        <v>0</v>
      </c>
    </row>
    <row r="795" spans="1:9" ht="15.75" customHeight="1" x14ac:dyDescent="0.2">
      <c r="A795" s="1">
        <v>64657</v>
      </c>
      <c r="B795" s="1" t="s">
        <v>1914</v>
      </c>
      <c r="C795" s="1" t="s">
        <v>1915</v>
      </c>
      <c r="D795" s="1" t="str">
        <f t="shared" si="3"/>
        <v>2</v>
      </c>
      <c r="E795" s="1" t="s">
        <v>1916</v>
      </c>
      <c r="G795" s="1">
        <f t="array" ref="G795">IF(ISNUMBER(MATCH(64657,Camille!$A:$A,0)), IF(OR(INDEX(Camille!$D:$D,MATCH(64657,Camille!$A:$A,0))=1, INDEX(Camille!$D:$D,MATCH(64657,Camille!$A:$A,0))=2), INDEX(Camille!$D:$D,MATCH(64657,Camille!$A:$A,0)), 0), 0)</f>
        <v>0</v>
      </c>
      <c r="H795" s="1">
        <f t="array" ref="H795">IF(ISNUMBER(MATCH(64657,Telmo!$A:$A,0)), IF(OR(INDEX(Telmo!$D:$D,MATCH(64657,Telmo!$A:$A,0))=1, INDEX(Telmo!$D:$D,MATCH(64657,Telmo!$A:$A,0))=2), INDEX(Telmo!$D:$D,MATCH(64657,Telmo!$A:$A,0)), 0), 0)</f>
        <v>2</v>
      </c>
      <c r="I795" s="1">
        <f t="array" ref="I795">IF(ISNUMBER(MATCH(64657,Max!$A:$A,0)), IF(OR(INDEX(Max!$D:$D,MATCH(64657,Max!$A:$A,0))=1, INDEX(Max!$D:$D,MATCH(64657,Max!$A:$A,0))=2), INDEX(Max!$D:$D,MATCH(64657,Max!$A:$A,0)), 0), 0)</f>
        <v>0</v>
      </c>
    </row>
    <row r="796" spans="1:9" ht="15.75" customHeight="1" x14ac:dyDescent="0.2">
      <c r="A796" s="1">
        <v>3860</v>
      </c>
      <c r="B796" s="1" t="s">
        <v>931</v>
      </c>
      <c r="C796" s="1" t="s">
        <v>1917</v>
      </c>
      <c r="D796" s="1" t="str">
        <f t="shared" si="3"/>
        <v>1</v>
      </c>
      <c r="E796" s="1" t="s">
        <v>1918</v>
      </c>
      <c r="G796" s="1">
        <f t="array" ref="G796">IF(ISNUMBER(MATCH(3860,Camille!$A:$A,0)), IF(OR(INDEX(Camille!$D:$D,MATCH(3860,Camille!$A:$A,0))=1, INDEX(Camille!$D:$D,MATCH(3860,Camille!$A:$A,0))=2), INDEX(Camille!$D:$D,MATCH(3860,Camille!$A:$A,0)), 0), 0)</f>
        <v>0</v>
      </c>
      <c r="H796" s="1">
        <f t="array" ref="H796">IF(ISNUMBER(MATCH(3860,Telmo!$A:$A,0)), IF(OR(INDEX(Telmo!$D:$D,MATCH(3860,Telmo!$A:$A,0))=1, INDEX(Telmo!$D:$D,MATCH(3860,Telmo!$A:$A,0))=2), INDEX(Telmo!$D:$D,MATCH(3860,Telmo!$A:$A,0)), 0), 0)</f>
        <v>1</v>
      </c>
      <c r="I796" s="1">
        <f t="array" ref="I796">IF(ISNUMBER(MATCH(3860,Max!$A:$A,0)), IF(OR(INDEX(Max!$D:$D,MATCH(3860,Max!$A:$A,0))=1, INDEX(Max!$D:$D,MATCH(3860,Max!$A:$A,0))=2), INDEX(Max!$D:$D,MATCH(3860,Max!$A:$A,0)), 0), 0)</f>
        <v>0</v>
      </c>
    </row>
    <row r="797" spans="1:9" ht="15.75" customHeight="1" x14ac:dyDescent="0.2">
      <c r="A797" s="1">
        <v>24976</v>
      </c>
      <c r="B797" s="1" t="s">
        <v>666</v>
      </c>
      <c r="C797" s="1" t="s">
        <v>1919</v>
      </c>
      <c r="D797" s="1" t="str">
        <f t="shared" si="3"/>
        <v>2</v>
      </c>
      <c r="E797" s="1" t="s">
        <v>1920</v>
      </c>
      <c r="G797" s="1">
        <f t="array" ref="G797">IF(ISNUMBER(MATCH(24976,Camille!$A:$A,0)), IF(OR(INDEX(Camille!$D:$D,MATCH(24976,Camille!$A:$A,0))=1, INDEX(Camille!$D:$D,MATCH(24976,Camille!$A:$A,0))=2), INDEX(Camille!$D:$D,MATCH(24976,Camille!$A:$A,0)), 0), 0)</f>
        <v>0</v>
      </c>
      <c r="H797" s="1">
        <f t="array" ref="H797">IF(ISNUMBER(MATCH(24976,Telmo!$A:$A,0)), IF(OR(INDEX(Telmo!$D:$D,MATCH(24976,Telmo!$A:$A,0))=1, INDEX(Telmo!$D:$D,MATCH(24976,Telmo!$A:$A,0))=2), INDEX(Telmo!$D:$D,MATCH(24976,Telmo!$A:$A,0)), 0), 0)</f>
        <v>2</v>
      </c>
      <c r="I797" s="1">
        <f t="array" ref="I797">IF(ISNUMBER(MATCH(24976,Max!$A:$A,0)), IF(OR(INDEX(Max!$D:$D,MATCH(24976,Max!$A:$A,0))=1, INDEX(Max!$D:$D,MATCH(24976,Max!$A:$A,0))=2), INDEX(Max!$D:$D,MATCH(24976,Max!$A:$A,0)), 0), 0)</f>
        <v>0</v>
      </c>
    </row>
    <row r="798" spans="1:9" ht="15.75" customHeight="1" x14ac:dyDescent="0.2">
      <c r="A798" s="1">
        <v>17378</v>
      </c>
      <c r="B798" s="1" t="s">
        <v>1921</v>
      </c>
      <c r="C798" s="1" t="s">
        <v>1922</v>
      </c>
      <c r="D798" s="1" t="str">
        <f t="shared" si="3"/>
        <v>2</v>
      </c>
      <c r="E798" s="1" t="s">
        <v>1923</v>
      </c>
      <c r="G798" s="1">
        <f t="array" ref="G798">IF(ISNUMBER(MATCH(17378,Camille!$A:$A,0)), IF(OR(INDEX(Camille!$D:$D,MATCH(17378,Camille!$A:$A,0))=1, INDEX(Camille!$D:$D,MATCH(17378,Camille!$A:$A,0))=2), INDEX(Camille!$D:$D,MATCH(17378,Camille!$A:$A,0)), 0), 0)</f>
        <v>0</v>
      </c>
      <c r="H798" s="1">
        <f t="array" ref="H798">IF(ISNUMBER(MATCH(17378,Telmo!$A:$A,0)), IF(OR(INDEX(Telmo!$D:$D,MATCH(17378,Telmo!$A:$A,0))=1, INDEX(Telmo!$D:$D,MATCH(17378,Telmo!$A:$A,0))=2), INDEX(Telmo!$D:$D,MATCH(17378,Telmo!$A:$A,0)), 0), 0)</f>
        <v>2</v>
      </c>
      <c r="I798" s="1">
        <f t="array" ref="I798">IF(ISNUMBER(MATCH(17378,Max!$A:$A,0)), IF(OR(INDEX(Max!$D:$D,MATCH(17378,Max!$A:$A,0))=1, INDEX(Max!$D:$D,MATCH(17378,Max!$A:$A,0))=2), INDEX(Max!$D:$D,MATCH(17378,Max!$A:$A,0)), 0), 0)</f>
        <v>0</v>
      </c>
    </row>
    <row r="799" spans="1:9" ht="15.75" customHeight="1" x14ac:dyDescent="0.2">
      <c r="A799" s="1">
        <v>41564</v>
      </c>
      <c r="B799" s="1" t="s">
        <v>172</v>
      </c>
      <c r="C799" s="1" t="s">
        <v>1924</v>
      </c>
      <c r="D799" s="1" t="str">
        <f t="shared" si="3"/>
        <v>2</v>
      </c>
      <c r="E799" s="1" t="s">
        <v>1925</v>
      </c>
      <c r="G799" s="1">
        <f t="array" ref="G799">IF(ISNUMBER(MATCH(41564,Camille!$A:$A,0)), IF(OR(INDEX(Camille!$D:$D,MATCH(41564,Camille!$A:$A,0))=1, INDEX(Camille!$D:$D,MATCH(41564,Camille!$A:$A,0))=2), INDEX(Camille!$D:$D,MATCH(41564,Camille!$A:$A,0)), 0), 0)</f>
        <v>0</v>
      </c>
      <c r="H799" s="1">
        <f t="array" ref="H799">IF(ISNUMBER(MATCH(41564,Telmo!$A:$A,0)), IF(OR(INDEX(Telmo!$D:$D,MATCH(41564,Telmo!$A:$A,0))=1, INDEX(Telmo!$D:$D,MATCH(41564,Telmo!$A:$A,0))=2), INDEX(Telmo!$D:$D,MATCH(41564,Telmo!$A:$A,0)), 0), 0)</f>
        <v>2</v>
      </c>
      <c r="I799" s="1">
        <f t="array" ref="I799">IF(ISNUMBER(MATCH(41564,Max!$A:$A,0)), IF(OR(INDEX(Max!$D:$D,MATCH(41564,Max!$A:$A,0))=1, INDEX(Max!$D:$D,MATCH(41564,Max!$A:$A,0))=2), INDEX(Max!$D:$D,MATCH(41564,Max!$A:$A,0)), 0), 0)</f>
        <v>0</v>
      </c>
    </row>
    <row r="800" spans="1:9" ht="15.75" customHeight="1" x14ac:dyDescent="0.2">
      <c r="A800" s="1">
        <v>59345</v>
      </c>
      <c r="B800" s="1" t="s">
        <v>1926</v>
      </c>
      <c r="C800" s="1" t="s">
        <v>1927</v>
      </c>
      <c r="D800" s="1" t="str">
        <f t="shared" si="3"/>
        <v>1</v>
      </c>
      <c r="E800" s="1" t="s">
        <v>1928</v>
      </c>
      <c r="G800" s="1">
        <f t="array" ref="G800">IF(ISNUMBER(MATCH(59345,Camille!$A:$A,0)), IF(OR(INDEX(Camille!$D:$D,MATCH(59345,Camille!$A:$A,0))=1, INDEX(Camille!$D:$D,MATCH(59345,Camille!$A:$A,0))=2), INDEX(Camille!$D:$D,MATCH(59345,Camille!$A:$A,0)), 0), 0)</f>
        <v>0</v>
      </c>
      <c r="H800" s="1">
        <f t="array" ref="H800">IF(ISNUMBER(MATCH(59345,Telmo!$A:$A,0)), IF(OR(INDEX(Telmo!$D:$D,MATCH(59345,Telmo!$A:$A,0))=1, INDEX(Telmo!$D:$D,MATCH(59345,Telmo!$A:$A,0))=2), INDEX(Telmo!$D:$D,MATCH(59345,Telmo!$A:$A,0)), 0), 0)</f>
        <v>1</v>
      </c>
      <c r="I800" s="1">
        <f t="array" ref="I800">IF(ISNUMBER(MATCH(59345,Max!$A:$A,0)), IF(OR(INDEX(Max!$D:$D,MATCH(59345,Max!$A:$A,0))=1, INDEX(Max!$D:$D,MATCH(59345,Max!$A:$A,0))=2), INDEX(Max!$D:$D,MATCH(59345,Max!$A:$A,0)), 0), 0)</f>
        <v>0</v>
      </c>
    </row>
    <row r="801" spans="1:9" ht="15.75" customHeight="1" x14ac:dyDescent="0.2">
      <c r="A801" s="1">
        <v>24365</v>
      </c>
      <c r="B801" s="1" t="s">
        <v>1929</v>
      </c>
      <c r="C801" s="1" t="s">
        <v>1930</v>
      </c>
      <c r="D801" s="1" t="str">
        <f t="shared" si="3"/>
        <v>2</v>
      </c>
      <c r="E801" s="1" t="s">
        <v>1931</v>
      </c>
      <c r="G801" s="1">
        <f t="array" ref="G801">IF(ISNUMBER(MATCH(24365,Camille!$A:$A,0)), IF(OR(INDEX(Camille!$D:$D,MATCH(24365,Camille!$A:$A,0))=1, INDEX(Camille!$D:$D,MATCH(24365,Camille!$A:$A,0))=2), INDEX(Camille!$D:$D,MATCH(24365,Camille!$A:$A,0)), 0), 0)</f>
        <v>0</v>
      </c>
      <c r="H801" s="1">
        <f t="array" ref="H801">IF(ISNUMBER(MATCH(24365,Telmo!$A:$A,0)), IF(OR(INDEX(Telmo!$D:$D,MATCH(24365,Telmo!$A:$A,0))=1, INDEX(Telmo!$D:$D,MATCH(24365,Telmo!$A:$A,0))=2), INDEX(Telmo!$D:$D,MATCH(24365,Telmo!$A:$A,0)), 0), 0)</f>
        <v>2</v>
      </c>
      <c r="I801" s="1">
        <f t="array" ref="I801">IF(ISNUMBER(MATCH(24365,Max!$A:$A,0)), IF(OR(INDEX(Max!$D:$D,MATCH(24365,Max!$A:$A,0))=1, INDEX(Max!$D:$D,MATCH(24365,Max!$A:$A,0))=2), INDEX(Max!$D:$D,MATCH(24365,Max!$A:$A,0)), 0), 0)</f>
        <v>0</v>
      </c>
    </row>
    <row r="802" spans="1:9" ht="15.75" customHeight="1" x14ac:dyDescent="0.2">
      <c r="A802" s="1">
        <v>71207</v>
      </c>
      <c r="B802" s="1" t="s">
        <v>32</v>
      </c>
      <c r="C802" s="1" t="s">
        <v>1932</v>
      </c>
      <c r="D802" s="1" t="str">
        <f t="shared" si="3"/>
        <v>2</v>
      </c>
      <c r="E802" s="1" t="s">
        <v>1933</v>
      </c>
      <c r="G802" s="1">
        <f t="array" ref="G802">IF(ISNUMBER(MATCH(71207,Camille!$A:$A,0)), IF(OR(INDEX(Camille!$D:$D,MATCH(71207,Camille!$A:$A,0))=1, INDEX(Camille!$D:$D,MATCH(71207,Camille!$A:$A,0))=2), INDEX(Camille!$D:$D,MATCH(71207,Camille!$A:$A,0)), 0), 0)</f>
        <v>0</v>
      </c>
      <c r="H802" s="1">
        <f t="array" ref="H802">IF(ISNUMBER(MATCH(71207,Telmo!$A:$A,0)), IF(OR(INDEX(Telmo!$D:$D,MATCH(71207,Telmo!$A:$A,0))=1, INDEX(Telmo!$D:$D,MATCH(71207,Telmo!$A:$A,0))=2), INDEX(Telmo!$D:$D,MATCH(71207,Telmo!$A:$A,0)), 0), 0)</f>
        <v>2</v>
      </c>
      <c r="I802" s="1">
        <f t="array" ref="I802">IF(ISNUMBER(MATCH(71207,Max!$A:$A,0)), IF(OR(INDEX(Max!$D:$D,MATCH(71207,Max!$A:$A,0))=1, INDEX(Max!$D:$D,MATCH(71207,Max!$A:$A,0))=2), INDEX(Max!$D:$D,MATCH(71207,Max!$A:$A,0)), 0), 0)</f>
        <v>0</v>
      </c>
    </row>
    <row r="803" spans="1:9" ht="15.75" customHeight="1" x14ac:dyDescent="0.2">
      <c r="A803" s="1">
        <v>31629</v>
      </c>
      <c r="B803" s="1" t="s">
        <v>103</v>
      </c>
      <c r="C803" s="1" t="s">
        <v>1934</v>
      </c>
      <c r="D803" s="1" t="str">
        <f t="shared" si="3"/>
        <v>1</v>
      </c>
      <c r="E803" s="1" t="s">
        <v>1935</v>
      </c>
      <c r="G803" s="1">
        <f t="array" ref="G803">IF(ISNUMBER(MATCH(31629,Camille!$A:$A,0)), IF(OR(INDEX(Camille!$D:$D,MATCH(31629,Camille!$A:$A,0))=1, INDEX(Camille!$D:$D,MATCH(31629,Camille!$A:$A,0))=2), INDEX(Camille!$D:$D,MATCH(31629,Camille!$A:$A,0)), 0), 0)</f>
        <v>0</v>
      </c>
      <c r="H803" s="1">
        <f t="array" ref="H803">IF(ISNUMBER(MATCH(31629,Telmo!$A:$A,0)), IF(OR(INDEX(Telmo!$D:$D,MATCH(31629,Telmo!$A:$A,0))=1, INDEX(Telmo!$D:$D,MATCH(31629,Telmo!$A:$A,0))=2), INDEX(Telmo!$D:$D,MATCH(31629,Telmo!$A:$A,0)), 0), 0)</f>
        <v>1</v>
      </c>
      <c r="I803" s="1">
        <f t="array" ref="I803">IF(ISNUMBER(MATCH(31629,Max!$A:$A,0)), IF(OR(INDEX(Max!$D:$D,MATCH(31629,Max!$A:$A,0))=1, INDEX(Max!$D:$D,MATCH(31629,Max!$A:$A,0))=2), INDEX(Max!$D:$D,MATCH(31629,Max!$A:$A,0)), 0), 0)</f>
        <v>0</v>
      </c>
    </row>
    <row r="804" spans="1:9" ht="15.75" customHeight="1" x14ac:dyDescent="0.2">
      <c r="A804" s="1">
        <v>51641</v>
      </c>
      <c r="B804" s="1" t="s">
        <v>797</v>
      </c>
      <c r="C804" s="1" t="s">
        <v>1936</v>
      </c>
      <c r="D804" s="1" t="str">
        <f t="shared" si="3"/>
        <v>2</v>
      </c>
      <c r="E804" s="1" t="s">
        <v>1937</v>
      </c>
      <c r="G804" s="1">
        <f t="array" ref="G804">IF(ISNUMBER(MATCH(51641,Camille!$A:$A,0)), IF(OR(INDEX(Camille!$D:$D,MATCH(51641,Camille!$A:$A,0))=1, INDEX(Camille!$D:$D,MATCH(51641,Camille!$A:$A,0))=2), INDEX(Camille!$D:$D,MATCH(51641,Camille!$A:$A,0)), 0), 0)</f>
        <v>0</v>
      </c>
      <c r="H804" s="1">
        <f t="array" ref="H804">IF(ISNUMBER(MATCH(51641,Telmo!$A:$A,0)), IF(OR(INDEX(Telmo!$D:$D,MATCH(51641,Telmo!$A:$A,0))=1, INDEX(Telmo!$D:$D,MATCH(51641,Telmo!$A:$A,0))=2), INDEX(Telmo!$D:$D,MATCH(51641,Telmo!$A:$A,0)), 0), 0)</f>
        <v>2</v>
      </c>
      <c r="I804" s="1">
        <f t="array" ref="I804">IF(ISNUMBER(MATCH(51641,Max!$A:$A,0)), IF(OR(INDEX(Max!$D:$D,MATCH(51641,Max!$A:$A,0))=1, INDEX(Max!$D:$D,MATCH(51641,Max!$A:$A,0))=2), INDEX(Max!$D:$D,MATCH(51641,Max!$A:$A,0)), 0), 0)</f>
        <v>0</v>
      </c>
    </row>
    <row r="805" spans="1:9" ht="15.75" customHeight="1" x14ac:dyDescent="0.2">
      <c r="A805" s="1">
        <v>50048</v>
      </c>
      <c r="B805" s="1" t="s">
        <v>326</v>
      </c>
      <c r="C805" s="1" t="s">
        <v>1938</v>
      </c>
      <c r="D805" s="1" t="str">
        <f t="shared" si="3"/>
        <v>1</v>
      </c>
      <c r="E805" s="1" t="s">
        <v>1939</v>
      </c>
      <c r="G805" s="1">
        <f t="array" ref="G805">IF(ISNUMBER(MATCH(50048,Camille!$A:$A,0)), IF(OR(INDEX(Camille!$D:$D,MATCH(50048,Camille!$A:$A,0))=1, INDEX(Camille!$D:$D,MATCH(50048,Camille!$A:$A,0))=2), INDEX(Camille!$D:$D,MATCH(50048,Camille!$A:$A,0)), 0), 0)</f>
        <v>0</v>
      </c>
      <c r="H805" s="1">
        <f t="array" ref="H805">IF(ISNUMBER(MATCH(50048,Telmo!$A:$A,0)), IF(OR(INDEX(Telmo!$D:$D,MATCH(50048,Telmo!$A:$A,0))=1, INDEX(Telmo!$D:$D,MATCH(50048,Telmo!$A:$A,0))=2), INDEX(Telmo!$D:$D,MATCH(50048,Telmo!$A:$A,0)), 0), 0)</f>
        <v>1</v>
      </c>
      <c r="I805" s="1">
        <f t="array" ref="I805">IF(ISNUMBER(MATCH(50048,Max!$A:$A,0)), IF(OR(INDEX(Max!$D:$D,MATCH(50048,Max!$A:$A,0))=1, INDEX(Max!$D:$D,MATCH(50048,Max!$A:$A,0))=2), INDEX(Max!$D:$D,MATCH(50048,Max!$A:$A,0)), 0), 0)</f>
        <v>0</v>
      </c>
    </row>
    <row r="806" spans="1:9" ht="15.75" customHeight="1" x14ac:dyDescent="0.2">
      <c r="A806" s="1">
        <v>56711</v>
      </c>
      <c r="B806" s="1" t="s">
        <v>109</v>
      </c>
      <c r="C806" s="1" t="s">
        <v>1940</v>
      </c>
      <c r="D806" s="1" t="str">
        <f t="shared" si="3"/>
        <v>1</v>
      </c>
      <c r="E806" s="1" t="s">
        <v>1941</v>
      </c>
      <c r="G806" s="1">
        <f t="array" ref="G806">IF(ISNUMBER(MATCH(56711,Camille!$A:$A,0)), IF(OR(INDEX(Camille!$D:$D,MATCH(56711,Camille!$A:$A,0))=1, INDEX(Camille!$D:$D,MATCH(56711,Camille!$A:$A,0))=2), INDEX(Camille!$D:$D,MATCH(56711,Camille!$A:$A,0)), 0), 0)</f>
        <v>0</v>
      </c>
      <c r="H806" s="1">
        <f t="array" ref="H806">IF(ISNUMBER(MATCH(56711,Telmo!$A:$A,0)), IF(OR(INDEX(Telmo!$D:$D,MATCH(56711,Telmo!$A:$A,0))=1, INDEX(Telmo!$D:$D,MATCH(56711,Telmo!$A:$A,0))=2), INDEX(Telmo!$D:$D,MATCH(56711,Telmo!$A:$A,0)), 0), 0)</f>
        <v>1</v>
      </c>
      <c r="I806" s="1">
        <f t="array" ref="I806">IF(ISNUMBER(MATCH(56711,Max!$A:$A,0)), IF(OR(INDEX(Max!$D:$D,MATCH(56711,Max!$A:$A,0))=1, INDEX(Max!$D:$D,MATCH(56711,Max!$A:$A,0))=2), INDEX(Max!$D:$D,MATCH(56711,Max!$A:$A,0)), 0), 0)</f>
        <v>0</v>
      </c>
    </row>
    <row r="807" spans="1:9" ht="15.75" customHeight="1" x14ac:dyDescent="0.2">
      <c r="A807" s="1">
        <v>57433</v>
      </c>
      <c r="B807" s="1" t="s">
        <v>75</v>
      </c>
      <c r="C807" s="1" t="s">
        <v>1942</v>
      </c>
      <c r="D807" s="1" t="str">
        <f t="shared" si="3"/>
        <v>2</v>
      </c>
      <c r="E807" s="1" t="s">
        <v>1943</v>
      </c>
      <c r="G807" s="1">
        <f t="array" ref="G807">IF(ISNUMBER(MATCH(57433,Camille!$A:$A,0)), IF(OR(INDEX(Camille!$D:$D,MATCH(57433,Camille!$A:$A,0))=1, INDEX(Camille!$D:$D,MATCH(57433,Camille!$A:$A,0))=2), INDEX(Camille!$D:$D,MATCH(57433,Camille!$A:$A,0)), 0), 0)</f>
        <v>0</v>
      </c>
      <c r="H807" s="1">
        <f t="array" ref="H807">IF(ISNUMBER(MATCH(57433,Telmo!$A:$A,0)), IF(OR(INDEX(Telmo!$D:$D,MATCH(57433,Telmo!$A:$A,0))=1, INDEX(Telmo!$D:$D,MATCH(57433,Telmo!$A:$A,0))=2), INDEX(Telmo!$D:$D,MATCH(57433,Telmo!$A:$A,0)), 0), 0)</f>
        <v>2</v>
      </c>
      <c r="I807" s="1">
        <f t="array" ref="I807">IF(ISNUMBER(MATCH(57433,Max!$A:$A,0)), IF(OR(INDEX(Max!$D:$D,MATCH(57433,Max!$A:$A,0))=1, INDEX(Max!$D:$D,MATCH(57433,Max!$A:$A,0))=2), INDEX(Max!$D:$D,MATCH(57433,Max!$A:$A,0)), 0), 0)</f>
        <v>0</v>
      </c>
    </row>
    <row r="808" spans="1:9" ht="15.75" customHeight="1" x14ac:dyDescent="0.2">
      <c r="A808" s="1">
        <v>49741</v>
      </c>
      <c r="B808" s="1" t="s">
        <v>1357</v>
      </c>
      <c r="C808" s="1" t="s">
        <v>1944</v>
      </c>
      <c r="D808" s="1" t="str">
        <f t="shared" si="3"/>
        <v>2</v>
      </c>
      <c r="E808" s="1" t="s">
        <v>1945</v>
      </c>
      <c r="G808" s="1">
        <f t="array" ref="G808">IF(ISNUMBER(MATCH(49741,Camille!$A:$A,0)), IF(OR(INDEX(Camille!$D:$D,MATCH(49741,Camille!$A:$A,0))=1, INDEX(Camille!$D:$D,MATCH(49741,Camille!$A:$A,0))=2), INDEX(Camille!$D:$D,MATCH(49741,Camille!$A:$A,0)), 0), 0)</f>
        <v>0</v>
      </c>
      <c r="H808" s="1">
        <f t="array" ref="H808">IF(ISNUMBER(MATCH(49741,Telmo!$A:$A,0)), IF(OR(INDEX(Telmo!$D:$D,MATCH(49741,Telmo!$A:$A,0))=1, INDEX(Telmo!$D:$D,MATCH(49741,Telmo!$A:$A,0))=2), INDEX(Telmo!$D:$D,MATCH(49741,Telmo!$A:$A,0)), 0), 0)</f>
        <v>2</v>
      </c>
      <c r="I808" s="1">
        <f t="array" ref="I808">IF(ISNUMBER(MATCH(49741,Max!$A:$A,0)), IF(OR(INDEX(Max!$D:$D,MATCH(49741,Max!$A:$A,0))=1, INDEX(Max!$D:$D,MATCH(49741,Max!$A:$A,0))=2), INDEX(Max!$D:$D,MATCH(49741,Max!$A:$A,0)), 0), 0)</f>
        <v>0</v>
      </c>
    </row>
    <row r="809" spans="1:9" ht="15.75" customHeight="1" x14ac:dyDescent="0.2">
      <c r="A809" s="1">
        <v>55997</v>
      </c>
      <c r="B809" s="1" t="s">
        <v>1946</v>
      </c>
      <c r="C809" s="1" t="s">
        <v>1947</v>
      </c>
      <c r="D809" s="1" t="str">
        <f t="shared" si="3"/>
        <v>1</v>
      </c>
      <c r="E809" s="1" t="s">
        <v>1948</v>
      </c>
      <c r="G809" s="1">
        <f t="array" ref="G809">IF(ISNUMBER(MATCH(55997,Camille!$A:$A,0)), IF(OR(INDEX(Camille!$D:$D,MATCH(55997,Camille!$A:$A,0))=1, INDEX(Camille!$D:$D,MATCH(55997,Camille!$A:$A,0))=2), INDEX(Camille!$D:$D,MATCH(55997,Camille!$A:$A,0)), 0), 0)</f>
        <v>0</v>
      </c>
      <c r="H809" s="1">
        <f t="array" ref="H809">IF(ISNUMBER(MATCH(55997,Telmo!$A:$A,0)), IF(OR(INDEX(Telmo!$D:$D,MATCH(55997,Telmo!$A:$A,0))=1, INDEX(Telmo!$D:$D,MATCH(55997,Telmo!$A:$A,0))=2), INDEX(Telmo!$D:$D,MATCH(55997,Telmo!$A:$A,0)), 0), 0)</f>
        <v>1</v>
      </c>
      <c r="I809" s="1">
        <f t="array" ref="I809">IF(ISNUMBER(MATCH(55997,Max!$A:$A,0)), IF(OR(INDEX(Max!$D:$D,MATCH(55997,Max!$A:$A,0))=1, INDEX(Max!$D:$D,MATCH(55997,Max!$A:$A,0))=2), INDEX(Max!$D:$D,MATCH(55997,Max!$A:$A,0)), 0), 0)</f>
        <v>0</v>
      </c>
    </row>
    <row r="810" spans="1:9" ht="15.75" customHeight="1" x14ac:dyDescent="0.2">
      <c r="A810" s="1">
        <v>14412</v>
      </c>
      <c r="B810" s="1" t="s">
        <v>794</v>
      </c>
      <c r="C810" s="1" t="s">
        <v>1949</v>
      </c>
      <c r="D810" s="1" t="str">
        <f t="shared" si="3"/>
        <v>2</v>
      </c>
      <c r="E810" s="1" t="s">
        <v>1950</v>
      </c>
      <c r="G810" s="1">
        <f t="array" ref="G810">IF(ISNUMBER(MATCH(14412,Camille!$A:$A,0)), IF(OR(INDEX(Camille!$D:$D,MATCH(14412,Camille!$A:$A,0))=1, INDEX(Camille!$D:$D,MATCH(14412,Camille!$A:$A,0))=2), INDEX(Camille!$D:$D,MATCH(14412,Camille!$A:$A,0)), 0), 0)</f>
        <v>0</v>
      </c>
      <c r="H810" s="1">
        <f t="array" ref="H810">IF(ISNUMBER(MATCH(14412,Telmo!$A:$A,0)), IF(OR(INDEX(Telmo!$D:$D,MATCH(14412,Telmo!$A:$A,0))=1, INDEX(Telmo!$D:$D,MATCH(14412,Telmo!$A:$A,0))=2), INDEX(Telmo!$D:$D,MATCH(14412,Telmo!$A:$A,0)), 0), 0)</f>
        <v>2</v>
      </c>
      <c r="I810" s="1">
        <f t="array" ref="I810">IF(ISNUMBER(MATCH(14412,Max!$A:$A,0)), IF(OR(INDEX(Max!$D:$D,MATCH(14412,Max!$A:$A,0))=1, INDEX(Max!$D:$D,MATCH(14412,Max!$A:$A,0))=2), INDEX(Max!$D:$D,MATCH(14412,Max!$A:$A,0)), 0), 0)</f>
        <v>0</v>
      </c>
    </row>
    <row r="811" spans="1:9" ht="15.75" customHeight="1" x14ac:dyDescent="0.2">
      <c r="A811" s="1">
        <v>31226</v>
      </c>
      <c r="B811" s="1" t="s">
        <v>906</v>
      </c>
      <c r="C811" s="1" t="s">
        <v>1951</v>
      </c>
      <c r="D811" s="1" t="str">
        <f t="shared" si="3"/>
        <v>1</v>
      </c>
      <c r="E811" s="1" t="s">
        <v>1952</v>
      </c>
      <c r="G811" s="1">
        <f t="array" ref="G811">IF(ISNUMBER(MATCH(31226,Camille!$A:$A,0)), IF(OR(INDEX(Camille!$D:$D,MATCH(31226,Camille!$A:$A,0))=1, INDEX(Camille!$D:$D,MATCH(31226,Camille!$A:$A,0))=2), INDEX(Camille!$D:$D,MATCH(31226,Camille!$A:$A,0)), 0), 0)</f>
        <v>0</v>
      </c>
      <c r="H811" s="1">
        <f t="array" ref="H811">IF(ISNUMBER(MATCH(31226,Telmo!$A:$A,0)), IF(OR(INDEX(Telmo!$D:$D,MATCH(31226,Telmo!$A:$A,0))=1, INDEX(Telmo!$D:$D,MATCH(31226,Telmo!$A:$A,0))=2), INDEX(Telmo!$D:$D,MATCH(31226,Telmo!$A:$A,0)), 0), 0)</f>
        <v>1</v>
      </c>
      <c r="I811" s="1">
        <f t="array" ref="I811">IF(ISNUMBER(MATCH(31226,Max!$A:$A,0)), IF(OR(INDEX(Max!$D:$D,MATCH(31226,Max!$A:$A,0))=1, INDEX(Max!$D:$D,MATCH(31226,Max!$A:$A,0))=2), INDEX(Max!$D:$D,MATCH(31226,Max!$A:$A,0)), 0), 0)</f>
        <v>0</v>
      </c>
    </row>
    <row r="812" spans="1:9" ht="15.75" customHeight="1" x14ac:dyDescent="0.2">
      <c r="A812" s="1">
        <v>69691</v>
      </c>
      <c r="B812" s="1" t="s">
        <v>144</v>
      </c>
      <c r="C812" s="1" t="s">
        <v>1953</v>
      </c>
      <c r="D812" s="1" t="str">
        <f t="shared" si="3"/>
        <v>2</v>
      </c>
      <c r="E812" s="1" t="s">
        <v>1954</v>
      </c>
      <c r="G812" s="1">
        <f t="array" ref="G812">IF(ISNUMBER(MATCH(69691,Camille!$A:$A,0)), IF(OR(INDEX(Camille!$D:$D,MATCH(69691,Camille!$A:$A,0))=1, INDEX(Camille!$D:$D,MATCH(69691,Camille!$A:$A,0))=2), INDEX(Camille!$D:$D,MATCH(69691,Camille!$A:$A,0)), 0), 0)</f>
        <v>0</v>
      </c>
      <c r="H812" s="1">
        <f t="array" ref="H812">IF(ISNUMBER(MATCH(69691,Telmo!$A:$A,0)), IF(OR(INDEX(Telmo!$D:$D,MATCH(69691,Telmo!$A:$A,0))=1, INDEX(Telmo!$D:$D,MATCH(69691,Telmo!$A:$A,0))=2), INDEX(Telmo!$D:$D,MATCH(69691,Telmo!$A:$A,0)), 0), 0)</f>
        <v>2</v>
      </c>
      <c r="I812" s="1">
        <f t="array" ref="I812">IF(ISNUMBER(MATCH(69691,Max!$A:$A,0)), IF(OR(INDEX(Max!$D:$D,MATCH(69691,Max!$A:$A,0))=1, INDEX(Max!$D:$D,MATCH(69691,Max!$A:$A,0))=2), INDEX(Max!$D:$D,MATCH(69691,Max!$A:$A,0)), 0), 0)</f>
        <v>0</v>
      </c>
    </row>
    <row r="813" spans="1:9" ht="15.75" customHeight="1" x14ac:dyDescent="0.2">
      <c r="A813" s="1">
        <v>62546</v>
      </c>
      <c r="B813" s="1" t="s">
        <v>172</v>
      </c>
      <c r="C813" s="1" t="s">
        <v>1955</v>
      </c>
      <c r="D813" s="1" t="str">
        <f t="shared" si="3"/>
        <v>2</v>
      </c>
      <c r="E813" s="1" t="s">
        <v>1956</v>
      </c>
      <c r="G813" s="1">
        <f t="array" ref="G813">IF(ISNUMBER(MATCH(62546,Camille!$A:$A,0)), IF(OR(INDEX(Camille!$D:$D,MATCH(62546,Camille!$A:$A,0))=1, INDEX(Camille!$D:$D,MATCH(62546,Camille!$A:$A,0))=2), INDEX(Camille!$D:$D,MATCH(62546,Camille!$A:$A,0)), 0), 0)</f>
        <v>0</v>
      </c>
      <c r="H813" s="1">
        <f t="array" ref="H813">IF(ISNUMBER(MATCH(62546,Telmo!$A:$A,0)), IF(OR(INDEX(Telmo!$D:$D,MATCH(62546,Telmo!$A:$A,0))=1, INDEX(Telmo!$D:$D,MATCH(62546,Telmo!$A:$A,0))=2), INDEX(Telmo!$D:$D,MATCH(62546,Telmo!$A:$A,0)), 0), 0)</f>
        <v>2</v>
      </c>
      <c r="I813" s="1">
        <f t="array" ref="I813">IF(ISNUMBER(MATCH(62546,Max!$A:$A,0)), IF(OR(INDEX(Max!$D:$D,MATCH(62546,Max!$A:$A,0))=1, INDEX(Max!$D:$D,MATCH(62546,Max!$A:$A,0))=2), INDEX(Max!$D:$D,MATCH(62546,Max!$A:$A,0)), 0), 0)</f>
        <v>0</v>
      </c>
    </row>
    <row r="814" spans="1:9" ht="15.75" customHeight="1" x14ac:dyDescent="0.2">
      <c r="A814" s="1">
        <v>60939</v>
      </c>
      <c r="B814" s="1" t="s">
        <v>153</v>
      </c>
      <c r="C814" s="1" t="s">
        <v>1957</v>
      </c>
      <c r="D814" s="1" t="str">
        <f t="shared" si="3"/>
        <v>2</v>
      </c>
      <c r="E814" s="1" t="s">
        <v>1958</v>
      </c>
      <c r="G814" s="1">
        <f t="array" ref="G814">IF(ISNUMBER(MATCH(60939,Camille!$A:$A,0)), IF(OR(INDEX(Camille!$D:$D,MATCH(60939,Camille!$A:$A,0))=1, INDEX(Camille!$D:$D,MATCH(60939,Camille!$A:$A,0))=2), INDEX(Camille!$D:$D,MATCH(60939,Camille!$A:$A,0)), 0), 0)</f>
        <v>0</v>
      </c>
      <c r="H814" s="1">
        <f t="array" ref="H814">IF(ISNUMBER(MATCH(60939,Telmo!$A:$A,0)), IF(OR(INDEX(Telmo!$D:$D,MATCH(60939,Telmo!$A:$A,0))=1, INDEX(Telmo!$D:$D,MATCH(60939,Telmo!$A:$A,0))=2), INDEX(Telmo!$D:$D,MATCH(60939,Telmo!$A:$A,0)), 0), 0)</f>
        <v>2</v>
      </c>
      <c r="I814" s="1">
        <f t="array" ref="I814">IF(ISNUMBER(MATCH(60939,Max!$A:$A,0)), IF(OR(INDEX(Max!$D:$D,MATCH(60939,Max!$A:$A,0))=1, INDEX(Max!$D:$D,MATCH(60939,Max!$A:$A,0))=2), INDEX(Max!$D:$D,MATCH(60939,Max!$A:$A,0)), 0), 0)</f>
        <v>0</v>
      </c>
    </row>
    <row r="815" spans="1:9" ht="15.75" customHeight="1" x14ac:dyDescent="0.2">
      <c r="A815" s="1">
        <v>58236</v>
      </c>
      <c r="B815" s="1" t="s">
        <v>1959</v>
      </c>
      <c r="C815" s="1" t="s">
        <v>1960</v>
      </c>
      <c r="D815" s="1" t="str">
        <f t="shared" si="3"/>
        <v>1</v>
      </c>
      <c r="E815" s="1" t="s">
        <v>1961</v>
      </c>
      <c r="G815" s="1">
        <f t="array" ref="G815">IF(ISNUMBER(MATCH(58236,Camille!$A:$A,0)), IF(OR(INDEX(Camille!$D:$D,MATCH(58236,Camille!$A:$A,0))=1, INDEX(Camille!$D:$D,MATCH(58236,Camille!$A:$A,0))=2), INDEX(Camille!$D:$D,MATCH(58236,Camille!$A:$A,0)), 0), 0)</f>
        <v>0</v>
      </c>
      <c r="H815" s="1">
        <f t="array" ref="H815">IF(ISNUMBER(MATCH(58236,Telmo!$A:$A,0)), IF(OR(INDEX(Telmo!$D:$D,MATCH(58236,Telmo!$A:$A,0))=1, INDEX(Telmo!$D:$D,MATCH(58236,Telmo!$A:$A,0))=2), INDEX(Telmo!$D:$D,MATCH(58236,Telmo!$A:$A,0)), 0), 0)</f>
        <v>1</v>
      </c>
      <c r="I815" s="1">
        <f t="array" ref="I815">IF(ISNUMBER(MATCH(58236,Max!$A:$A,0)), IF(OR(INDEX(Max!$D:$D,MATCH(58236,Max!$A:$A,0))=1, INDEX(Max!$D:$D,MATCH(58236,Max!$A:$A,0))=2), INDEX(Max!$D:$D,MATCH(58236,Max!$A:$A,0)), 0), 0)</f>
        <v>0</v>
      </c>
    </row>
    <row r="816" spans="1:9" ht="15.75" customHeight="1" x14ac:dyDescent="0.2">
      <c r="A816" s="1">
        <v>54631</v>
      </c>
      <c r="B816" s="1" t="s">
        <v>1962</v>
      </c>
      <c r="C816" s="1" t="s">
        <v>1963</v>
      </c>
      <c r="D816" s="1" t="str">
        <f t="shared" si="3"/>
        <v>2</v>
      </c>
      <c r="E816" s="1" t="s">
        <v>1964</v>
      </c>
      <c r="G816" s="1">
        <f t="array" ref="G816">IF(ISNUMBER(MATCH(54631,Camille!$A:$A,0)), IF(OR(INDEX(Camille!$D:$D,MATCH(54631,Camille!$A:$A,0))=1, INDEX(Camille!$D:$D,MATCH(54631,Camille!$A:$A,0))=2), INDEX(Camille!$D:$D,MATCH(54631,Camille!$A:$A,0)), 0), 0)</f>
        <v>0</v>
      </c>
      <c r="H816" s="1">
        <f t="array" ref="H816">IF(ISNUMBER(MATCH(54631,Telmo!$A:$A,0)), IF(OR(INDEX(Telmo!$D:$D,MATCH(54631,Telmo!$A:$A,0))=1, INDEX(Telmo!$D:$D,MATCH(54631,Telmo!$A:$A,0))=2), INDEX(Telmo!$D:$D,MATCH(54631,Telmo!$A:$A,0)), 0), 0)</f>
        <v>2</v>
      </c>
      <c r="I816" s="1">
        <f t="array" ref="I816">IF(ISNUMBER(MATCH(54631,Max!$A:$A,0)), IF(OR(INDEX(Max!$D:$D,MATCH(54631,Max!$A:$A,0))=1, INDEX(Max!$D:$D,MATCH(54631,Max!$A:$A,0))=2), INDEX(Max!$D:$D,MATCH(54631,Max!$A:$A,0)), 0), 0)</f>
        <v>0</v>
      </c>
    </row>
    <row r="817" spans="1:9" ht="15.75" customHeight="1" x14ac:dyDescent="0.2">
      <c r="A817" s="1">
        <v>1434</v>
      </c>
      <c r="B817" s="1" t="s">
        <v>1965</v>
      </c>
      <c r="C817" s="1" t="s">
        <v>1966</v>
      </c>
      <c r="D817" s="1" t="str">
        <f t="shared" si="3"/>
        <v>2</v>
      </c>
      <c r="E817" s="1" t="s">
        <v>1967</v>
      </c>
      <c r="G817" s="1">
        <f t="array" ref="G817">IF(ISNUMBER(MATCH(1434,Camille!$A:$A,0)), IF(OR(INDEX(Camille!$D:$D,MATCH(1434,Camille!$A:$A,0))=1, INDEX(Camille!$D:$D,MATCH(1434,Camille!$A:$A,0))=2), INDEX(Camille!$D:$D,MATCH(1434,Camille!$A:$A,0)), 0), 0)</f>
        <v>0</v>
      </c>
      <c r="H817" s="1">
        <f t="array" ref="H817">IF(ISNUMBER(MATCH(1434,Telmo!$A:$A,0)), IF(OR(INDEX(Telmo!$D:$D,MATCH(1434,Telmo!$A:$A,0))=1, INDEX(Telmo!$D:$D,MATCH(1434,Telmo!$A:$A,0))=2), INDEX(Telmo!$D:$D,MATCH(1434,Telmo!$A:$A,0)), 0), 0)</f>
        <v>2</v>
      </c>
      <c r="I817" s="1">
        <f t="array" ref="I817">IF(ISNUMBER(MATCH(1434,Max!$A:$A,0)), IF(OR(INDEX(Max!$D:$D,MATCH(1434,Max!$A:$A,0))=1, INDEX(Max!$D:$D,MATCH(1434,Max!$A:$A,0))=2), INDEX(Max!$D:$D,MATCH(1434,Max!$A:$A,0)), 0), 0)</f>
        <v>0</v>
      </c>
    </row>
    <row r="818" spans="1:9" ht="15.75" customHeight="1" x14ac:dyDescent="0.2">
      <c r="A818" s="1">
        <v>69350</v>
      </c>
      <c r="B818" s="1" t="s">
        <v>144</v>
      </c>
      <c r="C818" s="1" t="s">
        <v>1968</v>
      </c>
      <c r="D818" s="1" t="str">
        <f t="shared" si="3"/>
        <v>2</v>
      </c>
      <c r="E818" s="1" t="s">
        <v>1969</v>
      </c>
      <c r="G818" s="1">
        <f t="array" ref="G818">IF(ISNUMBER(MATCH(69350,Camille!$A:$A,0)), IF(OR(INDEX(Camille!$D:$D,MATCH(69350,Camille!$A:$A,0))=1, INDEX(Camille!$D:$D,MATCH(69350,Camille!$A:$A,0))=2), INDEX(Camille!$D:$D,MATCH(69350,Camille!$A:$A,0)), 0), 0)</f>
        <v>0</v>
      </c>
      <c r="H818" s="1">
        <f t="array" ref="H818">IF(ISNUMBER(MATCH(69350,Telmo!$A:$A,0)), IF(OR(INDEX(Telmo!$D:$D,MATCH(69350,Telmo!$A:$A,0))=1, INDEX(Telmo!$D:$D,MATCH(69350,Telmo!$A:$A,0))=2), INDEX(Telmo!$D:$D,MATCH(69350,Telmo!$A:$A,0)), 0), 0)</f>
        <v>2</v>
      </c>
      <c r="I818" s="1">
        <f t="array" ref="I818">IF(ISNUMBER(MATCH(69350,Max!$A:$A,0)), IF(OR(INDEX(Max!$D:$D,MATCH(69350,Max!$A:$A,0))=1, INDEX(Max!$D:$D,MATCH(69350,Max!$A:$A,0))=2), INDEX(Max!$D:$D,MATCH(69350,Max!$A:$A,0)), 0), 0)</f>
        <v>0</v>
      </c>
    </row>
    <row r="819" spans="1:9" ht="15.75" customHeight="1" x14ac:dyDescent="0.2">
      <c r="A819" s="1">
        <v>46201</v>
      </c>
      <c r="B819" s="1" t="s">
        <v>357</v>
      </c>
      <c r="C819" s="1" t="s">
        <v>1970</v>
      </c>
      <c r="D819" s="1" t="str">
        <f t="shared" si="3"/>
        <v>1</v>
      </c>
      <c r="E819" s="1" t="s">
        <v>1971</v>
      </c>
      <c r="G819" s="1">
        <f t="array" ref="G819">IF(ISNUMBER(MATCH(46201,Camille!$A:$A,0)), IF(OR(INDEX(Camille!$D:$D,MATCH(46201,Camille!$A:$A,0))=1, INDEX(Camille!$D:$D,MATCH(46201,Camille!$A:$A,0))=2), INDEX(Camille!$D:$D,MATCH(46201,Camille!$A:$A,0)), 0), 0)</f>
        <v>0</v>
      </c>
      <c r="H819" s="1">
        <f t="array" ref="H819">IF(ISNUMBER(MATCH(46201,Telmo!$A:$A,0)), IF(OR(INDEX(Telmo!$D:$D,MATCH(46201,Telmo!$A:$A,0))=1, INDEX(Telmo!$D:$D,MATCH(46201,Telmo!$A:$A,0))=2), INDEX(Telmo!$D:$D,MATCH(46201,Telmo!$A:$A,0)), 0), 0)</f>
        <v>1</v>
      </c>
      <c r="I819" s="1">
        <f t="array" ref="I819">IF(ISNUMBER(MATCH(46201,Max!$A:$A,0)), IF(OR(INDEX(Max!$D:$D,MATCH(46201,Max!$A:$A,0))=1, INDEX(Max!$D:$D,MATCH(46201,Max!$A:$A,0))=2), INDEX(Max!$D:$D,MATCH(46201,Max!$A:$A,0)), 0), 0)</f>
        <v>0</v>
      </c>
    </row>
    <row r="820" spans="1:9" ht="15.75" customHeight="1" x14ac:dyDescent="0.2">
      <c r="A820" s="1">
        <v>21935</v>
      </c>
      <c r="B820" s="1" t="s">
        <v>1838</v>
      </c>
      <c r="C820" s="1" t="s">
        <v>1972</v>
      </c>
      <c r="D820" s="1" t="str">
        <f t="shared" si="3"/>
        <v>2</v>
      </c>
      <c r="E820" s="1" t="s">
        <v>1973</v>
      </c>
      <c r="G820" s="1">
        <f t="array" ref="G820">IF(ISNUMBER(MATCH(21935,Camille!$A:$A,0)), IF(OR(INDEX(Camille!$D:$D,MATCH(21935,Camille!$A:$A,0))=1, INDEX(Camille!$D:$D,MATCH(21935,Camille!$A:$A,0))=2), INDEX(Camille!$D:$D,MATCH(21935,Camille!$A:$A,0)), 0), 0)</f>
        <v>0</v>
      </c>
      <c r="H820" s="1">
        <f t="array" ref="H820">IF(ISNUMBER(MATCH(21935,Telmo!$A:$A,0)), IF(OR(INDEX(Telmo!$D:$D,MATCH(21935,Telmo!$A:$A,0))=1, INDEX(Telmo!$D:$D,MATCH(21935,Telmo!$A:$A,0))=2), INDEX(Telmo!$D:$D,MATCH(21935,Telmo!$A:$A,0)), 0), 0)</f>
        <v>2</v>
      </c>
      <c r="I820" s="1">
        <f t="array" ref="I820">IF(ISNUMBER(MATCH(21935,Max!$A:$A,0)), IF(OR(INDEX(Max!$D:$D,MATCH(21935,Max!$A:$A,0))=1, INDEX(Max!$D:$D,MATCH(21935,Max!$A:$A,0))=2), INDEX(Max!$D:$D,MATCH(21935,Max!$A:$A,0)), 0), 0)</f>
        <v>0</v>
      </c>
    </row>
    <row r="821" spans="1:9" ht="15.75" customHeight="1" x14ac:dyDescent="0.2">
      <c r="A821" s="1">
        <v>57524</v>
      </c>
      <c r="B821" s="1" t="s">
        <v>1962</v>
      </c>
      <c r="C821" s="1" t="s">
        <v>1974</v>
      </c>
      <c r="D821" s="1" t="str">
        <f t="shared" si="3"/>
        <v>1</v>
      </c>
      <c r="E821" s="1" t="s">
        <v>1975</v>
      </c>
      <c r="G821" s="1">
        <f t="array" ref="G821">IF(ISNUMBER(MATCH(57524,Camille!$A:$A,0)), IF(OR(INDEX(Camille!$D:$D,MATCH(57524,Camille!$A:$A,0))=1, INDEX(Camille!$D:$D,MATCH(57524,Camille!$A:$A,0))=2), INDEX(Camille!$D:$D,MATCH(57524,Camille!$A:$A,0)), 0), 0)</f>
        <v>0</v>
      </c>
      <c r="H821" s="1">
        <f t="array" ref="H821">IF(ISNUMBER(MATCH(57524,Telmo!$A:$A,0)), IF(OR(INDEX(Telmo!$D:$D,MATCH(57524,Telmo!$A:$A,0))=1, INDEX(Telmo!$D:$D,MATCH(57524,Telmo!$A:$A,0))=2), INDEX(Telmo!$D:$D,MATCH(57524,Telmo!$A:$A,0)), 0), 0)</f>
        <v>1</v>
      </c>
      <c r="I821" s="1">
        <f t="array" ref="I821">IF(ISNUMBER(MATCH(57524,Max!$A:$A,0)), IF(OR(INDEX(Max!$D:$D,MATCH(57524,Max!$A:$A,0))=1, INDEX(Max!$D:$D,MATCH(57524,Max!$A:$A,0))=2), INDEX(Max!$D:$D,MATCH(57524,Max!$A:$A,0)), 0), 0)</f>
        <v>0</v>
      </c>
    </row>
    <row r="822" spans="1:9" ht="15.75" customHeight="1" x14ac:dyDescent="0.2">
      <c r="A822" s="1">
        <v>11364</v>
      </c>
      <c r="B822" s="1" t="s">
        <v>1822</v>
      </c>
      <c r="C822" s="1" t="s">
        <v>1976</v>
      </c>
      <c r="D822" s="1" t="str">
        <f t="shared" si="3"/>
        <v>2</v>
      </c>
      <c r="E822" s="1" t="s">
        <v>1977</v>
      </c>
      <c r="G822" s="1">
        <f t="array" ref="G822">IF(ISNUMBER(MATCH(11364,Camille!$A:$A,0)), IF(OR(INDEX(Camille!$D:$D,MATCH(11364,Camille!$A:$A,0))=1, INDEX(Camille!$D:$D,MATCH(11364,Camille!$A:$A,0))=2), INDEX(Camille!$D:$D,MATCH(11364,Camille!$A:$A,0)), 0), 0)</f>
        <v>0</v>
      </c>
      <c r="H822" s="1">
        <f t="array" ref="H822">IF(ISNUMBER(MATCH(11364,Telmo!$A:$A,0)), IF(OR(INDEX(Telmo!$D:$D,MATCH(11364,Telmo!$A:$A,0))=1, INDEX(Telmo!$D:$D,MATCH(11364,Telmo!$A:$A,0))=2), INDEX(Telmo!$D:$D,MATCH(11364,Telmo!$A:$A,0)), 0), 0)</f>
        <v>2</v>
      </c>
      <c r="I822" s="1">
        <f t="array" ref="I822">IF(ISNUMBER(MATCH(11364,Max!$A:$A,0)), IF(OR(INDEX(Max!$D:$D,MATCH(11364,Max!$A:$A,0))=1, INDEX(Max!$D:$D,MATCH(11364,Max!$A:$A,0))=2), INDEX(Max!$D:$D,MATCH(11364,Max!$A:$A,0)), 0), 0)</f>
        <v>0</v>
      </c>
    </row>
    <row r="823" spans="1:9" ht="15.75" customHeight="1" x14ac:dyDescent="0.2">
      <c r="A823" s="1">
        <v>8938</v>
      </c>
      <c r="B823" s="1" t="s">
        <v>75</v>
      </c>
      <c r="C823" s="1" t="s">
        <v>1978</v>
      </c>
      <c r="D823" s="1" t="str">
        <f t="shared" si="3"/>
        <v>2</v>
      </c>
      <c r="E823" s="1" t="s">
        <v>1979</v>
      </c>
      <c r="G823" s="1">
        <f t="array" ref="G823">IF(ISNUMBER(MATCH(8938,Camille!$A:$A,0)), IF(OR(INDEX(Camille!$D:$D,MATCH(8938,Camille!$A:$A,0))=1, INDEX(Camille!$D:$D,MATCH(8938,Camille!$A:$A,0))=2), INDEX(Camille!$D:$D,MATCH(8938,Camille!$A:$A,0)), 0), 0)</f>
        <v>0</v>
      </c>
      <c r="H823" s="1">
        <f t="array" ref="H823">IF(ISNUMBER(MATCH(8938,Telmo!$A:$A,0)), IF(OR(INDEX(Telmo!$D:$D,MATCH(8938,Telmo!$A:$A,0))=1, INDEX(Telmo!$D:$D,MATCH(8938,Telmo!$A:$A,0))=2), INDEX(Telmo!$D:$D,MATCH(8938,Telmo!$A:$A,0)), 0), 0)</f>
        <v>2</v>
      </c>
      <c r="I823" s="1">
        <f t="array" ref="I823">IF(ISNUMBER(MATCH(8938,Max!$A:$A,0)), IF(OR(INDEX(Max!$D:$D,MATCH(8938,Max!$A:$A,0))=1, INDEX(Max!$D:$D,MATCH(8938,Max!$A:$A,0))=2), INDEX(Max!$D:$D,MATCH(8938,Max!$A:$A,0)), 0), 0)</f>
        <v>0</v>
      </c>
    </row>
    <row r="824" spans="1:9" ht="15.75" customHeight="1" x14ac:dyDescent="0.2">
      <c r="A824" s="1">
        <v>48095</v>
      </c>
      <c r="B824" s="1" t="s">
        <v>301</v>
      </c>
      <c r="C824" s="1" t="s">
        <v>1980</v>
      </c>
      <c r="D824" s="1" t="str">
        <f t="shared" si="3"/>
        <v>2</v>
      </c>
      <c r="E824" s="1" t="s">
        <v>1981</v>
      </c>
      <c r="G824" s="1">
        <f t="array" ref="G824">IF(ISNUMBER(MATCH(48095,Camille!$A:$A,0)), IF(OR(INDEX(Camille!$D:$D,MATCH(48095,Camille!$A:$A,0))=1, INDEX(Camille!$D:$D,MATCH(48095,Camille!$A:$A,0))=2), INDEX(Camille!$D:$D,MATCH(48095,Camille!$A:$A,0)), 0), 0)</f>
        <v>0</v>
      </c>
      <c r="H824" s="1">
        <f t="array" ref="H824">IF(ISNUMBER(MATCH(48095,Telmo!$A:$A,0)), IF(OR(INDEX(Telmo!$D:$D,MATCH(48095,Telmo!$A:$A,0))=1, INDEX(Telmo!$D:$D,MATCH(48095,Telmo!$A:$A,0))=2), INDEX(Telmo!$D:$D,MATCH(48095,Telmo!$A:$A,0)), 0), 0)</f>
        <v>2</v>
      </c>
      <c r="I824" s="1">
        <f t="array" ref="I824">IF(ISNUMBER(MATCH(48095,Max!$A:$A,0)), IF(OR(INDEX(Max!$D:$D,MATCH(48095,Max!$A:$A,0))=1, INDEX(Max!$D:$D,MATCH(48095,Max!$A:$A,0))=2), INDEX(Max!$D:$D,MATCH(48095,Max!$A:$A,0)), 0), 0)</f>
        <v>0</v>
      </c>
    </row>
    <row r="825" spans="1:9" ht="15.75" customHeight="1" x14ac:dyDescent="0.2">
      <c r="A825" s="1">
        <v>48649</v>
      </c>
      <c r="B825" s="1" t="s">
        <v>185</v>
      </c>
      <c r="C825" s="1" t="s">
        <v>1982</v>
      </c>
      <c r="D825" s="1" t="str">
        <f t="shared" si="3"/>
        <v>1</v>
      </c>
      <c r="E825" s="1" t="s">
        <v>1983</v>
      </c>
      <c r="G825" s="1">
        <f t="array" ref="G825">IF(ISNUMBER(MATCH(48649,Camille!$A:$A,0)), IF(OR(INDEX(Camille!$D:$D,MATCH(48649,Camille!$A:$A,0))=1, INDEX(Camille!$D:$D,MATCH(48649,Camille!$A:$A,0))=2), INDEX(Camille!$D:$D,MATCH(48649,Camille!$A:$A,0)), 0), 0)</f>
        <v>0</v>
      </c>
      <c r="H825" s="1">
        <f t="array" ref="H825">IF(ISNUMBER(MATCH(48649,Telmo!$A:$A,0)), IF(OR(INDEX(Telmo!$D:$D,MATCH(48649,Telmo!$A:$A,0))=1, INDEX(Telmo!$D:$D,MATCH(48649,Telmo!$A:$A,0))=2), INDEX(Telmo!$D:$D,MATCH(48649,Telmo!$A:$A,0)), 0), 0)</f>
        <v>1</v>
      </c>
      <c r="I825" s="1">
        <f t="array" ref="I825">IF(ISNUMBER(MATCH(48649,Max!$A:$A,0)), IF(OR(INDEX(Max!$D:$D,MATCH(48649,Max!$A:$A,0))=1, INDEX(Max!$D:$D,MATCH(48649,Max!$A:$A,0))=2), INDEX(Max!$D:$D,MATCH(48649,Max!$A:$A,0)), 0), 0)</f>
        <v>0</v>
      </c>
    </row>
    <row r="826" spans="1:9" ht="15.75" customHeight="1" x14ac:dyDescent="0.2">
      <c r="A826" s="1">
        <v>15397</v>
      </c>
      <c r="B826" s="1" t="s">
        <v>1984</v>
      </c>
      <c r="C826" s="1" t="s">
        <v>1985</v>
      </c>
      <c r="D826" s="1" t="str">
        <f t="shared" si="3"/>
        <v>2</v>
      </c>
      <c r="E826" s="1" t="s">
        <v>1986</v>
      </c>
      <c r="G826" s="1">
        <f t="array" ref="G826">IF(ISNUMBER(MATCH(15397,Camille!$A:$A,0)), IF(OR(INDEX(Camille!$D:$D,MATCH(15397,Camille!$A:$A,0))=1, INDEX(Camille!$D:$D,MATCH(15397,Camille!$A:$A,0))=2), INDEX(Camille!$D:$D,MATCH(15397,Camille!$A:$A,0)), 0), 0)</f>
        <v>0</v>
      </c>
      <c r="H826" s="1">
        <f t="array" ref="H826">IF(ISNUMBER(MATCH(15397,Telmo!$A:$A,0)), IF(OR(INDEX(Telmo!$D:$D,MATCH(15397,Telmo!$A:$A,0))=1, INDEX(Telmo!$D:$D,MATCH(15397,Telmo!$A:$A,0))=2), INDEX(Telmo!$D:$D,MATCH(15397,Telmo!$A:$A,0)), 0), 0)</f>
        <v>2</v>
      </c>
      <c r="I826" s="1">
        <f t="array" ref="I826">IF(ISNUMBER(MATCH(15397,Max!$A:$A,0)), IF(OR(INDEX(Max!$D:$D,MATCH(15397,Max!$A:$A,0))=1, INDEX(Max!$D:$D,MATCH(15397,Max!$A:$A,0))=2), INDEX(Max!$D:$D,MATCH(15397,Max!$A:$A,0)), 0), 0)</f>
        <v>0</v>
      </c>
    </row>
    <row r="827" spans="1:9" ht="15.75" customHeight="1" x14ac:dyDescent="0.2">
      <c r="A827" s="1">
        <v>52410</v>
      </c>
      <c r="B827" s="1" t="s">
        <v>1987</v>
      </c>
      <c r="C827" s="1" t="s">
        <v>1988</v>
      </c>
      <c r="D827" s="1" t="str">
        <f t="shared" si="3"/>
        <v>1</v>
      </c>
      <c r="E827" s="1" t="s">
        <v>1989</v>
      </c>
      <c r="G827" s="1">
        <f t="array" ref="G827">IF(ISNUMBER(MATCH(52410,Camille!$A:$A,0)), IF(OR(INDEX(Camille!$D:$D,MATCH(52410,Camille!$A:$A,0))=1, INDEX(Camille!$D:$D,MATCH(52410,Camille!$A:$A,0))=2), INDEX(Camille!$D:$D,MATCH(52410,Camille!$A:$A,0)), 0), 0)</f>
        <v>0</v>
      </c>
      <c r="H827" s="1">
        <f t="array" ref="H827">IF(ISNUMBER(MATCH(52410,Telmo!$A:$A,0)), IF(OR(INDEX(Telmo!$D:$D,MATCH(52410,Telmo!$A:$A,0))=1, INDEX(Telmo!$D:$D,MATCH(52410,Telmo!$A:$A,0))=2), INDEX(Telmo!$D:$D,MATCH(52410,Telmo!$A:$A,0)), 0), 0)</f>
        <v>1</v>
      </c>
      <c r="I827" s="1">
        <f t="array" ref="I827">IF(ISNUMBER(MATCH(52410,Max!$A:$A,0)), IF(OR(INDEX(Max!$D:$D,MATCH(52410,Max!$A:$A,0))=1, INDEX(Max!$D:$D,MATCH(52410,Max!$A:$A,0))=2), INDEX(Max!$D:$D,MATCH(52410,Max!$A:$A,0)), 0), 0)</f>
        <v>0</v>
      </c>
    </row>
    <row r="828" spans="1:9" ht="15.75" customHeight="1" x14ac:dyDescent="0.2">
      <c r="A828" s="1">
        <v>23177</v>
      </c>
      <c r="B828" s="1" t="s">
        <v>1990</v>
      </c>
      <c r="C828" s="1" t="s">
        <v>1991</v>
      </c>
      <c r="D828" s="1" t="str">
        <f t="shared" si="3"/>
        <v>2</v>
      </c>
      <c r="E828" s="1" t="s">
        <v>1992</v>
      </c>
      <c r="G828" s="1">
        <f t="array" ref="G828">IF(ISNUMBER(MATCH(23177,Camille!$A:$A,0)), IF(OR(INDEX(Camille!$D:$D,MATCH(23177,Camille!$A:$A,0))=1, INDEX(Camille!$D:$D,MATCH(23177,Camille!$A:$A,0))=2), INDEX(Camille!$D:$D,MATCH(23177,Camille!$A:$A,0)), 0), 0)</f>
        <v>0</v>
      </c>
      <c r="H828" s="1">
        <f t="array" ref="H828">IF(ISNUMBER(MATCH(23177,Telmo!$A:$A,0)), IF(OR(INDEX(Telmo!$D:$D,MATCH(23177,Telmo!$A:$A,0))=1, INDEX(Telmo!$D:$D,MATCH(23177,Telmo!$A:$A,0))=2), INDEX(Telmo!$D:$D,MATCH(23177,Telmo!$A:$A,0)), 0), 0)</f>
        <v>2</v>
      </c>
      <c r="I828" s="1">
        <f t="array" ref="I828">IF(ISNUMBER(MATCH(23177,Max!$A:$A,0)), IF(OR(INDEX(Max!$D:$D,MATCH(23177,Max!$A:$A,0))=1, INDEX(Max!$D:$D,MATCH(23177,Max!$A:$A,0))=2), INDEX(Max!$D:$D,MATCH(23177,Max!$A:$A,0)), 0), 0)</f>
        <v>0</v>
      </c>
    </row>
    <row r="829" spans="1:9" ht="15.75" customHeight="1" x14ac:dyDescent="0.2">
      <c r="A829" s="1">
        <v>47176</v>
      </c>
      <c r="B829" s="1" t="s">
        <v>1357</v>
      </c>
      <c r="C829" s="1" t="s">
        <v>1993</v>
      </c>
      <c r="D829" s="1" t="str">
        <f t="shared" si="3"/>
        <v>2</v>
      </c>
      <c r="E829" s="1" t="s">
        <v>1994</v>
      </c>
      <c r="G829" s="1">
        <f t="array" ref="G829">IF(ISNUMBER(MATCH(47176,Camille!$A:$A,0)), IF(OR(INDEX(Camille!$D:$D,MATCH(47176,Camille!$A:$A,0))=1, INDEX(Camille!$D:$D,MATCH(47176,Camille!$A:$A,0))=2), INDEX(Camille!$D:$D,MATCH(47176,Camille!$A:$A,0)), 0), 0)</f>
        <v>0</v>
      </c>
      <c r="H829" s="1">
        <f t="array" ref="H829">IF(ISNUMBER(MATCH(47176,Telmo!$A:$A,0)), IF(OR(INDEX(Telmo!$D:$D,MATCH(47176,Telmo!$A:$A,0))=1, INDEX(Telmo!$D:$D,MATCH(47176,Telmo!$A:$A,0))=2), INDEX(Telmo!$D:$D,MATCH(47176,Telmo!$A:$A,0)), 0), 0)</f>
        <v>2</v>
      </c>
      <c r="I829" s="1">
        <f t="array" ref="I829">IF(ISNUMBER(MATCH(47176,Max!$A:$A,0)), IF(OR(INDEX(Max!$D:$D,MATCH(47176,Max!$A:$A,0))=1, INDEX(Max!$D:$D,MATCH(47176,Max!$A:$A,0))=2), INDEX(Max!$D:$D,MATCH(47176,Max!$A:$A,0)), 0), 0)</f>
        <v>0</v>
      </c>
    </row>
    <row r="830" spans="1:9" ht="15.75" customHeight="1" x14ac:dyDescent="0.2">
      <c r="A830" s="1">
        <v>15313</v>
      </c>
      <c r="B830" s="1" t="s">
        <v>385</v>
      </c>
      <c r="C830" s="1" t="s">
        <v>1995</v>
      </c>
      <c r="D830" s="1" t="str">
        <f t="shared" si="3"/>
        <v>1</v>
      </c>
      <c r="E830" s="1" t="s">
        <v>1996</v>
      </c>
      <c r="G830" s="1">
        <f t="array" ref="G830">IF(ISNUMBER(MATCH(15313,Camille!$A:$A,0)), IF(OR(INDEX(Camille!$D:$D,MATCH(15313,Camille!$A:$A,0))=1, INDEX(Camille!$D:$D,MATCH(15313,Camille!$A:$A,0))=2), INDEX(Camille!$D:$D,MATCH(15313,Camille!$A:$A,0)), 0), 0)</f>
        <v>0</v>
      </c>
      <c r="H830" s="1">
        <f t="array" ref="H830">IF(ISNUMBER(MATCH(15313,Telmo!$A:$A,0)), IF(OR(INDEX(Telmo!$D:$D,MATCH(15313,Telmo!$A:$A,0))=1, INDEX(Telmo!$D:$D,MATCH(15313,Telmo!$A:$A,0))=2), INDEX(Telmo!$D:$D,MATCH(15313,Telmo!$A:$A,0)), 0), 0)</f>
        <v>1</v>
      </c>
      <c r="I830" s="1">
        <f t="array" ref="I830">IF(ISNUMBER(MATCH(15313,Max!$A:$A,0)), IF(OR(INDEX(Max!$D:$D,MATCH(15313,Max!$A:$A,0))=1, INDEX(Max!$D:$D,MATCH(15313,Max!$A:$A,0))=2), INDEX(Max!$D:$D,MATCH(15313,Max!$A:$A,0)), 0), 0)</f>
        <v>0</v>
      </c>
    </row>
    <row r="831" spans="1:9" ht="15.75" customHeight="1" x14ac:dyDescent="0.2">
      <c r="A831" s="1">
        <v>26130</v>
      </c>
      <c r="B831" s="1" t="s">
        <v>254</v>
      </c>
      <c r="C831" s="1" t="s">
        <v>1997</v>
      </c>
      <c r="D831" s="1" t="str">
        <f t="shared" si="3"/>
        <v>2</v>
      </c>
      <c r="E831" s="1" t="s">
        <v>1998</v>
      </c>
      <c r="G831" s="1">
        <f t="array" ref="G831">IF(ISNUMBER(MATCH(26130,Camille!$A:$A,0)), IF(OR(INDEX(Camille!$D:$D,MATCH(26130,Camille!$A:$A,0))=1, INDEX(Camille!$D:$D,MATCH(26130,Camille!$A:$A,0))=2), INDEX(Camille!$D:$D,MATCH(26130,Camille!$A:$A,0)), 0), 0)</f>
        <v>0</v>
      </c>
      <c r="H831" s="1">
        <f t="array" ref="H831">IF(ISNUMBER(MATCH(26130,Telmo!$A:$A,0)), IF(OR(INDEX(Telmo!$D:$D,MATCH(26130,Telmo!$A:$A,0))=1, INDEX(Telmo!$D:$D,MATCH(26130,Telmo!$A:$A,0))=2), INDEX(Telmo!$D:$D,MATCH(26130,Telmo!$A:$A,0)), 0), 0)</f>
        <v>2</v>
      </c>
      <c r="I831" s="1">
        <f t="array" ref="I831">IF(ISNUMBER(MATCH(26130,Max!$A:$A,0)), IF(OR(INDEX(Max!$D:$D,MATCH(26130,Max!$A:$A,0))=1, INDEX(Max!$D:$D,MATCH(26130,Max!$A:$A,0))=2), INDEX(Max!$D:$D,MATCH(26130,Max!$A:$A,0)), 0), 0)</f>
        <v>0</v>
      </c>
    </row>
    <row r="832" spans="1:9" ht="15.75" customHeight="1" x14ac:dyDescent="0.2">
      <c r="A832" s="1">
        <v>18852</v>
      </c>
      <c r="B832" s="1" t="s">
        <v>326</v>
      </c>
      <c r="C832" s="1" t="s">
        <v>1999</v>
      </c>
      <c r="D832" s="1" t="str">
        <f t="shared" si="3"/>
        <v>1</v>
      </c>
      <c r="E832" s="1" t="s">
        <v>2000</v>
      </c>
      <c r="G832" s="1">
        <f t="array" ref="G832">IF(ISNUMBER(MATCH(18852,Camille!$A:$A,0)), IF(OR(INDEX(Camille!$D:$D,MATCH(18852,Camille!$A:$A,0))=1, INDEX(Camille!$D:$D,MATCH(18852,Camille!$A:$A,0))=2), INDEX(Camille!$D:$D,MATCH(18852,Camille!$A:$A,0)), 0), 0)</f>
        <v>0</v>
      </c>
      <c r="H832" s="1">
        <f t="array" ref="H832">IF(ISNUMBER(MATCH(18852,Telmo!$A:$A,0)), IF(OR(INDEX(Telmo!$D:$D,MATCH(18852,Telmo!$A:$A,0))=1, INDEX(Telmo!$D:$D,MATCH(18852,Telmo!$A:$A,0))=2), INDEX(Telmo!$D:$D,MATCH(18852,Telmo!$A:$A,0)), 0), 0)</f>
        <v>1</v>
      </c>
      <c r="I832" s="1">
        <f t="array" ref="I832">IF(ISNUMBER(MATCH(18852,Max!$A:$A,0)), IF(OR(INDEX(Max!$D:$D,MATCH(18852,Max!$A:$A,0))=1, INDEX(Max!$D:$D,MATCH(18852,Max!$A:$A,0))=2), INDEX(Max!$D:$D,MATCH(18852,Max!$A:$A,0)), 0), 0)</f>
        <v>0</v>
      </c>
    </row>
    <row r="833" spans="1:9" ht="15.75" customHeight="1" x14ac:dyDescent="0.2">
      <c r="A833" s="1">
        <v>51440</v>
      </c>
      <c r="B833" s="1" t="s">
        <v>405</v>
      </c>
      <c r="C833" s="1" t="s">
        <v>2001</v>
      </c>
      <c r="D833" s="1" t="str">
        <f t="shared" si="3"/>
        <v>2</v>
      </c>
      <c r="E833" s="1" t="s">
        <v>2002</v>
      </c>
      <c r="G833" s="1">
        <f t="array" ref="G833">IF(ISNUMBER(MATCH(51440,Camille!$A:$A,0)), IF(OR(INDEX(Camille!$D:$D,MATCH(51440,Camille!$A:$A,0))=1, INDEX(Camille!$D:$D,MATCH(51440,Camille!$A:$A,0))=2), INDEX(Camille!$D:$D,MATCH(51440,Camille!$A:$A,0)), 0), 0)</f>
        <v>0</v>
      </c>
      <c r="H833" s="1">
        <f t="array" ref="H833">IF(ISNUMBER(MATCH(51440,Telmo!$A:$A,0)), IF(OR(INDEX(Telmo!$D:$D,MATCH(51440,Telmo!$A:$A,0))=1, INDEX(Telmo!$D:$D,MATCH(51440,Telmo!$A:$A,0))=2), INDEX(Telmo!$D:$D,MATCH(51440,Telmo!$A:$A,0)), 0), 0)</f>
        <v>2</v>
      </c>
      <c r="I833" s="1">
        <f t="array" ref="I833">IF(ISNUMBER(MATCH(51440,Max!$A:$A,0)), IF(OR(INDEX(Max!$D:$D,MATCH(51440,Max!$A:$A,0))=1, INDEX(Max!$D:$D,MATCH(51440,Max!$A:$A,0))=2), INDEX(Max!$D:$D,MATCH(51440,Max!$A:$A,0)), 0), 0)</f>
        <v>0</v>
      </c>
    </row>
    <row r="834" spans="1:9" ht="15.75" customHeight="1" x14ac:dyDescent="0.2">
      <c r="A834" s="1">
        <v>70461</v>
      </c>
      <c r="B834" s="1" t="s">
        <v>2003</v>
      </c>
      <c r="C834" s="1" t="s">
        <v>2004</v>
      </c>
      <c r="D834" s="1" t="str">
        <f t="shared" si="3"/>
        <v>1</v>
      </c>
      <c r="E834" s="1" t="s">
        <v>2005</v>
      </c>
      <c r="G834" s="1">
        <f t="array" ref="G834">IF(ISNUMBER(MATCH(70461,Camille!$A:$A,0)), IF(OR(INDEX(Camille!$D:$D,MATCH(70461,Camille!$A:$A,0))=1, INDEX(Camille!$D:$D,MATCH(70461,Camille!$A:$A,0))=2), INDEX(Camille!$D:$D,MATCH(70461,Camille!$A:$A,0)), 0), 0)</f>
        <v>0</v>
      </c>
      <c r="H834" s="1">
        <f t="array" ref="H834">IF(ISNUMBER(MATCH(70461,Telmo!$A:$A,0)), IF(OR(INDEX(Telmo!$D:$D,MATCH(70461,Telmo!$A:$A,0))=1, INDEX(Telmo!$D:$D,MATCH(70461,Telmo!$A:$A,0))=2), INDEX(Telmo!$D:$D,MATCH(70461,Telmo!$A:$A,0)), 0), 0)</f>
        <v>1</v>
      </c>
      <c r="I834" s="1">
        <f t="array" ref="I834">IF(ISNUMBER(MATCH(70461,Max!$A:$A,0)), IF(OR(INDEX(Max!$D:$D,MATCH(70461,Max!$A:$A,0))=1, INDEX(Max!$D:$D,MATCH(70461,Max!$A:$A,0))=2), INDEX(Max!$D:$D,MATCH(70461,Max!$A:$A,0)), 0), 0)</f>
        <v>0</v>
      </c>
    </row>
    <row r="835" spans="1:9" ht="15.75" customHeight="1" x14ac:dyDescent="0.2">
      <c r="A835" s="1">
        <v>6546</v>
      </c>
      <c r="B835" s="1" t="s">
        <v>2006</v>
      </c>
      <c r="C835" s="1" t="s">
        <v>2007</v>
      </c>
      <c r="D835" s="1" t="str">
        <f t="shared" si="3"/>
        <v>1</v>
      </c>
      <c r="E835" s="1" t="s">
        <v>2008</v>
      </c>
      <c r="G835" s="1">
        <f t="array" ref="G835">IF(ISNUMBER(MATCH(6546,Camille!$A:$A,0)), IF(OR(INDEX(Camille!$D:$D,MATCH(6546,Camille!$A:$A,0))=1, INDEX(Camille!$D:$D,MATCH(6546,Camille!$A:$A,0))=2), INDEX(Camille!$D:$D,MATCH(6546,Camille!$A:$A,0)), 0), 0)</f>
        <v>0</v>
      </c>
      <c r="H835" s="1">
        <f t="array" ref="H835">IF(ISNUMBER(MATCH(6546,Telmo!$A:$A,0)), IF(OR(INDEX(Telmo!$D:$D,MATCH(6546,Telmo!$A:$A,0))=1, INDEX(Telmo!$D:$D,MATCH(6546,Telmo!$A:$A,0))=2), INDEX(Telmo!$D:$D,MATCH(6546,Telmo!$A:$A,0)), 0), 0)</f>
        <v>1</v>
      </c>
      <c r="I835" s="1">
        <f t="array" ref="I835">IF(ISNUMBER(MATCH(6546,Max!$A:$A,0)), IF(OR(INDEX(Max!$D:$D,MATCH(6546,Max!$A:$A,0))=1, INDEX(Max!$D:$D,MATCH(6546,Max!$A:$A,0))=2), INDEX(Max!$D:$D,MATCH(6546,Max!$A:$A,0)), 0), 0)</f>
        <v>0</v>
      </c>
    </row>
    <row r="836" spans="1:9" ht="15.75" customHeight="1" x14ac:dyDescent="0.2">
      <c r="A836" s="1">
        <v>62407</v>
      </c>
      <c r="B836" s="1" t="s">
        <v>11</v>
      </c>
      <c r="C836" s="1" t="s">
        <v>2009</v>
      </c>
      <c r="D836" s="1" t="str">
        <f t="shared" si="3"/>
        <v>1</v>
      </c>
      <c r="E836" s="1" t="s">
        <v>2010</v>
      </c>
      <c r="G836" s="1">
        <f t="array" ref="G836">IF(ISNUMBER(MATCH(62407,Camille!$A:$A,0)), IF(OR(INDEX(Camille!$D:$D,MATCH(62407,Camille!$A:$A,0))=1, INDEX(Camille!$D:$D,MATCH(62407,Camille!$A:$A,0))=2), INDEX(Camille!$D:$D,MATCH(62407,Camille!$A:$A,0)), 0), 0)</f>
        <v>0</v>
      </c>
      <c r="H836" s="1">
        <f t="array" ref="H836">IF(ISNUMBER(MATCH(62407,Telmo!$A:$A,0)), IF(OR(INDEX(Telmo!$D:$D,MATCH(62407,Telmo!$A:$A,0))=1, INDEX(Telmo!$D:$D,MATCH(62407,Telmo!$A:$A,0))=2), INDEX(Telmo!$D:$D,MATCH(62407,Telmo!$A:$A,0)), 0), 0)</f>
        <v>1</v>
      </c>
      <c r="I836" s="1">
        <f t="array" ref="I836">IF(ISNUMBER(MATCH(62407,Max!$A:$A,0)), IF(OR(INDEX(Max!$D:$D,MATCH(62407,Max!$A:$A,0))=1, INDEX(Max!$D:$D,MATCH(62407,Max!$A:$A,0))=2), INDEX(Max!$D:$D,MATCH(62407,Max!$A:$A,0)), 0), 0)</f>
        <v>0</v>
      </c>
    </row>
    <row r="837" spans="1:9" ht="15.75" customHeight="1" x14ac:dyDescent="0.2">
      <c r="A837" s="1">
        <v>5534</v>
      </c>
      <c r="B837" s="1" t="s">
        <v>254</v>
      </c>
      <c r="C837" s="1" t="s">
        <v>2011</v>
      </c>
      <c r="D837" s="1" t="str">
        <f t="shared" si="3"/>
        <v>1</v>
      </c>
      <c r="E837" s="1" t="s">
        <v>2012</v>
      </c>
      <c r="G837" s="1">
        <f t="array" ref="G837">IF(ISNUMBER(MATCH(5534,Camille!$A:$A,0)), IF(OR(INDEX(Camille!$D:$D,MATCH(5534,Camille!$A:$A,0))=1, INDEX(Camille!$D:$D,MATCH(5534,Camille!$A:$A,0))=2), INDEX(Camille!$D:$D,MATCH(5534,Camille!$A:$A,0)), 0), 0)</f>
        <v>0</v>
      </c>
      <c r="H837" s="1">
        <f t="array" ref="H837">IF(ISNUMBER(MATCH(5534,Telmo!$A:$A,0)), IF(OR(INDEX(Telmo!$D:$D,MATCH(5534,Telmo!$A:$A,0))=1, INDEX(Telmo!$D:$D,MATCH(5534,Telmo!$A:$A,0))=2), INDEX(Telmo!$D:$D,MATCH(5534,Telmo!$A:$A,0)), 0), 0)</f>
        <v>1</v>
      </c>
      <c r="I837" s="1">
        <f t="array" ref="I837">IF(ISNUMBER(MATCH(5534,Max!$A:$A,0)), IF(OR(INDEX(Max!$D:$D,MATCH(5534,Max!$A:$A,0))=1, INDEX(Max!$D:$D,MATCH(5534,Max!$A:$A,0))=2), INDEX(Max!$D:$D,MATCH(5534,Max!$A:$A,0)), 0), 0)</f>
        <v>0</v>
      </c>
    </row>
    <row r="838" spans="1:9" ht="15.75" customHeight="1" x14ac:dyDescent="0.2">
      <c r="A838" s="1">
        <v>15788</v>
      </c>
      <c r="B838" s="1" t="s">
        <v>336</v>
      </c>
      <c r="C838" s="1" t="s">
        <v>2013</v>
      </c>
      <c r="D838" s="1" t="str">
        <f t="shared" si="3"/>
        <v>2</v>
      </c>
      <c r="E838" s="1" t="s">
        <v>2014</v>
      </c>
      <c r="G838" s="1">
        <f t="array" ref="G838">IF(ISNUMBER(MATCH(15788,Camille!$A:$A,0)), IF(OR(INDEX(Camille!$D:$D,MATCH(15788,Camille!$A:$A,0))=1, INDEX(Camille!$D:$D,MATCH(15788,Camille!$A:$A,0))=2), INDEX(Camille!$D:$D,MATCH(15788,Camille!$A:$A,0)), 0), 0)</f>
        <v>0</v>
      </c>
      <c r="H838" s="1">
        <f t="array" ref="H838">IF(ISNUMBER(MATCH(15788,Telmo!$A:$A,0)), IF(OR(INDEX(Telmo!$D:$D,MATCH(15788,Telmo!$A:$A,0))=1, INDEX(Telmo!$D:$D,MATCH(15788,Telmo!$A:$A,0))=2), INDEX(Telmo!$D:$D,MATCH(15788,Telmo!$A:$A,0)), 0), 0)</f>
        <v>2</v>
      </c>
      <c r="I838" s="1">
        <f t="array" ref="I838">IF(ISNUMBER(MATCH(15788,Max!$A:$A,0)), IF(OR(INDEX(Max!$D:$D,MATCH(15788,Max!$A:$A,0))=1, INDEX(Max!$D:$D,MATCH(15788,Max!$A:$A,0))=2), INDEX(Max!$D:$D,MATCH(15788,Max!$A:$A,0)), 0), 0)</f>
        <v>0</v>
      </c>
    </row>
    <row r="839" spans="1:9" ht="15.75" customHeight="1" x14ac:dyDescent="0.2">
      <c r="A839" s="1">
        <v>40802</v>
      </c>
      <c r="B839" s="1" t="s">
        <v>2015</v>
      </c>
      <c r="C839" s="1" t="s">
        <v>2016</v>
      </c>
      <c r="D839" s="1" t="str">
        <f t="shared" si="3"/>
        <v>2</v>
      </c>
      <c r="E839" s="1" t="s">
        <v>2017</v>
      </c>
      <c r="G839" s="1">
        <f t="array" ref="G839">IF(ISNUMBER(MATCH(40802,Camille!$A:$A,0)), IF(OR(INDEX(Camille!$D:$D,MATCH(40802,Camille!$A:$A,0))=1, INDEX(Camille!$D:$D,MATCH(40802,Camille!$A:$A,0))=2), INDEX(Camille!$D:$D,MATCH(40802,Camille!$A:$A,0)), 0), 0)</f>
        <v>0</v>
      </c>
      <c r="H839" s="1">
        <f t="array" ref="H839">IF(ISNUMBER(MATCH(40802,Telmo!$A:$A,0)), IF(OR(INDEX(Telmo!$D:$D,MATCH(40802,Telmo!$A:$A,0))=1, INDEX(Telmo!$D:$D,MATCH(40802,Telmo!$A:$A,0))=2), INDEX(Telmo!$D:$D,MATCH(40802,Telmo!$A:$A,0)), 0), 0)</f>
        <v>2</v>
      </c>
      <c r="I839" s="1">
        <f t="array" ref="I839">IF(ISNUMBER(MATCH(40802,Max!$A:$A,0)), IF(OR(INDEX(Max!$D:$D,MATCH(40802,Max!$A:$A,0))=1, INDEX(Max!$D:$D,MATCH(40802,Max!$A:$A,0))=2), INDEX(Max!$D:$D,MATCH(40802,Max!$A:$A,0)), 0), 0)</f>
        <v>0</v>
      </c>
    </row>
    <row r="840" spans="1:9" ht="15.75" customHeight="1" x14ac:dyDescent="0.2">
      <c r="A840" s="1">
        <v>38731</v>
      </c>
      <c r="B840" s="1" t="s">
        <v>259</v>
      </c>
      <c r="C840" s="1" t="s">
        <v>2018</v>
      </c>
      <c r="D840" s="1" t="str">
        <f t="shared" si="3"/>
        <v>2</v>
      </c>
      <c r="E840" s="1" t="s">
        <v>2019</v>
      </c>
      <c r="G840" s="1">
        <f t="array" ref="G840">IF(ISNUMBER(MATCH(38731,Camille!$A:$A,0)), IF(OR(INDEX(Camille!$D:$D,MATCH(38731,Camille!$A:$A,0))=1, INDEX(Camille!$D:$D,MATCH(38731,Camille!$A:$A,0))=2), INDEX(Camille!$D:$D,MATCH(38731,Camille!$A:$A,0)), 0), 0)</f>
        <v>0</v>
      </c>
      <c r="H840" s="1">
        <f t="array" ref="H840">IF(ISNUMBER(MATCH(38731,Telmo!$A:$A,0)), IF(OR(INDEX(Telmo!$D:$D,MATCH(38731,Telmo!$A:$A,0))=1, INDEX(Telmo!$D:$D,MATCH(38731,Telmo!$A:$A,0))=2), INDEX(Telmo!$D:$D,MATCH(38731,Telmo!$A:$A,0)), 0), 0)</f>
        <v>2</v>
      </c>
      <c r="I840" s="1">
        <f t="array" ref="I840">IF(ISNUMBER(MATCH(38731,Max!$A:$A,0)), IF(OR(INDEX(Max!$D:$D,MATCH(38731,Max!$A:$A,0))=1, INDEX(Max!$D:$D,MATCH(38731,Max!$A:$A,0))=2), INDEX(Max!$D:$D,MATCH(38731,Max!$A:$A,0)), 0), 0)</f>
        <v>0</v>
      </c>
    </row>
    <row r="841" spans="1:9" ht="15.75" customHeight="1" x14ac:dyDescent="0.2">
      <c r="A841" s="1">
        <v>18478</v>
      </c>
      <c r="B841" s="1" t="s">
        <v>259</v>
      </c>
      <c r="C841" s="1" t="s">
        <v>2020</v>
      </c>
      <c r="D841" s="1" t="str">
        <f t="shared" si="3"/>
        <v>2</v>
      </c>
      <c r="E841" s="1" t="s">
        <v>2021</v>
      </c>
      <c r="G841" s="1">
        <f t="array" ref="G841">IF(ISNUMBER(MATCH(18478,Camille!$A:$A,0)), IF(OR(INDEX(Camille!$D:$D,MATCH(18478,Camille!$A:$A,0))=1, INDEX(Camille!$D:$D,MATCH(18478,Camille!$A:$A,0))=2), INDEX(Camille!$D:$D,MATCH(18478,Camille!$A:$A,0)), 0), 0)</f>
        <v>0</v>
      </c>
      <c r="H841" s="1">
        <f t="array" ref="H841">IF(ISNUMBER(MATCH(18478,Telmo!$A:$A,0)), IF(OR(INDEX(Telmo!$D:$D,MATCH(18478,Telmo!$A:$A,0))=1, INDEX(Telmo!$D:$D,MATCH(18478,Telmo!$A:$A,0))=2), INDEX(Telmo!$D:$D,MATCH(18478,Telmo!$A:$A,0)), 0), 0)</f>
        <v>2</v>
      </c>
      <c r="I841" s="1">
        <f t="array" ref="I841">IF(ISNUMBER(MATCH(18478,Max!$A:$A,0)), IF(OR(INDEX(Max!$D:$D,MATCH(18478,Max!$A:$A,0))=1, INDEX(Max!$D:$D,MATCH(18478,Max!$A:$A,0))=2), INDEX(Max!$D:$D,MATCH(18478,Max!$A:$A,0)), 0), 0)</f>
        <v>0</v>
      </c>
    </row>
    <row r="842" spans="1:9" ht="15.75" customHeight="1" x14ac:dyDescent="0.2">
      <c r="A842" s="1">
        <v>24265</v>
      </c>
      <c r="B842" s="1" t="s">
        <v>265</v>
      </c>
      <c r="C842" s="1" t="s">
        <v>2022</v>
      </c>
      <c r="D842" s="1" t="str">
        <f t="shared" si="3"/>
        <v>2</v>
      </c>
      <c r="E842" s="1" t="s">
        <v>2023</v>
      </c>
      <c r="G842" s="1">
        <f t="array" ref="G842">IF(ISNUMBER(MATCH(24265,Camille!$A:$A,0)), IF(OR(INDEX(Camille!$D:$D,MATCH(24265,Camille!$A:$A,0))=1, INDEX(Camille!$D:$D,MATCH(24265,Camille!$A:$A,0))=2), INDEX(Camille!$D:$D,MATCH(24265,Camille!$A:$A,0)), 0), 0)</f>
        <v>0</v>
      </c>
      <c r="H842" s="1">
        <f t="array" ref="H842">IF(ISNUMBER(MATCH(24265,Telmo!$A:$A,0)), IF(OR(INDEX(Telmo!$D:$D,MATCH(24265,Telmo!$A:$A,0))=1, INDEX(Telmo!$D:$D,MATCH(24265,Telmo!$A:$A,0))=2), INDEX(Telmo!$D:$D,MATCH(24265,Telmo!$A:$A,0)), 0), 0)</f>
        <v>2</v>
      </c>
      <c r="I842" s="1">
        <f t="array" ref="I842">IF(ISNUMBER(MATCH(24265,Max!$A:$A,0)), IF(OR(INDEX(Max!$D:$D,MATCH(24265,Max!$A:$A,0))=1, INDEX(Max!$D:$D,MATCH(24265,Max!$A:$A,0))=2), INDEX(Max!$D:$D,MATCH(24265,Max!$A:$A,0)), 0), 0)</f>
        <v>0</v>
      </c>
    </row>
    <row r="843" spans="1:9" ht="15.75" customHeight="1" x14ac:dyDescent="0.2">
      <c r="A843" s="1">
        <v>41717</v>
      </c>
      <c r="B843" s="1" t="s">
        <v>2024</v>
      </c>
      <c r="C843" s="1" t="s">
        <v>2025</v>
      </c>
      <c r="D843" s="1" t="str">
        <f t="shared" si="3"/>
        <v>2</v>
      </c>
      <c r="E843" s="1" t="s">
        <v>2026</v>
      </c>
      <c r="G843" s="1">
        <f t="array" ref="G843">IF(ISNUMBER(MATCH(41717,Camille!$A:$A,0)), IF(OR(INDEX(Camille!$D:$D,MATCH(41717,Camille!$A:$A,0))=1, INDEX(Camille!$D:$D,MATCH(41717,Camille!$A:$A,0))=2), INDEX(Camille!$D:$D,MATCH(41717,Camille!$A:$A,0)), 0), 0)</f>
        <v>0</v>
      </c>
      <c r="H843" s="1">
        <f t="array" ref="H843">IF(ISNUMBER(MATCH(41717,Telmo!$A:$A,0)), IF(OR(INDEX(Telmo!$D:$D,MATCH(41717,Telmo!$A:$A,0))=1, INDEX(Telmo!$D:$D,MATCH(41717,Telmo!$A:$A,0))=2), INDEX(Telmo!$D:$D,MATCH(41717,Telmo!$A:$A,0)), 0), 0)</f>
        <v>2</v>
      </c>
      <c r="I843" s="1">
        <f t="array" ref="I843">IF(ISNUMBER(MATCH(41717,Max!$A:$A,0)), IF(OR(INDEX(Max!$D:$D,MATCH(41717,Max!$A:$A,0))=1, INDEX(Max!$D:$D,MATCH(41717,Max!$A:$A,0))=2), INDEX(Max!$D:$D,MATCH(41717,Max!$A:$A,0)), 0), 0)</f>
        <v>0</v>
      </c>
    </row>
    <row r="844" spans="1:9" ht="15.75" customHeight="1" x14ac:dyDescent="0.2">
      <c r="A844" s="1">
        <v>33528</v>
      </c>
      <c r="B844" s="1" t="s">
        <v>326</v>
      </c>
      <c r="C844" s="1" t="s">
        <v>2027</v>
      </c>
      <c r="D844" s="1" t="str">
        <f t="shared" si="3"/>
        <v>2</v>
      </c>
      <c r="E844" s="1" t="s">
        <v>2028</v>
      </c>
      <c r="G844" s="1">
        <f t="array" ref="G844">IF(ISNUMBER(MATCH(33528,Camille!$A:$A,0)), IF(OR(INDEX(Camille!$D:$D,MATCH(33528,Camille!$A:$A,0))=1, INDEX(Camille!$D:$D,MATCH(33528,Camille!$A:$A,0))=2), INDEX(Camille!$D:$D,MATCH(33528,Camille!$A:$A,0)), 0), 0)</f>
        <v>0</v>
      </c>
      <c r="H844" s="1">
        <f t="array" ref="H844">IF(ISNUMBER(MATCH(33528,Telmo!$A:$A,0)), IF(OR(INDEX(Telmo!$D:$D,MATCH(33528,Telmo!$A:$A,0))=1, INDEX(Telmo!$D:$D,MATCH(33528,Telmo!$A:$A,0))=2), INDEX(Telmo!$D:$D,MATCH(33528,Telmo!$A:$A,0)), 0), 0)</f>
        <v>2</v>
      </c>
      <c r="I844" s="1">
        <f t="array" ref="I844">IF(ISNUMBER(MATCH(33528,Max!$A:$A,0)), IF(OR(INDEX(Max!$D:$D,MATCH(33528,Max!$A:$A,0))=1, INDEX(Max!$D:$D,MATCH(33528,Max!$A:$A,0))=2), INDEX(Max!$D:$D,MATCH(33528,Max!$A:$A,0)), 0), 0)</f>
        <v>0</v>
      </c>
    </row>
    <row r="845" spans="1:9" ht="15.75" customHeight="1" x14ac:dyDescent="0.2">
      <c r="A845" s="1">
        <v>57732</v>
      </c>
      <c r="B845" s="1" t="s">
        <v>307</v>
      </c>
      <c r="C845" s="1" t="s">
        <v>2029</v>
      </c>
      <c r="D845" s="1" t="str">
        <f t="shared" si="3"/>
        <v>1</v>
      </c>
      <c r="E845" s="1" t="s">
        <v>2030</v>
      </c>
      <c r="G845" s="1">
        <f t="array" ref="G845">IF(ISNUMBER(MATCH(57732,Camille!$A:$A,0)), IF(OR(INDEX(Camille!$D:$D,MATCH(57732,Camille!$A:$A,0))=1, INDEX(Camille!$D:$D,MATCH(57732,Camille!$A:$A,0))=2), INDEX(Camille!$D:$D,MATCH(57732,Camille!$A:$A,0)), 0), 0)</f>
        <v>0</v>
      </c>
      <c r="H845" s="1">
        <f t="array" ref="H845">IF(ISNUMBER(MATCH(57732,Telmo!$A:$A,0)), IF(OR(INDEX(Telmo!$D:$D,MATCH(57732,Telmo!$A:$A,0))=1, INDEX(Telmo!$D:$D,MATCH(57732,Telmo!$A:$A,0))=2), INDEX(Telmo!$D:$D,MATCH(57732,Telmo!$A:$A,0)), 0), 0)</f>
        <v>1</v>
      </c>
      <c r="I845" s="1">
        <f t="array" ref="I845">IF(ISNUMBER(MATCH(57732,Max!$A:$A,0)), IF(OR(INDEX(Max!$D:$D,MATCH(57732,Max!$A:$A,0))=1, INDEX(Max!$D:$D,MATCH(57732,Max!$A:$A,0))=2), INDEX(Max!$D:$D,MATCH(57732,Max!$A:$A,0)), 0), 0)</f>
        <v>0</v>
      </c>
    </row>
    <row r="846" spans="1:9" ht="15.75" customHeight="1" x14ac:dyDescent="0.2">
      <c r="A846" s="1">
        <v>53523</v>
      </c>
      <c r="B846" s="1" t="s">
        <v>129</v>
      </c>
      <c r="C846" s="1" t="s">
        <v>2031</v>
      </c>
      <c r="D846" s="1" t="str">
        <f t="shared" si="3"/>
        <v>1</v>
      </c>
      <c r="E846" s="1" t="s">
        <v>2032</v>
      </c>
      <c r="G846" s="1">
        <f t="array" ref="G846">IF(ISNUMBER(MATCH(53523,Camille!$A:$A,0)), IF(OR(INDEX(Camille!$D:$D,MATCH(53523,Camille!$A:$A,0))=1, INDEX(Camille!$D:$D,MATCH(53523,Camille!$A:$A,0))=2), INDEX(Camille!$D:$D,MATCH(53523,Camille!$A:$A,0)), 0), 0)</f>
        <v>0</v>
      </c>
      <c r="H846" s="1">
        <f t="array" ref="H846">IF(ISNUMBER(MATCH(53523,Telmo!$A:$A,0)), IF(OR(INDEX(Telmo!$D:$D,MATCH(53523,Telmo!$A:$A,0))=1, INDEX(Telmo!$D:$D,MATCH(53523,Telmo!$A:$A,0))=2), INDEX(Telmo!$D:$D,MATCH(53523,Telmo!$A:$A,0)), 0), 0)</f>
        <v>1</v>
      </c>
      <c r="I846" s="1">
        <f t="array" ref="I846">IF(ISNUMBER(MATCH(53523,Max!$A:$A,0)), IF(OR(INDEX(Max!$D:$D,MATCH(53523,Max!$A:$A,0))=1, INDEX(Max!$D:$D,MATCH(53523,Max!$A:$A,0))=2), INDEX(Max!$D:$D,MATCH(53523,Max!$A:$A,0)), 0), 0)</f>
        <v>0</v>
      </c>
    </row>
    <row r="847" spans="1:9" ht="15.75" customHeight="1" x14ac:dyDescent="0.2">
      <c r="A847" s="1">
        <v>33491</v>
      </c>
      <c r="B847" s="1" t="s">
        <v>2033</v>
      </c>
      <c r="C847" s="1" t="s">
        <v>2034</v>
      </c>
      <c r="D847" s="1" t="str">
        <f t="shared" si="3"/>
        <v>1</v>
      </c>
      <c r="E847" s="1" t="s">
        <v>2035</v>
      </c>
      <c r="G847" s="1">
        <f t="array" ref="G847">IF(ISNUMBER(MATCH(33491,Camille!$A:$A,0)), IF(OR(INDEX(Camille!$D:$D,MATCH(33491,Camille!$A:$A,0))=1, INDEX(Camille!$D:$D,MATCH(33491,Camille!$A:$A,0))=2), INDEX(Camille!$D:$D,MATCH(33491,Camille!$A:$A,0)), 0), 0)</f>
        <v>0</v>
      </c>
      <c r="H847" s="1">
        <f t="array" ref="H847">IF(ISNUMBER(MATCH(33491,Telmo!$A:$A,0)), IF(OR(INDEX(Telmo!$D:$D,MATCH(33491,Telmo!$A:$A,0))=1, INDEX(Telmo!$D:$D,MATCH(33491,Telmo!$A:$A,0))=2), INDEX(Telmo!$D:$D,MATCH(33491,Telmo!$A:$A,0)), 0), 0)</f>
        <v>1</v>
      </c>
      <c r="I847" s="1">
        <f t="array" ref="I847">IF(ISNUMBER(MATCH(33491,Max!$A:$A,0)), IF(OR(INDEX(Max!$D:$D,MATCH(33491,Max!$A:$A,0))=1, INDEX(Max!$D:$D,MATCH(33491,Max!$A:$A,0))=2), INDEX(Max!$D:$D,MATCH(33491,Max!$A:$A,0)), 0), 0)</f>
        <v>0</v>
      </c>
    </row>
    <row r="848" spans="1:9" ht="15.75" customHeight="1" x14ac:dyDescent="0.2">
      <c r="A848" s="1">
        <v>956</v>
      </c>
      <c r="B848" s="1" t="s">
        <v>1018</v>
      </c>
      <c r="C848" s="1" t="s">
        <v>2036</v>
      </c>
      <c r="D848" s="1" t="str">
        <f t="shared" si="3"/>
        <v>1</v>
      </c>
      <c r="E848" s="1" t="s">
        <v>2037</v>
      </c>
      <c r="G848" s="1">
        <f t="array" ref="G848">IF(ISNUMBER(MATCH(956,Camille!$A:$A,0)), IF(OR(INDEX(Camille!$D:$D,MATCH(956,Camille!$A:$A,0))=1, INDEX(Camille!$D:$D,MATCH(956,Camille!$A:$A,0))=2), INDEX(Camille!$D:$D,MATCH(956,Camille!$A:$A,0)), 0), 0)</f>
        <v>0</v>
      </c>
      <c r="H848" s="1">
        <f t="array" ref="H848">IF(ISNUMBER(MATCH(956,Telmo!$A:$A,0)), IF(OR(INDEX(Telmo!$D:$D,MATCH(956,Telmo!$A:$A,0))=1, INDEX(Telmo!$D:$D,MATCH(956,Telmo!$A:$A,0))=2), INDEX(Telmo!$D:$D,MATCH(956,Telmo!$A:$A,0)), 0), 0)</f>
        <v>1</v>
      </c>
      <c r="I848" s="1">
        <f t="array" ref="I848">IF(ISNUMBER(MATCH(956,Max!$A:$A,0)), IF(OR(INDEX(Max!$D:$D,MATCH(956,Max!$A:$A,0))=1, INDEX(Max!$D:$D,MATCH(956,Max!$A:$A,0))=2), INDEX(Max!$D:$D,MATCH(956,Max!$A:$A,0)), 0), 0)</f>
        <v>0</v>
      </c>
    </row>
    <row r="849" spans="1:9" ht="15.75" customHeight="1" x14ac:dyDescent="0.2">
      <c r="A849" s="1">
        <v>35080</v>
      </c>
      <c r="B849" s="1" t="s">
        <v>1004</v>
      </c>
      <c r="C849" s="1" t="s">
        <v>2038</v>
      </c>
      <c r="D849" s="1" t="str">
        <f t="shared" si="3"/>
        <v>2</v>
      </c>
      <c r="E849" s="1" t="s">
        <v>2039</v>
      </c>
      <c r="G849" s="1">
        <f t="array" ref="G849">IF(ISNUMBER(MATCH(35080,Camille!$A:$A,0)), IF(OR(INDEX(Camille!$D:$D,MATCH(35080,Camille!$A:$A,0))=1, INDEX(Camille!$D:$D,MATCH(35080,Camille!$A:$A,0))=2), INDEX(Camille!$D:$D,MATCH(35080,Camille!$A:$A,0)), 0), 0)</f>
        <v>0</v>
      </c>
      <c r="H849" s="1">
        <f t="array" ref="H849">IF(ISNUMBER(MATCH(35080,Telmo!$A:$A,0)), IF(OR(INDEX(Telmo!$D:$D,MATCH(35080,Telmo!$A:$A,0))=1, INDEX(Telmo!$D:$D,MATCH(35080,Telmo!$A:$A,0))=2), INDEX(Telmo!$D:$D,MATCH(35080,Telmo!$A:$A,0)), 0), 0)</f>
        <v>2</v>
      </c>
      <c r="I849" s="1">
        <f t="array" ref="I849">IF(ISNUMBER(MATCH(35080,Max!$A:$A,0)), IF(OR(INDEX(Max!$D:$D,MATCH(35080,Max!$A:$A,0))=1, INDEX(Max!$D:$D,MATCH(35080,Max!$A:$A,0))=2), INDEX(Max!$D:$D,MATCH(35080,Max!$A:$A,0)), 0), 0)</f>
        <v>0</v>
      </c>
    </row>
    <row r="850" spans="1:9" ht="15.75" customHeight="1" x14ac:dyDescent="0.2">
      <c r="A850" s="1">
        <v>43699</v>
      </c>
      <c r="B850" s="1" t="s">
        <v>906</v>
      </c>
      <c r="C850" s="1" t="s">
        <v>2040</v>
      </c>
      <c r="D850" s="1" t="str">
        <f t="shared" si="3"/>
        <v>2</v>
      </c>
      <c r="E850" s="1" t="s">
        <v>2041</v>
      </c>
      <c r="G850" s="1">
        <f t="array" ref="G850">IF(ISNUMBER(MATCH(43699,Camille!$A:$A,0)), IF(OR(INDEX(Camille!$D:$D,MATCH(43699,Camille!$A:$A,0))=1, INDEX(Camille!$D:$D,MATCH(43699,Camille!$A:$A,0))=2), INDEX(Camille!$D:$D,MATCH(43699,Camille!$A:$A,0)), 0), 0)</f>
        <v>0</v>
      </c>
      <c r="H850" s="1">
        <f t="array" ref="H850">IF(ISNUMBER(MATCH(43699,Telmo!$A:$A,0)), IF(OR(INDEX(Telmo!$D:$D,MATCH(43699,Telmo!$A:$A,0))=1, INDEX(Telmo!$D:$D,MATCH(43699,Telmo!$A:$A,0))=2), INDEX(Telmo!$D:$D,MATCH(43699,Telmo!$A:$A,0)), 0), 0)</f>
        <v>2</v>
      </c>
      <c r="I850" s="1">
        <f t="array" ref="I850">IF(ISNUMBER(MATCH(43699,Max!$A:$A,0)), IF(OR(INDEX(Max!$D:$D,MATCH(43699,Max!$A:$A,0))=1, INDEX(Max!$D:$D,MATCH(43699,Max!$A:$A,0))=2), INDEX(Max!$D:$D,MATCH(43699,Max!$A:$A,0)), 0), 0)</f>
        <v>0</v>
      </c>
    </row>
    <row r="851" spans="1:9" ht="15.75" customHeight="1" x14ac:dyDescent="0.2">
      <c r="A851" s="1">
        <v>9837</v>
      </c>
      <c r="B851" s="1" t="s">
        <v>2042</v>
      </c>
      <c r="C851" s="1" t="s">
        <v>2043</v>
      </c>
      <c r="D851" s="1" t="str">
        <f t="shared" si="3"/>
        <v>1</v>
      </c>
      <c r="E851" s="1" t="s">
        <v>2044</v>
      </c>
      <c r="G851" s="1">
        <f t="array" ref="G851">IF(ISNUMBER(MATCH(9837,Camille!$A:$A,0)), IF(OR(INDEX(Camille!$D:$D,MATCH(9837,Camille!$A:$A,0))=1, INDEX(Camille!$D:$D,MATCH(9837,Camille!$A:$A,0))=2), INDEX(Camille!$D:$D,MATCH(9837,Camille!$A:$A,0)), 0), 0)</f>
        <v>0</v>
      </c>
      <c r="H851" s="1">
        <f t="array" ref="H851">IF(ISNUMBER(MATCH(9837,Telmo!$A:$A,0)), IF(OR(INDEX(Telmo!$D:$D,MATCH(9837,Telmo!$A:$A,0))=1, INDEX(Telmo!$D:$D,MATCH(9837,Telmo!$A:$A,0))=2), INDEX(Telmo!$D:$D,MATCH(9837,Telmo!$A:$A,0)), 0), 0)</f>
        <v>1</v>
      </c>
      <c r="I851" s="1">
        <f t="array" ref="I851">IF(ISNUMBER(MATCH(9837,Max!$A:$A,0)), IF(OR(INDEX(Max!$D:$D,MATCH(9837,Max!$A:$A,0))=1, INDEX(Max!$D:$D,MATCH(9837,Max!$A:$A,0))=2), INDEX(Max!$D:$D,MATCH(9837,Max!$A:$A,0)), 0), 0)</f>
        <v>0</v>
      </c>
    </row>
    <row r="852" spans="1:9" ht="15.75" customHeight="1" x14ac:dyDescent="0.2">
      <c r="A852" s="1">
        <v>69845</v>
      </c>
      <c r="B852" s="1" t="s">
        <v>2045</v>
      </c>
      <c r="C852" s="1" t="s">
        <v>2046</v>
      </c>
      <c r="D852" s="1" t="str">
        <f t="shared" si="3"/>
        <v>2</v>
      </c>
      <c r="E852" s="1" t="s">
        <v>2047</v>
      </c>
      <c r="G852" s="1">
        <f t="array" ref="G852">IF(ISNUMBER(MATCH(69845,Camille!$A:$A,0)), IF(OR(INDEX(Camille!$D:$D,MATCH(69845,Camille!$A:$A,0))=1, INDEX(Camille!$D:$D,MATCH(69845,Camille!$A:$A,0))=2), INDEX(Camille!$D:$D,MATCH(69845,Camille!$A:$A,0)), 0), 0)</f>
        <v>0</v>
      </c>
      <c r="H852" s="1">
        <f t="array" ref="H852">IF(ISNUMBER(MATCH(69845,Telmo!$A:$A,0)), IF(OR(INDEX(Telmo!$D:$D,MATCH(69845,Telmo!$A:$A,0))=1, INDEX(Telmo!$D:$D,MATCH(69845,Telmo!$A:$A,0))=2), INDEX(Telmo!$D:$D,MATCH(69845,Telmo!$A:$A,0)), 0), 0)</f>
        <v>2</v>
      </c>
      <c r="I852" s="1">
        <f t="array" ref="I852">IF(ISNUMBER(MATCH(69845,Max!$A:$A,0)), IF(OR(INDEX(Max!$D:$D,MATCH(69845,Max!$A:$A,0))=1, INDEX(Max!$D:$D,MATCH(69845,Max!$A:$A,0))=2), INDEX(Max!$D:$D,MATCH(69845,Max!$A:$A,0)), 0), 0)</f>
        <v>0</v>
      </c>
    </row>
    <row r="853" spans="1:9" ht="15.75" customHeight="1" x14ac:dyDescent="0.2">
      <c r="A853" s="1">
        <v>23154</v>
      </c>
      <c r="B853" s="1" t="s">
        <v>2048</v>
      </c>
      <c r="C853" s="1" t="s">
        <v>2049</v>
      </c>
      <c r="D853" s="1" t="str">
        <f t="shared" si="3"/>
        <v>1</v>
      </c>
      <c r="E853" s="1" t="s">
        <v>2050</v>
      </c>
      <c r="G853" s="1">
        <f t="array" ref="G853">IF(ISNUMBER(MATCH(23154,Camille!$A:$A,0)), IF(OR(INDEX(Camille!$D:$D,MATCH(23154,Camille!$A:$A,0))=1, INDEX(Camille!$D:$D,MATCH(23154,Camille!$A:$A,0))=2), INDEX(Camille!$D:$D,MATCH(23154,Camille!$A:$A,0)), 0), 0)</f>
        <v>0</v>
      </c>
      <c r="H853" s="1">
        <f t="array" ref="H853">IF(ISNUMBER(MATCH(23154,Telmo!$A:$A,0)), IF(OR(INDEX(Telmo!$D:$D,MATCH(23154,Telmo!$A:$A,0))=1, INDEX(Telmo!$D:$D,MATCH(23154,Telmo!$A:$A,0))=2), INDEX(Telmo!$D:$D,MATCH(23154,Telmo!$A:$A,0)), 0), 0)</f>
        <v>1</v>
      </c>
      <c r="I853" s="1">
        <f t="array" ref="I853">IF(ISNUMBER(MATCH(23154,Max!$A:$A,0)), IF(OR(INDEX(Max!$D:$D,MATCH(23154,Max!$A:$A,0))=1, INDEX(Max!$D:$D,MATCH(23154,Max!$A:$A,0))=2), INDEX(Max!$D:$D,MATCH(23154,Max!$A:$A,0)), 0), 0)</f>
        <v>0</v>
      </c>
    </row>
    <row r="854" spans="1:9" ht="15.75" customHeight="1" x14ac:dyDescent="0.2">
      <c r="A854" s="1">
        <v>67862</v>
      </c>
      <c r="B854" s="1" t="s">
        <v>32</v>
      </c>
      <c r="C854" s="1" t="s">
        <v>2051</v>
      </c>
      <c r="D854" s="1" t="str">
        <f t="shared" si="3"/>
        <v>2</v>
      </c>
      <c r="E854" s="1" t="s">
        <v>2052</v>
      </c>
      <c r="G854" s="1">
        <f t="array" ref="G854">IF(ISNUMBER(MATCH(67862,Camille!$A:$A,0)), IF(OR(INDEX(Camille!$D:$D,MATCH(67862,Camille!$A:$A,0))=1, INDEX(Camille!$D:$D,MATCH(67862,Camille!$A:$A,0))=2), INDEX(Camille!$D:$D,MATCH(67862,Camille!$A:$A,0)), 0), 0)</f>
        <v>0</v>
      </c>
      <c r="H854" s="1">
        <f t="array" ref="H854">IF(ISNUMBER(MATCH(67862,Telmo!$A:$A,0)), IF(OR(INDEX(Telmo!$D:$D,MATCH(67862,Telmo!$A:$A,0))=1, INDEX(Telmo!$D:$D,MATCH(67862,Telmo!$A:$A,0))=2), INDEX(Telmo!$D:$D,MATCH(67862,Telmo!$A:$A,0)), 0), 0)</f>
        <v>2</v>
      </c>
      <c r="I854" s="1">
        <f t="array" ref="I854">IF(ISNUMBER(MATCH(67862,Max!$A:$A,0)), IF(OR(INDEX(Max!$D:$D,MATCH(67862,Max!$A:$A,0))=1, INDEX(Max!$D:$D,MATCH(67862,Max!$A:$A,0))=2), INDEX(Max!$D:$D,MATCH(67862,Max!$A:$A,0)), 0), 0)</f>
        <v>0</v>
      </c>
    </row>
    <row r="855" spans="1:9" ht="15.75" customHeight="1" x14ac:dyDescent="0.2">
      <c r="A855" s="1">
        <v>58479</v>
      </c>
      <c r="B855" s="1" t="s">
        <v>78</v>
      </c>
      <c r="C855" s="1" t="s">
        <v>2053</v>
      </c>
      <c r="D855" s="1" t="str">
        <f t="shared" si="3"/>
        <v>2</v>
      </c>
      <c r="E855" s="1" t="s">
        <v>2054</v>
      </c>
      <c r="G855" s="1">
        <f t="array" ref="G855">IF(ISNUMBER(MATCH(58479,Camille!$A:$A,0)), IF(OR(INDEX(Camille!$D:$D,MATCH(58479,Camille!$A:$A,0))=1, INDEX(Camille!$D:$D,MATCH(58479,Camille!$A:$A,0))=2), INDEX(Camille!$D:$D,MATCH(58479,Camille!$A:$A,0)), 0), 0)</f>
        <v>0</v>
      </c>
      <c r="H855" s="1">
        <f t="array" ref="H855">IF(ISNUMBER(MATCH(58479,Telmo!$A:$A,0)), IF(OR(INDEX(Telmo!$D:$D,MATCH(58479,Telmo!$A:$A,0))=1, INDEX(Telmo!$D:$D,MATCH(58479,Telmo!$A:$A,0))=2), INDEX(Telmo!$D:$D,MATCH(58479,Telmo!$A:$A,0)), 0), 0)</f>
        <v>2</v>
      </c>
      <c r="I855" s="1">
        <f t="array" ref="I855">IF(ISNUMBER(MATCH(58479,Max!$A:$A,0)), IF(OR(INDEX(Max!$D:$D,MATCH(58479,Max!$A:$A,0))=1, INDEX(Max!$D:$D,MATCH(58479,Max!$A:$A,0))=2), INDEX(Max!$D:$D,MATCH(58479,Max!$A:$A,0)), 0), 0)</f>
        <v>0</v>
      </c>
    </row>
    <row r="856" spans="1:9" ht="15.75" customHeight="1" x14ac:dyDescent="0.2">
      <c r="A856" s="1">
        <v>28692</v>
      </c>
      <c r="B856" s="1" t="s">
        <v>405</v>
      </c>
      <c r="C856" s="1" t="s">
        <v>2055</v>
      </c>
      <c r="D856" s="1" t="str">
        <f t="shared" si="3"/>
        <v>1</v>
      </c>
      <c r="E856" s="1" t="s">
        <v>2056</v>
      </c>
      <c r="G856" s="1">
        <f t="array" ref="G856">IF(ISNUMBER(MATCH(28692,Camille!$A:$A,0)), IF(OR(INDEX(Camille!$D:$D,MATCH(28692,Camille!$A:$A,0))=1, INDEX(Camille!$D:$D,MATCH(28692,Camille!$A:$A,0))=2), INDEX(Camille!$D:$D,MATCH(28692,Camille!$A:$A,0)), 0), 0)</f>
        <v>0</v>
      </c>
      <c r="H856" s="1">
        <f t="array" ref="H856">IF(ISNUMBER(MATCH(28692,Telmo!$A:$A,0)), IF(OR(INDEX(Telmo!$D:$D,MATCH(28692,Telmo!$A:$A,0))=1, INDEX(Telmo!$D:$D,MATCH(28692,Telmo!$A:$A,0))=2), INDEX(Telmo!$D:$D,MATCH(28692,Telmo!$A:$A,0)), 0), 0)</f>
        <v>1</v>
      </c>
      <c r="I856" s="1">
        <f t="array" ref="I856">IF(ISNUMBER(MATCH(28692,Max!$A:$A,0)), IF(OR(INDEX(Max!$D:$D,MATCH(28692,Max!$A:$A,0))=1, INDEX(Max!$D:$D,MATCH(28692,Max!$A:$A,0))=2), INDEX(Max!$D:$D,MATCH(28692,Max!$A:$A,0)), 0), 0)</f>
        <v>0</v>
      </c>
    </row>
    <row r="857" spans="1:9" ht="15.75" customHeight="1" x14ac:dyDescent="0.2">
      <c r="A857" s="1">
        <v>30912</v>
      </c>
      <c r="B857" s="1" t="s">
        <v>194</v>
      </c>
      <c r="C857" s="1" t="s">
        <v>2057</v>
      </c>
      <c r="D857" s="1" t="str">
        <f t="shared" si="3"/>
        <v>2</v>
      </c>
      <c r="E857" s="1" t="s">
        <v>2058</v>
      </c>
      <c r="G857" s="1">
        <f t="array" ref="G857">IF(ISNUMBER(MATCH(30912,Camille!$A:$A,0)), IF(OR(INDEX(Camille!$D:$D,MATCH(30912,Camille!$A:$A,0))=1, INDEX(Camille!$D:$D,MATCH(30912,Camille!$A:$A,0))=2), INDEX(Camille!$D:$D,MATCH(30912,Camille!$A:$A,0)), 0), 0)</f>
        <v>0</v>
      </c>
      <c r="H857" s="1">
        <f t="array" ref="H857">IF(ISNUMBER(MATCH(30912,Telmo!$A:$A,0)), IF(OR(INDEX(Telmo!$D:$D,MATCH(30912,Telmo!$A:$A,0))=1, INDEX(Telmo!$D:$D,MATCH(30912,Telmo!$A:$A,0))=2), INDEX(Telmo!$D:$D,MATCH(30912,Telmo!$A:$A,0)), 0), 0)</f>
        <v>2</v>
      </c>
      <c r="I857" s="1">
        <f t="array" ref="I857">IF(ISNUMBER(MATCH(30912,Max!$A:$A,0)), IF(OR(INDEX(Max!$D:$D,MATCH(30912,Max!$A:$A,0))=1, INDEX(Max!$D:$D,MATCH(30912,Max!$A:$A,0))=2), INDEX(Max!$D:$D,MATCH(30912,Max!$A:$A,0)), 0), 0)</f>
        <v>0</v>
      </c>
    </row>
    <row r="858" spans="1:9" ht="15.75" customHeight="1" x14ac:dyDescent="0.2">
      <c r="A858" s="1">
        <v>39339</v>
      </c>
      <c r="B858" s="1" t="s">
        <v>144</v>
      </c>
      <c r="C858" s="1" t="s">
        <v>2059</v>
      </c>
      <c r="D858" s="1" t="str">
        <f t="shared" si="3"/>
        <v>2</v>
      </c>
      <c r="E858" s="1" t="s">
        <v>2060</v>
      </c>
      <c r="G858" s="1">
        <f t="array" ref="G858">IF(ISNUMBER(MATCH(39339,Camille!$A:$A,0)), IF(OR(INDEX(Camille!$D:$D,MATCH(39339,Camille!$A:$A,0))=1, INDEX(Camille!$D:$D,MATCH(39339,Camille!$A:$A,0))=2), INDEX(Camille!$D:$D,MATCH(39339,Camille!$A:$A,0)), 0), 0)</f>
        <v>0</v>
      </c>
      <c r="H858" s="1">
        <f t="array" ref="H858">IF(ISNUMBER(MATCH(39339,Telmo!$A:$A,0)), IF(OR(INDEX(Telmo!$D:$D,MATCH(39339,Telmo!$A:$A,0))=1, INDEX(Telmo!$D:$D,MATCH(39339,Telmo!$A:$A,0))=2), INDEX(Telmo!$D:$D,MATCH(39339,Telmo!$A:$A,0)), 0), 0)</f>
        <v>2</v>
      </c>
      <c r="I858" s="1">
        <f t="array" ref="I858">IF(ISNUMBER(MATCH(39339,Max!$A:$A,0)), IF(OR(INDEX(Max!$D:$D,MATCH(39339,Max!$A:$A,0))=1, INDEX(Max!$D:$D,MATCH(39339,Max!$A:$A,0))=2), INDEX(Max!$D:$D,MATCH(39339,Max!$A:$A,0)), 0), 0)</f>
        <v>0</v>
      </c>
    </row>
    <row r="859" spans="1:9" ht="15.75" customHeight="1" x14ac:dyDescent="0.2">
      <c r="A859" s="1">
        <v>23747</v>
      </c>
      <c r="B859" s="1" t="s">
        <v>2061</v>
      </c>
      <c r="C859" s="1" t="s">
        <v>2062</v>
      </c>
      <c r="D859" s="1" t="str">
        <f t="shared" si="3"/>
        <v>2</v>
      </c>
      <c r="E859" s="1" t="s">
        <v>2063</v>
      </c>
      <c r="G859" s="1">
        <f t="array" ref="G859">IF(ISNUMBER(MATCH(23747,Camille!$A:$A,0)), IF(OR(INDEX(Camille!$D:$D,MATCH(23747,Camille!$A:$A,0))=1, INDEX(Camille!$D:$D,MATCH(23747,Camille!$A:$A,0))=2), INDEX(Camille!$D:$D,MATCH(23747,Camille!$A:$A,0)), 0), 0)</f>
        <v>0</v>
      </c>
      <c r="H859" s="1">
        <f t="array" ref="H859">IF(ISNUMBER(MATCH(23747,Telmo!$A:$A,0)), IF(OR(INDEX(Telmo!$D:$D,MATCH(23747,Telmo!$A:$A,0))=1, INDEX(Telmo!$D:$D,MATCH(23747,Telmo!$A:$A,0))=2), INDEX(Telmo!$D:$D,MATCH(23747,Telmo!$A:$A,0)), 0), 0)</f>
        <v>2</v>
      </c>
      <c r="I859" s="1">
        <f t="array" ref="I859">IF(ISNUMBER(MATCH(23747,Max!$A:$A,0)), IF(OR(INDEX(Max!$D:$D,MATCH(23747,Max!$A:$A,0))=1, INDEX(Max!$D:$D,MATCH(23747,Max!$A:$A,0))=2), INDEX(Max!$D:$D,MATCH(23747,Max!$A:$A,0)), 0), 0)</f>
        <v>0</v>
      </c>
    </row>
    <row r="860" spans="1:9" ht="15.75" customHeight="1" x14ac:dyDescent="0.2">
      <c r="A860" s="1">
        <v>53853</v>
      </c>
      <c r="B860" s="1" t="s">
        <v>191</v>
      </c>
      <c r="C860" s="1" t="s">
        <v>2064</v>
      </c>
      <c r="D860" s="1" t="str">
        <f t="shared" si="3"/>
        <v>2</v>
      </c>
      <c r="E860" s="1" t="s">
        <v>2065</v>
      </c>
      <c r="G860" s="1">
        <f t="array" ref="G860">IF(ISNUMBER(MATCH(53853,Camille!$A:$A,0)), IF(OR(INDEX(Camille!$D:$D,MATCH(53853,Camille!$A:$A,0))=1, INDEX(Camille!$D:$D,MATCH(53853,Camille!$A:$A,0))=2), INDEX(Camille!$D:$D,MATCH(53853,Camille!$A:$A,0)), 0), 0)</f>
        <v>0</v>
      </c>
      <c r="H860" s="1">
        <f t="array" ref="H860">IF(ISNUMBER(MATCH(53853,Telmo!$A:$A,0)), IF(OR(INDEX(Telmo!$D:$D,MATCH(53853,Telmo!$A:$A,0))=1, INDEX(Telmo!$D:$D,MATCH(53853,Telmo!$A:$A,0))=2), INDEX(Telmo!$D:$D,MATCH(53853,Telmo!$A:$A,0)), 0), 0)</f>
        <v>2</v>
      </c>
      <c r="I860" s="1">
        <f t="array" ref="I860">IF(ISNUMBER(MATCH(53853,Max!$A:$A,0)), IF(OR(INDEX(Max!$D:$D,MATCH(53853,Max!$A:$A,0))=1, INDEX(Max!$D:$D,MATCH(53853,Max!$A:$A,0))=2), INDEX(Max!$D:$D,MATCH(53853,Max!$A:$A,0)), 0), 0)</f>
        <v>0</v>
      </c>
    </row>
    <row r="861" spans="1:9" ht="15.75" customHeight="1" x14ac:dyDescent="0.2">
      <c r="A861" s="1">
        <v>1021</v>
      </c>
      <c r="B861" s="1" t="s">
        <v>1316</v>
      </c>
      <c r="C861" s="1" t="s">
        <v>2066</v>
      </c>
      <c r="D861" s="1" t="str">
        <f t="shared" si="3"/>
        <v>2</v>
      </c>
      <c r="E861" s="1" t="s">
        <v>2067</v>
      </c>
      <c r="G861" s="1">
        <f t="array" ref="G861">IF(ISNUMBER(MATCH(1021,Camille!$A:$A,0)), IF(OR(INDEX(Camille!$D:$D,MATCH(1021,Camille!$A:$A,0))=1, INDEX(Camille!$D:$D,MATCH(1021,Camille!$A:$A,0))=2), INDEX(Camille!$D:$D,MATCH(1021,Camille!$A:$A,0)), 0), 0)</f>
        <v>0</v>
      </c>
      <c r="H861" s="1">
        <f t="array" ref="H861">IF(ISNUMBER(MATCH(1021,Telmo!$A:$A,0)), IF(OR(INDEX(Telmo!$D:$D,MATCH(1021,Telmo!$A:$A,0))=1, INDEX(Telmo!$D:$D,MATCH(1021,Telmo!$A:$A,0))=2), INDEX(Telmo!$D:$D,MATCH(1021,Telmo!$A:$A,0)), 0), 0)</f>
        <v>2</v>
      </c>
      <c r="I861" s="1">
        <f t="array" ref="I861">IF(ISNUMBER(MATCH(1021,Max!$A:$A,0)), IF(OR(INDEX(Max!$D:$D,MATCH(1021,Max!$A:$A,0))=1, INDEX(Max!$D:$D,MATCH(1021,Max!$A:$A,0))=2), INDEX(Max!$D:$D,MATCH(1021,Max!$A:$A,0)), 0), 0)</f>
        <v>0</v>
      </c>
    </row>
    <row r="862" spans="1:9" ht="15.75" customHeight="1" x14ac:dyDescent="0.2">
      <c r="A862" s="1">
        <v>22798</v>
      </c>
      <c r="B862" s="1" t="s">
        <v>1102</v>
      </c>
      <c r="C862" s="1" t="s">
        <v>2068</v>
      </c>
      <c r="D862" s="1" t="str">
        <f t="shared" si="3"/>
        <v>2</v>
      </c>
      <c r="E862" s="1" t="s">
        <v>2069</v>
      </c>
      <c r="G862" s="1">
        <f t="array" ref="G862">IF(ISNUMBER(MATCH(22798,Camille!$A:$A,0)), IF(OR(INDEX(Camille!$D:$D,MATCH(22798,Camille!$A:$A,0))=1, INDEX(Camille!$D:$D,MATCH(22798,Camille!$A:$A,0))=2), INDEX(Camille!$D:$D,MATCH(22798,Camille!$A:$A,0)), 0), 0)</f>
        <v>0</v>
      </c>
      <c r="H862" s="1">
        <f t="array" ref="H862">IF(ISNUMBER(MATCH(22798,Telmo!$A:$A,0)), IF(OR(INDEX(Telmo!$D:$D,MATCH(22798,Telmo!$A:$A,0))=1, INDEX(Telmo!$D:$D,MATCH(22798,Telmo!$A:$A,0))=2), INDEX(Telmo!$D:$D,MATCH(22798,Telmo!$A:$A,0)), 0), 0)</f>
        <v>2</v>
      </c>
      <c r="I862" s="1">
        <f t="array" ref="I862">IF(ISNUMBER(MATCH(22798,Max!$A:$A,0)), IF(OR(INDEX(Max!$D:$D,MATCH(22798,Max!$A:$A,0))=1, INDEX(Max!$D:$D,MATCH(22798,Max!$A:$A,0))=2), INDEX(Max!$D:$D,MATCH(22798,Max!$A:$A,0)), 0), 0)</f>
        <v>0</v>
      </c>
    </row>
    <row r="863" spans="1:9" ht="15.75" customHeight="1" x14ac:dyDescent="0.2">
      <c r="A863" s="1">
        <v>71138</v>
      </c>
      <c r="B863" s="1" t="s">
        <v>2070</v>
      </c>
      <c r="C863" s="1" t="s">
        <v>2071</v>
      </c>
      <c r="D863" s="1" t="str">
        <f t="shared" si="3"/>
        <v>2</v>
      </c>
      <c r="E863" s="1" t="s">
        <v>2072</v>
      </c>
      <c r="G863" s="1">
        <f t="array" ref="G863">IF(ISNUMBER(MATCH(71138,Camille!$A:$A,0)), IF(OR(INDEX(Camille!$D:$D,MATCH(71138,Camille!$A:$A,0))=1, INDEX(Camille!$D:$D,MATCH(71138,Camille!$A:$A,0))=2), INDEX(Camille!$D:$D,MATCH(71138,Camille!$A:$A,0)), 0), 0)</f>
        <v>0</v>
      </c>
      <c r="H863" s="1">
        <f t="array" ref="H863">IF(ISNUMBER(MATCH(71138,Telmo!$A:$A,0)), IF(OR(INDEX(Telmo!$D:$D,MATCH(71138,Telmo!$A:$A,0))=1, INDEX(Telmo!$D:$D,MATCH(71138,Telmo!$A:$A,0))=2), INDEX(Telmo!$D:$D,MATCH(71138,Telmo!$A:$A,0)), 0), 0)</f>
        <v>2</v>
      </c>
      <c r="I863" s="1">
        <f t="array" ref="I863">IF(ISNUMBER(MATCH(71138,Max!$A:$A,0)), IF(OR(INDEX(Max!$D:$D,MATCH(71138,Max!$A:$A,0))=1, INDEX(Max!$D:$D,MATCH(71138,Max!$A:$A,0))=2), INDEX(Max!$D:$D,MATCH(71138,Max!$A:$A,0)), 0), 0)</f>
        <v>0</v>
      </c>
    </row>
    <row r="864" spans="1:9" ht="15.75" customHeight="1" x14ac:dyDescent="0.2">
      <c r="A864" s="1">
        <v>17613</v>
      </c>
      <c r="B864" s="1" t="s">
        <v>524</v>
      </c>
      <c r="C864" s="1" t="s">
        <v>2073</v>
      </c>
      <c r="D864" s="1" t="str">
        <f t="shared" si="3"/>
        <v>2</v>
      </c>
      <c r="E864" s="1" t="s">
        <v>2074</v>
      </c>
      <c r="G864" s="1">
        <f t="array" ref="G864">IF(ISNUMBER(MATCH(17613,Camille!$A:$A,0)), IF(OR(INDEX(Camille!$D:$D,MATCH(17613,Camille!$A:$A,0))=1, INDEX(Camille!$D:$D,MATCH(17613,Camille!$A:$A,0))=2), INDEX(Camille!$D:$D,MATCH(17613,Camille!$A:$A,0)), 0), 0)</f>
        <v>0</v>
      </c>
      <c r="H864" s="1">
        <f t="array" ref="H864">IF(ISNUMBER(MATCH(17613,Telmo!$A:$A,0)), IF(OR(INDEX(Telmo!$D:$D,MATCH(17613,Telmo!$A:$A,0))=1, INDEX(Telmo!$D:$D,MATCH(17613,Telmo!$A:$A,0))=2), INDEX(Telmo!$D:$D,MATCH(17613,Telmo!$A:$A,0)), 0), 0)</f>
        <v>2</v>
      </c>
      <c r="I864" s="1">
        <f t="array" ref="I864">IF(ISNUMBER(MATCH(17613,Max!$A:$A,0)), IF(OR(INDEX(Max!$D:$D,MATCH(17613,Max!$A:$A,0))=1, INDEX(Max!$D:$D,MATCH(17613,Max!$A:$A,0))=2), INDEX(Max!$D:$D,MATCH(17613,Max!$A:$A,0)), 0), 0)</f>
        <v>0</v>
      </c>
    </row>
    <row r="865" spans="1:9" ht="15.75" customHeight="1" x14ac:dyDescent="0.2">
      <c r="A865" s="1">
        <v>3410</v>
      </c>
      <c r="B865" s="1" t="s">
        <v>860</v>
      </c>
      <c r="C865" s="1" t="s">
        <v>2075</v>
      </c>
      <c r="D865" s="1" t="str">
        <f t="shared" si="3"/>
        <v>2</v>
      </c>
      <c r="E865" s="1" t="s">
        <v>2076</v>
      </c>
      <c r="G865" s="1">
        <f t="array" ref="G865">IF(ISNUMBER(MATCH(3410,Camille!$A:$A,0)), IF(OR(INDEX(Camille!$D:$D,MATCH(3410,Camille!$A:$A,0))=1, INDEX(Camille!$D:$D,MATCH(3410,Camille!$A:$A,0))=2), INDEX(Camille!$D:$D,MATCH(3410,Camille!$A:$A,0)), 0), 0)</f>
        <v>0</v>
      </c>
      <c r="H865" s="1">
        <f t="array" ref="H865">IF(ISNUMBER(MATCH(3410,Telmo!$A:$A,0)), IF(OR(INDEX(Telmo!$D:$D,MATCH(3410,Telmo!$A:$A,0))=1, INDEX(Telmo!$D:$D,MATCH(3410,Telmo!$A:$A,0))=2), INDEX(Telmo!$D:$D,MATCH(3410,Telmo!$A:$A,0)), 0), 0)</f>
        <v>2</v>
      </c>
      <c r="I865" s="1">
        <f t="array" ref="I865">IF(ISNUMBER(MATCH(3410,Max!$A:$A,0)), IF(OR(INDEX(Max!$D:$D,MATCH(3410,Max!$A:$A,0))=1, INDEX(Max!$D:$D,MATCH(3410,Max!$A:$A,0))=2), INDEX(Max!$D:$D,MATCH(3410,Max!$A:$A,0)), 0), 0)</f>
        <v>0</v>
      </c>
    </row>
    <row r="866" spans="1:9" ht="15.75" customHeight="1" x14ac:dyDescent="0.2">
      <c r="A866" s="1">
        <v>2988</v>
      </c>
      <c r="B866" s="1" t="s">
        <v>1569</v>
      </c>
      <c r="C866" s="1" t="s">
        <v>2077</v>
      </c>
      <c r="D866" s="1" t="str">
        <f t="shared" si="3"/>
        <v>2</v>
      </c>
      <c r="E866" s="1" t="s">
        <v>2078</v>
      </c>
      <c r="G866" s="1">
        <f t="array" ref="G866">IF(ISNUMBER(MATCH(2988,Camille!$A:$A,0)), IF(OR(INDEX(Camille!$D:$D,MATCH(2988,Camille!$A:$A,0))=1, INDEX(Camille!$D:$D,MATCH(2988,Camille!$A:$A,0))=2), INDEX(Camille!$D:$D,MATCH(2988,Camille!$A:$A,0)), 0), 0)</f>
        <v>0</v>
      </c>
      <c r="H866" s="1">
        <f t="array" ref="H866">IF(ISNUMBER(MATCH(2988,Telmo!$A:$A,0)), IF(OR(INDEX(Telmo!$D:$D,MATCH(2988,Telmo!$A:$A,0))=1, INDEX(Telmo!$D:$D,MATCH(2988,Telmo!$A:$A,0))=2), INDEX(Telmo!$D:$D,MATCH(2988,Telmo!$A:$A,0)), 0), 0)</f>
        <v>2</v>
      </c>
      <c r="I866" s="1">
        <f t="array" ref="I866">IF(ISNUMBER(MATCH(2988,Max!$A:$A,0)), IF(OR(INDEX(Max!$D:$D,MATCH(2988,Max!$A:$A,0))=1, INDEX(Max!$D:$D,MATCH(2988,Max!$A:$A,0))=2), INDEX(Max!$D:$D,MATCH(2988,Max!$A:$A,0)), 0), 0)</f>
        <v>0</v>
      </c>
    </row>
    <row r="867" spans="1:9" ht="15.75" customHeight="1" x14ac:dyDescent="0.2">
      <c r="A867" s="1">
        <v>18036</v>
      </c>
      <c r="B867" s="1" t="s">
        <v>194</v>
      </c>
      <c r="C867" s="1" t="s">
        <v>2079</v>
      </c>
      <c r="D867" s="1" t="str">
        <f t="shared" si="3"/>
        <v>2</v>
      </c>
      <c r="E867" s="1" t="s">
        <v>2080</v>
      </c>
      <c r="G867" s="1">
        <f t="array" ref="G867">IF(ISNUMBER(MATCH(18036,Camille!$A:$A,0)), IF(OR(INDEX(Camille!$D:$D,MATCH(18036,Camille!$A:$A,0))=1, INDEX(Camille!$D:$D,MATCH(18036,Camille!$A:$A,0))=2), INDEX(Camille!$D:$D,MATCH(18036,Camille!$A:$A,0)), 0), 0)</f>
        <v>0</v>
      </c>
      <c r="H867" s="1">
        <f t="array" ref="H867">IF(ISNUMBER(MATCH(18036,Telmo!$A:$A,0)), IF(OR(INDEX(Telmo!$D:$D,MATCH(18036,Telmo!$A:$A,0))=1, INDEX(Telmo!$D:$D,MATCH(18036,Telmo!$A:$A,0))=2), INDEX(Telmo!$D:$D,MATCH(18036,Telmo!$A:$A,0)), 0), 0)</f>
        <v>2</v>
      </c>
      <c r="I867" s="1">
        <f t="array" ref="I867">IF(ISNUMBER(MATCH(18036,Max!$A:$A,0)), IF(OR(INDEX(Max!$D:$D,MATCH(18036,Max!$A:$A,0))=1, INDEX(Max!$D:$D,MATCH(18036,Max!$A:$A,0))=2), INDEX(Max!$D:$D,MATCH(18036,Max!$A:$A,0)), 0), 0)</f>
        <v>0</v>
      </c>
    </row>
    <row r="868" spans="1:9" ht="15.75" customHeight="1" x14ac:dyDescent="0.2">
      <c r="A868" s="1">
        <v>43789</v>
      </c>
      <c r="B868" s="1" t="s">
        <v>109</v>
      </c>
      <c r="C868" s="1" t="s">
        <v>2081</v>
      </c>
      <c r="D868" s="1" t="str">
        <f t="shared" si="3"/>
        <v>1</v>
      </c>
      <c r="E868" s="1" t="s">
        <v>2082</v>
      </c>
      <c r="G868" s="1">
        <f t="array" ref="G868">IF(ISNUMBER(MATCH(43789,Camille!$A:$A,0)), IF(OR(INDEX(Camille!$D:$D,MATCH(43789,Camille!$A:$A,0))=1, INDEX(Camille!$D:$D,MATCH(43789,Camille!$A:$A,0))=2), INDEX(Camille!$D:$D,MATCH(43789,Camille!$A:$A,0)), 0), 0)</f>
        <v>0</v>
      </c>
      <c r="H868" s="1">
        <f t="array" ref="H868">IF(ISNUMBER(MATCH(43789,Telmo!$A:$A,0)), IF(OR(INDEX(Telmo!$D:$D,MATCH(43789,Telmo!$A:$A,0))=1, INDEX(Telmo!$D:$D,MATCH(43789,Telmo!$A:$A,0))=2), INDEX(Telmo!$D:$D,MATCH(43789,Telmo!$A:$A,0)), 0), 0)</f>
        <v>1</v>
      </c>
      <c r="I868" s="1">
        <f t="array" ref="I868">IF(ISNUMBER(MATCH(43789,Max!$A:$A,0)), IF(OR(INDEX(Max!$D:$D,MATCH(43789,Max!$A:$A,0))=1, INDEX(Max!$D:$D,MATCH(43789,Max!$A:$A,0))=2), INDEX(Max!$D:$D,MATCH(43789,Max!$A:$A,0)), 0), 0)</f>
        <v>0</v>
      </c>
    </row>
    <row r="869" spans="1:9" ht="15.75" customHeight="1" x14ac:dyDescent="0.2">
      <c r="A869" s="1">
        <v>29570</v>
      </c>
      <c r="B869" s="1" t="s">
        <v>408</v>
      </c>
      <c r="C869" s="1" t="s">
        <v>2083</v>
      </c>
      <c r="D869" s="1" t="str">
        <f t="shared" si="3"/>
        <v>2</v>
      </c>
      <c r="E869" s="1" t="s">
        <v>2084</v>
      </c>
      <c r="G869" s="1">
        <f t="array" ref="G869">IF(ISNUMBER(MATCH(29570,Camille!$A:$A,0)), IF(OR(INDEX(Camille!$D:$D,MATCH(29570,Camille!$A:$A,0))=1, INDEX(Camille!$D:$D,MATCH(29570,Camille!$A:$A,0))=2), INDEX(Camille!$D:$D,MATCH(29570,Camille!$A:$A,0)), 0), 0)</f>
        <v>0</v>
      </c>
      <c r="H869" s="1">
        <f t="array" ref="H869">IF(ISNUMBER(MATCH(29570,Telmo!$A:$A,0)), IF(OR(INDEX(Telmo!$D:$D,MATCH(29570,Telmo!$A:$A,0))=1, INDEX(Telmo!$D:$D,MATCH(29570,Telmo!$A:$A,0))=2), INDEX(Telmo!$D:$D,MATCH(29570,Telmo!$A:$A,0)), 0), 0)</f>
        <v>2</v>
      </c>
      <c r="I869" s="1">
        <f t="array" ref="I869">IF(ISNUMBER(MATCH(29570,Max!$A:$A,0)), IF(OR(INDEX(Max!$D:$D,MATCH(29570,Max!$A:$A,0))=1, INDEX(Max!$D:$D,MATCH(29570,Max!$A:$A,0))=2), INDEX(Max!$D:$D,MATCH(29570,Max!$A:$A,0)), 0), 0)</f>
        <v>0</v>
      </c>
    </row>
    <row r="870" spans="1:9" ht="15.75" customHeight="1" x14ac:dyDescent="0.2">
      <c r="A870" s="1">
        <v>22076</v>
      </c>
      <c r="B870" s="1" t="s">
        <v>2085</v>
      </c>
      <c r="C870" s="1" t="s">
        <v>2086</v>
      </c>
      <c r="D870" s="1" t="str">
        <f t="shared" si="3"/>
        <v>2</v>
      </c>
      <c r="E870" s="1" t="s">
        <v>2087</v>
      </c>
      <c r="G870" s="1">
        <f t="array" ref="G870">IF(ISNUMBER(MATCH(22076,Camille!$A:$A,0)), IF(OR(INDEX(Camille!$D:$D,MATCH(22076,Camille!$A:$A,0))=1, INDEX(Camille!$D:$D,MATCH(22076,Camille!$A:$A,0))=2), INDEX(Camille!$D:$D,MATCH(22076,Camille!$A:$A,0)), 0), 0)</f>
        <v>0</v>
      </c>
      <c r="H870" s="1">
        <f t="array" ref="H870">IF(ISNUMBER(MATCH(22076,Telmo!$A:$A,0)), IF(OR(INDEX(Telmo!$D:$D,MATCH(22076,Telmo!$A:$A,0))=1, INDEX(Telmo!$D:$D,MATCH(22076,Telmo!$A:$A,0))=2), INDEX(Telmo!$D:$D,MATCH(22076,Telmo!$A:$A,0)), 0), 0)</f>
        <v>2</v>
      </c>
      <c r="I870" s="1">
        <f t="array" ref="I870">IF(ISNUMBER(MATCH(22076,Max!$A:$A,0)), IF(OR(INDEX(Max!$D:$D,MATCH(22076,Max!$A:$A,0))=1, INDEX(Max!$D:$D,MATCH(22076,Max!$A:$A,0))=2), INDEX(Max!$D:$D,MATCH(22076,Max!$A:$A,0)), 0), 0)</f>
        <v>0</v>
      </c>
    </row>
    <row r="871" spans="1:9" ht="15.75" customHeight="1" x14ac:dyDescent="0.2">
      <c r="A871" s="1">
        <v>42108</v>
      </c>
      <c r="B871" s="1" t="s">
        <v>103</v>
      </c>
      <c r="C871" s="1" t="s">
        <v>2088</v>
      </c>
      <c r="D871" s="1" t="str">
        <f t="shared" si="3"/>
        <v>2</v>
      </c>
      <c r="E871" s="1" t="s">
        <v>2089</v>
      </c>
      <c r="G871" s="1">
        <f t="array" ref="G871">IF(ISNUMBER(MATCH(42108,Camille!$A:$A,0)), IF(OR(INDEX(Camille!$D:$D,MATCH(42108,Camille!$A:$A,0))=1, INDEX(Camille!$D:$D,MATCH(42108,Camille!$A:$A,0))=2), INDEX(Camille!$D:$D,MATCH(42108,Camille!$A:$A,0)), 0), 0)</f>
        <v>0</v>
      </c>
      <c r="H871" s="1">
        <f t="array" ref="H871">IF(ISNUMBER(MATCH(42108,Telmo!$A:$A,0)), IF(OR(INDEX(Telmo!$D:$D,MATCH(42108,Telmo!$A:$A,0))=1, INDEX(Telmo!$D:$D,MATCH(42108,Telmo!$A:$A,0))=2), INDEX(Telmo!$D:$D,MATCH(42108,Telmo!$A:$A,0)), 0), 0)</f>
        <v>2</v>
      </c>
      <c r="I871" s="1">
        <f t="array" ref="I871">IF(ISNUMBER(MATCH(42108,Max!$A:$A,0)), IF(OR(INDEX(Max!$D:$D,MATCH(42108,Max!$A:$A,0))=1, INDEX(Max!$D:$D,MATCH(42108,Max!$A:$A,0))=2), INDEX(Max!$D:$D,MATCH(42108,Max!$A:$A,0)), 0), 0)</f>
        <v>0</v>
      </c>
    </row>
    <row r="872" spans="1:9" ht="15.75" customHeight="1" x14ac:dyDescent="0.2">
      <c r="A872" s="1">
        <v>10061</v>
      </c>
      <c r="B872" s="1" t="s">
        <v>244</v>
      </c>
      <c r="C872" s="1" t="s">
        <v>2090</v>
      </c>
      <c r="D872" s="1" t="str">
        <f t="shared" si="3"/>
        <v>1</v>
      </c>
      <c r="E872" s="1" t="s">
        <v>2091</v>
      </c>
      <c r="G872" s="1">
        <f t="array" ref="G872">IF(ISNUMBER(MATCH(10061,Camille!$A:$A,0)), IF(OR(INDEX(Camille!$D:$D,MATCH(10061,Camille!$A:$A,0))=1, INDEX(Camille!$D:$D,MATCH(10061,Camille!$A:$A,0))=2), INDEX(Camille!$D:$D,MATCH(10061,Camille!$A:$A,0)), 0), 0)</f>
        <v>0</v>
      </c>
      <c r="H872" s="1">
        <f t="array" ref="H872">IF(ISNUMBER(MATCH(10061,Telmo!$A:$A,0)), IF(OR(INDEX(Telmo!$D:$D,MATCH(10061,Telmo!$A:$A,0))=1, INDEX(Telmo!$D:$D,MATCH(10061,Telmo!$A:$A,0))=2), INDEX(Telmo!$D:$D,MATCH(10061,Telmo!$A:$A,0)), 0), 0)</f>
        <v>1</v>
      </c>
      <c r="I872" s="1">
        <f t="array" ref="I872">IF(ISNUMBER(MATCH(10061,Max!$A:$A,0)), IF(OR(INDEX(Max!$D:$D,MATCH(10061,Max!$A:$A,0))=1, INDEX(Max!$D:$D,MATCH(10061,Max!$A:$A,0))=2), INDEX(Max!$D:$D,MATCH(10061,Max!$A:$A,0)), 0), 0)</f>
        <v>0</v>
      </c>
    </row>
    <row r="873" spans="1:9" ht="15.75" customHeight="1" x14ac:dyDescent="0.2">
      <c r="A873" s="1">
        <v>8402</v>
      </c>
      <c r="B873" s="1" t="s">
        <v>1548</v>
      </c>
      <c r="C873" s="1" t="s">
        <v>2092</v>
      </c>
      <c r="D873" s="1" t="str">
        <f t="shared" si="3"/>
        <v>2</v>
      </c>
      <c r="E873" s="1" t="s">
        <v>2093</v>
      </c>
      <c r="G873" s="1">
        <f t="array" ref="G873">IF(ISNUMBER(MATCH(8402,Camille!$A:$A,0)), IF(OR(INDEX(Camille!$D:$D,MATCH(8402,Camille!$A:$A,0))=1, INDEX(Camille!$D:$D,MATCH(8402,Camille!$A:$A,0))=2), INDEX(Camille!$D:$D,MATCH(8402,Camille!$A:$A,0)), 0), 0)</f>
        <v>0</v>
      </c>
      <c r="H873" s="1">
        <f t="array" ref="H873">IF(ISNUMBER(MATCH(8402,Telmo!$A:$A,0)), IF(OR(INDEX(Telmo!$D:$D,MATCH(8402,Telmo!$A:$A,0))=1, INDEX(Telmo!$D:$D,MATCH(8402,Telmo!$A:$A,0))=2), INDEX(Telmo!$D:$D,MATCH(8402,Telmo!$A:$A,0)), 0), 0)</f>
        <v>2</v>
      </c>
      <c r="I873" s="1">
        <f t="array" ref="I873">IF(ISNUMBER(MATCH(8402,Max!$A:$A,0)), IF(OR(INDEX(Max!$D:$D,MATCH(8402,Max!$A:$A,0))=1, INDEX(Max!$D:$D,MATCH(8402,Max!$A:$A,0))=2), INDEX(Max!$D:$D,MATCH(8402,Max!$A:$A,0)), 0), 0)</f>
        <v>0</v>
      </c>
    </row>
    <row r="874" spans="1:9" ht="15.75" customHeight="1" x14ac:dyDescent="0.2">
      <c r="A874" s="1">
        <v>6383</v>
      </c>
      <c r="B874" s="1" t="s">
        <v>2094</v>
      </c>
      <c r="C874" s="1" t="s">
        <v>2095</v>
      </c>
      <c r="D874" s="1" t="str">
        <f t="shared" si="3"/>
        <v>2</v>
      </c>
      <c r="E874" s="1" t="s">
        <v>2096</v>
      </c>
      <c r="G874" s="1">
        <f t="array" ref="G874">IF(ISNUMBER(MATCH(6383,Camille!$A:$A,0)), IF(OR(INDEX(Camille!$D:$D,MATCH(6383,Camille!$A:$A,0))=1, INDEX(Camille!$D:$D,MATCH(6383,Camille!$A:$A,0))=2), INDEX(Camille!$D:$D,MATCH(6383,Camille!$A:$A,0)), 0), 0)</f>
        <v>0</v>
      </c>
      <c r="H874" s="1">
        <f t="array" ref="H874">IF(ISNUMBER(MATCH(6383,Telmo!$A:$A,0)), IF(OR(INDEX(Telmo!$D:$D,MATCH(6383,Telmo!$A:$A,0))=1, INDEX(Telmo!$D:$D,MATCH(6383,Telmo!$A:$A,0))=2), INDEX(Telmo!$D:$D,MATCH(6383,Telmo!$A:$A,0)), 0), 0)</f>
        <v>2</v>
      </c>
      <c r="I874" s="1">
        <f t="array" ref="I874">IF(ISNUMBER(MATCH(6383,Max!$A:$A,0)), IF(OR(INDEX(Max!$D:$D,MATCH(6383,Max!$A:$A,0))=1, INDEX(Max!$D:$D,MATCH(6383,Max!$A:$A,0))=2), INDEX(Max!$D:$D,MATCH(6383,Max!$A:$A,0)), 0), 0)</f>
        <v>0</v>
      </c>
    </row>
    <row r="875" spans="1:9" ht="15.75" customHeight="1" x14ac:dyDescent="0.2">
      <c r="A875" s="1">
        <v>14478</v>
      </c>
      <c r="B875" s="1" t="s">
        <v>2097</v>
      </c>
      <c r="C875" s="1" t="s">
        <v>2098</v>
      </c>
      <c r="D875" s="1" t="str">
        <f t="shared" si="3"/>
        <v>2</v>
      </c>
      <c r="E875" s="1" t="s">
        <v>2099</v>
      </c>
      <c r="G875" s="1">
        <f t="array" ref="G875">IF(ISNUMBER(MATCH(14478,Camille!$A:$A,0)), IF(OR(INDEX(Camille!$D:$D,MATCH(14478,Camille!$A:$A,0))=1, INDEX(Camille!$D:$D,MATCH(14478,Camille!$A:$A,0))=2), INDEX(Camille!$D:$D,MATCH(14478,Camille!$A:$A,0)), 0), 0)</f>
        <v>0</v>
      </c>
      <c r="H875" s="1">
        <f t="array" ref="H875">IF(ISNUMBER(MATCH(14478,Telmo!$A:$A,0)), IF(OR(INDEX(Telmo!$D:$D,MATCH(14478,Telmo!$A:$A,0))=1, INDEX(Telmo!$D:$D,MATCH(14478,Telmo!$A:$A,0))=2), INDEX(Telmo!$D:$D,MATCH(14478,Telmo!$A:$A,0)), 0), 0)</f>
        <v>2</v>
      </c>
      <c r="I875" s="1">
        <f t="array" ref="I875">IF(ISNUMBER(MATCH(14478,Max!$A:$A,0)), IF(OR(INDEX(Max!$D:$D,MATCH(14478,Max!$A:$A,0))=1, INDEX(Max!$D:$D,MATCH(14478,Max!$A:$A,0))=2), INDEX(Max!$D:$D,MATCH(14478,Max!$A:$A,0)), 0), 0)</f>
        <v>0</v>
      </c>
    </row>
    <row r="876" spans="1:9" ht="15.75" customHeight="1" x14ac:dyDescent="0.2">
      <c r="A876" s="1">
        <v>29610</v>
      </c>
      <c r="B876" s="1" t="s">
        <v>78</v>
      </c>
      <c r="C876" s="1" t="s">
        <v>2100</v>
      </c>
      <c r="D876" s="1" t="str">
        <f t="shared" si="3"/>
        <v>1</v>
      </c>
      <c r="E876" s="1" t="s">
        <v>2101</v>
      </c>
      <c r="G876" s="1">
        <f t="array" ref="G876">IF(ISNUMBER(MATCH(29610,Camille!$A:$A,0)), IF(OR(INDEX(Camille!$D:$D,MATCH(29610,Camille!$A:$A,0))=1, INDEX(Camille!$D:$D,MATCH(29610,Camille!$A:$A,0))=2), INDEX(Camille!$D:$D,MATCH(29610,Camille!$A:$A,0)), 0), 0)</f>
        <v>0</v>
      </c>
      <c r="H876" s="1">
        <f t="array" ref="H876">IF(ISNUMBER(MATCH(29610,Telmo!$A:$A,0)), IF(OR(INDEX(Telmo!$D:$D,MATCH(29610,Telmo!$A:$A,0))=1, INDEX(Telmo!$D:$D,MATCH(29610,Telmo!$A:$A,0))=2), INDEX(Telmo!$D:$D,MATCH(29610,Telmo!$A:$A,0)), 0), 0)</f>
        <v>1</v>
      </c>
      <c r="I876" s="1">
        <f t="array" ref="I876">IF(ISNUMBER(MATCH(29610,Max!$A:$A,0)), IF(OR(INDEX(Max!$D:$D,MATCH(29610,Max!$A:$A,0))=1, INDEX(Max!$D:$D,MATCH(29610,Max!$A:$A,0))=2), INDEX(Max!$D:$D,MATCH(29610,Max!$A:$A,0)), 0), 0)</f>
        <v>0</v>
      </c>
    </row>
    <row r="877" spans="1:9" ht="15.75" customHeight="1" x14ac:dyDescent="0.2">
      <c r="A877" s="1">
        <v>32187</v>
      </c>
      <c r="B877" s="1" t="s">
        <v>1686</v>
      </c>
      <c r="C877" s="1" t="s">
        <v>2102</v>
      </c>
      <c r="D877" s="1" t="str">
        <f t="shared" si="3"/>
        <v>1</v>
      </c>
      <c r="E877" s="1" t="s">
        <v>2103</v>
      </c>
      <c r="G877" s="1">
        <f t="array" ref="G877">IF(ISNUMBER(MATCH(32187,Camille!$A:$A,0)), IF(OR(INDEX(Camille!$D:$D,MATCH(32187,Camille!$A:$A,0))=1, INDEX(Camille!$D:$D,MATCH(32187,Camille!$A:$A,0))=2), INDEX(Camille!$D:$D,MATCH(32187,Camille!$A:$A,0)), 0), 0)</f>
        <v>0</v>
      </c>
      <c r="H877" s="1">
        <f t="array" ref="H877">IF(ISNUMBER(MATCH(32187,Telmo!$A:$A,0)), IF(OR(INDEX(Telmo!$D:$D,MATCH(32187,Telmo!$A:$A,0))=1, INDEX(Telmo!$D:$D,MATCH(32187,Telmo!$A:$A,0))=2), INDEX(Telmo!$D:$D,MATCH(32187,Telmo!$A:$A,0)), 0), 0)</f>
        <v>1</v>
      </c>
      <c r="I877" s="1">
        <f t="array" ref="I877">IF(ISNUMBER(MATCH(32187,Max!$A:$A,0)), IF(OR(INDEX(Max!$D:$D,MATCH(32187,Max!$A:$A,0))=1, INDEX(Max!$D:$D,MATCH(32187,Max!$A:$A,0))=2), INDEX(Max!$D:$D,MATCH(32187,Max!$A:$A,0)), 0), 0)</f>
        <v>0</v>
      </c>
    </row>
    <row r="878" spans="1:9" ht="15.75" customHeight="1" x14ac:dyDescent="0.2">
      <c r="A878" s="1">
        <v>70485</v>
      </c>
      <c r="B878" s="1" t="s">
        <v>180</v>
      </c>
      <c r="C878" s="1" t="s">
        <v>2104</v>
      </c>
      <c r="D878" s="1" t="str">
        <f t="shared" si="3"/>
        <v>2</v>
      </c>
      <c r="E878" s="1" t="s">
        <v>2105</v>
      </c>
      <c r="G878" s="1">
        <f t="array" ref="G878">IF(ISNUMBER(MATCH(70485,Camille!$A:$A,0)), IF(OR(INDEX(Camille!$D:$D,MATCH(70485,Camille!$A:$A,0))=1, INDEX(Camille!$D:$D,MATCH(70485,Camille!$A:$A,0))=2), INDEX(Camille!$D:$D,MATCH(70485,Camille!$A:$A,0)), 0), 0)</f>
        <v>0</v>
      </c>
      <c r="H878" s="1">
        <f t="array" ref="H878">IF(ISNUMBER(MATCH(70485,Telmo!$A:$A,0)), IF(OR(INDEX(Telmo!$D:$D,MATCH(70485,Telmo!$A:$A,0))=1, INDEX(Telmo!$D:$D,MATCH(70485,Telmo!$A:$A,0))=2), INDEX(Telmo!$D:$D,MATCH(70485,Telmo!$A:$A,0)), 0), 0)</f>
        <v>2</v>
      </c>
      <c r="I878" s="1">
        <f t="array" ref="I878">IF(ISNUMBER(MATCH(70485,Max!$A:$A,0)), IF(OR(INDEX(Max!$D:$D,MATCH(70485,Max!$A:$A,0))=1, INDEX(Max!$D:$D,MATCH(70485,Max!$A:$A,0))=2), INDEX(Max!$D:$D,MATCH(70485,Max!$A:$A,0)), 0), 0)</f>
        <v>0</v>
      </c>
    </row>
    <row r="879" spans="1:9" ht="15.75" customHeight="1" x14ac:dyDescent="0.2">
      <c r="A879" s="1">
        <v>52104</v>
      </c>
      <c r="B879" s="1" t="s">
        <v>129</v>
      </c>
      <c r="C879" s="1" t="s">
        <v>2106</v>
      </c>
      <c r="D879" s="1" t="str">
        <f t="shared" si="3"/>
        <v>1</v>
      </c>
      <c r="E879" s="1" t="s">
        <v>2107</v>
      </c>
      <c r="G879" s="1">
        <f t="array" ref="G879">IF(ISNUMBER(MATCH(52104,Camille!$A:$A,0)), IF(OR(INDEX(Camille!$D:$D,MATCH(52104,Camille!$A:$A,0))=1, INDEX(Camille!$D:$D,MATCH(52104,Camille!$A:$A,0))=2), INDEX(Camille!$D:$D,MATCH(52104,Camille!$A:$A,0)), 0), 0)</f>
        <v>0</v>
      </c>
      <c r="H879" s="1">
        <f t="array" ref="H879">IF(ISNUMBER(MATCH(52104,Telmo!$A:$A,0)), IF(OR(INDEX(Telmo!$D:$D,MATCH(52104,Telmo!$A:$A,0))=1, INDEX(Telmo!$D:$D,MATCH(52104,Telmo!$A:$A,0))=2), INDEX(Telmo!$D:$D,MATCH(52104,Telmo!$A:$A,0)), 0), 0)</f>
        <v>1</v>
      </c>
      <c r="I879" s="1">
        <f t="array" ref="I879">IF(ISNUMBER(MATCH(52104,Max!$A:$A,0)), IF(OR(INDEX(Max!$D:$D,MATCH(52104,Max!$A:$A,0))=1, INDEX(Max!$D:$D,MATCH(52104,Max!$A:$A,0))=2), INDEX(Max!$D:$D,MATCH(52104,Max!$A:$A,0)), 0), 0)</f>
        <v>0</v>
      </c>
    </row>
    <row r="880" spans="1:9" ht="15.75" customHeight="1" x14ac:dyDescent="0.2">
      <c r="A880" s="1">
        <v>5041</v>
      </c>
      <c r="B880" s="1" t="s">
        <v>175</v>
      </c>
      <c r="C880" s="1" t="s">
        <v>2108</v>
      </c>
      <c r="D880" s="1" t="str">
        <f t="shared" si="3"/>
        <v>2</v>
      </c>
      <c r="E880" s="1" t="s">
        <v>2109</v>
      </c>
      <c r="G880" s="1">
        <f t="array" ref="G880">IF(ISNUMBER(MATCH(5041,Camille!$A:$A,0)), IF(OR(INDEX(Camille!$D:$D,MATCH(5041,Camille!$A:$A,0))=1, INDEX(Camille!$D:$D,MATCH(5041,Camille!$A:$A,0))=2), INDEX(Camille!$D:$D,MATCH(5041,Camille!$A:$A,0)), 0), 0)</f>
        <v>0</v>
      </c>
      <c r="H880" s="1">
        <f t="array" ref="H880">IF(ISNUMBER(MATCH(5041,Telmo!$A:$A,0)), IF(OR(INDEX(Telmo!$D:$D,MATCH(5041,Telmo!$A:$A,0))=1, INDEX(Telmo!$D:$D,MATCH(5041,Telmo!$A:$A,0))=2), INDEX(Telmo!$D:$D,MATCH(5041,Telmo!$A:$A,0)), 0), 0)</f>
        <v>2</v>
      </c>
      <c r="I880" s="1">
        <f t="array" ref="I880">IF(ISNUMBER(MATCH(5041,Max!$A:$A,0)), IF(OR(INDEX(Max!$D:$D,MATCH(5041,Max!$A:$A,0))=1, INDEX(Max!$D:$D,MATCH(5041,Max!$A:$A,0))=2), INDEX(Max!$D:$D,MATCH(5041,Max!$A:$A,0)), 0), 0)</f>
        <v>0</v>
      </c>
    </row>
    <row r="881" spans="1:9" ht="15.75" customHeight="1" x14ac:dyDescent="0.2">
      <c r="A881" s="1">
        <v>57453</v>
      </c>
      <c r="B881" s="1" t="s">
        <v>167</v>
      </c>
      <c r="C881" s="1" t="s">
        <v>2110</v>
      </c>
      <c r="D881" s="1" t="str">
        <f t="shared" si="3"/>
        <v>1</v>
      </c>
      <c r="E881" s="1" t="s">
        <v>2111</v>
      </c>
      <c r="G881" s="1">
        <f t="array" ref="G881">IF(ISNUMBER(MATCH(57453,Camille!$A:$A,0)), IF(OR(INDEX(Camille!$D:$D,MATCH(57453,Camille!$A:$A,0))=1, INDEX(Camille!$D:$D,MATCH(57453,Camille!$A:$A,0))=2), INDEX(Camille!$D:$D,MATCH(57453,Camille!$A:$A,0)), 0), 0)</f>
        <v>0</v>
      </c>
      <c r="H881" s="1">
        <f t="array" ref="H881">IF(ISNUMBER(MATCH(57453,Telmo!$A:$A,0)), IF(OR(INDEX(Telmo!$D:$D,MATCH(57453,Telmo!$A:$A,0))=1, INDEX(Telmo!$D:$D,MATCH(57453,Telmo!$A:$A,0))=2), INDEX(Telmo!$D:$D,MATCH(57453,Telmo!$A:$A,0)), 0), 0)</f>
        <v>1</v>
      </c>
      <c r="I881" s="1">
        <f t="array" ref="I881">IF(ISNUMBER(MATCH(57453,Max!$A:$A,0)), IF(OR(INDEX(Max!$D:$D,MATCH(57453,Max!$A:$A,0))=1, INDEX(Max!$D:$D,MATCH(57453,Max!$A:$A,0))=2), INDEX(Max!$D:$D,MATCH(57453,Max!$A:$A,0)), 0), 0)</f>
        <v>0</v>
      </c>
    </row>
    <row r="882" spans="1:9" ht="15.75" customHeight="1" x14ac:dyDescent="0.2">
      <c r="A882" s="1">
        <v>49420</v>
      </c>
      <c r="B882" s="1" t="s">
        <v>2112</v>
      </c>
      <c r="C882" s="1" t="s">
        <v>2113</v>
      </c>
      <c r="D882" s="1" t="str">
        <f t="shared" si="3"/>
        <v>2</v>
      </c>
      <c r="E882" s="1" t="s">
        <v>2114</v>
      </c>
      <c r="G882" s="1">
        <f t="array" ref="G882">IF(ISNUMBER(MATCH(49420,Camille!$A:$A,0)), IF(OR(INDEX(Camille!$D:$D,MATCH(49420,Camille!$A:$A,0))=1, INDEX(Camille!$D:$D,MATCH(49420,Camille!$A:$A,0))=2), INDEX(Camille!$D:$D,MATCH(49420,Camille!$A:$A,0)), 0), 0)</f>
        <v>0</v>
      </c>
      <c r="H882" s="1">
        <f t="array" ref="H882">IF(ISNUMBER(MATCH(49420,Telmo!$A:$A,0)), IF(OR(INDEX(Telmo!$D:$D,MATCH(49420,Telmo!$A:$A,0))=1, INDEX(Telmo!$D:$D,MATCH(49420,Telmo!$A:$A,0))=2), INDEX(Telmo!$D:$D,MATCH(49420,Telmo!$A:$A,0)), 0), 0)</f>
        <v>2</v>
      </c>
      <c r="I882" s="1">
        <f t="array" ref="I882">IF(ISNUMBER(MATCH(49420,Max!$A:$A,0)), IF(OR(INDEX(Max!$D:$D,MATCH(49420,Max!$A:$A,0))=1, INDEX(Max!$D:$D,MATCH(49420,Max!$A:$A,0))=2), INDEX(Max!$D:$D,MATCH(49420,Max!$A:$A,0)), 0), 0)</f>
        <v>0</v>
      </c>
    </row>
    <row r="883" spans="1:9" ht="15.75" customHeight="1" x14ac:dyDescent="0.2">
      <c r="A883" s="1">
        <v>5996</v>
      </c>
      <c r="B883" s="1" t="s">
        <v>496</v>
      </c>
      <c r="C883" s="1" t="s">
        <v>2115</v>
      </c>
      <c r="D883" s="1" t="str">
        <f t="shared" si="3"/>
        <v>1</v>
      </c>
      <c r="E883" s="1" t="s">
        <v>2116</v>
      </c>
      <c r="G883" s="1">
        <f t="array" ref="G883">IF(ISNUMBER(MATCH(5996,Camille!$A:$A,0)), IF(OR(INDEX(Camille!$D:$D,MATCH(5996,Camille!$A:$A,0))=1, INDEX(Camille!$D:$D,MATCH(5996,Camille!$A:$A,0))=2), INDEX(Camille!$D:$D,MATCH(5996,Camille!$A:$A,0)), 0), 0)</f>
        <v>0</v>
      </c>
      <c r="H883" s="1">
        <f t="array" ref="H883">IF(ISNUMBER(MATCH(5996,Telmo!$A:$A,0)), IF(OR(INDEX(Telmo!$D:$D,MATCH(5996,Telmo!$A:$A,0))=1, INDEX(Telmo!$D:$D,MATCH(5996,Telmo!$A:$A,0))=2), INDEX(Telmo!$D:$D,MATCH(5996,Telmo!$A:$A,0)), 0), 0)</f>
        <v>1</v>
      </c>
      <c r="I883" s="1">
        <f t="array" ref="I883">IF(ISNUMBER(MATCH(5996,Max!$A:$A,0)), IF(OR(INDEX(Max!$D:$D,MATCH(5996,Max!$A:$A,0))=1, INDEX(Max!$D:$D,MATCH(5996,Max!$A:$A,0))=2), INDEX(Max!$D:$D,MATCH(5996,Max!$A:$A,0)), 0), 0)</f>
        <v>0</v>
      </c>
    </row>
    <row r="884" spans="1:9" ht="15.75" customHeight="1" x14ac:dyDescent="0.2">
      <c r="A884" s="1">
        <v>71076</v>
      </c>
      <c r="B884" s="1" t="s">
        <v>2117</v>
      </c>
      <c r="C884" s="1" t="s">
        <v>2118</v>
      </c>
      <c r="D884" s="1" t="str">
        <f t="shared" si="3"/>
        <v>2</v>
      </c>
      <c r="E884" s="1" t="s">
        <v>2119</v>
      </c>
      <c r="G884" s="1">
        <f t="array" ref="G884">IF(ISNUMBER(MATCH(71076,Camille!$A:$A,0)), IF(OR(INDEX(Camille!$D:$D,MATCH(71076,Camille!$A:$A,0))=1, INDEX(Camille!$D:$D,MATCH(71076,Camille!$A:$A,0))=2), INDEX(Camille!$D:$D,MATCH(71076,Camille!$A:$A,0)), 0), 0)</f>
        <v>0</v>
      </c>
      <c r="H884" s="1">
        <f t="array" ref="H884">IF(ISNUMBER(MATCH(71076,Telmo!$A:$A,0)), IF(OR(INDEX(Telmo!$D:$D,MATCH(71076,Telmo!$A:$A,0))=1, INDEX(Telmo!$D:$D,MATCH(71076,Telmo!$A:$A,0))=2), INDEX(Telmo!$D:$D,MATCH(71076,Telmo!$A:$A,0)), 0), 0)</f>
        <v>2</v>
      </c>
      <c r="I884" s="1">
        <f t="array" ref="I884">IF(ISNUMBER(MATCH(71076,Max!$A:$A,0)), IF(OR(INDEX(Max!$D:$D,MATCH(71076,Max!$A:$A,0))=1, INDEX(Max!$D:$D,MATCH(71076,Max!$A:$A,0))=2), INDEX(Max!$D:$D,MATCH(71076,Max!$A:$A,0)), 0), 0)</f>
        <v>0</v>
      </c>
    </row>
    <row r="885" spans="1:9" ht="15.75" customHeight="1" x14ac:dyDescent="0.2">
      <c r="A885" s="1">
        <v>40686</v>
      </c>
      <c r="B885" s="1" t="s">
        <v>191</v>
      </c>
      <c r="C885" s="1" t="s">
        <v>2120</v>
      </c>
      <c r="D885" s="1" t="str">
        <f t="shared" si="3"/>
        <v>2</v>
      </c>
      <c r="E885" s="1" t="s">
        <v>2121</v>
      </c>
      <c r="G885" s="1">
        <f t="array" ref="G885">IF(ISNUMBER(MATCH(40686,Camille!$A:$A,0)), IF(OR(INDEX(Camille!$D:$D,MATCH(40686,Camille!$A:$A,0))=1, INDEX(Camille!$D:$D,MATCH(40686,Camille!$A:$A,0))=2), INDEX(Camille!$D:$D,MATCH(40686,Camille!$A:$A,0)), 0), 0)</f>
        <v>0</v>
      </c>
      <c r="H885" s="1">
        <f t="array" ref="H885">IF(ISNUMBER(MATCH(40686,Telmo!$A:$A,0)), IF(OR(INDEX(Telmo!$D:$D,MATCH(40686,Telmo!$A:$A,0))=1, INDEX(Telmo!$D:$D,MATCH(40686,Telmo!$A:$A,0))=2), INDEX(Telmo!$D:$D,MATCH(40686,Telmo!$A:$A,0)), 0), 0)</f>
        <v>2</v>
      </c>
      <c r="I885" s="1">
        <f t="array" ref="I885">IF(ISNUMBER(MATCH(40686,Max!$A:$A,0)), IF(OR(INDEX(Max!$D:$D,MATCH(40686,Max!$A:$A,0))=1, INDEX(Max!$D:$D,MATCH(40686,Max!$A:$A,0))=2), INDEX(Max!$D:$D,MATCH(40686,Max!$A:$A,0)), 0), 0)</f>
        <v>0</v>
      </c>
    </row>
    <row r="886" spans="1:9" ht="15.75" customHeight="1" x14ac:dyDescent="0.2">
      <c r="A886" s="1">
        <v>20588</v>
      </c>
      <c r="B886" s="1" t="s">
        <v>430</v>
      </c>
      <c r="C886" s="1" t="s">
        <v>2122</v>
      </c>
      <c r="D886" s="1" t="str">
        <f t="shared" si="3"/>
        <v>2</v>
      </c>
      <c r="E886" s="1" t="s">
        <v>2123</v>
      </c>
      <c r="G886" s="1">
        <f t="array" ref="G886">IF(ISNUMBER(MATCH(20588,Camille!$A:$A,0)), IF(OR(INDEX(Camille!$D:$D,MATCH(20588,Camille!$A:$A,0))=1, INDEX(Camille!$D:$D,MATCH(20588,Camille!$A:$A,0))=2), INDEX(Camille!$D:$D,MATCH(20588,Camille!$A:$A,0)), 0), 0)</f>
        <v>0</v>
      </c>
      <c r="H886" s="1">
        <f t="array" ref="H886">IF(ISNUMBER(MATCH(20588,Telmo!$A:$A,0)), IF(OR(INDEX(Telmo!$D:$D,MATCH(20588,Telmo!$A:$A,0))=1, INDEX(Telmo!$D:$D,MATCH(20588,Telmo!$A:$A,0))=2), INDEX(Telmo!$D:$D,MATCH(20588,Telmo!$A:$A,0)), 0), 0)</f>
        <v>2</v>
      </c>
      <c r="I886" s="1">
        <f t="array" ref="I886">IF(ISNUMBER(MATCH(20588,Max!$A:$A,0)), IF(OR(INDEX(Max!$D:$D,MATCH(20588,Max!$A:$A,0))=1, INDEX(Max!$D:$D,MATCH(20588,Max!$A:$A,0))=2), INDEX(Max!$D:$D,MATCH(20588,Max!$A:$A,0)), 0), 0)</f>
        <v>0</v>
      </c>
    </row>
    <row r="887" spans="1:9" ht="15.75" customHeight="1" x14ac:dyDescent="0.2">
      <c r="A887" s="1">
        <v>30388</v>
      </c>
      <c r="B887" s="1" t="s">
        <v>32</v>
      </c>
      <c r="C887" s="1" t="s">
        <v>2124</v>
      </c>
      <c r="D887" s="1" t="str">
        <f t="shared" si="3"/>
        <v>1</v>
      </c>
      <c r="E887" s="1" t="s">
        <v>2125</v>
      </c>
      <c r="G887" s="1">
        <f t="array" ref="G887">IF(ISNUMBER(MATCH(30388,Camille!$A:$A,0)), IF(OR(INDEX(Camille!$D:$D,MATCH(30388,Camille!$A:$A,0))=1, INDEX(Camille!$D:$D,MATCH(30388,Camille!$A:$A,0))=2), INDEX(Camille!$D:$D,MATCH(30388,Camille!$A:$A,0)), 0), 0)</f>
        <v>0</v>
      </c>
      <c r="H887" s="1">
        <f t="array" ref="H887">IF(ISNUMBER(MATCH(30388,Telmo!$A:$A,0)), IF(OR(INDEX(Telmo!$D:$D,MATCH(30388,Telmo!$A:$A,0))=1, INDEX(Telmo!$D:$D,MATCH(30388,Telmo!$A:$A,0))=2), INDEX(Telmo!$D:$D,MATCH(30388,Telmo!$A:$A,0)), 0), 0)</f>
        <v>1</v>
      </c>
      <c r="I887" s="1">
        <f t="array" ref="I887">IF(ISNUMBER(MATCH(30388,Max!$A:$A,0)), IF(OR(INDEX(Max!$D:$D,MATCH(30388,Max!$A:$A,0))=1, INDEX(Max!$D:$D,MATCH(30388,Max!$A:$A,0))=2), INDEX(Max!$D:$D,MATCH(30388,Max!$A:$A,0)), 0), 0)</f>
        <v>0</v>
      </c>
    </row>
    <row r="888" spans="1:9" ht="15.75" customHeight="1" x14ac:dyDescent="0.2">
      <c r="A888" s="1">
        <v>39662</v>
      </c>
      <c r="B888" s="1" t="s">
        <v>144</v>
      </c>
      <c r="C888" s="1" t="s">
        <v>2126</v>
      </c>
      <c r="D888" s="1" t="str">
        <f t="shared" si="3"/>
        <v>2</v>
      </c>
      <c r="E888" s="1" t="s">
        <v>2127</v>
      </c>
      <c r="G888" s="1">
        <f t="array" ref="G888">IF(ISNUMBER(MATCH(39662,Camille!$A:$A,0)), IF(OR(INDEX(Camille!$D:$D,MATCH(39662,Camille!$A:$A,0))=1, INDEX(Camille!$D:$D,MATCH(39662,Camille!$A:$A,0))=2), INDEX(Camille!$D:$D,MATCH(39662,Camille!$A:$A,0)), 0), 0)</f>
        <v>0</v>
      </c>
      <c r="H888" s="1">
        <f t="array" ref="H888">IF(ISNUMBER(MATCH(39662,Telmo!$A:$A,0)), IF(OR(INDEX(Telmo!$D:$D,MATCH(39662,Telmo!$A:$A,0))=1, INDEX(Telmo!$D:$D,MATCH(39662,Telmo!$A:$A,0))=2), INDEX(Telmo!$D:$D,MATCH(39662,Telmo!$A:$A,0)), 0), 0)</f>
        <v>2</v>
      </c>
      <c r="I888" s="1">
        <f t="array" ref="I888">IF(ISNUMBER(MATCH(39662,Max!$A:$A,0)), IF(OR(INDEX(Max!$D:$D,MATCH(39662,Max!$A:$A,0))=1, INDEX(Max!$D:$D,MATCH(39662,Max!$A:$A,0))=2), INDEX(Max!$D:$D,MATCH(39662,Max!$A:$A,0)), 0), 0)</f>
        <v>0</v>
      </c>
    </row>
    <row r="889" spans="1:9" ht="15.75" customHeight="1" x14ac:dyDescent="0.2">
      <c r="A889" s="1">
        <v>4269</v>
      </c>
      <c r="B889" s="1" t="s">
        <v>167</v>
      </c>
      <c r="C889" s="1" t="s">
        <v>2128</v>
      </c>
      <c r="D889" s="1" t="str">
        <f t="shared" si="3"/>
        <v>1</v>
      </c>
      <c r="E889" s="1" t="s">
        <v>2129</v>
      </c>
      <c r="G889" s="1">
        <f t="array" ref="G889">IF(ISNUMBER(MATCH(4269,Camille!$A:$A,0)), IF(OR(INDEX(Camille!$D:$D,MATCH(4269,Camille!$A:$A,0))=1, INDEX(Camille!$D:$D,MATCH(4269,Camille!$A:$A,0))=2), INDEX(Camille!$D:$D,MATCH(4269,Camille!$A:$A,0)), 0), 0)</f>
        <v>0</v>
      </c>
      <c r="H889" s="1">
        <f t="array" ref="H889">IF(ISNUMBER(MATCH(4269,Telmo!$A:$A,0)), IF(OR(INDEX(Telmo!$D:$D,MATCH(4269,Telmo!$A:$A,0))=1, INDEX(Telmo!$D:$D,MATCH(4269,Telmo!$A:$A,0))=2), INDEX(Telmo!$D:$D,MATCH(4269,Telmo!$A:$A,0)), 0), 0)</f>
        <v>1</v>
      </c>
      <c r="I889" s="1">
        <f t="array" ref="I889">IF(ISNUMBER(MATCH(4269,Max!$A:$A,0)), IF(OR(INDEX(Max!$D:$D,MATCH(4269,Max!$A:$A,0))=1, INDEX(Max!$D:$D,MATCH(4269,Max!$A:$A,0))=2), INDEX(Max!$D:$D,MATCH(4269,Max!$A:$A,0)), 0), 0)</f>
        <v>0</v>
      </c>
    </row>
    <row r="890" spans="1:9" ht="15.75" customHeight="1" x14ac:dyDescent="0.2">
      <c r="A890" s="1">
        <v>55627</v>
      </c>
      <c r="B890" s="1" t="s">
        <v>2130</v>
      </c>
      <c r="C890" s="1" t="s">
        <v>2131</v>
      </c>
      <c r="D890" s="1" t="str">
        <f t="shared" si="3"/>
        <v>2</v>
      </c>
      <c r="E890" s="1" t="s">
        <v>2132</v>
      </c>
      <c r="G890" s="1">
        <f t="array" ref="G890">IF(ISNUMBER(MATCH(55627,Camille!$A:$A,0)), IF(OR(INDEX(Camille!$D:$D,MATCH(55627,Camille!$A:$A,0))=1, INDEX(Camille!$D:$D,MATCH(55627,Camille!$A:$A,0))=2), INDEX(Camille!$D:$D,MATCH(55627,Camille!$A:$A,0)), 0), 0)</f>
        <v>0</v>
      </c>
      <c r="H890" s="1">
        <f t="array" ref="H890">IF(ISNUMBER(MATCH(55627,Telmo!$A:$A,0)), IF(OR(INDEX(Telmo!$D:$D,MATCH(55627,Telmo!$A:$A,0))=1, INDEX(Telmo!$D:$D,MATCH(55627,Telmo!$A:$A,0))=2), INDEX(Telmo!$D:$D,MATCH(55627,Telmo!$A:$A,0)), 0), 0)</f>
        <v>2</v>
      </c>
      <c r="I890" s="1">
        <f t="array" ref="I890">IF(ISNUMBER(MATCH(55627,Max!$A:$A,0)), IF(OR(INDEX(Max!$D:$D,MATCH(55627,Max!$A:$A,0))=1, INDEX(Max!$D:$D,MATCH(55627,Max!$A:$A,0))=2), INDEX(Max!$D:$D,MATCH(55627,Max!$A:$A,0)), 0), 0)</f>
        <v>0</v>
      </c>
    </row>
    <row r="891" spans="1:9" ht="15.75" customHeight="1" x14ac:dyDescent="0.2">
      <c r="A891" s="1">
        <v>36780</v>
      </c>
      <c r="B891" s="1" t="s">
        <v>345</v>
      </c>
      <c r="C891" s="1" t="s">
        <v>2133</v>
      </c>
      <c r="D891" s="1" t="str">
        <f t="shared" si="3"/>
        <v>2</v>
      </c>
      <c r="E891" s="1" t="s">
        <v>2134</v>
      </c>
      <c r="G891" s="1">
        <f t="array" ref="G891">IF(ISNUMBER(MATCH(36780,Camille!$A:$A,0)), IF(OR(INDEX(Camille!$D:$D,MATCH(36780,Camille!$A:$A,0))=1, INDEX(Camille!$D:$D,MATCH(36780,Camille!$A:$A,0))=2), INDEX(Camille!$D:$D,MATCH(36780,Camille!$A:$A,0)), 0), 0)</f>
        <v>0</v>
      </c>
      <c r="H891" s="1">
        <f t="array" ref="H891">IF(ISNUMBER(MATCH(36780,Telmo!$A:$A,0)), IF(OR(INDEX(Telmo!$D:$D,MATCH(36780,Telmo!$A:$A,0))=1, INDEX(Telmo!$D:$D,MATCH(36780,Telmo!$A:$A,0))=2), INDEX(Telmo!$D:$D,MATCH(36780,Telmo!$A:$A,0)), 0), 0)</f>
        <v>2</v>
      </c>
      <c r="I891" s="1">
        <f t="array" ref="I891">IF(ISNUMBER(MATCH(36780,Max!$A:$A,0)), IF(OR(INDEX(Max!$D:$D,MATCH(36780,Max!$A:$A,0))=1, INDEX(Max!$D:$D,MATCH(36780,Max!$A:$A,0))=2), INDEX(Max!$D:$D,MATCH(36780,Max!$A:$A,0)), 0), 0)</f>
        <v>0</v>
      </c>
    </row>
    <row r="892" spans="1:9" ht="15.75" customHeight="1" x14ac:dyDescent="0.2">
      <c r="A892" s="1">
        <v>27</v>
      </c>
      <c r="B892" s="1" t="s">
        <v>2135</v>
      </c>
      <c r="C892" s="1" t="s">
        <v>2136</v>
      </c>
      <c r="D892" s="1" t="str">
        <f t="shared" si="3"/>
        <v>2</v>
      </c>
      <c r="E892" s="1" t="s">
        <v>2137</v>
      </c>
      <c r="G892" s="1">
        <f t="array" ref="G892">IF(ISNUMBER(MATCH(27,Camille!$A:$A,0)), IF(OR(INDEX(Camille!$D:$D,MATCH(27,Camille!$A:$A,0))=1, INDEX(Camille!$D:$D,MATCH(27,Camille!$A:$A,0))=2), INDEX(Camille!$D:$D,MATCH(27,Camille!$A:$A,0)), 0), 0)</f>
        <v>0</v>
      </c>
      <c r="H892" s="1">
        <f t="array" ref="H892">IF(ISNUMBER(MATCH(27,Telmo!$A:$A,0)), IF(OR(INDEX(Telmo!$D:$D,MATCH(27,Telmo!$A:$A,0))=1, INDEX(Telmo!$D:$D,MATCH(27,Telmo!$A:$A,0))=2), INDEX(Telmo!$D:$D,MATCH(27,Telmo!$A:$A,0)), 0), 0)</f>
        <v>2</v>
      </c>
      <c r="I892" s="1">
        <f t="array" ref="I892">IF(ISNUMBER(MATCH(27,Max!$A:$A,0)), IF(OR(INDEX(Max!$D:$D,MATCH(27,Max!$A:$A,0))=1, INDEX(Max!$D:$D,MATCH(27,Max!$A:$A,0))=2), INDEX(Max!$D:$D,MATCH(27,Max!$A:$A,0)), 0), 0)</f>
        <v>0</v>
      </c>
    </row>
    <row r="893" spans="1:9" ht="15.75" customHeight="1" x14ac:dyDescent="0.2">
      <c r="A893" s="1">
        <v>30341</v>
      </c>
      <c r="B893" s="1" t="s">
        <v>2138</v>
      </c>
      <c r="C893" s="1" t="s">
        <v>2139</v>
      </c>
      <c r="D893" s="1" t="str">
        <f t="shared" si="3"/>
        <v>2</v>
      </c>
      <c r="E893" s="1" t="s">
        <v>2140</v>
      </c>
      <c r="G893" s="1">
        <f t="array" ref="G893">IF(ISNUMBER(MATCH(30341,Camille!$A:$A,0)), IF(OR(INDEX(Camille!$D:$D,MATCH(30341,Camille!$A:$A,0))=1, INDEX(Camille!$D:$D,MATCH(30341,Camille!$A:$A,0))=2), INDEX(Camille!$D:$D,MATCH(30341,Camille!$A:$A,0)), 0), 0)</f>
        <v>0</v>
      </c>
      <c r="H893" s="1">
        <f t="array" ref="H893">IF(ISNUMBER(MATCH(30341,Telmo!$A:$A,0)), IF(OR(INDEX(Telmo!$D:$D,MATCH(30341,Telmo!$A:$A,0))=1, INDEX(Telmo!$D:$D,MATCH(30341,Telmo!$A:$A,0))=2), INDEX(Telmo!$D:$D,MATCH(30341,Telmo!$A:$A,0)), 0), 0)</f>
        <v>2</v>
      </c>
      <c r="I893" s="1">
        <f t="array" ref="I893">IF(ISNUMBER(MATCH(30341,Max!$A:$A,0)), IF(OR(INDEX(Max!$D:$D,MATCH(30341,Max!$A:$A,0))=1, INDEX(Max!$D:$D,MATCH(30341,Max!$A:$A,0))=2), INDEX(Max!$D:$D,MATCH(30341,Max!$A:$A,0)), 0), 0)</f>
        <v>0</v>
      </c>
    </row>
    <row r="894" spans="1:9" ht="15.75" customHeight="1" x14ac:dyDescent="0.2">
      <c r="A894" s="1">
        <v>25413</v>
      </c>
      <c r="B894" s="1" t="s">
        <v>233</v>
      </c>
      <c r="C894" s="1" t="s">
        <v>2141</v>
      </c>
      <c r="D894" s="1" t="str">
        <f t="shared" si="3"/>
        <v>2</v>
      </c>
      <c r="E894" s="1" t="s">
        <v>2142</v>
      </c>
      <c r="G894" s="1">
        <f t="array" ref="G894">IF(ISNUMBER(MATCH(25413,Camille!$A:$A,0)), IF(OR(INDEX(Camille!$D:$D,MATCH(25413,Camille!$A:$A,0))=1, INDEX(Camille!$D:$D,MATCH(25413,Camille!$A:$A,0))=2), INDEX(Camille!$D:$D,MATCH(25413,Camille!$A:$A,0)), 0), 0)</f>
        <v>0</v>
      </c>
      <c r="H894" s="1">
        <f t="array" ref="H894">IF(ISNUMBER(MATCH(25413,Telmo!$A:$A,0)), IF(OR(INDEX(Telmo!$D:$D,MATCH(25413,Telmo!$A:$A,0))=1, INDEX(Telmo!$D:$D,MATCH(25413,Telmo!$A:$A,0))=2), INDEX(Telmo!$D:$D,MATCH(25413,Telmo!$A:$A,0)), 0), 0)</f>
        <v>2</v>
      </c>
      <c r="I894" s="1">
        <f t="array" ref="I894">IF(ISNUMBER(MATCH(25413,Max!$A:$A,0)), IF(OR(INDEX(Max!$D:$D,MATCH(25413,Max!$A:$A,0))=1, INDEX(Max!$D:$D,MATCH(25413,Max!$A:$A,0))=2), INDEX(Max!$D:$D,MATCH(25413,Max!$A:$A,0)), 0), 0)</f>
        <v>0</v>
      </c>
    </row>
    <row r="895" spans="1:9" ht="15.75" customHeight="1" x14ac:dyDescent="0.2">
      <c r="A895" s="1">
        <v>71678</v>
      </c>
      <c r="B895" s="1" t="s">
        <v>23</v>
      </c>
      <c r="C895" s="1" t="s">
        <v>2143</v>
      </c>
      <c r="D895" s="1" t="str">
        <f t="shared" si="3"/>
        <v>2</v>
      </c>
      <c r="E895" s="1" t="s">
        <v>2144</v>
      </c>
      <c r="G895" s="1">
        <f t="array" ref="G895">IF(ISNUMBER(MATCH(71678,Camille!$A:$A,0)), IF(OR(INDEX(Camille!$D:$D,MATCH(71678,Camille!$A:$A,0))=1, INDEX(Camille!$D:$D,MATCH(71678,Camille!$A:$A,0))=2), INDEX(Camille!$D:$D,MATCH(71678,Camille!$A:$A,0)), 0), 0)</f>
        <v>0</v>
      </c>
      <c r="H895" s="1">
        <f t="array" ref="H895">IF(ISNUMBER(MATCH(71678,Telmo!$A:$A,0)), IF(OR(INDEX(Telmo!$D:$D,MATCH(71678,Telmo!$A:$A,0))=1, INDEX(Telmo!$D:$D,MATCH(71678,Telmo!$A:$A,0))=2), INDEX(Telmo!$D:$D,MATCH(71678,Telmo!$A:$A,0)), 0), 0)</f>
        <v>2</v>
      </c>
      <c r="I895" s="1">
        <f t="array" ref="I895">IF(ISNUMBER(MATCH(71678,Max!$A:$A,0)), IF(OR(INDEX(Max!$D:$D,MATCH(71678,Max!$A:$A,0))=1, INDEX(Max!$D:$D,MATCH(71678,Max!$A:$A,0))=2), INDEX(Max!$D:$D,MATCH(71678,Max!$A:$A,0)), 0), 0)</f>
        <v>0</v>
      </c>
    </row>
    <row r="896" spans="1:9" ht="15.75" customHeight="1" x14ac:dyDescent="0.2">
      <c r="A896" s="1">
        <v>37220</v>
      </c>
      <c r="B896" s="1" t="s">
        <v>1395</v>
      </c>
      <c r="C896" s="1" t="s">
        <v>2145</v>
      </c>
      <c r="D896" s="1" t="str">
        <f t="shared" si="3"/>
        <v>1</v>
      </c>
      <c r="E896" s="1" t="s">
        <v>2146</v>
      </c>
      <c r="G896" s="1">
        <f t="array" ref="G896">IF(ISNUMBER(MATCH(37220,Camille!$A:$A,0)), IF(OR(INDEX(Camille!$D:$D,MATCH(37220,Camille!$A:$A,0))=1, INDEX(Camille!$D:$D,MATCH(37220,Camille!$A:$A,0))=2), INDEX(Camille!$D:$D,MATCH(37220,Camille!$A:$A,0)), 0), 0)</f>
        <v>0</v>
      </c>
      <c r="H896" s="1">
        <f t="array" ref="H896">IF(ISNUMBER(MATCH(37220,Telmo!$A:$A,0)), IF(OR(INDEX(Telmo!$D:$D,MATCH(37220,Telmo!$A:$A,0))=1, INDEX(Telmo!$D:$D,MATCH(37220,Telmo!$A:$A,0))=2), INDEX(Telmo!$D:$D,MATCH(37220,Telmo!$A:$A,0)), 0), 0)</f>
        <v>1</v>
      </c>
      <c r="I896" s="1">
        <f t="array" ref="I896">IF(ISNUMBER(MATCH(37220,Max!$A:$A,0)), IF(OR(INDEX(Max!$D:$D,MATCH(37220,Max!$A:$A,0))=1, INDEX(Max!$D:$D,MATCH(37220,Max!$A:$A,0))=2), INDEX(Max!$D:$D,MATCH(37220,Max!$A:$A,0)), 0), 0)</f>
        <v>0</v>
      </c>
    </row>
    <row r="897" spans="1:9" ht="15.75" customHeight="1" x14ac:dyDescent="0.2">
      <c r="A897" s="1">
        <v>48743</v>
      </c>
      <c r="B897" s="1" t="s">
        <v>172</v>
      </c>
      <c r="C897" s="1" t="s">
        <v>2147</v>
      </c>
      <c r="D897" s="1" t="str">
        <f t="shared" si="3"/>
        <v>2</v>
      </c>
      <c r="E897" s="1" t="s">
        <v>2148</v>
      </c>
      <c r="G897" s="1">
        <f t="array" ref="G897">IF(ISNUMBER(MATCH(48743,Camille!$A:$A,0)), IF(OR(INDEX(Camille!$D:$D,MATCH(48743,Camille!$A:$A,0))=1, INDEX(Camille!$D:$D,MATCH(48743,Camille!$A:$A,0))=2), INDEX(Camille!$D:$D,MATCH(48743,Camille!$A:$A,0)), 0), 0)</f>
        <v>0</v>
      </c>
      <c r="H897" s="1">
        <f t="array" ref="H897">IF(ISNUMBER(MATCH(48743,Telmo!$A:$A,0)), IF(OR(INDEX(Telmo!$D:$D,MATCH(48743,Telmo!$A:$A,0))=1, INDEX(Telmo!$D:$D,MATCH(48743,Telmo!$A:$A,0))=2), INDEX(Telmo!$D:$D,MATCH(48743,Telmo!$A:$A,0)), 0), 0)</f>
        <v>2</v>
      </c>
      <c r="I897" s="1">
        <f t="array" ref="I897">IF(ISNUMBER(MATCH(48743,Max!$A:$A,0)), IF(OR(INDEX(Max!$D:$D,MATCH(48743,Max!$A:$A,0))=1, INDEX(Max!$D:$D,MATCH(48743,Max!$A:$A,0))=2), INDEX(Max!$D:$D,MATCH(48743,Max!$A:$A,0)), 0), 0)</f>
        <v>0</v>
      </c>
    </row>
    <row r="898" spans="1:9" ht="15.75" customHeight="1" x14ac:dyDescent="0.2">
      <c r="A898" s="1">
        <v>22961</v>
      </c>
      <c r="B898" s="1" t="s">
        <v>95</v>
      </c>
      <c r="C898" s="1" t="s">
        <v>2149</v>
      </c>
      <c r="D898" s="1" t="str">
        <f t="shared" si="3"/>
        <v>2</v>
      </c>
      <c r="E898" s="1" t="s">
        <v>2150</v>
      </c>
      <c r="G898" s="1">
        <f t="array" ref="G898">IF(ISNUMBER(MATCH(22961,Camille!$A:$A,0)), IF(OR(INDEX(Camille!$D:$D,MATCH(22961,Camille!$A:$A,0))=1, INDEX(Camille!$D:$D,MATCH(22961,Camille!$A:$A,0))=2), INDEX(Camille!$D:$D,MATCH(22961,Camille!$A:$A,0)), 0), 0)</f>
        <v>0</v>
      </c>
      <c r="H898" s="1">
        <f t="array" ref="H898">IF(ISNUMBER(MATCH(22961,Telmo!$A:$A,0)), IF(OR(INDEX(Telmo!$D:$D,MATCH(22961,Telmo!$A:$A,0))=1, INDEX(Telmo!$D:$D,MATCH(22961,Telmo!$A:$A,0))=2), INDEX(Telmo!$D:$D,MATCH(22961,Telmo!$A:$A,0)), 0), 0)</f>
        <v>2</v>
      </c>
      <c r="I898" s="1">
        <f t="array" ref="I898">IF(ISNUMBER(MATCH(22961,Max!$A:$A,0)), IF(OR(INDEX(Max!$D:$D,MATCH(22961,Max!$A:$A,0))=1, INDEX(Max!$D:$D,MATCH(22961,Max!$A:$A,0))=2), INDEX(Max!$D:$D,MATCH(22961,Max!$A:$A,0)), 0), 0)</f>
        <v>0</v>
      </c>
    </row>
    <row r="899" spans="1:9" ht="15.75" customHeight="1" x14ac:dyDescent="0.2">
      <c r="A899" s="1">
        <v>54717</v>
      </c>
      <c r="B899" s="1" t="s">
        <v>1021</v>
      </c>
      <c r="C899" s="1" t="s">
        <v>2151</v>
      </c>
      <c r="D899" s="1" t="str">
        <f t="shared" si="3"/>
        <v>2</v>
      </c>
      <c r="E899" s="1" t="s">
        <v>2152</v>
      </c>
      <c r="G899" s="1">
        <f t="array" ref="G899">IF(ISNUMBER(MATCH(54717,Camille!$A:$A,0)), IF(OR(INDEX(Camille!$D:$D,MATCH(54717,Camille!$A:$A,0))=1, INDEX(Camille!$D:$D,MATCH(54717,Camille!$A:$A,0))=2), INDEX(Camille!$D:$D,MATCH(54717,Camille!$A:$A,0)), 0), 0)</f>
        <v>0</v>
      </c>
      <c r="H899" s="1">
        <f t="array" ref="H899">IF(ISNUMBER(MATCH(54717,Telmo!$A:$A,0)), IF(OR(INDEX(Telmo!$D:$D,MATCH(54717,Telmo!$A:$A,0))=1, INDEX(Telmo!$D:$D,MATCH(54717,Telmo!$A:$A,0))=2), INDEX(Telmo!$D:$D,MATCH(54717,Telmo!$A:$A,0)), 0), 0)</f>
        <v>2</v>
      </c>
      <c r="I899" s="1">
        <f t="array" ref="I899">IF(ISNUMBER(MATCH(54717,Max!$A:$A,0)), IF(OR(INDEX(Max!$D:$D,MATCH(54717,Max!$A:$A,0))=1, INDEX(Max!$D:$D,MATCH(54717,Max!$A:$A,0))=2), INDEX(Max!$D:$D,MATCH(54717,Max!$A:$A,0)), 0), 0)</f>
        <v>0</v>
      </c>
    </row>
    <row r="900" spans="1:9" ht="15.75" customHeight="1" x14ac:dyDescent="0.2">
      <c r="A900" s="1">
        <v>35602</v>
      </c>
      <c r="B900" s="1" t="s">
        <v>32</v>
      </c>
      <c r="C900" s="1" t="s">
        <v>2153</v>
      </c>
      <c r="D900" s="1" t="str">
        <f t="shared" si="3"/>
        <v>1</v>
      </c>
      <c r="E900" s="1" t="s">
        <v>2154</v>
      </c>
      <c r="G900" s="1">
        <f t="array" ref="G900">IF(ISNUMBER(MATCH(35602,Camille!$A:$A,0)), IF(OR(INDEX(Camille!$D:$D,MATCH(35602,Camille!$A:$A,0))=1, INDEX(Camille!$D:$D,MATCH(35602,Camille!$A:$A,0))=2), INDEX(Camille!$D:$D,MATCH(35602,Camille!$A:$A,0)), 0), 0)</f>
        <v>0</v>
      </c>
      <c r="H900" s="1">
        <f t="array" ref="H900">IF(ISNUMBER(MATCH(35602,Telmo!$A:$A,0)), IF(OR(INDEX(Telmo!$D:$D,MATCH(35602,Telmo!$A:$A,0))=1, INDEX(Telmo!$D:$D,MATCH(35602,Telmo!$A:$A,0))=2), INDEX(Telmo!$D:$D,MATCH(35602,Telmo!$A:$A,0)), 0), 0)</f>
        <v>1</v>
      </c>
      <c r="I900" s="1">
        <f t="array" ref="I900">IF(ISNUMBER(MATCH(35602,Max!$A:$A,0)), IF(OR(INDEX(Max!$D:$D,MATCH(35602,Max!$A:$A,0))=1, INDEX(Max!$D:$D,MATCH(35602,Max!$A:$A,0))=2), INDEX(Max!$D:$D,MATCH(35602,Max!$A:$A,0)), 0), 0)</f>
        <v>0</v>
      </c>
    </row>
    <row r="901" spans="1:9" ht="15.75" customHeight="1" x14ac:dyDescent="0.2">
      <c r="A901" s="1">
        <v>32010</v>
      </c>
      <c r="B901" s="1" t="s">
        <v>2024</v>
      </c>
      <c r="C901" s="1" t="s">
        <v>2155</v>
      </c>
      <c r="D901" s="1" t="str">
        <f t="shared" si="3"/>
        <v>2</v>
      </c>
      <c r="E901" s="1" t="s">
        <v>2156</v>
      </c>
      <c r="G901" s="1">
        <f t="array" ref="G901">IF(ISNUMBER(MATCH(32010,Camille!$A:$A,0)), IF(OR(INDEX(Camille!$D:$D,MATCH(32010,Camille!$A:$A,0))=1, INDEX(Camille!$D:$D,MATCH(32010,Camille!$A:$A,0))=2), INDEX(Camille!$D:$D,MATCH(32010,Camille!$A:$A,0)), 0), 0)</f>
        <v>0</v>
      </c>
      <c r="H901" s="1">
        <f t="array" ref="H901">IF(ISNUMBER(MATCH(32010,Telmo!$A:$A,0)), IF(OR(INDEX(Telmo!$D:$D,MATCH(32010,Telmo!$A:$A,0))=1, INDEX(Telmo!$D:$D,MATCH(32010,Telmo!$A:$A,0))=2), INDEX(Telmo!$D:$D,MATCH(32010,Telmo!$A:$A,0)), 0), 0)</f>
        <v>2</v>
      </c>
      <c r="I901" s="1">
        <f t="array" ref="I901">IF(ISNUMBER(MATCH(32010,Max!$A:$A,0)), IF(OR(INDEX(Max!$D:$D,MATCH(32010,Max!$A:$A,0))=1, INDEX(Max!$D:$D,MATCH(32010,Max!$A:$A,0))=2), INDEX(Max!$D:$D,MATCH(32010,Max!$A:$A,0)), 0), 0)</f>
        <v>0</v>
      </c>
    </row>
    <row r="902" spans="1:9" ht="15.75" customHeight="1" x14ac:dyDescent="0.2">
      <c r="A902" s="1">
        <v>3458</v>
      </c>
      <c r="B902" s="1" t="s">
        <v>2157</v>
      </c>
      <c r="C902" s="1" t="s">
        <v>2158</v>
      </c>
      <c r="D902" s="1" t="str">
        <f t="shared" si="3"/>
        <v>2</v>
      </c>
      <c r="E902" s="1" t="s">
        <v>2159</v>
      </c>
      <c r="G902" s="1">
        <f t="array" ref="G902">IF(ISNUMBER(MATCH(3458,Camille!$A:$A,0)), IF(OR(INDEX(Camille!$D:$D,MATCH(3458,Camille!$A:$A,0))=1, INDEX(Camille!$D:$D,MATCH(3458,Camille!$A:$A,0))=2), INDEX(Camille!$D:$D,MATCH(3458,Camille!$A:$A,0)), 0), 0)</f>
        <v>0</v>
      </c>
      <c r="H902" s="1">
        <f t="array" ref="H902">IF(ISNUMBER(MATCH(3458,Telmo!$A:$A,0)), IF(OR(INDEX(Telmo!$D:$D,MATCH(3458,Telmo!$A:$A,0))=1, INDEX(Telmo!$D:$D,MATCH(3458,Telmo!$A:$A,0))=2), INDEX(Telmo!$D:$D,MATCH(3458,Telmo!$A:$A,0)), 0), 0)</f>
        <v>2</v>
      </c>
      <c r="I902" s="1">
        <f t="array" ref="I902">IF(ISNUMBER(MATCH(3458,Max!$A:$A,0)), IF(OR(INDEX(Max!$D:$D,MATCH(3458,Max!$A:$A,0))=1, INDEX(Max!$D:$D,MATCH(3458,Max!$A:$A,0))=2), INDEX(Max!$D:$D,MATCH(3458,Max!$A:$A,0)), 0), 0)</f>
        <v>0</v>
      </c>
    </row>
    <row r="903" spans="1:9" ht="15.75" customHeight="1" x14ac:dyDescent="0.2">
      <c r="A903" s="1">
        <v>46405</v>
      </c>
      <c r="B903" s="1" t="s">
        <v>2160</v>
      </c>
      <c r="C903" s="1" t="s">
        <v>2161</v>
      </c>
      <c r="D903" s="1" t="str">
        <f t="shared" si="3"/>
        <v>2</v>
      </c>
      <c r="E903" s="1" t="s">
        <v>2162</v>
      </c>
      <c r="G903" s="1">
        <f t="array" ref="G903">IF(ISNUMBER(MATCH(46405,Camille!$A:$A,0)), IF(OR(INDEX(Camille!$D:$D,MATCH(46405,Camille!$A:$A,0))=1, INDEX(Camille!$D:$D,MATCH(46405,Camille!$A:$A,0))=2), INDEX(Camille!$D:$D,MATCH(46405,Camille!$A:$A,0)), 0), 0)</f>
        <v>0</v>
      </c>
      <c r="H903" s="1">
        <f t="array" ref="H903">IF(ISNUMBER(MATCH(46405,Telmo!$A:$A,0)), IF(OR(INDEX(Telmo!$D:$D,MATCH(46405,Telmo!$A:$A,0))=1, INDEX(Telmo!$D:$D,MATCH(46405,Telmo!$A:$A,0))=2), INDEX(Telmo!$D:$D,MATCH(46405,Telmo!$A:$A,0)), 0), 0)</f>
        <v>2</v>
      </c>
      <c r="I903" s="1">
        <f t="array" ref="I903">IF(ISNUMBER(MATCH(46405,Max!$A:$A,0)), IF(OR(INDEX(Max!$D:$D,MATCH(46405,Max!$A:$A,0))=1, INDEX(Max!$D:$D,MATCH(46405,Max!$A:$A,0))=2), INDEX(Max!$D:$D,MATCH(46405,Max!$A:$A,0)), 0), 0)</f>
        <v>0</v>
      </c>
    </row>
    <row r="904" spans="1:9" ht="15.75" customHeight="1" x14ac:dyDescent="0.2">
      <c r="A904" s="1">
        <v>58457</v>
      </c>
      <c r="B904" s="1" t="s">
        <v>38</v>
      </c>
      <c r="C904" s="1" t="s">
        <v>2163</v>
      </c>
      <c r="D904" s="1" t="str">
        <f t="shared" si="3"/>
        <v>2</v>
      </c>
      <c r="E904" s="1" t="s">
        <v>2164</v>
      </c>
      <c r="G904" s="1">
        <f t="array" ref="G904">IF(ISNUMBER(MATCH(58457,Camille!$A:$A,0)), IF(OR(INDEX(Camille!$D:$D,MATCH(58457,Camille!$A:$A,0))=1, INDEX(Camille!$D:$D,MATCH(58457,Camille!$A:$A,0))=2), INDEX(Camille!$D:$D,MATCH(58457,Camille!$A:$A,0)), 0), 0)</f>
        <v>0</v>
      </c>
      <c r="H904" s="1">
        <f t="array" ref="H904">IF(ISNUMBER(MATCH(58457,Telmo!$A:$A,0)), IF(OR(INDEX(Telmo!$D:$D,MATCH(58457,Telmo!$A:$A,0))=1, INDEX(Telmo!$D:$D,MATCH(58457,Telmo!$A:$A,0))=2), INDEX(Telmo!$D:$D,MATCH(58457,Telmo!$A:$A,0)), 0), 0)</f>
        <v>2</v>
      </c>
      <c r="I904" s="1">
        <f t="array" ref="I904">IF(ISNUMBER(MATCH(58457,Max!$A:$A,0)), IF(OR(INDEX(Max!$D:$D,MATCH(58457,Max!$A:$A,0))=1, INDEX(Max!$D:$D,MATCH(58457,Max!$A:$A,0))=2), INDEX(Max!$D:$D,MATCH(58457,Max!$A:$A,0)), 0), 0)</f>
        <v>0</v>
      </c>
    </row>
    <row r="905" spans="1:9" ht="15.75" customHeight="1" x14ac:dyDescent="0.2">
      <c r="A905" s="1">
        <v>63173</v>
      </c>
      <c r="B905" s="1" t="s">
        <v>939</v>
      </c>
      <c r="C905" s="1" t="s">
        <v>2165</v>
      </c>
      <c r="D905" s="1" t="str">
        <f t="shared" si="3"/>
        <v>2</v>
      </c>
      <c r="E905" s="1" t="s">
        <v>2166</v>
      </c>
      <c r="G905" s="1">
        <f t="array" ref="G905">IF(ISNUMBER(MATCH(63173,Camille!$A:$A,0)), IF(OR(INDEX(Camille!$D:$D,MATCH(63173,Camille!$A:$A,0))=1, INDEX(Camille!$D:$D,MATCH(63173,Camille!$A:$A,0))=2), INDEX(Camille!$D:$D,MATCH(63173,Camille!$A:$A,0)), 0), 0)</f>
        <v>0</v>
      </c>
      <c r="H905" s="1">
        <f t="array" ref="H905">IF(ISNUMBER(MATCH(63173,Telmo!$A:$A,0)), IF(OR(INDEX(Telmo!$D:$D,MATCH(63173,Telmo!$A:$A,0))=1, INDEX(Telmo!$D:$D,MATCH(63173,Telmo!$A:$A,0))=2), INDEX(Telmo!$D:$D,MATCH(63173,Telmo!$A:$A,0)), 0), 0)</f>
        <v>2</v>
      </c>
      <c r="I905" s="1">
        <f t="array" ref="I905">IF(ISNUMBER(MATCH(63173,Max!$A:$A,0)), IF(OR(INDEX(Max!$D:$D,MATCH(63173,Max!$A:$A,0))=1, INDEX(Max!$D:$D,MATCH(63173,Max!$A:$A,0))=2), INDEX(Max!$D:$D,MATCH(63173,Max!$A:$A,0)), 0), 0)</f>
        <v>0</v>
      </c>
    </row>
    <row r="906" spans="1:9" ht="15.75" customHeight="1" x14ac:dyDescent="0.2">
      <c r="A906" s="1">
        <v>61794</v>
      </c>
      <c r="B906" s="1" t="s">
        <v>129</v>
      </c>
      <c r="C906" s="1" t="s">
        <v>2167</v>
      </c>
      <c r="D906" s="1" t="str">
        <f t="shared" si="3"/>
        <v>2</v>
      </c>
      <c r="E906" s="1" t="s">
        <v>2168</v>
      </c>
      <c r="G906" s="1">
        <f t="array" ref="G906">IF(ISNUMBER(MATCH(61794,Camille!$A:$A,0)), IF(OR(INDEX(Camille!$D:$D,MATCH(61794,Camille!$A:$A,0))=1, INDEX(Camille!$D:$D,MATCH(61794,Camille!$A:$A,0))=2), INDEX(Camille!$D:$D,MATCH(61794,Camille!$A:$A,0)), 0), 0)</f>
        <v>0</v>
      </c>
      <c r="H906" s="1">
        <f t="array" ref="H906">IF(ISNUMBER(MATCH(61794,Telmo!$A:$A,0)), IF(OR(INDEX(Telmo!$D:$D,MATCH(61794,Telmo!$A:$A,0))=1, INDEX(Telmo!$D:$D,MATCH(61794,Telmo!$A:$A,0))=2), INDEX(Telmo!$D:$D,MATCH(61794,Telmo!$A:$A,0)), 0), 0)</f>
        <v>2</v>
      </c>
      <c r="I906" s="1">
        <f t="array" ref="I906">IF(ISNUMBER(MATCH(61794,Max!$A:$A,0)), IF(OR(INDEX(Max!$D:$D,MATCH(61794,Max!$A:$A,0))=1, INDEX(Max!$D:$D,MATCH(61794,Max!$A:$A,0))=2), INDEX(Max!$D:$D,MATCH(61794,Max!$A:$A,0)), 0), 0)</f>
        <v>0</v>
      </c>
    </row>
    <row r="907" spans="1:9" ht="15.75" customHeight="1" x14ac:dyDescent="0.2">
      <c r="A907" s="1">
        <v>41716</v>
      </c>
      <c r="B907" s="1" t="s">
        <v>1895</v>
      </c>
      <c r="C907" s="1" t="s">
        <v>2169</v>
      </c>
      <c r="D907" s="1" t="str">
        <f t="shared" si="3"/>
        <v>2</v>
      </c>
      <c r="E907" s="1" t="s">
        <v>2170</v>
      </c>
      <c r="G907" s="1">
        <f t="array" ref="G907">IF(ISNUMBER(MATCH(41716,Camille!$A:$A,0)), IF(OR(INDEX(Camille!$D:$D,MATCH(41716,Camille!$A:$A,0))=1, INDEX(Camille!$D:$D,MATCH(41716,Camille!$A:$A,0))=2), INDEX(Camille!$D:$D,MATCH(41716,Camille!$A:$A,0)), 0), 0)</f>
        <v>0</v>
      </c>
      <c r="H907" s="1">
        <f t="array" ref="H907">IF(ISNUMBER(MATCH(41716,Telmo!$A:$A,0)), IF(OR(INDEX(Telmo!$D:$D,MATCH(41716,Telmo!$A:$A,0))=1, INDEX(Telmo!$D:$D,MATCH(41716,Telmo!$A:$A,0))=2), INDEX(Telmo!$D:$D,MATCH(41716,Telmo!$A:$A,0)), 0), 0)</f>
        <v>2</v>
      </c>
      <c r="I907" s="1">
        <f t="array" ref="I907">IF(ISNUMBER(MATCH(41716,Max!$A:$A,0)), IF(OR(INDEX(Max!$D:$D,MATCH(41716,Max!$A:$A,0))=1, INDEX(Max!$D:$D,MATCH(41716,Max!$A:$A,0))=2), INDEX(Max!$D:$D,MATCH(41716,Max!$A:$A,0)), 0), 0)</f>
        <v>0</v>
      </c>
    </row>
    <row r="908" spans="1:9" ht="15.75" customHeight="1" x14ac:dyDescent="0.2">
      <c r="A908" s="1">
        <v>18598</v>
      </c>
      <c r="B908" s="1" t="s">
        <v>87</v>
      </c>
      <c r="C908" s="1" t="s">
        <v>2171</v>
      </c>
      <c r="D908" s="1" t="str">
        <f t="shared" si="3"/>
        <v>2</v>
      </c>
      <c r="E908" s="1" t="s">
        <v>2172</v>
      </c>
      <c r="G908" s="1">
        <f t="array" ref="G908">IF(ISNUMBER(MATCH(18598,Camille!$A:$A,0)), IF(OR(INDEX(Camille!$D:$D,MATCH(18598,Camille!$A:$A,0))=1, INDEX(Camille!$D:$D,MATCH(18598,Camille!$A:$A,0))=2), INDEX(Camille!$D:$D,MATCH(18598,Camille!$A:$A,0)), 0), 0)</f>
        <v>0</v>
      </c>
      <c r="H908" s="1">
        <f t="array" ref="H908">IF(ISNUMBER(MATCH(18598,Telmo!$A:$A,0)), IF(OR(INDEX(Telmo!$D:$D,MATCH(18598,Telmo!$A:$A,0))=1, INDEX(Telmo!$D:$D,MATCH(18598,Telmo!$A:$A,0))=2), INDEX(Telmo!$D:$D,MATCH(18598,Telmo!$A:$A,0)), 0), 0)</f>
        <v>2</v>
      </c>
      <c r="I908" s="1">
        <f t="array" ref="I908">IF(ISNUMBER(MATCH(18598,Max!$A:$A,0)), IF(OR(INDEX(Max!$D:$D,MATCH(18598,Max!$A:$A,0))=1, INDEX(Max!$D:$D,MATCH(18598,Max!$A:$A,0))=2), INDEX(Max!$D:$D,MATCH(18598,Max!$A:$A,0)), 0), 0)</f>
        <v>0</v>
      </c>
    </row>
    <row r="909" spans="1:9" ht="15.75" customHeight="1" x14ac:dyDescent="0.2">
      <c r="A909" s="1">
        <v>1516</v>
      </c>
      <c r="B909" s="1" t="s">
        <v>144</v>
      </c>
      <c r="C909" s="1" t="s">
        <v>2173</v>
      </c>
      <c r="D909" s="1" t="str">
        <f t="shared" si="3"/>
        <v>2</v>
      </c>
      <c r="E909" s="1" t="s">
        <v>2174</v>
      </c>
      <c r="G909" s="1">
        <f t="array" ref="G909">IF(ISNUMBER(MATCH(1516,Camille!$A:$A,0)), IF(OR(INDEX(Camille!$D:$D,MATCH(1516,Camille!$A:$A,0))=1, INDEX(Camille!$D:$D,MATCH(1516,Camille!$A:$A,0))=2), INDEX(Camille!$D:$D,MATCH(1516,Camille!$A:$A,0)), 0), 0)</f>
        <v>0</v>
      </c>
      <c r="H909" s="1">
        <f t="array" ref="H909">IF(ISNUMBER(MATCH(1516,Telmo!$A:$A,0)), IF(OR(INDEX(Telmo!$D:$D,MATCH(1516,Telmo!$A:$A,0))=1, INDEX(Telmo!$D:$D,MATCH(1516,Telmo!$A:$A,0))=2), INDEX(Telmo!$D:$D,MATCH(1516,Telmo!$A:$A,0)), 0), 0)</f>
        <v>2</v>
      </c>
      <c r="I909" s="1">
        <f t="array" ref="I909">IF(ISNUMBER(MATCH(1516,Max!$A:$A,0)), IF(OR(INDEX(Max!$D:$D,MATCH(1516,Max!$A:$A,0))=1, INDEX(Max!$D:$D,MATCH(1516,Max!$A:$A,0))=2), INDEX(Max!$D:$D,MATCH(1516,Max!$A:$A,0)), 0), 0)</f>
        <v>0</v>
      </c>
    </row>
    <row r="910" spans="1:9" ht="15.75" customHeight="1" x14ac:dyDescent="0.2">
      <c r="A910" s="1">
        <v>30898</v>
      </c>
      <c r="B910" s="1" t="s">
        <v>1347</v>
      </c>
      <c r="C910" s="1" t="s">
        <v>2175</v>
      </c>
      <c r="D910" s="1" t="str">
        <f t="shared" si="3"/>
        <v>1</v>
      </c>
      <c r="E910" s="1" t="s">
        <v>2176</v>
      </c>
      <c r="G910" s="1">
        <f t="array" ref="G910">IF(ISNUMBER(MATCH(30898,Camille!$A:$A,0)), IF(OR(INDEX(Camille!$D:$D,MATCH(30898,Camille!$A:$A,0))=1, INDEX(Camille!$D:$D,MATCH(30898,Camille!$A:$A,0))=2), INDEX(Camille!$D:$D,MATCH(30898,Camille!$A:$A,0)), 0), 0)</f>
        <v>0</v>
      </c>
      <c r="H910" s="1">
        <f t="array" ref="H910">IF(ISNUMBER(MATCH(30898,Telmo!$A:$A,0)), IF(OR(INDEX(Telmo!$D:$D,MATCH(30898,Telmo!$A:$A,0))=1, INDEX(Telmo!$D:$D,MATCH(30898,Telmo!$A:$A,0))=2), INDEX(Telmo!$D:$D,MATCH(30898,Telmo!$A:$A,0)), 0), 0)</f>
        <v>1</v>
      </c>
      <c r="I910" s="1">
        <f t="array" ref="I910">IF(ISNUMBER(MATCH(30898,Max!$A:$A,0)), IF(OR(INDEX(Max!$D:$D,MATCH(30898,Max!$A:$A,0))=1, INDEX(Max!$D:$D,MATCH(30898,Max!$A:$A,0))=2), INDEX(Max!$D:$D,MATCH(30898,Max!$A:$A,0)), 0), 0)</f>
        <v>0</v>
      </c>
    </row>
    <row r="911" spans="1:9" ht="15.75" customHeight="1" x14ac:dyDescent="0.2">
      <c r="A911" s="1">
        <v>67523</v>
      </c>
      <c r="B911" s="1" t="s">
        <v>959</v>
      </c>
      <c r="C911" s="1" t="s">
        <v>2177</v>
      </c>
      <c r="D911" s="1" t="str">
        <f t="shared" si="3"/>
        <v>2</v>
      </c>
      <c r="E911" s="1" t="s">
        <v>2178</v>
      </c>
      <c r="G911" s="1">
        <f t="array" ref="G911">IF(ISNUMBER(MATCH(67523,Camille!$A:$A,0)), IF(OR(INDEX(Camille!$D:$D,MATCH(67523,Camille!$A:$A,0))=1, INDEX(Camille!$D:$D,MATCH(67523,Camille!$A:$A,0))=2), INDEX(Camille!$D:$D,MATCH(67523,Camille!$A:$A,0)), 0), 0)</f>
        <v>0</v>
      </c>
      <c r="H911" s="1">
        <f t="array" ref="H911">IF(ISNUMBER(MATCH(67523,Telmo!$A:$A,0)), IF(OR(INDEX(Telmo!$D:$D,MATCH(67523,Telmo!$A:$A,0))=1, INDEX(Telmo!$D:$D,MATCH(67523,Telmo!$A:$A,0))=2), INDEX(Telmo!$D:$D,MATCH(67523,Telmo!$A:$A,0)), 0), 0)</f>
        <v>2</v>
      </c>
      <c r="I911" s="1">
        <f t="array" ref="I911">IF(ISNUMBER(MATCH(67523,Max!$A:$A,0)), IF(OR(INDEX(Max!$D:$D,MATCH(67523,Max!$A:$A,0))=1, INDEX(Max!$D:$D,MATCH(67523,Max!$A:$A,0))=2), INDEX(Max!$D:$D,MATCH(67523,Max!$A:$A,0)), 0), 0)</f>
        <v>0</v>
      </c>
    </row>
    <row r="912" spans="1:9" ht="15.75" customHeight="1" x14ac:dyDescent="0.2">
      <c r="A912" s="1">
        <v>58762</v>
      </c>
      <c r="B912" s="1" t="s">
        <v>659</v>
      </c>
      <c r="C912" s="1" t="s">
        <v>2179</v>
      </c>
      <c r="D912" s="1" t="str">
        <f t="shared" si="3"/>
        <v>2</v>
      </c>
      <c r="E912" s="1" t="s">
        <v>2180</v>
      </c>
      <c r="G912" s="1">
        <f t="array" ref="G912">IF(ISNUMBER(MATCH(58762,Camille!$A:$A,0)), IF(OR(INDEX(Camille!$D:$D,MATCH(58762,Camille!$A:$A,0))=1, INDEX(Camille!$D:$D,MATCH(58762,Camille!$A:$A,0))=2), INDEX(Camille!$D:$D,MATCH(58762,Camille!$A:$A,0)), 0), 0)</f>
        <v>0</v>
      </c>
      <c r="H912" s="1">
        <f t="array" ref="H912">IF(ISNUMBER(MATCH(58762,Telmo!$A:$A,0)), IF(OR(INDEX(Telmo!$D:$D,MATCH(58762,Telmo!$A:$A,0))=1, INDEX(Telmo!$D:$D,MATCH(58762,Telmo!$A:$A,0))=2), INDEX(Telmo!$D:$D,MATCH(58762,Telmo!$A:$A,0)), 0), 0)</f>
        <v>2</v>
      </c>
      <c r="I912" s="1">
        <f t="array" ref="I912">IF(ISNUMBER(MATCH(58762,Max!$A:$A,0)), IF(OR(INDEX(Max!$D:$D,MATCH(58762,Max!$A:$A,0))=1, INDEX(Max!$D:$D,MATCH(58762,Max!$A:$A,0))=2), INDEX(Max!$D:$D,MATCH(58762,Max!$A:$A,0)), 0), 0)</f>
        <v>0</v>
      </c>
    </row>
    <row r="913" spans="1:9" ht="15.75" customHeight="1" x14ac:dyDescent="0.2">
      <c r="A913" s="1">
        <v>50482</v>
      </c>
      <c r="B913" s="1" t="s">
        <v>2181</v>
      </c>
      <c r="C913" s="1" t="s">
        <v>2182</v>
      </c>
      <c r="D913" s="1" t="str">
        <f t="shared" si="3"/>
        <v>1</v>
      </c>
      <c r="E913" s="1" t="s">
        <v>2183</v>
      </c>
      <c r="G913" s="1">
        <f t="array" ref="G913">IF(ISNUMBER(MATCH(50482,Camille!$A:$A,0)), IF(OR(INDEX(Camille!$D:$D,MATCH(50482,Camille!$A:$A,0))=1, INDEX(Camille!$D:$D,MATCH(50482,Camille!$A:$A,0))=2), INDEX(Camille!$D:$D,MATCH(50482,Camille!$A:$A,0)), 0), 0)</f>
        <v>0</v>
      </c>
      <c r="H913" s="1">
        <f t="array" ref="H913">IF(ISNUMBER(MATCH(50482,Telmo!$A:$A,0)), IF(OR(INDEX(Telmo!$D:$D,MATCH(50482,Telmo!$A:$A,0))=1, INDEX(Telmo!$D:$D,MATCH(50482,Telmo!$A:$A,0))=2), INDEX(Telmo!$D:$D,MATCH(50482,Telmo!$A:$A,0)), 0), 0)</f>
        <v>1</v>
      </c>
      <c r="I913" s="1">
        <f t="array" ref="I913">IF(ISNUMBER(MATCH(50482,Max!$A:$A,0)), IF(OR(INDEX(Max!$D:$D,MATCH(50482,Max!$A:$A,0))=1, INDEX(Max!$D:$D,MATCH(50482,Max!$A:$A,0))=2), INDEX(Max!$D:$D,MATCH(50482,Max!$A:$A,0)), 0), 0)</f>
        <v>0</v>
      </c>
    </row>
    <row r="914" spans="1:9" ht="15.75" customHeight="1" x14ac:dyDescent="0.2">
      <c r="A914" s="1">
        <v>49934</v>
      </c>
      <c r="B914" s="1" t="s">
        <v>100</v>
      </c>
      <c r="C914" s="1" t="s">
        <v>2184</v>
      </c>
      <c r="D914" s="1" t="str">
        <f t="shared" si="3"/>
        <v>2</v>
      </c>
      <c r="E914" s="1" t="s">
        <v>2185</v>
      </c>
      <c r="G914" s="1">
        <f t="array" ref="G914">IF(ISNUMBER(MATCH(49934,Camille!$A:$A,0)), IF(OR(INDEX(Camille!$D:$D,MATCH(49934,Camille!$A:$A,0))=1, INDEX(Camille!$D:$D,MATCH(49934,Camille!$A:$A,0))=2), INDEX(Camille!$D:$D,MATCH(49934,Camille!$A:$A,0)), 0), 0)</f>
        <v>0</v>
      </c>
      <c r="H914" s="1">
        <f t="array" ref="H914">IF(ISNUMBER(MATCH(49934,Telmo!$A:$A,0)), IF(OR(INDEX(Telmo!$D:$D,MATCH(49934,Telmo!$A:$A,0))=1, INDEX(Telmo!$D:$D,MATCH(49934,Telmo!$A:$A,0))=2), INDEX(Telmo!$D:$D,MATCH(49934,Telmo!$A:$A,0)), 0), 0)</f>
        <v>2</v>
      </c>
      <c r="I914" s="1">
        <f t="array" ref="I914">IF(ISNUMBER(MATCH(49934,Max!$A:$A,0)), IF(OR(INDEX(Max!$D:$D,MATCH(49934,Max!$A:$A,0))=1, INDEX(Max!$D:$D,MATCH(49934,Max!$A:$A,0))=2), INDEX(Max!$D:$D,MATCH(49934,Max!$A:$A,0)), 0), 0)</f>
        <v>0</v>
      </c>
    </row>
    <row r="915" spans="1:9" ht="15.75" customHeight="1" x14ac:dyDescent="0.2">
      <c r="A915" s="1">
        <v>44782</v>
      </c>
      <c r="B915" s="1" t="s">
        <v>1102</v>
      </c>
      <c r="C915" s="1" t="s">
        <v>2186</v>
      </c>
      <c r="D915" s="1" t="str">
        <f t="shared" si="3"/>
        <v>2</v>
      </c>
      <c r="E915" s="1" t="s">
        <v>2187</v>
      </c>
      <c r="G915" s="1">
        <f t="array" ref="G915">IF(ISNUMBER(MATCH(44782,Camille!$A:$A,0)), IF(OR(INDEX(Camille!$D:$D,MATCH(44782,Camille!$A:$A,0))=1, INDEX(Camille!$D:$D,MATCH(44782,Camille!$A:$A,0))=2), INDEX(Camille!$D:$D,MATCH(44782,Camille!$A:$A,0)), 0), 0)</f>
        <v>0</v>
      </c>
      <c r="H915" s="1">
        <f t="array" ref="H915">IF(ISNUMBER(MATCH(44782,Telmo!$A:$A,0)), IF(OR(INDEX(Telmo!$D:$D,MATCH(44782,Telmo!$A:$A,0))=1, INDEX(Telmo!$D:$D,MATCH(44782,Telmo!$A:$A,0))=2), INDEX(Telmo!$D:$D,MATCH(44782,Telmo!$A:$A,0)), 0), 0)</f>
        <v>2</v>
      </c>
      <c r="I915" s="1">
        <f t="array" ref="I915">IF(ISNUMBER(MATCH(44782,Max!$A:$A,0)), IF(OR(INDEX(Max!$D:$D,MATCH(44782,Max!$A:$A,0))=1, INDEX(Max!$D:$D,MATCH(44782,Max!$A:$A,0))=2), INDEX(Max!$D:$D,MATCH(44782,Max!$A:$A,0)), 0), 0)</f>
        <v>0</v>
      </c>
    </row>
    <row r="916" spans="1:9" ht="15.75" customHeight="1" x14ac:dyDescent="0.2">
      <c r="A916" s="1">
        <v>58256</v>
      </c>
      <c r="B916" s="1" t="s">
        <v>2188</v>
      </c>
      <c r="C916" s="1" t="s">
        <v>2189</v>
      </c>
      <c r="D916" s="1" t="str">
        <f t="shared" si="3"/>
        <v>2</v>
      </c>
      <c r="E916" s="1" t="s">
        <v>2190</v>
      </c>
      <c r="G916" s="1">
        <f t="array" ref="G916">IF(ISNUMBER(MATCH(58256,Camille!$A:$A,0)), IF(OR(INDEX(Camille!$D:$D,MATCH(58256,Camille!$A:$A,0))=1, INDEX(Camille!$D:$D,MATCH(58256,Camille!$A:$A,0))=2), INDEX(Camille!$D:$D,MATCH(58256,Camille!$A:$A,0)), 0), 0)</f>
        <v>0</v>
      </c>
      <c r="H916" s="1">
        <f t="array" ref="H916">IF(ISNUMBER(MATCH(58256,Telmo!$A:$A,0)), IF(OR(INDEX(Telmo!$D:$D,MATCH(58256,Telmo!$A:$A,0))=1, INDEX(Telmo!$D:$D,MATCH(58256,Telmo!$A:$A,0))=2), INDEX(Telmo!$D:$D,MATCH(58256,Telmo!$A:$A,0)), 0), 0)</f>
        <v>2</v>
      </c>
      <c r="I916" s="1">
        <f t="array" ref="I916">IF(ISNUMBER(MATCH(58256,Max!$A:$A,0)), IF(OR(INDEX(Max!$D:$D,MATCH(58256,Max!$A:$A,0))=1, INDEX(Max!$D:$D,MATCH(58256,Max!$A:$A,0))=2), INDEX(Max!$D:$D,MATCH(58256,Max!$A:$A,0)), 0), 0)</f>
        <v>0</v>
      </c>
    </row>
    <row r="917" spans="1:9" ht="15.75" customHeight="1" x14ac:dyDescent="0.2">
      <c r="A917" s="1">
        <v>61279</v>
      </c>
      <c r="B917" s="1" t="s">
        <v>2181</v>
      </c>
      <c r="C917" s="1" t="s">
        <v>2191</v>
      </c>
      <c r="D917" s="1" t="str">
        <f t="shared" si="3"/>
        <v>2</v>
      </c>
      <c r="E917" s="1" t="s">
        <v>2192</v>
      </c>
      <c r="G917" s="1">
        <f t="array" ref="G917">IF(ISNUMBER(MATCH(61279,Camille!$A:$A,0)), IF(OR(INDEX(Camille!$D:$D,MATCH(61279,Camille!$A:$A,0))=1, INDEX(Camille!$D:$D,MATCH(61279,Camille!$A:$A,0))=2), INDEX(Camille!$D:$D,MATCH(61279,Camille!$A:$A,0)), 0), 0)</f>
        <v>0</v>
      </c>
      <c r="H917" s="1">
        <f t="array" ref="H917">IF(ISNUMBER(MATCH(61279,Telmo!$A:$A,0)), IF(OR(INDEX(Telmo!$D:$D,MATCH(61279,Telmo!$A:$A,0))=1, INDEX(Telmo!$D:$D,MATCH(61279,Telmo!$A:$A,0))=2), INDEX(Telmo!$D:$D,MATCH(61279,Telmo!$A:$A,0)), 0), 0)</f>
        <v>2</v>
      </c>
      <c r="I917" s="1">
        <f t="array" ref="I917">IF(ISNUMBER(MATCH(61279,Max!$A:$A,0)), IF(OR(INDEX(Max!$D:$D,MATCH(61279,Max!$A:$A,0))=1, INDEX(Max!$D:$D,MATCH(61279,Max!$A:$A,0))=2), INDEX(Max!$D:$D,MATCH(61279,Max!$A:$A,0)), 0), 0)</f>
        <v>0</v>
      </c>
    </row>
    <row r="918" spans="1:9" ht="15.75" customHeight="1" x14ac:dyDescent="0.2">
      <c r="A918" s="1">
        <v>70571</v>
      </c>
      <c r="B918" s="1" t="s">
        <v>1477</v>
      </c>
      <c r="C918" s="1" t="s">
        <v>2193</v>
      </c>
      <c r="D918" s="1" t="str">
        <f t="shared" si="3"/>
        <v>1</v>
      </c>
      <c r="E918" s="1" t="s">
        <v>2194</v>
      </c>
      <c r="G918" s="1">
        <f t="array" ref="G918">IF(ISNUMBER(MATCH(70571,Camille!$A:$A,0)), IF(OR(INDEX(Camille!$D:$D,MATCH(70571,Camille!$A:$A,0))=1, INDEX(Camille!$D:$D,MATCH(70571,Camille!$A:$A,0))=2), INDEX(Camille!$D:$D,MATCH(70571,Camille!$A:$A,0)), 0), 0)</f>
        <v>0</v>
      </c>
      <c r="H918" s="1">
        <f t="array" ref="H918">IF(ISNUMBER(MATCH(70571,Telmo!$A:$A,0)), IF(OR(INDEX(Telmo!$D:$D,MATCH(70571,Telmo!$A:$A,0))=1, INDEX(Telmo!$D:$D,MATCH(70571,Telmo!$A:$A,0))=2), INDEX(Telmo!$D:$D,MATCH(70571,Telmo!$A:$A,0)), 0), 0)</f>
        <v>1</v>
      </c>
      <c r="I918" s="1">
        <f t="array" ref="I918">IF(ISNUMBER(MATCH(70571,Max!$A:$A,0)), IF(OR(INDEX(Max!$D:$D,MATCH(70571,Max!$A:$A,0))=1, INDEX(Max!$D:$D,MATCH(70571,Max!$A:$A,0))=2), INDEX(Max!$D:$D,MATCH(70571,Max!$A:$A,0)), 0), 0)</f>
        <v>0</v>
      </c>
    </row>
    <row r="919" spans="1:9" ht="15.75" customHeight="1" x14ac:dyDescent="0.2">
      <c r="A919" s="1">
        <v>5797</v>
      </c>
      <c r="B919" s="1" t="s">
        <v>2195</v>
      </c>
      <c r="C919" s="1" t="s">
        <v>2196</v>
      </c>
      <c r="D919" s="1" t="str">
        <f t="shared" si="3"/>
        <v>1</v>
      </c>
      <c r="E919" s="1" t="s">
        <v>2197</v>
      </c>
      <c r="G919" s="1">
        <f t="array" ref="G919">IF(ISNUMBER(MATCH(5797,Camille!$A:$A,0)), IF(OR(INDEX(Camille!$D:$D,MATCH(5797,Camille!$A:$A,0))=1, INDEX(Camille!$D:$D,MATCH(5797,Camille!$A:$A,0))=2), INDEX(Camille!$D:$D,MATCH(5797,Camille!$A:$A,0)), 0), 0)</f>
        <v>0</v>
      </c>
      <c r="H919" s="1">
        <f t="array" ref="H919">IF(ISNUMBER(MATCH(5797,Telmo!$A:$A,0)), IF(OR(INDEX(Telmo!$D:$D,MATCH(5797,Telmo!$A:$A,0))=1, INDEX(Telmo!$D:$D,MATCH(5797,Telmo!$A:$A,0))=2), INDEX(Telmo!$D:$D,MATCH(5797,Telmo!$A:$A,0)), 0), 0)</f>
        <v>1</v>
      </c>
      <c r="I919" s="1">
        <f t="array" ref="I919">IF(ISNUMBER(MATCH(5797,Max!$A:$A,0)), IF(OR(INDEX(Max!$D:$D,MATCH(5797,Max!$A:$A,0))=1, INDEX(Max!$D:$D,MATCH(5797,Max!$A:$A,0))=2), INDEX(Max!$D:$D,MATCH(5797,Max!$A:$A,0)), 0), 0)</f>
        <v>0</v>
      </c>
    </row>
    <row r="920" spans="1:9" ht="15.75" customHeight="1" x14ac:dyDescent="0.2">
      <c r="A920" s="1">
        <v>47528</v>
      </c>
      <c r="B920" s="1" t="s">
        <v>2198</v>
      </c>
      <c r="C920" s="1" t="s">
        <v>2199</v>
      </c>
      <c r="D920" s="1" t="str">
        <f t="shared" si="3"/>
        <v>2</v>
      </c>
      <c r="E920" s="1" t="s">
        <v>2200</v>
      </c>
      <c r="G920" s="1">
        <f t="array" ref="G920">IF(ISNUMBER(MATCH(47528,Camille!$A:$A,0)), IF(OR(INDEX(Camille!$D:$D,MATCH(47528,Camille!$A:$A,0))=1, INDEX(Camille!$D:$D,MATCH(47528,Camille!$A:$A,0))=2), INDEX(Camille!$D:$D,MATCH(47528,Camille!$A:$A,0)), 0), 0)</f>
        <v>0</v>
      </c>
      <c r="H920" s="1">
        <f t="array" ref="H920">IF(ISNUMBER(MATCH(47528,Telmo!$A:$A,0)), IF(OR(INDEX(Telmo!$D:$D,MATCH(47528,Telmo!$A:$A,0))=1, INDEX(Telmo!$D:$D,MATCH(47528,Telmo!$A:$A,0))=2), INDEX(Telmo!$D:$D,MATCH(47528,Telmo!$A:$A,0)), 0), 0)</f>
        <v>2</v>
      </c>
      <c r="I920" s="1">
        <f t="array" ref="I920">IF(ISNUMBER(MATCH(47528,Max!$A:$A,0)), IF(OR(INDEX(Max!$D:$D,MATCH(47528,Max!$A:$A,0))=1, INDEX(Max!$D:$D,MATCH(47528,Max!$A:$A,0))=2), INDEX(Max!$D:$D,MATCH(47528,Max!$A:$A,0)), 0), 0)</f>
        <v>0</v>
      </c>
    </row>
    <row r="921" spans="1:9" ht="15.75" customHeight="1" x14ac:dyDescent="0.2">
      <c r="A921" s="1">
        <v>18728</v>
      </c>
      <c r="B921" s="1" t="s">
        <v>493</v>
      </c>
      <c r="C921" s="1" t="s">
        <v>2201</v>
      </c>
      <c r="D921" s="1" t="str">
        <f t="shared" si="3"/>
        <v>2</v>
      </c>
      <c r="E921" s="1" t="s">
        <v>2202</v>
      </c>
      <c r="G921" s="1">
        <f t="array" ref="G921">IF(ISNUMBER(MATCH(18728,Camille!$A:$A,0)), IF(OR(INDEX(Camille!$D:$D,MATCH(18728,Camille!$A:$A,0))=1, INDEX(Camille!$D:$D,MATCH(18728,Camille!$A:$A,0))=2), INDEX(Camille!$D:$D,MATCH(18728,Camille!$A:$A,0)), 0), 0)</f>
        <v>0</v>
      </c>
      <c r="H921" s="1">
        <f t="array" ref="H921">IF(ISNUMBER(MATCH(18728,Telmo!$A:$A,0)), IF(OR(INDEX(Telmo!$D:$D,MATCH(18728,Telmo!$A:$A,0))=1, INDEX(Telmo!$D:$D,MATCH(18728,Telmo!$A:$A,0))=2), INDEX(Telmo!$D:$D,MATCH(18728,Telmo!$A:$A,0)), 0), 0)</f>
        <v>2</v>
      </c>
      <c r="I921" s="1">
        <f t="array" ref="I921">IF(ISNUMBER(MATCH(18728,Max!$A:$A,0)), IF(OR(INDEX(Max!$D:$D,MATCH(18728,Max!$A:$A,0))=1, INDEX(Max!$D:$D,MATCH(18728,Max!$A:$A,0))=2), INDEX(Max!$D:$D,MATCH(18728,Max!$A:$A,0)), 0), 0)</f>
        <v>0</v>
      </c>
    </row>
    <row r="922" spans="1:9" ht="15.75" customHeight="1" x14ac:dyDescent="0.2">
      <c r="A922" s="1">
        <v>28666</v>
      </c>
      <c r="B922" s="1" t="s">
        <v>2203</v>
      </c>
      <c r="C922" s="1" t="s">
        <v>2204</v>
      </c>
      <c r="D922" s="1" t="str">
        <f t="shared" si="3"/>
        <v>1</v>
      </c>
      <c r="E922" s="1" t="s">
        <v>2205</v>
      </c>
      <c r="G922" s="1">
        <f t="array" ref="G922">IF(ISNUMBER(MATCH(28666,Camille!$A:$A,0)), IF(OR(INDEX(Camille!$D:$D,MATCH(28666,Camille!$A:$A,0))=1, INDEX(Camille!$D:$D,MATCH(28666,Camille!$A:$A,0))=2), INDEX(Camille!$D:$D,MATCH(28666,Camille!$A:$A,0)), 0), 0)</f>
        <v>0</v>
      </c>
      <c r="H922" s="1">
        <f t="array" ref="H922">IF(ISNUMBER(MATCH(28666,Telmo!$A:$A,0)), IF(OR(INDEX(Telmo!$D:$D,MATCH(28666,Telmo!$A:$A,0))=1, INDEX(Telmo!$D:$D,MATCH(28666,Telmo!$A:$A,0))=2), INDEX(Telmo!$D:$D,MATCH(28666,Telmo!$A:$A,0)), 0), 0)</f>
        <v>1</v>
      </c>
      <c r="I922" s="1">
        <f t="array" ref="I922">IF(ISNUMBER(MATCH(28666,Max!$A:$A,0)), IF(OR(INDEX(Max!$D:$D,MATCH(28666,Max!$A:$A,0))=1, INDEX(Max!$D:$D,MATCH(28666,Max!$A:$A,0))=2), INDEX(Max!$D:$D,MATCH(28666,Max!$A:$A,0)), 0), 0)</f>
        <v>0</v>
      </c>
    </row>
    <row r="923" spans="1:9" ht="15.75" customHeight="1" x14ac:dyDescent="0.2">
      <c r="A923" s="1">
        <v>31027</v>
      </c>
      <c r="B923" s="1" t="s">
        <v>32</v>
      </c>
      <c r="C923" s="1" t="s">
        <v>2206</v>
      </c>
      <c r="D923" s="1" t="str">
        <f t="shared" si="3"/>
        <v>2</v>
      </c>
      <c r="E923" s="1" t="s">
        <v>2207</v>
      </c>
      <c r="G923" s="1">
        <f t="array" ref="G923">IF(ISNUMBER(MATCH(31027,Camille!$A:$A,0)), IF(OR(INDEX(Camille!$D:$D,MATCH(31027,Camille!$A:$A,0))=1, INDEX(Camille!$D:$D,MATCH(31027,Camille!$A:$A,0))=2), INDEX(Camille!$D:$D,MATCH(31027,Camille!$A:$A,0)), 0), 0)</f>
        <v>0</v>
      </c>
      <c r="H923" s="1">
        <f t="array" ref="H923">IF(ISNUMBER(MATCH(31027,Telmo!$A:$A,0)), IF(OR(INDEX(Telmo!$D:$D,MATCH(31027,Telmo!$A:$A,0))=1, INDEX(Telmo!$D:$D,MATCH(31027,Telmo!$A:$A,0))=2), INDEX(Telmo!$D:$D,MATCH(31027,Telmo!$A:$A,0)), 0), 0)</f>
        <v>2</v>
      </c>
      <c r="I923" s="1">
        <f t="array" ref="I923">IF(ISNUMBER(MATCH(31027,Max!$A:$A,0)), IF(OR(INDEX(Max!$D:$D,MATCH(31027,Max!$A:$A,0))=1, INDEX(Max!$D:$D,MATCH(31027,Max!$A:$A,0))=2), INDEX(Max!$D:$D,MATCH(31027,Max!$A:$A,0)), 0), 0)</f>
        <v>0</v>
      </c>
    </row>
    <row r="924" spans="1:9" ht="15.75" customHeight="1" x14ac:dyDescent="0.2">
      <c r="A924" s="1">
        <v>17099</v>
      </c>
      <c r="B924" s="1" t="s">
        <v>348</v>
      </c>
      <c r="C924" s="1" t="s">
        <v>2208</v>
      </c>
      <c r="D924" s="1" t="str">
        <f t="shared" si="3"/>
        <v>1</v>
      </c>
      <c r="E924" s="1" t="s">
        <v>2209</v>
      </c>
      <c r="G924" s="1">
        <f t="array" ref="G924">IF(ISNUMBER(MATCH(17099,Camille!$A:$A,0)), IF(OR(INDEX(Camille!$D:$D,MATCH(17099,Camille!$A:$A,0))=1, INDEX(Camille!$D:$D,MATCH(17099,Camille!$A:$A,0))=2), INDEX(Camille!$D:$D,MATCH(17099,Camille!$A:$A,0)), 0), 0)</f>
        <v>0</v>
      </c>
      <c r="H924" s="1">
        <f t="array" ref="H924">IF(ISNUMBER(MATCH(17099,Telmo!$A:$A,0)), IF(OR(INDEX(Telmo!$D:$D,MATCH(17099,Telmo!$A:$A,0))=1, INDEX(Telmo!$D:$D,MATCH(17099,Telmo!$A:$A,0))=2), INDEX(Telmo!$D:$D,MATCH(17099,Telmo!$A:$A,0)), 0), 0)</f>
        <v>1</v>
      </c>
      <c r="I924" s="1">
        <f t="array" ref="I924">IF(ISNUMBER(MATCH(17099,Max!$A:$A,0)), IF(OR(INDEX(Max!$D:$D,MATCH(17099,Max!$A:$A,0))=1, INDEX(Max!$D:$D,MATCH(17099,Max!$A:$A,0))=2), INDEX(Max!$D:$D,MATCH(17099,Max!$A:$A,0)), 0), 0)</f>
        <v>0</v>
      </c>
    </row>
    <row r="925" spans="1:9" ht="15.75" customHeight="1" x14ac:dyDescent="0.2">
      <c r="A925" s="1">
        <v>39450</v>
      </c>
      <c r="B925" s="1" t="s">
        <v>2210</v>
      </c>
      <c r="C925" s="1" t="s">
        <v>2211</v>
      </c>
      <c r="D925" s="1" t="str">
        <f t="shared" si="3"/>
        <v>1</v>
      </c>
      <c r="E925" s="1" t="s">
        <v>2212</v>
      </c>
      <c r="G925" s="1">
        <f t="array" ref="G925">IF(ISNUMBER(MATCH(39450,Camille!$A:$A,0)), IF(OR(INDEX(Camille!$D:$D,MATCH(39450,Camille!$A:$A,0))=1, INDEX(Camille!$D:$D,MATCH(39450,Camille!$A:$A,0))=2), INDEX(Camille!$D:$D,MATCH(39450,Camille!$A:$A,0)), 0), 0)</f>
        <v>0</v>
      </c>
      <c r="H925" s="1">
        <f t="array" ref="H925">IF(ISNUMBER(MATCH(39450,Telmo!$A:$A,0)), IF(OR(INDEX(Telmo!$D:$D,MATCH(39450,Telmo!$A:$A,0))=1, INDEX(Telmo!$D:$D,MATCH(39450,Telmo!$A:$A,0))=2), INDEX(Telmo!$D:$D,MATCH(39450,Telmo!$A:$A,0)), 0), 0)</f>
        <v>1</v>
      </c>
      <c r="I925" s="1">
        <f t="array" ref="I925">IF(ISNUMBER(MATCH(39450,Max!$A:$A,0)), IF(OR(INDEX(Max!$D:$D,MATCH(39450,Max!$A:$A,0))=1, INDEX(Max!$D:$D,MATCH(39450,Max!$A:$A,0))=2), INDEX(Max!$D:$D,MATCH(39450,Max!$A:$A,0)), 0), 0)</f>
        <v>0</v>
      </c>
    </row>
    <row r="926" spans="1:9" ht="15.75" customHeight="1" x14ac:dyDescent="0.2">
      <c r="A926" s="1">
        <v>19487</v>
      </c>
      <c r="B926" s="1" t="s">
        <v>254</v>
      </c>
      <c r="C926" s="1" t="s">
        <v>2213</v>
      </c>
      <c r="D926" s="1" t="str">
        <f t="shared" si="3"/>
        <v>2</v>
      </c>
      <c r="E926" s="1" t="s">
        <v>2214</v>
      </c>
      <c r="G926" s="1">
        <f t="array" ref="G926">IF(ISNUMBER(MATCH(19487,Camille!$A:$A,0)), IF(OR(INDEX(Camille!$D:$D,MATCH(19487,Camille!$A:$A,0))=1, INDEX(Camille!$D:$D,MATCH(19487,Camille!$A:$A,0))=2), INDEX(Camille!$D:$D,MATCH(19487,Camille!$A:$A,0)), 0), 0)</f>
        <v>0</v>
      </c>
      <c r="H926" s="1">
        <f t="array" ref="H926">IF(ISNUMBER(MATCH(19487,Telmo!$A:$A,0)), IF(OR(INDEX(Telmo!$D:$D,MATCH(19487,Telmo!$A:$A,0))=1, INDEX(Telmo!$D:$D,MATCH(19487,Telmo!$A:$A,0))=2), INDEX(Telmo!$D:$D,MATCH(19487,Telmo!$A:$A,0)), 0), 0)</f>
        <v>2</v>
      </c>
      <c r="I926" s="1">
        <f t="array" ref="I926">IF(ISNUMBER(MATCH(19487,Max!$A:$A,0)), IF(OR(INDEX(Max!$D:$D,MATCH(19487,Max!$A:$A,0))=1, INDEX(Max!$D:$D,MATCH(19487,Max!$A:$A,0))=2), INDEX(Max!$D:$D,MATCH(19487,Max!$A:$A,0)), 0), 0)</f>
        <v>0</v>
      </c>
    </row>
    <row r="927" spans="1:9" ht="15.75" customHeight="1" x14ac:dyDescent="0.2">
      <c r="A927" s="1">
        <v>27526</v>
      </c>
      <c r="B927" s="1" t="s">
        <v>1123</v>
      </c>
      <c r="C927" s="1" t="s">
        <v>2215</v>
      </c>
      <c r="D927" s="1" t="str">
        <f t="shared" si="3"/>
        <v>1</v>
      </c>
      <c r="E927" s="1" t="s">
        <v>2216</v>
      </c>
      <c r="G927" s="1">
        <f t="array" ref="G927">IF(ISNUMBER(MATCH(27526,Camille!$A:$A,0)), IF(OR(INDEX(Camille!$D:$D,MATCH(27526,Camille!$A:$A,0))=1, INDEX(Camille!$D:$D,MATCH(27526,Camille!$A:$A,0))=2), INDEX(Camille!$D:$D,MATCH(27526,Camille!$A:$A,0)), 0), 0)</f>
        <v>0</v>
      </c>
      <c r="H927" s="1">
        <f t="array" ref="H927">IF(ISNUMBER(MATCH(27526,Telmo!$A:$A,0)), IF(OR(INDEX(Telmo!$D:$D,MATCH(27526,Telmo!$A:$A,0))=1, INDEX(Telmo!$D:$D,MATCH(27526,Telmo!$A:$A,0))=2), INDEX(Telmo!$D:$D,MATCH(27526,Telmo!$A:$A,0)), 0), 0)</f>
        <v>1</v>
      </c>
      <c r="I927" s="1">
        <f t="array" ref="I927">IF(ISNUMBER(MATCH(27526,Max!$A:$A,0)), IF(OR(INDEX(Max!$D:$D,MATCH(27526,Max!$A:$A,0))=1, INDEX(Max!$D:$D,MATCH(27526,Max!$A:$A,0))=2), INDEX(Max!$D:$D,MATCH(27526,Max!$A:$A,0)), 0), 0)</f>
        <v>0</v>
      </c>
    </row>
    <row r="928" spans="1:9" ht="15.75" customHeight="1" x14ac:dyDescent="0.2">
      <c r="A928" s="1">
        <v>35162</v>
      </c>
      <c r="B928" s="1" t="s">
        <v>318</v>
      </c>
      <c r="C928" s="1" t="s">
        <v>2217</v>
      </c>
      <c r="D928" s="1" t="str">
        <f t="shared" si="3"/>
        <v>1</v>
      </c>
      <c r="E928" s="1" t="s">
        <v>2218</v>
      </c>
      <c r="G928" s="1">
        <f t="array" ref="G928">IF(ISNUMBER(MATCH(35162,Camille!$A:$A,0)), IF(OR(INDEX(Camille!$D:$D,MATCH(35162,Camille!$A:$A,0))=1, INDEX(Camille!$D:$D,MATCH(35162,Camille!$A:$A,0))=2), INDEX(Camille!$D:$D,MATCH(35162,Camille!$A:$A,0)), 0), 0)</f>
        <v>0</v>
      </c>
      <c r="H928" s="1">
        <f t="array" ref="H928">IF(ISNUMBER(MATCH(35162,Telmo!$A:$A,0)), IF(OR(INDEX(Telmo!$D:$D,MATCH(35162,Telmo!$A:$A,0))=1, INDEX(Telmo!$D:$D,MATCH(35162,Telmo!$A:$A,0))=2), INDEX(Telmo!$D:$D,MATCH(35162,Telmo!$A:$A,0)), 0), 0)</f>
        <v>1</v>
      </c>
      <c r="I928" s="1">
        <f t="array" ref="I928">IF(ISNUMBER(MATCH(35162,Max!$A:$A,0)), IF(OR(INDEX(Max!$D:$D,MATCH(35162,Max!$A:$A,0))=1, INDEX(Max!$D:$D,MATCH(35162,Max!$A:$A,0))=2), INDEX(Max!$D:$D,MATCH(35162,Max!$A:$A,0)), 0), 0)</f>
        <v>0</v>
      </c>
    </row>
    <row r="929" spans="1:9" ht="15.75" customHeight="1" x14ac:dyDescent="0.2">
      <c r="A929" s="1">
        <v>60078</v>
      </c>
      <c r="B929" s="1" t="s">
        <v>2219</v>
      </c>
      <c r="C929" s="1" t="s">
        <v>2220</v>
      </c>
      <c r="D929" s="1" t="str">
        <f t="shared" si="3"/>
        <v>2</v>
      </c>
      <c r="E929" s="1" t="s">
        <v>2221</v>
      </c>
      <c r="G929" s="1">
        <f t="array" ref="G929">IF(ISNUMBER(MATCH(60078,Camille!$A:$A,0)), IF(OR(INDEX(Camille!$D:$D,MATCH(60078,Camille!$A:$A,0))=1, INDEX(Camille!$D:$D,MATCH(60078,Camille!$A:$A,0))=2), INDEX(Camille!$D:$D,MATCH(60078,Camille!$A:$A,0)), 0), 0)</f>
        <v>0</v>
      </c>
      <c r="H929" s="1">
        <f t="array" ref="H929">IF(ISNUMBER(MATCH(60078,Telmo!$A:$A,0)), IF(OR(INDEX(Telmo!$D:$D,MATCH(60078,Telmo!$A:$A,0))=1, INDEX(Telmo!$D:$D,MATCH(60078,Telmo!$A:$A,0))=2), INDEX(Telmo!$D:$D,MATCH(60078,Telmo!$A:$A,0)), 0), 0)</f>
        <v>2</v>
      </c>
      <c r="I929" s="1">
        <f t="array" ref="I929">IF(ISNUMBER(MATCH(60078,Max!$A:$A,0)), IF(OR(INDEX(Max!$D:$D,MATCH(60078,Max!$A:$A,0))=1, INDEX(Max!$D:$D,MATCH(60078,Max!$A:$A,0))=2), INDEX(Max!$D:$D,MATCH(60078,Max!$A:$A,0)), 0), 0)</f>
        <v>0</v>
      </c>
    </row>
    <row r="930" spans="1:9" ht="15.75" customHeight="1" x14ac:dyDescent="0.2">
      <c r="A930" s="1">
        <v>17291</v>
      </c>
      <c r="B930" s="1" t="s">
        <v>1274</v>
      </c>
      <c r="C930" s="1" t="s">
        <v>2222</v>
      </c>
      <c r="D930" s="1" t="str">
        <f t="shared" si="3"/>
        <v>1</v>
      </c>
      <c r="E930" s="1" t="s">
        <v>2223</v>
      </c>
      <c r="G930" s="1">
        <f t="array" ref="G930">IF(ISNUMBER(MATCH(17291,Camille!$A:$A,0)), IF(OR(INDEX(Camille!$D:$D,MATCH(17291,Camille!$A:$A,0))=1, INDEX(Camille!$D:$D,MATCH(17291,Camille!$A:$A,0))=2), INDEX(Camille!$D:$D,MATCH(17291,Camille!$A:$A,0)), 0), 0)</f>
        <v>0</v>
      </c>
      <c r="H930" s="1">
        <f t="array" ref="H930">IF(ISNUMBER(MATCH(17291,Telmo!$A:$A,0)), IF(OR(INDEX(Telmo!$D:$D,MATCH(17291,Telmo!$A:$A,0))=1, INDEX(Telmo!$D:$D,MATCH(17291,Telmo!$A:$A,0))=2), INDEX(Telmo!$D:$D,MATCH(17291,Telmo!$A:$A,0)), 0), 0)</f>
        <v>1</v>
      </c>
      <c r="I930" s="1">
        <f t="array" ref="I930">IF(ISNUMBER(MATCH(17291,Max!$A:$A,0)), IF(OR(INDEX(Max!$D:$D,MATCH(17291,Max!$A:$A,0))=1, INDEX(Max!$D:$D,MATCH(17291,Max!$A:$A,0))=2), INDEX(Max!$D:$D,MATCH(17291,Max!$A:$A,0)), 0), 0)</f>
        <v>0</v>
      </c>
    </row>
    <row r="931" spans="1:9" ht="15.75" customHeight="1" x14ac:dyDescent="0.2">
      <c r="A931" s="1">
        <v>46040</v>
      </c>
      <c r="B931" s="1" t="s">
        <v>276</v>
      </c>
      <c r="C931" s="1" t="s">
        <v>2224</v>
      </c>
      <c r="D931" s="1" t="str">
        <f t="shared" si="3"/>
        <v>1</v>
      </c>
      <c r="E931" s="1" t="s">
        <v>2225</v>
      </c>
      <c r="G931" s="1">
        <f t="array" ref="G931">IF(ISNUMBER(MATCH(46040,Camille!$A:$A,0)), IF(OR(INDEX(Camille!$D:$D,MATCH(46040,Camille!$A:$A,0))=1, INDEX(Camille!$D:$D,MATCH(46040,Camille!$A:$A,0))=2), INDEX(Camille!$D:$D,MATCH(46040,Camille!$A:$A,0)), 0), 0)</f>
        <v>0</v>
      </c>
      <c r="H931" s="1">
        <f t="array" ref="H931">IF(ISNUMBER(MATCH(46040,Telmo!$A:$A,0)), IF(OR(INDEX(Telmo!$D:$D,MATCH(46040,Telmo!$A:$A,0))=1, INDEX(Telmo!$D:$D,MATCH(46040,Telmo!$A:$A,0))=2), INDEX(Telmo!$D:$D,MATCH(46040,Telmo!$A:$A,0)), 0), 0)</f>
        <v>1</v>
      </c>
      <c r="I931" s="1">
        <f t="array" ref="I931">IF(ISNUMBER(MATCH(46040,Max!$A:$A,0)), IF(OR(INDEX(Max!$D:$D,MATCH(46040,Max!$A:$A,0))=1, INDEX(Max!$D:$D,MATCH(46040,Max!$A:$A,0))=2), INDEX(Max!$D:$D,MATCH(46040,Max!$A:$A,0)), 0), 0)</f>
        <v>0</v>
      </c>
    </row>
    <row r="932" spans="1:9" ht="15.75" customHeight="1" x14ac:dyDescent="0.2">
      <c r="A932" s="1">
        <v>34088</v>
      </c>
      <c r="B932" s="1" t="s">
        <v>408</v>
      </c>
      <c r="C932" s="1" t="s">
        <v>2226</v>
      </c>
      <c r="D932" s="1" t="str">
        <f t="shared" si="3"/>
        <v>1</v>
      </c>
      <c r="E932" s="1" t="s">
        <v>2227</v>
      </c>
      <c r="G932" s="1">
        <f t="array" ref="G932">IF(ISNUMBER(MATCH(34088,Camille!$A:$A,0)), IF(OR(INDEX(Camille!$D:$D,MATCH(34088,Camille!$A:$A,0))=1, INDEX(Camille!$D:$D,MATCH(34088,Camille!$A:$A,0))=2), INDEX(Camille!$D:$D,MATCH(34088,Camille!$A:$A,0)), 0), 0)</f>
        <v>0</v>
      </c>
      <c r="H932" s="1">
        <f t="array" ref="H932">IF(ISNUMBER(MATCH(34088,Telmo!$A:$A,0)), IF(OR(INDEX(Telmo!$D:$D,MATCH(34088,Telmo!$A:$A,0))=1, INDEX(Telmo!$D:$D,MATCH(34088,Telmo!$A:$A,0))=2), INDEX(Telmo!$D:$D,MATCH(34088,Telmo!$A:$A,0)), 0), 0)</f>
        <v>1</v>
      </c>
      <c r="I932" s="1">
        <f t="array" ref="I932">IF(ISNUMBER(MATCH(34088,Max!$A:$A,0)), IF(OR(INDEX(Max!$D:$D,MATCH(34088,Max!$A:$A,0))=1, INDEX(Max!$D:$D,MATCH(34088,Max!$A:$A,0))=2), INDEX(Max!$D:$D,MATCH(34088,Max!$A:$A,0)), 0), 0)</f>
        <v>0</v>
      </c>
    </row>
    <row r="933" spans="1:9" ht="15.75" customHeight="1" x14ac:dyDescent="0.2">
      <c r="A933" s="1">
        <v>71621</v>
      </c>
      <c r="B933" s="1" t="s">
        <v>244</v>
      </c>
      <c r="C933" s="1" t="s">
        <v>2228</v>
      </c>
      <c r="D933" s="1" t="str">
        <f t="shared" si="3"/>
        <v>2</v>
      </c>
      <c r="E933" s="1" t="s">
        <v>2229</v>
      </c>
      <c r="G933" s="1">
        <f t="array" ref="G933">IF(ISNUMBER(MATCH(71621,Camille!$A:$A,0)), IF(OR(INDEX(Camille!$D:$D,MATCH(71621,Camille!$A:$A,0))=1, INDEX(Camille!$D:$D,MATCH(71621,Camille!$A:$A,0))=2), INDEX(Camille!$D:$D,MATCH(71621,Camille!$A:$A,0)), 0), 0)</f>
        <v>0</v>
      </c>
      <c r="H933" s="1">
        <f t="array" ref="H933">IF(ISNUMBER(MATCH(71621,Telmo!$A:$A,0)), IF(OR(INDEX(Telmo!$D:$D,MATCH(71621,Telmo!$A:$A,0))=1, INDEX(Telmo!$D:$D,MATCH(71621,Telmo!$A:$A,0))=2), INDEX(Telmo!$D:$D,MATCH(71621,Telmo!$A:$A,0)), 0), 0)</f>
        <v>2</v>
      </c>
      <c r="I933" s="1">
        <f t="array" ref="I933">IF(ISNUMBER(MATCH(71621,Max!$A:$A,0)), IF(OR(INDEX(Max!$D:$D,MATCH(71621,Max!$A:$A,0))=1, INDEX(Max!$D:$D,MATCH(71621,Max!$A:$A,0))=2), INDEX(Max!$D:$D,MATCH(71621,Max!$A:$A,0)), 0), 0)</f>
        <v>0</v>
      </c>
    </row>
    <row r="934" spans="1:9" ht="15.75" customHeight="1" x14ac:dyDescent="0.2">
      <c r="A934" s="1">
        <v>45733</v>
      </c>
      <c r="B934" s="1" t="s">
        <v>103</v>
      </c>
      <c r="C934" s="1" t="s">
        <v>2230</v>
      </c>
      <c r="D934" s="1" t="str">
        <f t="shared" si="3"/>
        <v>2</v>
      </c>
      <c r="E934" s="1" t="s">
        <v>2231</v>
      </c>
      <c r="G934" s="1">
        <f t="array" ref="G934">IF(ISNUMBER(MATCH(45733,Camille!$A:$A,0)), IF(OR(INDEX(Camille!$D:$D,MATCH(45733,Camille!$A:$A,0))=1, INDEX(Camille!$D:$D,MATCH(45733,Camille!$A:$A,0))=2), INDEX(Camille!$D:$D,MATCH(45733,Camille!$A:$A,0)), 0), 0)</f>
        <v>0</v>
      </c>
      <c r="H934" s="1">
        <f t="array" ref="H934">IF(ISNUMBER(MATCH(45733,Telmo!$A:$A,0)), IF(OR(INDEX(Telmo!$D:$D,MATCH(45733,Telmo!$A:$A,0))=1, INDEX(Telmo!$D:$D,MATCH(45733,Telmo!$A:$A,0))=2), INDEX(Telmo!$D:$D,MATCH(45733,Telmo!$A:$A,0)), 0), 0)</f>
        <v>2</v>
      </c>
      <c r="I934" s="1">
        <f t="array" ref="I934">IF(ISNUMBER(MATCH(45733,Max!$A:$A,0)), IF(OR(INDEX(Max!$D:$D,MATCH(45733,Max!$A:$A,0))=1, INDEX(Max!$D:$D,MATCH(45733,Max!$A:$A,0))=2), INDEX(Max!$D:$D,MATCH(45733,Max!$A:$A,0)), 0), 0)</f>
        <v>0</v>
      </c>
    </row>
    <row r="935" spans="1:9" ht="15.75" customHeight="1" x14ac:dyDescent="0.2">
      <c r="A935" s="1">
        <v>32579</v>
      </c>
      <c r="B935" s="1" t="s">
        <v>244</v>
      </c>
      <c r="C935" s="1" t="s">
        <v>2232</v>
      </c>
      <c r="D935" s="1" t="str">
        <f t="shared" si="3"/>
        <v>2</v>
      </c>
      <c r="E935" s="1" t="s">
        <v>2233</v>
      </c>
      <c r="G935" s="1">
        <f t="array" ref="G935">IF(ISNUMBER(MATCH(32579,Camille!$A:$A,0)), IF(OR(INDEX(Camille!$D:$D,MATCH(32579,Camille!$A:$A,0))=1, INDEX(Camille!$D:$D,MATCH(32579,Camille!$A:$A,0))=2), INDEX(Camille!$D:$D,MATCH(32579,Camille!$A:$A,0)), 0), 0)</f>
        <v>0</v>
      </c>
      <c r="H935" s="1">
        <f t="array" ref="H935">IF(ISNUMBER(MATCH(32579,Telmo!$A:$A,0)), IF(OR(INDEX(Telmo!$D:$D,MATCH(32579,Telmo!$A:$A,0))=1, INDEX(Telmo!$D:$D,MATCH(32579,Telmo!$A:$A,0))=2), INDEX(Telmo!$D:$D,MATCH(32579,Telmo!$A:$A,0)), 0), 0)</f>
        <v>2</v>
      </c>
      <c r="I935" s="1">
        <f t="array" ref="I935">IF(ISNUMBER(MATCH(32579,Max!$A:$A,0)), IF(OR(INDEX(Max!$D:$D,MATCH(32579,Max!$A:$A,0))=1, INDEX(Max!$D:$D,MATCH(32579,Max!$A:$A,0))=2), INDEX(Max!$D:$D,MATCH(32579,Max!$A:$A,0)), 0), 0)</f>
        <v>0</v>
      </c>
    </row>
    <row r="936" spans="1:9" ht="15.75" customHeight="1" x14ac:dyDescent="0.2">
      <c r="A936" s="1">
        <v>19892</v>
      </c>
      <c r="B936" s="1" t="s">
        <v>1021</v>
      </c>
      <c r="C936" s="1" t="s">
        <v>2234</v>
      </c>
      <c r="D936" s="1" t="str">
        <f t="shared" si="3"/>
        <v>2</v>
      </c>
      <c r="E936" s="1" t="s">
        <v>2235</v>
      </c>
      <c r="G936" s="1">
        <f t="array" ref="G936">IF(ISNUMBER(MATCH(19892,Camille!$A:$A,0)), IF(OR(INDEX(Camille!$D:$D,MATCH(19892,Camille!$A:$A,0))=1, INDEX(Camille!$D:$D,MATCH(19892,Camille!$A:$A,0))=2), INDEX(Camille!$D:$D,MATCH(19892,Camille!$A:$A,0)), 0), 0)</f>
        <v>0</v>
      </c>
      <c r="H936" s="1">
        <f t="array" ref="H936">IF(ISNUMBER(MATCH(19892,Telmo!$A:$A,0)), IF(OR(INDEX(Telmo!$D:$D,MATCH(19892,Telmo!$A:$A,0))=1, INDEX(Telmo!$D:$D,MATCH(19892,Telmo!$A:$A,0))=2), INDEX(Telmo!$D:$D,MATCH(19892,Telmo!$A:$A,0)), 0), 0)</f>
        <v>2</v>
      </c>
      <c r="I936" s="1">
        <f t="array" ref="I936">IF(ISNUMBER(MATCH(19892,Max!$A:$A,0)), IF(OR(INDEX(Max!$D:$D,MATCH(19892,Max!$A:$A,0))=1, INDEX(Max!$D:$D,MATCH(19892,Max!$A:$A,0))=2), INDEX(Max!$D:$D,MATCH(19892,Max!$A:$A,0)), 0), 0)</f>
        <v>0</v>
      </c>
    </row>
    <row r="937" spans="1:9" ht="15.75" customHeight="1" x14ac:dyDescent="0.2">
      <c r="A937" s="1">
        <v>63070</v>
      </c>
      <c r="B937" s="1" t="s">
        <v>167</v>
      </c>
      <c r="C937" s="1" t="s">
        <v>2236</v>
      </c>
      <c r="D937" s="1" t="str">
        <f t="shared" si="3"/>
        <v>2</v>
      </c>
      <c r="E937" s="1" t="s">
        <v>2237</v>
      </c>
      <c r="G937" s="1">
        <f t="array" ref="G937">IF(ISNUMBER(MATCH(63070,Camille!$A:$A,0)), IF(OR(INDEX(Camille!$D:$D,MATCH(63070,Camille!$A:$A,0))=1, INDEX(Camille!$D:$D,MATCH(63070,Camille!$A:$A,0))=2), INDEX(Camille!$D:$D,MATCH(63070,Camille!$A:$A,0)), 0), 0)</f>
        <v>0</v>
      </c>
      <c r="H937" s="1">
        <f t="array" ref="H937">IF(ISNUMBER(MATCH(63070,Telmo!$A:$A,0)), IF(OR(INDEX(Telmo!$D:$D,MATCH(63070,Telmo!$A:$A,0))=1, INDEX(Telmo!$D:$D,MATCH(63070,Telmo!$A:$A,0))=2), INDEX(Telmo!$D:$D,MATCH(63070,Telmo!$A:$A,0)), 0), 0)</f>
        <v>2</v>
      </c>
      <c r="I937" s="1">
        <f t="array" ref="I937">IF(ISNUMBER(MATCH(63070,Max!$A:$A,0)), IF(OR(INDEX(Max!$D:$D,MATCH(63070,Max!$A:$A,0))=1, INDEX(Max!$D:$D,MATCH(63070,Max!$A:$A,0))=2), INDEX(Max!$D:$D,MATCH(63070,Max!$A:$A,0)), 0), 0)</f>
        <v>0</v>
      </c>
    </row>
    <row r="938" spans="1:9" ht="15.75" customHeight="1" x14ac:dyDescent="0.2">
      <c r="A938" s="1">
        <v>56341</v>
      </c>
      <c r="B938" s="1" t="s">
        <v>2238</v>
      </c>
      <c r="C938" s="1" t="s">
        <v>2239</v>
      </c>
      <c r="D938" s="1" t="str">
        <f t="shared" si="3"/>
        <v>2</v>
      </c>
      <c r="E938" s="1" t="s">
        <v>2240</v>
      </c>
      <c r="G938" s="1">
        <f t="array" ref="G938">IF(ISNUMBER(MATCH(56341,Camille!$A:$A,0)), IF(OR(INDEX(Camille!$D:$D,MATCH(56341,Camille!$A:$A,0))=1, INDEX(Camille!$D:$D,MATCH(56341,Camille!$A:$A,0))=2), INDEX(Camille!$D:$D,MATCH(56341,Camille!$A:$A,0)), 0), 0)</f>
        <v>0</v>
      </c>
      <c r="H938" s="1">
        <f t="array" ref="H938">IF(ISNUMBER(MATCH(56341,Telmo!$A:$A,0)), IF(OR(INDEX(Telmo!$D:$D,MATCH(56341,Telmo!$A:$A,0))=1, INDEX(Telmo!$D:$D,MATCH(56341,Telmo!$A:$A,0))=2), INDEX(Telmo!$D:$D,MATCH(56341,Telmo!$A:$A,0)), 0), 0)</f>
        <v>2</v>
      </c>
      <c r="I938" s="1">
        <f t="array" ref="I938">IF(ISNUMBER(MATCH(56341,Max!$A:$A,0)), IF(OR(INDEX(Max!$D:$D,MATCH(56341,Max!$A:$A,0))=1, INDEX(Max!$D:$D,MATCH(56341,Max!$A:$A,0))=2), INDEX(Max!$D:$D,MATCH(56341,Max!$A:$A,0)), 0), 0)</f>
        <v>0</v>
      </c>
    </row>
    <row r="939" spans="1:9" ht="15.75" customHeight="1" x14ac:dyDescent="0.2">
      <c r="A939" s="1">
        <v>6047</v>
      </c>
      <c r="B939" s="1" t="s">
        <v>32</v>
      </c>
      <c r="C939" s="1" t="s">
        <v>2241</v>
      </c>
      <c r="D939" s="1" t="str">
        <f t="shared" si="3"/>
        <v>2</v>
      </c>
      <c r="E939" s="1" t="s">
        <v>2242</v>
      </c>
      <c r="G939" s="1">
        <f t="array" ref="G939">IF(ISNUMBER(MATCH(6047,Camille!$A:$A,0)), IF(OR(INDEX(Camille!$D:$D,MATCH(6047,Camille!$A:$A,0))=1, INDEX(Camille!$D:$D,MATCH(6047,Camille!$A:$A,0))=2), INDEX(Camille!$D:$D,MATCH(6047,Camille!$A:$A,0)), 0), 0)</f>
        <v>0</v>
      </c>
      <c r="H939" s="1">
        <f t="array" ref="H939">IF(ISNUMBER(MATCH(6047,Telmo!$A:$A,0)), IF(OR(INDEX(Telmo!$D:$D,MATCH(6047,Telmo!$A:$A,0))=1, INDEX(Telmo!$D:$D,MATCH(6047,Telmo!$A:$A,0))=2), INDEX(Telmo!$D:$D,MATCH(6047,Telmo!$A:$A,0)), 0), 0)</f>
        <v>2</v>
      </c>
      <c r="I939" s="1">
        <f t="array" ref="I939">IF(ISNUMBER(MATCH(6047,Max!$A:$A,0)), IF(OR(INDEX(Max!$D:$D,MATCH(6047,Max!$A:$A,0))=1, INDEX(Max!$D:$D,MATCH(6047,Max!$A:$A,0))=2), INDEX(Max!$D:$D,MATCH(6047,Max!$A:$A,0)), 0), 0)</f>
        <v>0</v>
      </c>
    </row>
    <row r="940" spans="1:9" ht="15.75" customHeight="1" x14ac:dyDescent="0.2">
      <c r="A940" s="1">
        <v>60312</v>
      </c>
      <c r="B940" s="1" t="s">
        <v>191</v>
      </c>
      <c r="C940" s="1" t="s">
        <v>2243</v>
      </c>
      <c r="D940" s="1" t="str">
        <f t="shared" si="3"/>
        <v>2</v>
      </c>
      <c r="E940" s="1" t="s">
        <v>2244</v>
      </c>
      <c r="G940" s="1">
        <f t="array" ref="G940">IF(ISNUMBER(MATCH(60312,Camille!$A:$A,0)), IF(OR(INDEX(Camille!$D:$D,MATCH(60312,Camille!$A:$A,0))=1, INDEX(Camille!$D:$D,MATCH(60312,Camille!$A:$A,0))=2), INDEX(Camille!$D:$D,MATCH(60312,Camille!$A:$A,0)), 0), 0)</f>
        <v>0</v>
      </c>
      <c r="H940" s="1">
        <f t="array" ref="H940">IF(ISNUMBER(MATCH(60312,Telmo!$A:$A,0)), IF(OR(INDEX(Telmo!$D:$D,MATCH(60312,Telmo!$A:$A,0))=1, INDEX(Telmo!$D:$D,MATCH(60312,Telmo!$A:$A,0))=2), INDEX(Telmo!$D:$D,MATCH(60312,Telmo!$A:$A,0)), 0), 0)</f>
        <v>2</v>
      </c>
      <c r="I940" s="1">
        <f t="array" ref="I940">IF(ISNUMBER(MATCH(60312,Max!$A:$A,0)), IF(OR(INDEX(Max!$D:$D,MATCH(60312,Max!$A:$A,0))=1, INDEX(Max!$D:$D,MATCH(60312,Max!$A:$A,0))=2), INDEX(Max!$D:$D,MATCH(60312,Max!$A:$A,0)), 0), 0)</f>
        <v>0</v>
      </c>
    </row>
    <row r="941" spans="1:9" ht="15.75" customHeight="1" x14ac:dyDescent="0.2">
      <c r="A941" s="1">
        <v>69227</v>
      </c>
      <c r="B941" s="1" t="s">
        <v>172</v>
      </c>
      <c r="C941" s="1" t="s">
        <v>2245</v>
      </c>
      <c r="D941" s="1" t="str">
        <f t="shared" si="3"/>
        <v>2</v>
      </c>
      <c r="E941" s="1" t="s">
        <v>2246</v>
      </c>
      <c r="G941" s="1">
        <f t="array" ref="G941">IF(ISNUMBER(MATCH(69227,Camille!$A:$A,0)), IF(OR(INDEX(Camille!$D:$D,MATCH(69227,Camille!$A:$A,0))=1, INDEX(Camille!$D:$D,MATCH(69227,Camille!$A:$A,0))=2), INDEX(Camille!$D:$D,MATCH(69227,Camille!$A:$A,0)), 0), 0)</f>
        <v>0</v>
      </c>
      <c r="H941" s="1">
        <f t="array" ref="H941">IF(ISNUMBER(MATCH(69227,Telmo!$A:$A,0)), IF(OR(INDEX(Telmo!$D:$D,MATCH(69227,Telmo!$A:$A,0))=1, INDEX(Telmo!$D:$D,MATCH(69227,Telmo!$A:$A,0))=2), INDEX(Telmo!$D:$D,MATCH(69227,Telmo!$A:$A,0)), 0), 0)</f>
        <v>2</v>
      </c>
      <c r="I941" s="1">
        <f t="array" ref="I941">IF(ISNUMBER(MATCH(69227,Max!$A:$A,0)), IF(OR(INDEX(Max!$D:$D,MATCH(69227,Max!$A:$A,0))=1, INDEX(Max!$D:$D,MATCH(69227,Max!$A:$A,0))=2), INDEX(Max!$D:$D,MATCH(69227,Max!$A:$A,0)), 0), 0)</f>
        <v>0</v>
      </c>
    </row>
    <row r="942" spans="1:9" ht="15.75" customHeight="1" x14ac:dyDescent="0.2">
      <c r="A942" s="1">
        <v>8966</v>
      </c>
      <c r="B942" s="1" t="s">
        <v>2247</v>
      </c>
      <c r="C942" s="1" t="s">
        <v>2248</v>
      </c>
      <c r="D942" s="1" t="str">
        <f t="shared" si="3"/>
        <v>2</v>
      </c>
      <c r="E942" s="1" t="s">
        <v>2249</v>
      </c>
      <c r="G942" s="1">
        <f t="array" ref="G942">IF(ISNUMBER(MATCH(8966,Camille!$A:$A,0)), IF(OR(INDEX(Camille!$D:$D,MATCH(8966,Camille!$A:$A,0))=1, INDEX(Camille!$D:$D,MATCH(8966,Camille!$A:$A,0))=2), INDEX(Camille!$D:$D,MATCH(8966,Camille!$A:$A,0)), 0), 0)</f>
        <v>0</v>
      </c>
      <c r="H942" s="1">
        <f t="array" ref="H942">IF(ISNUMBER(MATCH(8966,Telmo!$A:$A,0)), IF(OR(INDEX(Telmo!$D:$D,MATCH(8966,Telmo!$A:$A,0))=1, INDEX(Telmo!$D:$D,MATCH(8966,Telmo!$A:$A,0))=2), INDEX(Telmo!$D:$D,MATCH(8966,Telmo!$A:$A,0)), 0), 0)</f>
        <v>2</v>
      </c>
      <c r="I942" s="1">
        <f t="array" ref="I942">IF(ISNUMBER(MATCH(8966,Max!$A:$A,0)), IF(OR(INDEX(Max!$D:$D,MATCH(8966,Max!$A:$A,0))=1, INDEX(Max!$D:$D,MATCH(8966,Max!$A:$A,0))=2), INDEX(Max!$D:$D,MATCH(8966,Max!$A:$A,0)), 0), 0)</f>
        <v>0</v>
      </c>
    </row>
    <row r="943" spans="1:9" ht="15.75" customHeight="1" x14ac:dyDescent="0.2">
      <c r="A943" s="1">
        <v>12849</v>
      </c>
      <c r="B943" s="1" t="s">
        <v>2250</v>
      </c>
      <c r="C943" s="1" t="s">
        <v>2251</v>
      </c>
      <c r="D943" s="1" t="str">
        <f t="shared" si="3"/>
        <v>1</v>
      </c>
      <c r="E943" s="1" t="s">
        <v>2252</v>
      </c>
      <c r="G943" s="1">
        <f t="array" ref="G943">IF(ISNUMBER(MATCH(12849,Camille!$A:$A,0)), IF(OR(INDEX(Camille!$D:$D,MATCH(12849,Camille!$A:$A,0))=1, INDEX(Camille!$D:$D,MATCH(12849,Camille!$A:$A,0))=2), INDEX(Camille!$D:$D,MATCH(12849,Camille!$A:$A,0)), 0), 0)</f>
        <v>0</v>
      </c>
      <c r="H943" s="1">
        <f t="array" ref="H943">IF(ISNUMBER(MATCH(12849,Telmo!$A:$A,0)), IF(OR(INDEX(Telmo!$D:$D,MATCH(12849,Telmo!$A:$A,0))=1, INDEX(Telmo!$D:$D,MATCH(12849,Telmo!$A:$A,0))=2), INDEX(Telmo!$D:$D,MATCH(12849,Telmo!$A:$A,0)), 0), 0)</f>
        <v>1</v>
      </c>
      <c r="I943" s="1">
        <f t="array" ref="I943">IF(ISNUMBER(MATCH(12849,Max!$A:$A,0)), IF(OR(INDEX(Max!$D:$D,MATCH(12849,Max!$A:$A,0))=1, INDEX(Max!$D:$D,MATCH(12849,Max!$A:$A,0))=2), INDEX(Max!$D:$D,MATCH(12849,Max!$A:$A,0)), 0), 0)</f>
        <v>0</v>
      </c>
    </row>
    <row r="944" spans="1:9" ht="15.75" customHeight="1" x14ac:dyDescent="0.2">
      <c r="A944" s="1">
        <v>34240</v>
      </c>
      <c r="B944" s="1" t="s">
        <v>144</v>
      </c>
      <c r="C944" s="1" t="s">
        <v>2253</v>
      </c>
      <c r="D944" s="1" t="str">
        <f t="shared" si="3"/>
        <v>2</v>
      </c>
      <c r="E944" s="1" t="s">
        <v>2254</v>
      </c>
      <c r="G944" s="1">
        <f t="array" ref="G944">IF(ISNUMBER(MATCH(34240,Camille!$A:$A,0)), IF(OR(INDEX(Camille!$D:$D,MATCH(34240,Camille!$A:$A,0))=1, INDEX(Camille!$D:$D,MATCH(34240,Camille!$A:$A,0))=2), INDEX(Camille!$D:$D,MATCH(34240,Camille!$A:$A,0)), 0), 0)</f>
        <v>0</v>
      </c>
      <c r="H944" s="1">
        <f t="array" ref="H944">IF(ISNUMBER(MATCH(34240,Telmo!$A:$A,0)), IF(OR(INDEX(Telmo!$D:$D,MATCH(34240,Telmo!$A:$A,0))=1, INDEX(Telmo!$D:$D,MATCH(34240,Telmo!$A:$A,0))=2), INDEX(Telmo!$D:$D,MATCH(34240,Telmo!$A:$A,0)), 0), 0)</f>
        <v>2</v>
      </c>
      <c r="I944" s="1">
        <f t="array" ref="I944">IF(ISNUMBER(MATCH(34240,Max!$A:$A,0)), IF(OR(INDEX(Max!$D:$D,MATCH(34240,Max!$A:$A,0))=1, INDEX(Max!$D:$D,MATCH(34240,Max!$A:$A,0))=2), INDEX(Max!$D:$D,MATCH(34240,Max!$A:$A,0)), 0), 0)</f>
        <v>0</v>
      </c>
    </row>
    <row r="945" spans="1:9" ht="15.75" customHeight="1" x14ac:dyDescent="0.2">
      <c r="A945" s="1">
        <v>14731</v>
      </c>
      <c r="B945" s="1" t="s">
        <v>855</v>
      </c>
      <c r="C945" s="1" t="s">
        <v>2255</v>
      </c>
      <c r="D945" s="1" t="str">
        <f t="shared" si="3"/>
        <v>2</v>
      </c>
      <c r="E945" s="1" t="s">
        <v>2256</v>
      </c>
      <c r="G945" s="1">
        <f t="array" ref="G945">IF(ISNUMBER(MATCH(14731,Camille!$A:$A,0)), IF(OR(INDEX(Camille!$D:$D,MATCH(14731,Camille!$A:$A,0))=1, INDEX(Camille!$D:$D,MATCH(14731,Camille!$A:$A,0))=2), INDEX(Camille!$D:$D,MATCH(14731,Camille!$A:$A,0)), 0), 0)</f>
        <v>0</v>
      </c>
      <c r="H945" s="1">
        <f t="array" ref="H945">IF(ISNUMBER(MATCH(14731,Telmo!$A:$A,0)), IF(OR(INDEX(Telmo!$D:$D,MATCH(14731,Telmo!$A:$A,0))=1, INDEX(Telmo!$D:$D,MATCH(14731,Telmo!$A:$A,0))=2), INDEX(Telmo!$D:$D,MATCH(14731,Telmo!$A:$A,0)), 0), 0)</f>
        <v>2</v>
      </c>
      <c r="I945" s="1">
        <f t="array" ref="I945">IF(ISNUMBER(MATCH(14731,Max!$A:$A,0)), IF(OR(INDEX(Max!$D:$D,MATCH(14731,Max!$A:$A,0))=1, INDEX(Max!$D:$D,MATCH(14731,Max!$A:$A,0))=2), INDEX(Max!$D:$D,MATCH(14731,Max!$A:$A,0)), 0), 0)</f>
        <v>0</v>
      </c>
    </row>
    <row r="946" spans="1:9" ht="15.75" customHeight="1" x14ac:dyDescent="0.2">
      <c r="A946" s="1">
        <v>8277</v>
      </c>
      <c r="B946" s="1" t="s">
        <v>326</v>
      </c>
      <c r="C946" s="1" t="s">
        <v>2257</v>
      </c>
      <c r="D946" s="1" t="str">
        <f t="shared" si="3"/>
        <v>2</v>
      </c>
      <c r="E946" s="1" t="s">
        <v>2258</v>
      </c>
      <c r="G946" s="1">
        <f t="array" ref="G946">IF(ISNUMBER(MATCH(8277,Camille!$A:$A,0)), IF(OR(INDEX(Camille!$D:$D,MATCH(8277,Camille!$A:$A,0))=1, INDEX(Camille!$D:$D,MATCH(8277,Camille!$A:$A,0))=2), INDEX(Camille!$D:$D,MATCH(8277,Camille!$A:$A,0)), 0), 0)</f>
        <v>0</v>
      </c>
      <c r="H946" s="1">
        <f t="array" ref="H946">IF(ISNUMBER(MATCH(8277,Telmo!$A:$A,0)), IF(OR(INDEX(Telmo!$D:$D,MATCH(8277,Telmo!$A:$A,0))=1, INDEX(Telmo!$D:$D,MATCH(8277,Telmo!$A:$A,0))=2), INDEX(Telmo!$D:$D,MATCH(8277,Telmo!$A:$A,0)), 0), 0)</f>
        <v>2</v>
      </c>
      <c r="I946" s="1">
        <f t="array" ref="I946">IF(ISNUMBER(MATCH(8277,Max!$A:$A,0)), IF(OR(INDEX(Max!$D:$D,MATCH(8277,Max!$A:$A,0))=1, INDEX(Max!$D:$D,MATCH(8277,Max!$A:$A,0))=2), INDEX(Max!$D:$D,MATCH(8277,Max!$A:$A,0)), 0), 0)</f>
        <v>0</v>
      </c>
    </row>
    <row r="947" spans="1:9" ht="15.75" customHeight="1" x14ac:dyDescent="0.2">
      <c r="A947" s="1">
        <v>2967</v>
      </c>
      <c r="B947" s="1" t="s">
        <v>2259</v>
      </c>
      <c r="C947" s="1" t="s">
        <v>2260</v>
      </c>
      <c r="D947" s="1" t="str">
        <f t="shared" si="3"/>
        <v>2</v>
      </c>
      <c r="E947" s="1" t="s">
        <v>2261</v>
      </c>
      <c r="G947" s="1">
        <f t="array" ref="G947">IF(ISNUMBER(MATCH(2967,Camille!$A:$A,0)), IF(OR(INDEX(Camille!$D:$D,MATCH(2967,Camille!$A:$A,0))=1, INDEX(Camille!$D:$D,MATCH(2967,Camille!$A:$A,0))=2), INDEX(Camille!$D:$D,MATCH(2967,Camille!$A:$A,0)), 0), 0)</f>
        <v>0</v>
      </c>
      <c r="H947" s="1">
        <f t="array" ref="H947">IF(ISNUMBER(MATCH(2967,Telmo!$A:$A,0)), IF(OR(INDEX(Telmo!$D:$D,MATCH(2967,Telmo!$A:$A,0))=1, INDEX(Telmo!$D:$D,MATCH(2967,Telmo!$A:$A,0))=2), INDEX(Telmo!$D:$D,MATCH(2967,Telmo!$A:$A,0)), 0), 0)</f>
        <v>2</v>
      </c>
      <c r="I947" s="1">
        <f t="array" ref="I947">IF(ISNUMBER(MATCH(2967,Max!$A:$A,0)), IF(OR(INDEX(Max!$D:$D,MATCH(2967,Max!$A:$A,0))=1, INDEX(Max!$D:$D,MATCH(2967,Max!$A:$A,0))=2), INDEX(Max!$D:$D,MATCH(2967,Max!$A:$A,0)), 0), 0)</f>
        <v>0</v>
      </c>
    </row>
    <row r="948" spans="1:9" ht="15.75" customHeight="1" x14ac:dyDescent="0.2">
      <c r="A948" s="1">
        <v>59673</v>
      </c>
      <c r="B948" s="1" t="s">
        <v>723</v>
      </c>
      <c r="C948" s="1" t="s">
        <v>2262</v>
      </c>
      <c r="D948" s="1" t="str">
        <f t="shared" si="3"/>
        <v>2</v>
      </c>
      <c r="E948" s="1" t="s">
        <v>2263</v>
      </c>
      <c r="G948" s="1">
        <f t="array" ref="G948">IF(ISNUMBER(MATCH(59673,Camille!$A:$A,0)), IF(OR(INDEX(Camille!$D:$D,MATCH(59673,Camille!$A:$A,0))=1, INDEX(Camille!$D:$D,MATCH(59673,Camille!$A:$A,0))=2), INDEX(Camille!$D:$D,MATCH(59673,Camille!$A:$A,0)), 0), 0)</f>
        <v>0</v>
      </c>
      <c r="H948" s="1">
        <f t="array" ref="H948">IF(ISNUMBER(MATCH(59673,Telmo!$A:$A,0)), IF(OR(INDEX(Telmo!$D:$D,MATCH(59673,Telmo!$A:$A,0))=1, INDEX(Telmo!$D:$D,MATCH(59673,Telmo!$A:$A,0))=2), INDEX(Telmo!$D:$D,MATCH(59673,Telmo!$A:$A,0)), 0), 0)</f>
        <v>2</v>
      </c>
      <c r="I948" s="1">
        <f t="array" ref="I948">IF(ISNUMBER(MATCH(59673,Max!$A:$A,0)), IF(OR(INDEX(Max!$D:$D,MATCH(59673,Max!$A:$A,0))=1, INDEX(Max!$D:$D,MATCH(59673,Max!$A:$A,0))=2), INDEX(Max!$D:$D,MATCH(59673,Max!$A:$A,0)), 0), 0)</f>
        <v>0</v>
      </c>
    </row>
    <row r="949" spans="1:9" ht="15.75" customHeight="1" x14ac:dyDescent="0.2">
      <c r="A949" s="1">
        <v>15689</v>
      </c>
      <c r="B949" s="1" t="s">
        <v>276</v>
      </c>
      <c r="C949" s="1" t="s">
        <v>2264</v>
      </c>
      <c r="D949" s="1" t="str">
        <f t="shared" si="3"/>
        <v>1</v>
      </c>
      <c r="E949" s="1" t="s">
        <v>2265</v>
      </c>
      <c r="G949" s="1">
        <f t="array" ref="G949">IF(ISNUMBER(MATCH(15689,Camille!$A:$A,0)), IF(OR(INDEX(Camille!$D:$D,MATCH(15689,Camille!$A:$A,0))=1, INDEX(Camille!$D:$D,MATCH(15689,Camille!$A:$A,0))=2), INDEX(Camille!$D:$D,MATCH(15689,Camille!$A:$A,0)), 0), 0)</f>
        <v>0</v>
      </c>
      <c r="H949" s="1">
        <f t="array" ref="H949">IF(ISNUMBER(MATCH(15689,Telmo!$A:$A,0)), IF(OR(INDEX(Telmo!$D:$D,MATCH(15689,Telmo!$A:$A,0))=1, INDEX(Telmo!$D:$D,MATCH(15689,Telmo!$A:$A,0))=2), INDEX(Telmo!$D:$D,MATCH(15689,Telmo!$A:$A,0)), 0), 0)</f>
        <v>1</v>
      </c>
      <c r="I949" s="1">
        <f t="array" ref="I949">IF(ISNUMBER(MATCH(15689,Max!$A:$A,0)), IF(OR(INDEX(Max!$D:$D,MATCH(15689,Max!$A:$A,0))=1, INDEX(Max!$D:$D,MATCH(15689,Max!$A:$A,0))=2), INDEX(Max!$D:$D,MATCH(15689,Max!$A:$A,0)), 0), 0)</f>
        <v>0</v>
      </c>
    </row>
    <row r="950" spans="1:9" ht="15.75" customHeight="1" x14ac:dyDescent="0.2">
      <c r="A950" s="1">
        <v>45535</v>
      </c>
      <c r="B950" s="1" t="s">
        <v>254</v>
      </c>
      <c r="C950" s="1" t="s">
        <v>2266</v>
      </c>
      <c r="D950" s="1" t="str">
        <f t="shared" si="3"/>
        <v>2</v>
      </c>
      <c r="E950" s="1" t="s">
        <v>2267</v>
      </c>
      <c r="G950" s="1">
        <f t="array" ref="G950">IF(ISNUMBER(MATCH(45535,Camille!$A:$A,0)), IF(OR(INDEX(Camille!$D:$D,MATCH(45535,Camille!$A:$A,0))=1, INDEX(Camille!$D:$D,MATCH(45535,Camille!$A:$A,0))=2), INDEX(Camille!$D:$D,MATCH(45535,Camille!$A:$A,0)), 0), 0)</f>
        <v>0</v>
      </c>
      <c r="H950" s="1">
        <f t="array" ref="H950">IF(ISNUMBER(MATCH(45535,Telmo!$A:$A,0)), IF(OR(INDEX(Telmo!$D:$D,MATCH(45535,Telmo!$A:$A,0))=1, INDEX(Telmo!$D:$D,MATCH(45535,Telmo!$A:$A,0))=2), INDEX(Telmo!$D:$D,MATCH(45535,Telmo!$A:$A,0)), 0), 0)</f>
        <v>2</v>
      </c>
      <c r="I950" s="1">
        <f t="array" ref="I950">IF(ISNUMBER(MATCH(45535,Max!$A:$A,0)), IF(OR(INDEX(Max!$D:$D,MATCH(45535,Max!$A:$A,0))=1, INDEX(Max!$D:$D,MATCH(45535,Max!$A:$A,0))=2), INDEX(Max!$D:$D,MATCH(45535,Max!$A:$A,0)), 0), 0)</f>
        <v>0</v>
      </c>
    </row>
    <row r="951" spans="1:9" ht="15.75" customHeight="1" x14ac:dyDescent="0.2">
      <c r="A951" s="1">
        <v>69896</v>
      </c>
      <c r="B951" s="1" t="s">
        <v>23</v>
      </c>
      <c r="C951" s="1" t="s">
        <v>2268</v>
      </c>
      <c r="D951" s="1" t="str">
        <f t="shared" si="3"/>
        <v>2</v>
      </c>
      <c r="E951" s="1" t="s">
        <v>2269</v>
      </c>
      <c r="G951" s="1">
        <f t="array" ref="G951">IF(ISNUMBER(MATCH(69896,Camille!$A:$A,0)), IF(OR(INDEX(Camille!$D:$D,MATCH(69896,Camille!$A:$A,0))=1, INDEX(Camille!$D:$D,MATCH(69896,Camille!$A:$A,0))=2), INDEX(Camille!$D:$D,MATCH(69896,Camille!$A:$A,0)), 0), 0)</f>
        <v>0</v>
      </c>
      <c r="H951" s="1">
        <f t="array" ref="H951">IF(ISNUMBER(MATCH(69896,Telmo!$A:$A,0)), IF(OR(INDEX(Telmo!$D:$D,MATCH(69896,Telmo!$A:$A,0))=1, INDEX(Telmo!$D:$D,MATCH(69896,Telmo!$A:$A,0))=2), INDEX(Telmo!$D:$D,MATCH(69896,Telmo!$A:$A,0)), 0), 0)</f>
        <v>2</v>
      </c>
      <c r="I951" s="1">
        <f t="array" ref="I951">IF(ISNUMBER(MATCH(69896,Max!$A:$A,0)), IF(OR(INDEX(Max!$D:$D,MATCH(69896,Max!$A:$A,0))=1, INDEX(Max!$D:$D,MATCH(69896,Max!$A:$A,0))=2), INDEX(Max!$D:$D,MATCH(69896,Max!$A:$A,0)), 0), 0)</f>
        <v>0</v>
      </c>
    </row>
    <row r="952" spans="1:9" ht="15.75" customHeight="1" x14ac:dyDescent="0.2">
      <c r="A952" s="1">
        <v>40497</v>
      </c>
      <c r="B952" s="1" t="s">
        <v>90</v>
      </c>
      <c r="C952" s="1" t="s">
        <v>2270</v>
      </c>
      <c r="D952" s="1" t="str">
        <f t="shared" si="3"/>
        <v>2</v>
      </c>
      <c r="E952" s="1" t="s">
        <v>2271</v>
      </c>
      <c r="G952" s="1">
        <f t="array" ref="G952">IF(ISNUMBER(MATCH(40497,Camille!$A:$A,0)), IF(OR(INDEX(Camille!$D:$D,MATCH(40497,Camille!$A:$A,0))=1, INDEX(Camille!$D:$D,MATCH(40497,Camille!$A:$A,0))=2), INDEX(Camille!$D:$D,MATCH(40497,Camille!$A:$A,0)), 0), 0)</f>
        <v>0</v>
      </c>
      <c r="H952" s="1">
        <f t="array" ref="H952">IF(ISNUMBER(MATCH(40497,Telmo!$A:$A,0)), IF(OR(INDEX(Telmo!$D:$D,MATCH(40497,Telmo!$A:$A,0))=1, INDEX(Telmo!$D:$D,MATCH(40497,Telmo!$A:$A,0))=2), INDEX(Telmo!$D:$D,MATCH(40497,Telmo!$A:$A,0)), 0), 0)</f>
        <v>2</v>
      </c>
      <c r="I952" s="1">
        <f t="array" ref="I952">IF(ISNUMBER(MATCH(40497,Max!$A:$A,0)), IF(OR(INDEX(Max!$D:$D,MATCH(40497,Max!$A:$A,0))=1, INDEX(Max!$D:$D,MATCH(40497,Max!$A:$A,0))=2), INDEX(Max!$D:$D,MATCH(40497,Max!$A:$A,0)), 0), 0)</f>
        <v>0</v>
      </c>
    </row>
    <row r="953" spans="1:9" ht="15.75" customHeight="1" x14ac:dyDescent="0.2">
      <c r="A953" s="1">
        <v>59276</v>
      </c>
      <c r="B953" s="1" t="s">
        <v>32</v>
      </c>
      <c r="C953" s="1" t="s">
        <v>2272</v>
      </c>
      <c r="D953" s="1" t="str">
        <f t="shared" si="3"/>
        <v>1</v>
      </c>
      <c r="E953" s="1" t="s">
        <v>2273</v>
      </c>
      <c r="G953" s="1">
        <f t="array" ref="G953">IF(ISNUMBER(MATCH(59276,Camille!$A:$A,0)), IF(OR(INDEX(Camille!$D:$D,MATCH(59276,Camille!$A:$A,0))=1, INDEX(Camille!$D:$D,MATCH(59276,Camille!$A:$A,0))=2), INDEX(Camille!$D:$D,MATCH(59276,Camille!$A:$A,0)), 0), 0)</f>
        <v>0</v>
      </c>
      <c r="H953" s="1">
        <f t="array" ref="H953">IF(ISNUMBER(MATCH(59276,Telmo!$A:$A,0)), IF(OR(INDEX(Telmo!$D:$D,MATCH(59276,Telmo!$A:$A,0))=1, INDEX(Telmo!$D:$D,MATCH(59276,Telmo!$A:$A,0))=2), INDEX(Telmo!$D:$D,MATCH(59276,Telmo!$A:$A,0)), 0), 0)</f>
        <v>1</v>
      </c>
      <c r="I953" s="1">
        <f t="array" ref="I953">IF(ISNUMBER(MATCH(59276,Max!$A:$A,0)), IF(OR(INDEX(Max!$D:$D,MATCH(59276,Max!$A:$A,0))=1, INDEX(Max!$D:$D,MATCH(59276,Max!$A:$A,0))=2), INDEX(Max!$D:$D,MATCH(59276,Max!$A:$A,0)), 0), 0)</f>
        <v>0</v>
      </c>
    </row>
    <row r="954" spans="1:9" ht="15.75" customHeight="1" x14ac:dyDescent="0.2">
      <c r="A954" s="1">
        <v>36663</v>
      </c>
      <c r="B954" s="1" t="s">
        <v>194</v>
      </c>
      <c r="C954" s="1" t="s">
        <v>2274</v>
      </c>
      <c r="D954" s="1" t="str">
        <f t="shared" si="3"/>
        <v>2</v>
      </c>
      <c r="E954" s="1" t="s">
        <v>2275</v>
      </c>
      <c r="G954" s="1">
        <f t="array" ref="G954">IF(ISNUMBER(MATCH(36663,Camille!$A:$A,0)), IF(OR(INDEX(Camille!$D:$D,MATCH(36663,Camille!$A:$A,0))=1, INDEX(Camille!$D:$D,MATCH(36663,Camille!$A:$A,0))=2), INDEX(Camille!$D:$D,MATCH(36663,Camille!$A:$A,0)), 0), 0)</f>
        <v>0</v>
      </c>
      <c r="H954" s="1">
        <f t="array" ref="H954">IF(ISNUMBER(MATCH(36663,Telmo!$A:$A,0)), IF(OR(INDEX(Telmo!$D:$D,MATCH(36663,Telmo!$A:$A,0))=1, INDEX(Telmo!$D:$D,MATCH(36663,Telmo!$A:$A,0))=2), INDEX(Telmo!$D:$D,MATCH(36663,Telmo!$A:$A,0)), 0), 0)</f>
        <v>2</v>
      </c>
      <c r="I954" s="1">
        <f t="array" ref="I954">IF(ISNUMBER(MATCH(36663,Max!$A:$A,0)), IF(OR(INDEX(Max!$D:$D,MATCH(36663,Max!$A:$A,0))=1, INDEX(Max!$D:$D,MATCH(36663,Max!$A:$A,0))=2), INDEX(Max!$D:$D,MATCH(36663,Max!$A:$A,0)), 0), 0)</f>
        <v>0</v>
      </c>
    </row>
    <row r="955" spans="1:9" ht="15.75" customHeight="1" x14ac:dyDescent="0.2">
      <c r="A955" s="1">
        <v>40994</v>
      </c>
      <c r="B955" s="1" t="s">
        <v>2276</v>
      </c>
      <c r="C955" s="1" t="s">
        <v>2277</v>
      </c>
      <c r="D955" s="1" t="str">
        <f t="shared" si="3"/>
        <v>2</v>
      </c>
      <c r="E955" s="1" t="s">
        <v>2278</v>
      </c>
      <c r="G955" s="1">
        <f t="array" ref="G955">IF(ISNUMBER(MATCH(40994,Camille!$A:$A,0)), IF(OR(INDEX(Camille!$D:$D,MATCH(40994,Camille!$A:$A,0))=1, INDEX(Camille!$D:$D,MATCH(40994,Camille!$A:$A,0))=2), INDEX(Camille!$D:$D,MATCH(40994,Camille!$A:$A,0)), 0), 0)</f>
        <v>0</v>
      </c>
      <c r="H955" s="1">
        <f t="array" ref="H955">IF(ISNUMBER(MATCH(40994,Telmo!$A:$A,0)), IF(OR(INDEX(Telmo!$D:$D,MATCH(40994,Telmo!$A:$A,0))=1, INDEX(Telmo!$D:$D,MATCH(40994,Telmo!$A:$A,0))=2), INDEX(Telmo!$D:$D,MATCH(40994,Telmo!$A:$A,0)), 0), 0)</f>
        <v>2</v>
      </c>
      <c r="I955" s="1">
        <f t="array" ref="I955">IF(ISNUMBER(MATCH(40994,Max!$A:$A,0)), IF(OR(INDEX(Max!$D:$D,MATCH(40994,Max!$A:$A,0))=1, INDEX(Max!$D:$D,MATCH(40994,Max!$A:$A,0))=2), INDEX(Max!$D:$D,MATCH(40994,Max!$A:$A,0)), 0), 0)</f>
        <v>0</v>
      </c>
    </row>
    <row r="956" spans="1:9" ht="15.75" customHeight="1" x14ac:dyDescent="0.2">
      <c r="A956" s="1">
        <v>35045</v>
      </c>
      <c r="B956" s="1" t="s">
        <v>1123</v>
      </c>
      <c r="C956" s="1" t="s">
        <v>2279</v>
      </c>
      <c r="D956" s="1" t="str">
        <f t="shared" si="3"/>
        <v>2</v>
      </c>
      <c r="E956" s="1" t="s">
        <v>2280</v>
      </c>
      <c r="G956" s="1">
        <f t="array" ref="G956">IF(ISNUMBER(MATCH(35045,Camille!$A:$A,0)), IF(OR(INDEX(Camille!$D:$D,MATCH(35045,Camille!$A:$A,0))=1, INDEX(Camille!$D:$D,MATCH(35045,Camille!$A:$A,0))=2), INDEX(Camille!$D:$D,MATCH(35045,Camille!$A:$A,0)), 0), 0)</f>
        <v>0</v>
      </c>
      <c r="H956" s="1">
        <f t="array" ref="H956">IF(ISNUMBER(MATCH(35045,Telmo!$A:$A,0)), IF(OR(INDEX(Telmo!$D:$D,MATCH(35045,Telmo!$A:$A,0))=1, INDEX(Telmo!$D:$D,MATCH(35045,Telmo!$A:$A,0))=2), INDEX(Telmo!$D:$D,MATCH(35045,Telmo!$A:$A,0)), 0), 0)</f>
        <v>2</v>
      </c>
      <c r="I956" s="1">
        <f t="array" ref="I956">IF(ISNUMBER(MATCH(35045,Max!$A:$A,0)), IF(OR(INDEX(Max!$D:$D,MATCH(35045,Max!$A:$A,0))=1, INDEX(Max!$D:$D,MATCH(35045,Max!$A:$A,0))=2), INDEX(Max!$D:$D,MATCH(35045,Max!$A:$A,0)), 0), 0)</f>
        <v>0</v>
      </c>
    </row>
    <row r="957" spans="1:9" ht="15.75" customHeight="1" x14ac:dyDescent="0.2">
      <c r="A957" s="1">
        <v>7469</v>
      </c>
      <c r="B957" s="1" t="s">
        <v>215</v>
      </c>
      <c r="C957" s="1" t="s">
        <v>2281</v>
      </c>
      <c r="D957" s="1" t="str">
        <f t="shared" si="3"/>
        <v>2</v>
      </c>
      <c r="E957" s="1" t="s">
        <v>2282</v>
      </c>
      <c r="G957" s="1">
        <f t="array" ref="G957">IF(ISNUMBER(MATCH(7469,Camille!$A:$A,0)), IF(OR(INDEX(Camille!$D:$D,MATCH(7469,Camille!$A:$A,0))=1, INDEX(Camille!$D:$D,MATCH(7469,Camille!$A:$A,0))=2), INDEX(Camille!$D:$D,MATCH(7469,Camille!$A:$A,0)), 0), 0)</f>
        <v>0</v>
      </c>
      <c r="H957" s="1">
        <f t="array" ref="H957">IF(ISNUMBER(MATCH(7469,Telmo!$A:$A,0)), IF(OR(INDEX(Telmo!$D:$D,MATCH(7469,Telmo!$A:$A,0))=1, INDEX(Telmo!$D:$D,MATCH(7469,Telmo!$A:$A,0))=2), INDEX(Telmo!$D:$D,MATCH(7469,Telmo!$A:$A,0)), 0), 0)</f>
        <v>2</v>
      </c>
      <c r="I957" s="1">
        <f t="array" ref="I957">IF(ISNUMBER(MATCH(7469,Max!$A:$A,0)), IF(OR(INDEX(Max!$D:$D,MATCH(7469,Max!$A:$A,0))=1, INDEX(Max!$D:$D,MATCH(7469,Max!$A:$A,0))=2), INDEX(Max!$D:$D,MATCH(7469,Max!$A:$A,0)), 0), 0)</f>
        <v>0</v>
      </c>
    </row>
    <row r="958" spans="1:9" ht="15.75" customHeight="1" x14ac:dyDescent="0.2">
      <c r="A958" s="1">
        <v>59486</v>
      </c>
      <c r="B958" s="1" t="s">
        <v>731</v>
      </c>
      <c r="C958" s="1" t="s">
        <v>2283</v>
      </c>
      <c r="D958" s="1" t="str">
        <f t="shared" si="3"/>
        <v>2</v>
      </c>
      <c r="E958" s="1" t="s">
        <v>2284</v>
      </c>
      <c r="G958" s="1">
        <f t="array" ref="G958">IF(ISNUMBER(MATCH(59486,Camille!$A:$A,0)), IF(OR(INDEX(Camille!$D:$D,MATCH(59486,Camille!$A:$A,0))=1, INDEX(Camille!$D:$D,MATCH(59486,Camille!$A:$A,0))=2), INDEX(Camille!$D:$D,MATCH(59486,Camille!$A:$A,0)), 0), 0)</f>
        <v>0</v>
      </c>
      <c r="H958" s="1">
        <f t="array" ref="H958">IF(ISNUMBER(MATCH(59486,Telmo!$A:$A,0)), IF(OR(INDEX(Telmo!$D:$D,MATCH(59486,Telmo!$A:$A,0))=1, INDEX(Telmo!$D:$D,MATCH(59486,Telmo!$A:$A,0))=2), INDEX(Telmo!$D:$D,MATCH(59486,Telmo!$A:$A,0)), 0), 0)</f>
        <v>2</v>
      </c>
      <c r="I958" s="1">
        <f t="array" ref="I958">IF(ISNUMBER(MATCH(59486,Max!$A:$A,0)), IF(OR(INDEX(Max!$D:$D,MATCH(59486,Max!$A:$A,0))=1, INDEX(Max!$D:$D,MATCH(59486,Max!$A:$A,0))=2), INDEX(Max!$D:$D,MATCH(59486,Max!$A:$A,0)), 0), 0)</f>
        <v>0</v>
      </c>
    </row>
    <row r="959" spans="1:9" ht="15.75" customHeight="1" x14ac:dyDescent="0.2">
      <c r="A959" s="1">
        <v>6379</v>
      </c>
      <c r="B959" s="1" t="s">
        <v>524</v>
      </c>
      <c r="C959" s="1" t="s">
        <v>2285</v>
      </c>
      <c r="D959" s="1" t="str">
        <f t="shared" si="3"/>
        <v>2</v>
      </c>
      <c r="E959" s="1" t="s">
        <v>2286</v>
      </c>
      <c r="G959" s="1">
        <f t="array" ref="G959">IF(ISNUMBER(MATCH(6379,Camille!$A:$A,0)), IF(OR(INDEX(Camille!$D:$D,MATCH(6379,Camille!$A:$A,0))=1, INDEX(Camille!$D:$D,MATCH(6379,Camille!$A:$A,0))=2), INDEX(Camille!$D:$D,MATCH(6379,Camille!$A:$A,0)), 0), 0)</f>
        <v>0</v>
      </c>
      <c r="H959" s="1">
        <f t="array" ref="H959">IF(ISNUMBER(MATCH(6379,Telmo!$A:$A,0)), IF(OR(INDEX(Telmo!$D:$D,MATCH(6379,Telmo!$A:$A,0))=1, INDEX(Telmo!$D:$D,MATCH(6379,Telmo!$A:$A,0))=2), INDEX(Telmo!$D:$D,MATCH(6379,Telmo!$A:$A,0)), 0), 0)</f>
        <v>2</v>
      </c>
      <c r="I959" s="1">
        <f t="array" ref="I959">IF(ISNUMBER(MATCH(6379,Max!$A:$A,0)), IF(OR(INDEX(Max!$D:$D,MATCH(6379,Max!$A:$A,0))=1, INDEX(Max!$D:$D,MATCH(6379,Max!$A:$A,0))=2), INDEX(Max!$D:$D,MATCH(6379,Max!$A:$A,0)), 0), 0)</f>
        <v>0</v>
      </c>
    </row>
    <row r="960" spans="1:9" ht="15.75" customHeight="1" x14ac:dyDescent="0.2">
      <c r="A960" s="1">
        <v>13677</v>
      </c>
      <c r="B960" s="1" t="s">
        <v>2276</v>
      </c>
      <c r="C960" s="1" t="s">
        <v>2287</v>
      </c>
      <c r="D960" s="1" t="str">
        <f t="shared" si="3"/>
        <v>2</v>
      </c>
      <c r="E960" s="1" t="s">
        <v>2288</v>
      </c>
      <c r="G960" s="1">
        <f t="array" ref="G960">IF(ISNUMBER(MATCH(13677,Camille!$A:$A,0)), IF(OR(INDEX(Camille!$D:$D,MATCH(13677,Camille!$A:$A,0))=1, INDEX(Camille!$D:$D,MATCH(13677,Camille!$A:$A,0))=2), INDEX(Camille!$D:$D,MATCH(13677,Camille!$A:$A,0)), 0), 0)</f>
        <v>0</v>
      </c>
      <c r="H960" s="1">
        <f t="array" ref="H960">IF(ISNUMBER(MATCH(13677,Telmo!$A:$A,0)), IF(OR(INDEX(Telmo!$D:$D,MATCH(13677,Telmo!$A:$A,0))=1, INDEX(Telmo!$D:$D,MATCH(13677,Telmo!$A:$A,0))=2), INDEX(Telmo!$D:$D,MATCH(13677,Telmo!$A:$A,0)), 0), 0)</f>
        <v>2</v>
      </c>
      <c r="I960" s="1">
        <f t="array" ref="I960">IF(ISNUMBER(MATCH(13677,Max!$A:$A,0)), IF(OR(INDEX(Max!$D:$D,MATCH(13677,Max!$A:$A,0))=1, INDEX(Max!$D:$D,MATCH(13677,Max!$A:$A,0))=2), INDEX(Max!$D:$D,MATCH(13677,Max!$A:$A,0)), 0), 0)</f>
        <v>0</v>
      </c>
    </row>
    <row r="961" spans="1:9" ht="15.75" customHeight="1" x14ac:dyDescent="0.2">
      <c r="A961" s="1">
        <v>3053</v>
      </c>
      <c r="B961" s="1" t="s">
        <v>794</v>
      </c>
      <c r="C961" s="1" t="s">
        <v>2289</v>
      </c>
      <c r="D961" s="1" t="str">
        <f t="shared" si="3"/>
        <v>2</v>
      </c>
      <c r="E961" s="1" t="s">
        <v>2290</v>
      </c>
      <c r="G961" s="1">
        <f t="array" ref="G961">IF(ISNUMBER(MATCH(3053,Camille!$A:$A,0)), IF(OR(INDEX(Camille!$D:$D,MATCH(3053,Camille!$A:$A,0))=1, INDEX(Camille!$D:$D,MATCH(3053,Camille!$A:$A,0))=2), INDEX(Camille!$D:$D,MATCH(3053,Camille!$A:$A,0)), 0), 0)</f>
        <v>0</v>
      </c>
      <c r="H961" s="1">
        <f t="array" ref="H961">IF(ISNUMBER(MATCH(3053,Telmo!$A:$A,0)), IF(OR(INDEX(Telmo!$D:$D,MATCH(3053,Telmo!$A:$A,0))=1, INDEX(Telmo!$D:$D,MATCH(3053,Telmo!$A:$A,0))=2), INDEX(Telmo!$D:$D,MATCH(3053,Telmo!$A:$A,0)), 0), 0)</f>
        <v>2</v>
      </c>
      <c r="I961" s="1">
        <f t="array" ref="I961">IF(ISNUMBER(MATCH(3053,Max!$A:$A,0)), IF(OR(INDEX(Max!$D:$D,MATCH(3053,Max!$A:$A,0))=1, INDEX(Max!$D:$D,MATCH(3053,Max!$A:$A,0))=2), INDEX(Max!$D:$D,MATCH(3053,Max!$A:$A,0)), 0), 0)</f>
        <v>0</v>
      </c>
    </row>
    <row r="962" spans="1:9" ht="15.75" customHeight="1" x14ac:dyDescent="0.2">
      <c r="A962" s="1">
        <v>30227</v>
      </c>
      <c r="B962" s="1" t="s">
        <v>129</v>
      </c>
      <c r="C962" s="1" t="s">
        <v>2291</v>
      </c>
      <c r="D962" s="1" t="str">
        <f t="shared" si="3"/>
        <v>2</v>
      </c>
      <c r="E962" s="1" t="s">
        <v>2292</v>
      </c>
      <c r="G962" s="1">
        <f t="array" ref="G962">IF(ISNUMBER(MATCH(30227,Camille!$A:$A,0)), IF(OR(INDEX(Camille!$D:$D,MATCH(30227,Camille!$A:$A,0))=1, INDEX(Camille!$D:$D,MATCH(30227,Camille!$A:$A,0))=2), INDEX(Camille!$D:$D,MATCH(30227,Camille!$A:$A,0)), 0), 0)</f>
        <v>0</v>
      </c>
      <c r="H962" s="1">
        <f t="array" ref="H962">IF(ISNUMBER(MATCH(30227,Telmo!$A:$A,0)), IF(OR(INDEX(Telmo!$D:$D,MATCH(30227,Telmo!$A:$A,0))=1, INDEX(Telmo!$D:$D,MATCH(30227,Telmo!$A:$A,0))=2), INDEX(Telmo!$D:$D,MATCH(30227,Telmo!$A:$A,0)), 0), 0)</f>
        <v>2</v>
      </c>
      <c r="I962" s="1">
        <f t="array" ref="I962">IF(ISNUMBER(MATCH(30227,Max!$A:$A,0)), IF(OR(INDEX(Max!$D:$D,MATCH(30227,Max!$A:$A,0))=1, INDEX(Max!$D:$D,MATCH(30227,Max!$A:$A,0))=2), INDEX(Max!$D:$D,MATCH(30227,Max!$A:$A,0)), 0), 0)</f>
        <v>0</v>
      </c>
    </row>
    <row r="963" spans="1:9" ht="15.75" customHeight="1" x14ac:dyDescent="0.2">
      <c r="A963" s="1">
        <v>51462</v>
      </c>
      <c r="B963" s="1" t="s">
        <v>95</v>
      </c>
      <c r="C963" s="1" t="s">
        <v>2293</v>
      </c>
      <c r="D963" s="1" t="str">
        <f t="shared" si="3"/>
        <v>2</v>
      </c>
      <c r="E963" s="1" t="s">
        <v>2294</v>
      </c>
      <c r="G963" s="1">
        <f t="array" ref="G963">IF(ISNUMBER(MATCH(51462,Camille!$A:$A,0)), IF(OR(INDEX(Camille!$D:$D,MATCH(51462,Camille!$A:$A,0))=1, INDEX(Camille!$D:$D,MATCH(51462,Camille!$A:$A,0))=2), INDEX(Camille!$D:$D,MATCH(51462,Camille!$A:$A,0)), 0), 0)</f>
        <v>0</v>
      </c>
      <c r="H963" s="1">
        <f t="array" ref="H963">IF(ISNUMBER(MATCH(51462,Telmo!$A:$A,0)), IF(OR(INDEX(Telmo!$D:$D,MATCH(51462,Telmo!$A:$A,0))=1, INDEX(Telmo!$D:$D,MATCH(51462,Telmo!$A:$A,0))=2), INDEX(Telmo!$D:$D,MATCH(51462,Telmo!$A:$A,0)), 0), 0)</f>
        <v>2</v>
      </c>
      <c r="I963" s="1">
        <f t="array" ref="I963">IF(ISNUMBER(MATCH(51462,Max!$A:$A,0)), IF(OR(INDEX(Max!$D:$D,MATCH(51462,Max!$A:$A,0))=1, INDEX(Max!$D:$D,MATCH(51462,Max!$A:$A,0))=2), INDEX(Max!$D:$D,MATCH(51462,Max!$A:$A,0)), 0), 0)</f>
        <v>0</v>
      </c>
    </row>
    <row r="964" spans="1:9" ht="15.75" customHeight="1" x14ac:dyDescent="0.2">
      <c r="A964" s="1">
        <v>18162</v>
      </c>
      <c r="B964" s="1" t="s">
        <v>348</v>
      </c>
      <c r="C964" s="1" t="s">
        <v>2295</v>
      </c>
      <c r="D964" s="1" t="str">
        <f t="shared" si="3"/>
        <v>1</v>
      </c>
      <c r="E964" s="1" t="s">
        <v>2296</v>
      </c>
      <c r="G964" s="1">
        <f t="array" ref="G964">IF(ISNUMBER(MATCH(18162,Camille!$A:$A,0)), IF(OR(INDEX(Camille!$D:$D,MATCH(18162,Camille!$A:$A,0))=1, INDEX(Camille!$D:$D,MATCH(18162,Camille!$A:$A,0))=2), INDEX(Camille!$D:$D,MATCH(18162,Camille!$A:$A,0)), 0), 0)</f>
        <v>0</v>
      </c>
      <c r="H964" s="1">
        <f t="array" ref="H964">IF(ISNUMBER(MATCH(18162,Telmo!$A:$A,0)), IF(OR(INDEX(Telmo!$D:$D,MATCH(18162,Telmo!$A:$A,0))=1, INDEX(Telmo!$D:$D,MATCH(18162,Telmo!$A:$A,0))=2), INDEX(Telmo!$D:$D,MATCH(18162,Telmo!$A:$A,0)), 0), 0)</f>
        <v>1</v>
      </c>
      <c r="I964" s="1">
        <f t="array" ref="I964">IF(ISNUMBER(MATCH(18162,Max!$A:$A,0)), IF(OR(INDEX(Max!$D:$D,MATCH(18162,Max!$A:$A,0))=1, INDEX(Max!$D:$D,MATCH(18162,Max!$A:$A,0))=2), INDEX(Max!$D:$D,MATCH(18162,Max!$A:$A,0)), 0), 0)</f>
        <v>0</v>
      </c>
    </row>
    <row r="965" spans="1:9" ht="15.75" customHeight="1" x14ac:dyDescent="0.2">
      <c r="A965" s="1">
        <v>41283</v>
      </c>
      <c r="B965" s="1" t="s">
        <v>639</v>
      </c>
      <c r="C965" s="1" t="s">
        <v>2297</v>
      </c>
      <c r="D965" s="1" t="str">
        <f t="shared" si="3"/>
        <v>2</v>
      </c>
      <c r="E965" s="1" t="s">
        <v>2298</v>
      </c>
      <c r="G965" s="1">
        <f t="array" ref="G965">IF(ISNUMBER(MATCH(41283,Camille!$A:$A,0)), IF(OR(INDEX(Camille!$D:$D,MATCH(41283,Camille!$A:$A,0))=1, INDEX(Camille!$D:$D,MATCH(41283,Camille!$A:$A,0))=2), INDEX(Camille!$D:$D,MATCH(41283,Camille!$A:$A,0)), 0), 0)</f>
        <v>0</v>
      </c>
      <c r="H965" s="1">
        <f t="array" ref="H965">IF(ISNUMBER(MATCH(41283,Telmo!$A:$A,0)), IF(OR(INDEX(Telmo!$D:$D,MATCH(41283,Telmo!$A:$A,0))=1, INDEX(Telmo!$D:$D,MATCH(41283,Telmo!$A:$A,0))=2), INDEX(Telmo!$D:$D,MATCH(41283,Telmo!$A:$A,0)), 0), 0)</f>
        <v>2</v>
      </c>
      <c r="I965" s="1">
        <f t="array" ref="I965">IF(ISNUMBER(MATCH(41283,Max!$A:$A,0)), IF(OR(INDEX(Max!$D:$D,MATCH(41283,Max!$A:$A,0))=1, INDEX(Max!$D:$D,MATCH(41283,Max!$A:$A,0))=2), INDEX(Max!$D:$D,MATCH(41283,Max!$A:$A,0)), 0), 0)</f>
        <v>0</v>
      </c>
    </row>
    <row r="966" spans="1:9" ht="15.75" customHeight="1" x14ac:dyDescent="0.2">
      <c r="A966" s="1">
        <v>25085</v>
      </c>
      <c r="B966" s="1" t="s">
        <v>276</v>
      </c>
      <c r="C966" s="1" t="s">
        <v>2299</v>
      </c>
      <c r="D966" s="1" t="str">
        <f t="shared" si="3"/>
        <v>1</v>
      </c>
      <c r="E966" s="1" t="s">
        <v>2300</v>
      </c>
      <c r="G966" s="1">
        <f t="array" ref="G966">IF(ISNUMBER(MATCH(25085,Camille!$A:$A,0)), IF(OR(INDEX(Camille!$D:$D,MATCH(25085,Camille!$A:$A,0))=1, INDEX(Camille!$D:$D,MATCH(25085,Camille!$A:$A,0))=2), INDEX(Camille!$D:$D,MATCH(25085,Camille!$A:$A,0)), 0), 0)</f>
        <v>0</v>
      </c>
      <c r="H966" s="1">
        <f t="array" ref="H966">IF(ISNUMBER(MATCH(25085,Telmo!$A:$A,0)), IF(OR(INDEX(Telmo!$D:$D,MATCH(25085,Telmo!$A:$A,0))=1, INDEX(Telmo!$D:$D,MATCH(25085,Telmo!$A:$A,0))=2), INDEX(Telmo!$D:$D,MATCH(25085,Telmo!$A:$A,0)), 0), 0)</f>
        <v>1</v>
      </c>
      <c r="I966" s="1">
        <f t="array" ref="I966">IF(ISNUMBER(MATCH(25085,Max!$A:$A,0)), IF(OR(INDEX(Max!$D:$D,MATCH(25085,Max!$A:$A,0))=1, INDEX(Max!$D:$D,MATCH(25085,Max!$A:$A,0))=2), INDEX(Max!$D:$D,MATCH(25085,Max!$A:$A,0)), 0), 0)</f>
        <v>0</v>
      </c>
    </row>
    <row r="967" spans="1:9" ht="15.75" customHeight="1" x14ac:dyDescent="0.2">
      <c r="A967" s="1">
        <v>12800</v>
      </c>
      <c r="B967" s="1" t="s">
        <v>180</v>
      </c>
      <c r="C967" s="1" t="s">
        <v>2301</v>
      </c>
      <c r="D967" s="1" t="str">
        <f t="shared" si="3"/>
        <v>2</v>
      </c>
      <c r="E967" s="1" t="s">
        <v>2302</v>
      </c>
      <c r="G967" s="1">
        <f t="array" ref="G967">IF(ISNUMBER(MATCH(12800,Camille!$A:$A,0)), IF(OR(INDEX(Camille!$D:$D,MATCH(12800,Camille!$A:$A,0))=1, INDEX(Camille!$D:$D,MATCH(12800,Camille!$A:$A,0))=2), INDEX(Camille!$D:$D,MATCH(12800,Camille!$A:$A,0)), 0), 0)</f>
        <v>0</v>
      </c>
      <c r="H967" s="1">
        <f t="array" ref="H967">IF(ISNUMBER(MATCH(12800,Telmo!$A:$A,0)), IF(OR(INDEX(Telmo!$D:$D,MATCH(12800,Telmo!$A:$A,0))=1, INDEX(Telmo!$D:$D,MATCH(12800,Telmo!$A:$A,0))=2), INDEX(Telmo!$D:$D,MATCH(12800,Telmo!$A:$A,0)), 0), 0)</f>
        <v>2</v>
      </c>
      <c r="I967" s="1">
        <f t="array" ref="I967">IF(ISNUMBER(MATCH(12800,Max!$A:$A,0)), IF(OR(INDEX(Max!$D:$D,MATCH(12800,Max!$A:$A,0))=1, INDEX(Max!$D:$D,MATCH(12800,Max!$A:$A,0))=2), INDEX(Max!$D:$D,MATCH(12800,Max!$A:$A,0)), 0), 0)</f>
        <v>0</v>
      </c>
    </row>
    <row r="968" spans="1:9" ht="15.75" customHeight="1" x14ac:dyDescent="0.2">
      <c r="A968" s="1">
        <v>65079</v>
      </c>
      <c r="B968" s="1" t="s">
        <v>87</v>
      </c>
      <c r="C968" s="1" t="s">
        <v>2303</v>
      </c>
      <c r="D968" s="1" t="str">
        <f t="shared" si="3"/>
        <v>2</v>
      </c>
      <c r="E968" s="1" t="s">
        <v>2304</v>
      </c>
      <c r="G968" s="1">
        <f t="array" ref="G968">IF(ISNUMBER(MATCH(65079,Camille!$A:$A,0)), IF(OR(INDEX(Camille!$D:$D,MATCH(65079,Camille!$A:$A,0))=1, INDEX(Camille!$D:$D,MATCH(65079,Camille!$A:$A,0))=2), INDEX(Camille!$D:$D,MATCH(65079,Camille!$A:$A,0)), 0), 0)</f>
        <v>0</v>
      </c>
      <c r="H968" s="1">
        <f t="array" ref="H968">IF(ISNUMBER(MATCH(65079,Telmo!$A:$A,0)), IF(OR(INDEX(Telmo!$D:$D,MATCH(65079,Telmo!$A:$A,0))=1, INDEX(Telmo!$D:$D,MATCH(65079,Telmo!$A:$A,0))=2), INDEX(Telmo!$D:$D,MATCH(65079,Telmo!$A:$A,0)), 0), 0)</f>
        <v>2</v>
      </c>
      <c r="I968" s="1">
        <f t="array" ref="I968">IF(ISNUMBER(MATCH(65079,Max!$A:$A,0)), IF(OR(INDEX(Max!$D:$D,MATCH(65079,Max!$A:$A,0))=1, INDEX(Max!$D:$D,MATCH(65079,Max!$A:$A,0))=2), INDEX(Max!$D:$D,MATCH(65079,Max!$A:$A,0)), 0), 0)</f>
        <v>0</v>
      </c>
    </row>
    <row r="969" spans="1:9" ht="15.75" customHeight="1" x14ac:dyDescent="0.2">
      <c r="A969" s="1">
        <v>12426</v>
      </c>
      <c r="B969" s="1" t="s">
        <v>276</v>
      </c>
      <c r="C969" s="1" t="s">
        <v>2305</v>
      </c>
      <c r="D969" s="1" t="str">
        <f t="shared" si="3"/>
        <v>1</v>
      </c>
      <c r="E969" s="1" t="s">
        <v>2306</v>
      </c>
      <c r="G969" s="1">
        <f t="array" ref="G969">IF(ISNUMBER(MATCH(12426,Camille!$A:$A,0)), IF(OR(INDEX(Camille!$D:$D,MATCH(12426,Camille!$A:$A,0))=1, INDEX(Camille!$D:$D,MATCH(12426,Camille!$A:$A,0))=2), INDEX(Camille!$D:$D,MATCH(12426,Camille!$A:$A,0)), 0), 0)</f>
        <v>0</v>
      </c>
      <c r="H969" s="1">
        <f t="array" ref="H969">IF(ISNUMBER(MATCH(12426,Telmo!$A:$A,0)), IF(OR(INDEX(Telmo!$D:$D,MATCH(12426,Telmo!$A:$A,0))=1, INDEX(Telmo!$D:$D,MATCH(12426,Telmo!$A:$A,0))=2), INDEX(Telmo!$D:$D,MATCH(12426,Telmo!$A:$A,0)), 0), 0)</f>
        <v>1</v>
      </c>
      <c r="I969" s="1">
        <f t="array" ref="I969">IF(ISNUMBER(MATCH(12426,Max!$A:$A,0)), IF(OR(INDEX(Max!$D:$D,MATCH(12426,Max!$A:$A,0))=1, INDEX(Max!$D:$D,MATCH(12426,Max!$A:$A,0))=2), INDEX(Max!$D:$D,MATCH(12426,Max!$A:$A,0)), 0), 0)</f>
        <v>0</v>
      </c>
    </row>
    <row r="970" spans="1:9" ht="15.75" customHeight="1" x14ac:dyDescent="0.2">
      <c r="A970" s="1">
        <v>3556</v>
      </c>
      <c r="B970" s="1" t="s">
        <v>986</v>
      </c>
      <c r="C970" s="1" t="s">
        <v>2307</v>
      </c>
      <c r="D970" s="1" t="str">
        <f t="shared" si="3"/>
        <v>2</v>
      </c>
      <c r="E970" s="1" t="s">
        <v>2308</v>
      </c>
      <c r="G970" s="1">
        <f t="array" ref="G970">IF(ISNUMBER(MATCH(3556,Camille!$A:$A,0)), IF(OR(INDEX(Camille!$D:$D,MATCH(3556,Camille!$A:$A,0))=1, INDEX(Camille!$D:$D,MATCH(3556,Camille!$A:$A,0))=2), INDEX(Camille!$D:$D,MATCH(3556,Camille!$A:$A,0)), 0), 0)</f>
        <v>0</v>
      </c>
      <c r="H970" s="1">
        <f t="array" ref="H970">IF(ISNUMBER(MATCH(3556,Telmo!$A:$A,0)), IF(OR(INDEX(Telmo!$D:$D,MATCH(3556,Telmo!$A:$A,0))=1, INDEX(Telmo!$D:$D,MATCH(3556,Telmo!$A:$A,0))=2), INDEX(Telmo!$D:$D,MATCH(3556,Telmo!$A:$A,0)), 0), 0)</f>
        <v>2</v>
      </c>
      <c r="I970" s="1">
        <f t="array" ref="I970">IF(ISNUMBER(MATCH(3556,Max!$A:$A,0)), IF(OR(INDEX(Max!$D:$D,MATCH(3556,Max!$A:$A,0))=1, INDEX(Max!$D:$D,MATCH(3556,Max!$A:$A,0))=2), INDEX(Max!$D:$D,MATCH(3556,Max!$A:$A,0)), 0), 0)</f>
        <v>0</v>
      </c>
    </row>
    <row r="971" spans="1:9" ht="15.75" customHeight="1" x14ac:dyDescent="0.2">
      <c r="A971" s="1">
        <v>23538</v>
      </c>
      <c r="B971" s="1" t="s">
        <v>819</v>
      </c>
      <c r="C971" s="1" t="s">
        <v>2309</v>
      </c>
      <c r="D971" s="1" t="str">
        <f t="shared" si="3"/>
        <v>2</v>
      </c>
      <c r="E971" s="1" t="s">
        <v>2310</v>
      </c>
      <c r="G971" s="1">
        <f t="array" ref="G971">IF(ISNUMBER(MATCH(23538,Camille!$A:$A,0)), IF(OR(INDEX(Camille!$D:$D,MATCH(23538,Camille!$A:$A,0))=1, INDEX(Camille!$D:$D,MATCH(23538,Camille!$A:$A,0))=2), INDEX(Camille!$D:$D,MATCH(23538,Camille!$A:$A,0)), 0), 0)</f>
        <v>0</v>
      </c>
      <c r="H971" s="1">
        <f t="array" ref="H971">IF(ISNUMBER(MATCH(23538,Telmo!$A:$A,0)), IF(OR(INDEX(Telmo!$D:$D,MATCH(23538,Telmo!$A:$A,0))=1, INDEX(Telmo!$D:$D,MATCH(23538,Telmo!$A:$A,0))=2), INDEX(Telmo!$D:$D,MATCH(23538,Telmo!$A:$A,0)), 0), 0)</f>
        <v>2</v>
      </c>
      <c r="I971" s="1">
        <f t="array" ref="I971">IF(ISNUMBER(MATCH(23538,Max!$A:$A,0)), IF(OR(INDEX(Max!$D:$D,MATCH(23538,Max!$A:$A,0))=1, INDEX(Max!$D:$D,MATCH(23538,Max!$A:$A,0))=2), INDEX(Max!$D:$D,MATCH(23538,Max!$A:$A,0)), 0), 0)</f>
        <v>0</v>
      </c>
    </row>
    <row r="972" spans="1:9" ht="15.75" customHeight="1" x14ac:dyDescent="0.2">
      <c r="A972" s="1">
        <v>11660</v>
      </c>
      <c r="B972" s="1" t="s">
        <v>485</v>
      </c>
      <c r="C972" s="1" t="s">
        <v>2311</v>
      </c>
      <c r="D972" s="1" t="str">
        <f t="shared" si="3"/>
        <v>1</v>
      </c>
      <c r="E972" s="1" t="s">
        <v>2312</v>
      </c>
      <c r="G972" s="1">
        <f t="array" ref="G972">IF(ISNUMBER(MATCH(11660,Camille!$A:$A,0)), IF(OR(INDEX(Camille!$D:$D,MATCH(11660,Camille!$A:$A,0))=1, INDEX(Camille!$D:$D,MATCH(11660,Camille!$A:$A,0))=2), INDEX(Camille!$D:$D,MATCH(11660,Camille!$A:$A,0)), 0), 0)</f>
        <v>0</v>
      </c>
      <c r="H972" s="1">
        <f t="array" ref="H972">IF(ISNUMBER(MATCH(11660,Telmo!$A:$A,0)), IF(OR(INDEX(Telmo!$D:$D,MATCH(11660,Telmo!$A:$A,0))=1, INDEX(Telmo!$D:$D,MATCH(11660,Telmo!$A:$A,0))=2), INDEX(Telmo!$D:$D,MATCH(11660,Telmo!$A:$A,0)), 0), 0)</f>
        <v>1</v>
      </c>
      <c r="I972" s="1">
        <f t="array" ref="I972">IF(ISNUMBER(MATCH(11660,Max!$A:$A,0)), IF(OR(INDEX(Max!$D:$D,MATCH(11660,Max!$A:$A,0))=1, INDEX(Max!$D:$D,MATCH(11660,Max!$A:$A,0))=2), INDEX(Max!$D:$D,MATCH(11660,Max!$A:$A,0)), 0), 0)</f>
        <v>0</v>
      </c>
    </row>
    <row r="973" spans="1:9" ht="15.75" customHeight="1" x14ac:dyDescent="0.2">
      <c r="A973" s="1">
        <v>41316</v>
      </c>
      <c r="B973" s="1" t="s">
        <v>527</v>
      </c>
      <c r="C973" s="1" t="s">
        <v>2313</v>
      </c>
      <c r="D973" s="1" t="str">
        <f t="shared" si="3"/>
        <v>1</v>
      </c>
      <c r="E973" s="1" t="s">
        <v>2314</v>
      </c>
      <c r="G973" s="1">
        <f t="array" ref="G973">IF(ISNUMBER(MATCH(41316,Camille!$A:$A,0)), IF(OR(INDEX(Camille!$D:$D,MATCH(41316,Camille!$A:$A,0))=1, INDEX(Camille!$D:$D,MATCH(41316,Camille!$A:$A,0))=2), INDEX(Camille!$D:$D,MATCH(41316,Camille!$A:$A,0)), 0), 0)</f>
        <v>0</v>
      </c>
      <c r="H973" s="1">
        <f t="array" ref="H973">IF(ISNUMBER(MATCH(41316,Telmo!$A:$A,0)), IF(OR(INDEX(Telmo!$D:$D,MATCH(41316,Telmo!$A:$A,0))=1, INDEX(Telmo!$D:$D,MATCH(41316,Telmo!$A:$A,0))=2), INDEX(Telmo!$D:$D,MATCH(41316,Telmo!$A:$A,0)), 0), 0)</f>
        <v>1</v>
      </c>
      <c r="I973" s="1">
        <f t="array" ref="I973">IF(ISNUMBER(MATCH(41316,Max!$A:$A,0)), IF(OR(INDEX(Max!$D:$D,MATCH(41316,Max!$A:$A,0))=1, INDEX(Max!$D:$D,MATCH(41316,Max!$A:$A,0))=2), INDEX(Max!$D:$D,MATCH(41316,Max!$A:$A,0)), 0), 0)</f>
        <v>0</v>
      </c>
    </row>
    <row r="974" spans="1:9" ht="15.75" customHeight="1" x14ac:dyDescent="0.2">
      <c r="A974" s="1">
        <v>5288</v>
      </c>
      <c r="B974" s="1" t="s">
        <v>268</v>
      </c>
      <c r="C974" s="1" t="s">
        <v>2315</v>
      </c>
      <c r="D974" s="1" t="str">
        <f t="shared" si="3"/>
        <v>1</v>
      </c>
      <c r="E974" s="1" t="s">
        <v>2316</v>
      </c>
      <c r="G974" s="1">
        <f t="array" ref="G974">IF(ISNUMBER(MATCH(5288,Camille!$A:$A,0)), IF(OR(INDEX(Camille!$D:$D,MATCH(5288,Camille!$A:$A,0))=1, INDEX(Camille!$D:$D,MATCH(5288,Camille!$A:$A,0))=2), INDEX(Camille!$D:$D,MATCH(5288,Camille!$A:$A,0)), 0), 0)</f>
        <v>0</v>
      </c>
      <c r="H974" s="1">
        <f t="array" ref="H974">IF(ISNUMBER(MATCH(5288,Telmo!$A:$A,0)), IF(OR(INDEX(Telmo!$D:$D,MATCH(5288,Telmo!$A:$A,0))=1, INDEX(Telmo!$D:$D,MATCH(5288,Telmo!$A:$A,0))=2), INDEX(Telmo!$D:$D,MATCH(5288,Telmo!$A:$A,0)), 0), 0)</f>
        <v>1</v>
      </c>
      <c r="I974" s="1">
        <f t="array" ref="I974">IF(ISNUMBER(MATCH(5288,Max!$A:$A,0)), IF(OR(INDEX(Max!$D:$D,MATCH(5288,Max!$A:$A,0))=1, INDEX(Max!$D:$D,MATCH(5288,Max!$A:$A,0))=2), INDEX(Max!$D:$D,MATCH(5288,Max!$A:$A,0)), 0), 0)</f>
        <v>0</v>
      </c>
    </row>
    <row r="975" spans="1:9" ht="15.75" customHeight="1" x14ac:dyDescent="0.2">
      <c r="A975" s="1">
        <v>22458</v>
      </c>
      <c r="B975" s="1" t="s">
        <v>791</v>
      </c>
      <c r="C975" s="1" t="s">
        <v>2317</v>
      </c>
      <c r="D975" s="1" t="str">
        <f t="shared" si="3"/>
        <v>2</v>
      </c>
      <c r="E975" s="1" t="s">
        <v>2318</v>
      </c>
      <c r="G975" s="1">
        <f t="array" ref="G975">IF(ISNUMBER(MATCH(22458,Camille!$A:$A,0)), IF(OR(INDEX(Camille!$D:$D,MATCH(22458,Camille!$A:$A,0))=1, INDEX(Camille!$D:$D,MATCH(22458,Camille!$A:$A,0))=2), INDEX(Camille!$D:$D,MATCH(22458,Camille!$A:$A,0)), 0), 0)</f>
        <v>0</v>
      </c>
      <c r="H975" s="1">
        <f t="array" ref="H975">IF(ISNUMBER(MATCH(22458,Telmo!$A:$A,0)), IF(OR(INDEX(Telmo!$D:$D,MATCH(22458,Telmo!$A:$A,0))=1, INDEX(Telmo!$D:$D,MATCH(22458,Telmo!$A:$A,0))=2), INDEX(Telmo!$D:$D,MATCH(22458,Telmo!$A:$A,0)), 0), 0)</f>
        <v>2</v>
      </c>
      <c r="I975" s="1">
        <f t="array" ref="I975">IF(ISNUMBER(MATCH(22458,Max!$A:$A,0)), IF(OR(INDEX(Max!$D:$D,MATCH(22458,Max!$A:$A,0))=1, INDEX(Max!$D:$D,MATCH(22458,Max!$A:$A,0))=2), INDEX(Max!$D:$D,MATCH(22458,Max!$A:$A,0)), 0), 0)</f>
        <v>0</v>
      </c>
    </row>
    <row r="976" spans="1:9" ht="15.75" customHeight="1" x14ac:dyDescent="0.2">
      <c r="A976" s="1">
        <v>37933</v>
      </c>
      <c r="B976" s="1" t="s">
        <v>32</v>
      </c>
      <c r="C976" s="1" t="s">
        <v>2319</v>
      </c>
      <c r="D976" s="1" t="str">
        <f t="shared" si="3"/>
        <v>1</v>
      </c>
      <c r="E976" s="1" t="s">
        <v>2320</v>
      </c>
      <c r="G976" s="1">
        <f t="array" ref="G976">IF(ISNUMBER(MATCH(37933,Camille!$A:$A,0)), IF(OR(INDEX(Camille!$D:$D,MATCH(37933,Camille!$A:$A,0))=1, INDEX(Camille!$D:$D,MATCH(37933,Camille!$A:$A,0))=2), INDEX(Camille!$D:$D,MATCH(37933,Camille!$A:$A,0)), 0), 0)</f>
        <v>0</v>
      </c>
      <c r="H976" s="1">
        <f t="array" ref="H976">IF(ISNUMBER(MATCH(37933,Telmo!$A:$A,0)), IF(OR(INDEX(Telmo!$D:$D,MATCH(37933,Telmo!$A:$A,0))=1, INDEX(Telmo!$D:$D,MATCH(37933,Telmo!$A:$A,0))=2), INDEX(Telmo!$D:$D,MATCH(37933,Telmo!$A:$A,0)), 0), 0)</f>
        <v>1</v>
      </c>
      <c r="I976" s="1">
        <f t="array" ref="I976">IF(ISNUMBER(MATCH(37933,Max!$A:$A,0)), IF(OR(INDEX(Max!$D:$D,MATCH(37933,Max!$A:$A,0))=1, INDEX(Max!$D:$D,MATCH(37933,Max!$A:$A,0))=2), INDEX(Max!$D:$D,MATCH(37933,Max!$A:$A,0)), 0), 0)</f>
        <v>0</v>
      </c>
    </row>
    <row r="977" spans="1:9" ht="15.75" customHeight="1" x14ac:dyDescent="0.2">
      <c r="A977" s="1">
        <v>28757</v>
      </c>
      <c r="B977" s="1" t="s">
        <v>2321</v>
      </c>
      <c r="C977" s="1" t="s">
        <v>2322</v>
      </c>
      <c r="D977" s="1" t="str">
        <f t="shared" si="3"/>
        <v>2</v>
      </c>
      <c r="E977" s="1" t="s">
        <v>2323</v>
      </c>
      <c r="G977" s="1">
        <f t="array" ref="G977">IF(ISNUMBER(MATCH(28757,Camille!$A:$A,0)), IF(OR(INDEX(Camille!$D:$D,MATCH(28757,Camille!$A:$A,0))=1, INDEX(Camille!$D:$D,MATCH(28757,Camille!$A:$A,0))=2), INDEX(Camille!$D:$D,MATCH(28757,Camille!$A:$A,0)), 0), 0)</f>
        <v>0</v>
      </c>
      <c r="H977" s="1">
        <f t="array" ref="H977">IF(ISNUMBER(MATCH(28757,Telmo!$A:$A,0)), IF(OR(INDEX(Telmo!$D:$D,MATCH(28757,Telmo!$A:$A,0))=1, INDEX(Telmo!$D:$D,MATCH(28757,Telmo!$A:$A,0))=2), INDEX(Telmo!$D:$D,MATCH(28757,Telmo!$A:$A,0)), 0), 0)</f>
        <v>2</v>
      </c>
      <c r="I977" s="1">
        <f t="array" ref="I977">IF(ISNUMBER(MATCH(28757,Max!$A:$A,0)), IF(OR(INDEX(Max!$D:$D,MATCH(28757,Max!$A:$A,0))=1, INDEX(Max!$D:$D,MATCH(28757,Max!$A:$A,0))=2), INDEX(Max!$D:$D,MATCH(28757,Max!$A:$A,0)), 0), 0)</f>
        <v>0</v>
      </c>
    </row>
    <row r="978" spans="1:9" ht="15.75" customHeight="1" x14ac:dyDescent="0.2">
      <c r="A978" s="1">
        <v>70322</v>
      </c>
      <c r="B978" s="1" t="s">
        <v>354</v>
      </c>
      <c r="C978" s="1" t="s">
        <v>2324</v>
      </c>
      <c r="D978" s="1" t="str">
        <f t="shared" si="3"/>
        <v>2</v>
      </c>
      <c r="E978" s="1" t="s">
        <v>2325</v>
      </c>
      <c r="G978" s="1">
        <f t="array" ref="G978">IF(ISNUMBER(MATCH(70322,Camille!$A:$A,0)), IF(OR(INDEX(Camille!$D:$D,MATCH(70322,Camille!$A:$A,0))=1, INDEX(Camille!$D:$D,MATCH(70322,Camille!$A:$A,0))=2), INDEX(Camille!$D:$D,MATCH(70322,Camille!$A:$A,0)), 0), 0)</f>
        <v>0</v>
      </c>
      <c r="H978" s="1">
        <f t="array" ref="H978">IF(ISNUMBER(MATCH(70322,Telmo!$A:$A,0)), IF(OR(INDEX(Telmo!$D:$D,MATCH(70322,Telmo!$A:$A,0))=1, INDEX(Telmo!$D:$D,MATCH(70322,Telmo!$A:$A,0))=2), INDEX(Telmo!$D:$D,MATCH(70322,Telmo!$A:$A,0)), 0), 0)</f>
        <v>2</v>
      </c>
      <c r="I978" s="1">
        <f t="array" ref="I978">IF(ISNUMBER(MATCH(70322,Max!$A:$A,0)), IF(OR(INDEX(Max!$D:$D,MATCH(70322,Max!$A:$A,0))=1, INDEX(Max!$D:$D,MATCH(70322,Max!$A:$A,0))=2), INDEX(Max!$D:$D,MATCH(70322,Max!$A:$A,0)), 0), 0)</f>
        <v>0</v>
      </c>
    </row>
    <row r="979" spans="1:9" ht="15.75" customHeight="1" x14ac:dyDescent="0.2">
      <c r="A979" s="1">
        <v>18950</v>
      </c>
      <c r="B979" s="1" t="s">
        <v>1261</v>
      </c>
      <c r="C979" s="1" t="s">
        <v>2326</v>
      </c>
      <c r="D979" s="1" t="str">
        <f t="shared" si="3"/>
        <v>2</v>
      </c>
      <c r="E979" s="1" t="s">
        <v>2327</v>
      </c>
      <c r="G979" s="1">
        <f t="array" ref="G979">IF(ISNUMBER(MATCH(18950,Camille!$A:$A,0)), IF(OR(INDEX(Camille!$D:$D,MATCH(18950,Camille!$A:$A,0))=1, INDEX(Camille!$D:$D,MATCH(18950,Camille!$A:$A,0))=2), INDEX(Camille!$D:$D,MATCH(18950,Camille!$A:$A,0)), 0), 0)</f>
        <v>0</v>
      </c>
      <c r="H979" s="1">
        <f t="array" ref="H979">IF(ISNUMBER(MATCH(18950,Telmo!$A:$A,0)), IF(OR(INDEX(Telmo!$D:$D,MATCH(18950,Telmo!$A:$A,0))=1, INDEX(Telmo!$D:$D,MATCH(18950,Telmo!$A:$A,0))=2), INDEX(Telmo!$D:$D,MATCH(18950,Telmo!$A:$A,0)), 0), 0)</f>
        <v>2</v>
      </c>
      <c r="I979" s="1">
        <f t="array" ref="I979">IF(ISNUMBER(MATCH(18950,Max!$A:$A,0)), IF(OR(INDEX(Max!$D:$D,MATCH(18950,Max!$A:$A,0))=1, INDEX(Max!$D:$D,MATCH(18950,Max!$A:$A,0))=2), INDEX(Max!$D:$D,MATCH(18950,Max!$A:$A,0)), 0), 0)</f>
        <v>0</v>
      </c>
    </row>
    <row r="980" spans="1:9" ht="15.75" customHeight="1" x14ac:dyDescent="0.2">
      <c r="A980" s="1">
        <v>33925</v>
      </c>
      <c r="B980" s="1" t="s">
        <v>1201</v>
      </c>
      <c r="C980" s="1" t="s">
        <v>2328</v>
      </c>
      <c r="D980" s="1" t="str">
        <f t="shared" si="3"/>
        <v>1</v>
      </c>
      <c r="E980" s="1" t="s">
        <v>2329</v>
      </c>
      <c r="G980" s="1">
        <f t="array" ref="G980">IF(ISNUMBER(MATCH(33925,Camille!$A:$A,0)), IF(OR(INDEX(Camille!$D:$D,MATCH(33925,Camille!$A:$A,0))=1, INDEX(Camille!$D:$D,MATCH(33925,Camille!$A:$A,0))=2), INDEX(Camille!$D:$D,MATCH(33925,Camille!$A:$A,0)), 0), 0)</f>
        <v>0</v>
      </c>
      <c r="H980" s="1">
        <f t="array" ref="H980">IF(ISNUMBER(MATCH(33925,Telmo!$A:$A,0)), IF(OR(INDEX(Telmo!$D:$D,MATCH(33925,Telmo!$A:$A,0))=1, INDEX(Telmo!$D:$D,MATCH(33925,Telmo!$A:$A,0))=2), INDEX(Telmo!$D:$D,MATCH(33925,Telmo!$A:$A,0)), 0), 0)</f>
        <v>1</v>
      </c>
      <c r="I980" s="1">
        <f t="array" ref="I980">IF(ISNUMBER(MATCH(33925,Max!$A:$A,0)), IF(OR(INDEX(Max!$D:$D,MATCH(33925,Max!$A:$A,0))=1, INDEX(Max!$D:$D,MATCH(33925,Max!$A:$A,0))=2), INDEX(Max!$D:$D,MATCH(33925,Max!$A:$A,0)), 0), 0)</f>
        <v>0</v>
      </c>
    </row>
    <row r="981" spans="1:9" ht="15.75" customHeight="1" x14ac:dyDescent="0.2">
      <c r="A981" s="1">
        <v>27026</v>
      </c>
      <c r="B981" s="1" t="s">
        <v>2330</v>
      </c>
      <c r="C981" s="1" t="s">
        <v>2331</v>
      </c>
      <c r="D981" s="1" t="str">
        <f t="shared" si="3"/>
        <v>2</v>
      </c>
      <c r="E981" s="1" t="s">
        <v>2332</v>
      </c>
      <c r="G981" s="1">
        <f t="array" ref="G981">IF(ISNUMBER(MATCH(27026,Camille!$A:$A,0)), IF(OR(INDEX(Camille!$D:$D,MATCH(27026,Camille!$A:$A,0))=1, INDEX(Camille!$D:$D,MATCH(27026,Camille!$A:$A,0))=2), INDEX(Camille!$D:$D,MATCH(27026,Camille!$A:$A,0)), 0), 0)</f>
        <v>0</v>
      </c>
      <c r="H981" s="1">
        <f t="array" ref="H981">IF(ISNUMBER(MATCH(27026,Telmo!$A:$A,0)), IF(OR(INDEX(Telmo!$D:$D,MATCH(27026,Telmo!$A:$A,0))=1, INDEX(Telmo!$D:$D,MATCH(27026,Telmo!$A:$A,0))=2), INDEX(Telmo!$D:$D,MATCH(27026,Telmo!$A:$A,0)), 0), 0)</f>
        <v>2</v>
      </c>
      <c r="I981" s="1">
        <f t="array" ref="I981">IF(ISNUMBER(MATCH(27026,Max!$A:$A,0)), IF(OR(INDEX(Max!$D:$D,MATCH(27026,Max!$A:$A,0))=1, INDEX(Max!$D:$D,MATCH(27026,Max!$A:$A,0))=2), INDEX(Max!$D:$D,MATCH(27026,Max!$A:$A,0)), 0), 0)</f>
        <v>0</v>
      </c>
    </row>
    <row r="982" spans="1:9" ht="15.75" customHeight="1" x14ac:dyDescent="0.2">
      <c r="A982" s="1">
        <v>48496</v>
      </c>
      <c r="B982" s="1" t="s">
        <v>656</v>
      </c>
      <c r="C982" s="1" t="s">
        <v>2333</v>
      </c>
      <c r="D982" s="1" t="str">
        <f t="shared" si="3"/>
        <v>2</v>
      </c>
      <c r="E982" s="1" t="s">
        <v>2334</v>
      </c>
      <c r="G982" s="1">
        <f t="array" ref="G982">IF(ISNUMBER(MATCH(48496,Camille!$A:$A,0)), IF(OR(INDEX(Camille!$D:$D,MATCH(48496,Camille!$A:$A,0))=1, INDEX(Camille!$D:$D,MATCH(48496,Camille!$A:$A,0))=2), INDEX(Camille!$D:$D,MATCH(48496,Camille!$A:$A,0)), 0), 0)</f>
        <v>0</v>
      </c>
      <c r="H982" s="1">
        <f t="array" ref="H982">IF(ISNUMBER(MATCH(48496,Telmo!$A:$A,0)), IF(OR(INDEX(Telmo!$D:$D,MATCH(48496,Telmo!$A:$A,0))=1, INDEX(Telmo!$D:$D,MATCH(48496,Telmo!$A:$A,0))=2), INDEX(Telmo!$D:$D,MATCH(48496,Telmo!$A:$A,0)), 0), 0)</f>
        <v>2</v>
      </c>
      <c r="I982" s="1">
        <f t="array" ref="I982">IF(ISNUMBER(MATCH(48496,Max!$A:$A,0)), IF(OR(INDEX(Max!$D:$D,MATCH(48496,Max!$A:$A,0))=1, INDEX(Max!$D:$D,MATCH(48496,Max!$A:$A,0))=2), INDEX(Max!$D:$D,MATCH(48496,Max!$A:$A,0)), 0), 0)</f>
        <v>0</v>
      </c>
    </row>
    <row r="983" spans="1:9" ht="15.75" customHeight="1" x14ac:dyDescent="0.2">
      <c r="A983" s="1">
        <v>21609</v>
      </c>
      <c r="B983" s="1" t="s">
        <v>2335</v>
      </c>
      <c r="C983" s="1" t="s">
        <v>2336</v>
      </c>
      <c r="D983" s="1" t="str">
        <f t="shared" si="3"/>
        <v>1</v>
      </c>
      <c r="E983" s="1" t="s">
        <v>2337</v>
      </c>
      <c r="G983" s="1">
        <f t="array" ref="G983">IF(ISNUMBER(MATCH(21609,Camille!$A:$A,0)), IF(OR(INDEX(Camille!$D:$D,MATCH(21609,Camille!$A:$A,0))=1, INDEX(Camille!$D:$D,MATCH(21609,Camille!$A:$A,0))=2), INDEX(Camille!$D:$D,MATCH(21609,Camille!$A:$A,0)), 0), 0)</f>
        <v>0</v>
      </c>
      <c r="H983" s="1">
        <f t="array" ref="H983">IF(ISNUMBER(MATCH(21609,Telmo!$A:$A,0)), IF(OR(INDEX(Telmo!$D:$D,MATCH(21609,Telmo!$A:$A,0))=1, INDEX(Telmo!$D:$D,MATCH(21609,Telmo!$A:$A,0))=2), INDEX(Telmo!$D:$D,MATCH(21609,Telmo!$A:$A,0)), 0), 0)</f>
        <v>1</v>
      </c>
      <c r="I983" s="1">
        <f t="array" ref="I983">IF(ISNUMBER(MATCH(21609,Max!$A:$A,0)), IF(OR(INDEX(Max!$D:$D,MATCH(21609,Max!$A:$A,0))=1, INDEX(Max!$D:$D,MATCH(21609,Max!$A:$A,0))=2), INDEX(Max!$D:$D,MATCH(21609,Max!$A:$A,0)), 0), 0)</f>
        <v>0</v>
      </c>
    </row>
    <row r="984" spans="1:9" ht="15.75" customHeight="1" x14ac:dyDescent="0.2">
      <c r="A984" s="1">
        <v>5045</v>
      </c>
      <c r="B984" s="1" t="s">
        <v>2338</v>
      </c>
      <c r="C984" s="1" t="s">
        <v>2339</v>
      </c>
      <c r="D984" s="1" t="str">
        <f t="shared" si="3"/>
        <v>2</v>
      </c>
      <c r="E984" s="1" t="s">
        <v>2340</v>
      </c>
      <c r="G984" s="1">
        <f t="array" ref="G984">IF(ISNUMBER(MATCH(5045,Camille!$A:$A,0)), IF(OR(INDEX(Camille!$D:$D,MATCH(5045,Camille!$A:$A,0))=1, INDEX(Camille!$D:$D,MATCH(5045,Camille!$A:$A,0))=2), INDEX(Camille!$D:$D,MATCH(5045,Camille!$A:$A,0)), 0), 0)</f>
        <v>0</v>
      </c>
      <c r="H984" s="1">
        <f t="array" ref="H984">IF(ISNUMBER(MATCH(5045,Telmo!$A:$A,0)), IF(OR(INDEX(Telmo!$D:$D,MATCH(5045,Telmo!$A:$A,0))=1, INDEX(Telmo!$D:$D,MATCH(5045,Telmo!$A:$A,0))=2), INDEX(Telmo!$D:$D,MATCH(5045,Telmo!$A:$A,0)), 0), 0)</f>
        <v>2</v>
      </c>
      <c r="I984" s="1">
        <f t="array" ref="I984">IF(ISNUMBER(MATCH(5045,Max!$A:$A,0)), IF(OR(INDEX(Max!$D:$D,MATCH(5045,Max!$A:$A,0))=1, INDEX(Max!$D:$D,MATCH(5045,Max!$A:$A,0))=2), INDEX(Max!$D:$D,MATCH(5045,Max!$A:$A,0)), 0), 0)</f>
        <v>0</v>
      </c>
    </row>
    <row r="985" spans="1:9" ht="15.75" customHeight="1" x14ac:dyDescent="0.2">
      <c r="A985" s="1">
        <v>60298</v>
      </c>
      <c r="B985" s="1" t="s">
        <v>38</v>
      </c>
      <c r="C985" s="1" t="s">
        <v>2341</v>
      </c>
      <c r="D985" s="1" t="str">
        <f t="shared" si="3"/>
        <v>2</v>
      </c>
      <c r="E985" s="1" t="s">
        <v>2342</v>
      </c>
      <c r="G985" s="1">
        <f t="array" ref="G985">IF(ISNUMBER(MATCH(60298,Camille!$A:$A,0)), IF(OR(INDEX(Camille!$D:$D,MATCH(60298,Camille!$A:$A,0))=1, INDEX(Camille!$D:$D,MATCH(60298,Camille!$A:$A,0))=2), INDEX(Camille!$D:$D,MATCH(60298,Camille!$A:$A,0)), 0), 0)</f>
        <v>0</v>
      </c>
      <c r="H985" s="1">
        <f t="array" ref="H985">IF(ISNUMBER(MATCH(60298,Telmo!$A:$A,0)), IF(OR(INDEX(Telmo!$D:$D,MATCH(60298,Telmo!$A:$A,0))=1, INDEX(Telmo!$D:$D,MATCH(60298,Telmo!$A:$A,0))=2), INDEX(Telmo!$D:$D,MATCH(60298,Telmo!$A:$A,0)), 0), 0)</f>
        <v>2</v>
      </c>
      <c r="I985" s="1">
        <f t="array" ref="I985">IF(ISNUMBER(MATCH(60298,Max!$A:$A,0)), IF(OR(INDEX(Max!$D:$D,MATCH(60298,Max!$A:$A,0))=1, INDEX(Max!$D:$D,MATCH(60298,Max!$A:$A,0))=2), INDEX(Max!$D:$D,MATCH(60298,Max!$A:$A,0)), 0), 0)</f>
        <v>0</v>
      </c>
    </row>
    <row r="986" spans="1:9" ht="15.75" customHeight="1" x14ac:dyDescent="0.2">
      <c r="A986" s="1">
        <v>40106</v>
      </c>
      <c r="B986" s="1" t="s">
        <v>11</v>
      </c>
      <c r="C986" s="1" t="s">
        <v>2343</v>
      </c>
      <c r="D986" s="1" t="str">
        <f t="shared" si="3"/>
        <v>2</v>
      </c>
      <c r="E986" s="1" t="s">
        <v>2344</v>
      </c>
      <c r="G986" s="1">
        <f t="array" ref="G986">IF(ISNUMBER(MATCH(40106,Camille!$A:$A,0)), IF(OR(INDEX(Camille!$D:$D,MATCH(40106,Camille!$A:$A,0))=1, INDEX(Camille!$D:$D,MATCH(40106,Camille!$A:$A,0))=2), INDEX(Camille!$D:$D,MATCH(40106,Camille!$A:$A,0)), 0), 0)</f>
        <v>0</v>
      </c>
      <c r="H986" s="1">
        <f t="array" ref="H986">IF(ISNUMBER(MATCH(40106,Telmo!$A:$A,0)), IF(OR(INDEX(Telmo!$D:$D,MATCH(40106,Telmo!$A:$A,0))=1, INDEX(Telmo!$D:$D,MATCH(40106,Telmo!$A:$A,0))=2), INDEX(Telmo!$D:$D,MATCH(40106,Telmo!$A:$A,0)), 0), 0)</f>
        <v>2</v>
      </c>
      <c r="I986" s="1">
        <f t="array" ref="I986">IF(ISNUMBER(MATCH(40106,Max!$A:$A,0)), IF(OR(INDEX(Max!$D:$D,MATCH(40106,Max!$A:$A,0))=1, INDEX(Max!$D:$D,MATCH(40106,Max!$A:$A,0))=2), INDEX(Max!$D:$D,MATCH(40106,Max!$A:$A,0)), 0), 0)</f>
        <v>0</v>
      </c>
    </row>
    <row r="987" spans="1:9" ht="15.75" customHeight="1" x14ac:dyDescent="0.2">
      <c r="A987" s="1">
        <v>12300</v>
      </c>
      <c r="B987" s="1" t="s">
        <v>2345</v>
      </c>
      <c r="C987" s="1" t="s">
        <v>2346</v>
      </c>
      <c r="D987" s="1" t="str">
        <f t="shared" si="3"/>
        <v>1</v>
      </c>
      <c r="E987" s="1" t="s">
        <v>2347</v>
      </c>
      <c r="G987" s="1">
        <f t="array" ref="G987">IF(ISNUMBER(MATCH(12300,Camille!$A:$A,0)), IF(OR(INDEX(Camille!$D:$D,MATCH(12300,Camille!$A:$A,0))=1, INDEX(Camille!$D:$D,MATCH(12300,Camille!$A:$A,0))=2), INDEX(Camille!$D:$D,MATCH(12300,Camille!$A:$A,0)), 0), 0)</f>
        <v>0</v>
      </c>
      <c r="H987" s="1">
        <f t="array" ref="H987">IF(ISNUMBER(MATCH(12300,Telmo!$A:$A,0)), IF(OR(INDEX(Telmo!$D:$D,MATCH(12300,Telmo!$A:$A,0))=1, INDEX(Telmo!$D:$D,MATCH(12300,Telmo!$A:$A,0))=2), INDEX(Telmo!$D:$D,MATCH(12300,Telmo!$A:$A,0)), 0), 0)</f>
        <v>1</v>
      </c>
      <c r="I987" s="1">
        <f t="array" ref="I987">IF(ISNUMBER(MATCH(12300,Max!$A:$A,0)), IF(OR(INDEX(Max!$D:$D,MATCH(12300,Max!$A:$A,0))=1, INDEX(Max!$D:$D,MATCH(12300,Max!$A:$A,0))=2), INDEX(Max!$D:$D,MATCH(12300,Max!$A:$A,0)), 0), 0)</f>
        <v>0</v>
      </c>
    </row>
    <row r="988" spans="1:9" ht="15.75" customHeight="1" x14ac:dyDescent="0.2">
      <c r="A988" s="1">
        <v>10195</v>
      </c>
      <c r="B988" s="1" t="s">
        <v>1838</v>
      </c>
      <c r="C988" s="1" t="s">
        <v>2348</v>
      </c>
      <c r="D988" s="1" t="str">
        <f t="shared" si="3"/>
        <v>2</v>
      </c>
      <c r="E988" s="1" t="s">
        <v>2349</v>
      </c>
      <c r="G988" s="1">
        <f t="array" ref="G988">IF(ISNUMBER(MATCH(10195,Camille!$A:$A,0)), IF(OR(INDEX(Camille!$D:$D,MATCH(10195,Camille!$A:$A,0))=1, INDEX(Camille!$D:$D,MATCH(10195,Camille!$A:$A,0))=2), INDEX(Camille!$D:$D,MATCH(10195,Camille!$A:$A,0)), 0), 0)</f>
        <v>0</v>
      </c>
      <c r="H988" s="1">
        <f t="array" ref="H988">IF(ISNUMBER(MATCH(10195,Telmo!$A:$A,0)), IF(OR(INDEX(Telmo!$D:$D,MATCH(10195,Telmo!$A:$A,0))=1, INDEX(Telmo!$D:$D,MATCH(10195,Telmo!$A:$A,0))=2), INDEX(Telmo!$D:$D,MATCH(10195,Telmo!$A:$A,0)), 0), 0)</f>
        <v>2</v>
      </c>
      <c r="I988" s="1">
        <f t="array" ref="I988">IF(ISNUMBER(MATCH(10195,Max!$A:$A,0)), IF(OR(INDEX(Max!$D:$D,MATCH(10195,Max!$A:$A,0))=1, INDEX(Max!$D:$D,MATCH(10195,Max!$A:$A,0))=2), INDEX(Max!$D:$D,MATCH(10195,Max!$A:$A,0)), 0), 0)</f>
        <v>0</v>
      </c>
    </row>
    <row r="989" spans="1:9" ht="15.75" customHeight="1" x14ac:dyDescent="0.2">
      <c r="A989" s="1">
        <v>31049</v>
      </c>
      <c r="B989" s="1" t="s">
        <v>167</v>
      </c>
      <c r="C989" s="1" t="s">
        <v>2350</v>
      </c>
      <c r="D989" s="1" t="str">
        <f t="shared" si="3"/>
        <v>1</v>
      </c>
      <c r="E989" s="1" t="s">
        <v>2351</v>
      </c>
      <c r="G989" s="1">
        <f t="array" ref="G989">IF(ISNUMBER(MATCH(31049,Camille!$A:$A,0)), IF(OR(INDEX(Camille!$D:$D,MATCH(31049,Camille!$A:$A,0))=1, INDEX(Camille!$D:$D,MATCH(31049,Camille!$A:$A,0))=2), INDEX(Camille!$D:$D,MATCH(31049,Camille!$A:$A,0)), 0), 0)</f>
        <v>0</v>
      </c>
      <c r="H989" s="1">
        <f t="array" ref="H989">IF(ISNUMBER(MATCH(31049,Telmo!$A:$A,0)), IF(OR(INDEX(Telmo!$D:$D,MATCH(31049,Telmo!$A:$A,0))=1, INDEX(Telmo!$D:$D,MATCH(31049,Telmo!$A:$A,0))=2), INDEX(Telmo!$D:$D,MATCH(31049,Telmo!$A:$A,0)), 0), 0)</f>
        <v>1</v>
      </c>
      <c r="I989" s="1">
        <f t="array" ref="I989">IF(ISNUMBER(MATCH(31049,Max!$A:$A,0)), IF(OR(INDEX(Max!$D:$D,MATCH(31049,Max!$A:$A,0))=1, INDEX(Max!$D:$D,MATCH(31049,Max!$A:$A,0))=2), INDEX(Max!$D:$D,MATCH(31049,Max!$A:$A,0)), 0), 0)</f>
        <v>0</v>
      </c>
    </row>
    <row r="990" spans="1:9" ht="15.75" customHeight="1" x14ac:dyDescent="0.2">
      <c r="A990" s="1">
        <v>42902</v>
      </c>
      <c r="B990" s="1" t="s">
        <v>268</v>
      </c>
      <c r="C990" s="1" t="s">
        <v>2352</v>
      </c>
      <c r="D990" s="1" t="str">
        <f t="shared" si="3"/>
        <v>2</v>
      </c>
      <c r="E990" s="1" t="s">
        <v>2353</v>
      </c>
      <c r="G990" s="1">
        <f t="array" ref="G990">IF(ISNUMBER(MATCH(42902,Camille!$A:$A,0)), IF(OR(INDEX(Camille!$D:$D,MATCH(42902,Camille!$A:$A,0))=1, INDEX(Camille!$D:$D,MATCH(42902,Camille!$A:$A,0))=2), INDEX(Camille!$D:$D,MATCH(42902,Camille!$A:$A,0)), 0), 0)</f>
        <v>0</v>
      </c>
      <c r="H990" s="1">
        <f t="array" ref="H990">IF(ISNUMBER(MATCH(42902,Telmo!$A:$A,0)), IF(OR(INDEX(Telmo!$D:$D,MATCH(42902,Telmo!$A:$A,0))=1, INDEX(Telmo!$D:$D,MATCH(42902,Telmo!$A:$A,0))=2), INDEX(Telmo!$D:$D,MATCH(42902,Telmo!$A:$A,0)), 0), 0)</f>
        <v>2</v>
      </c>
      <c r="I990" s="1">
        <f t="array" ref="I990">IF(ISNUMBER(MATCH(42902,Max!$A:$A,0)), IF(OR(INDEX(Max!$D:$D,MATCH(42902,Max!$A:$A,0))=1, INDEX(Max!$D:$D,MATCH(42902,Max!$A:$A,0))=2), INDEX(Max!$D:$D,MATCH(42902,Max!$A:$A,0)), 0), 0)</f>
        <v>0</v>
      </c>
    </row>
    <row r="991" spans="1:9" ht="15.75" customHeight="1" x14ac:dyDescent="0.2">
      <c r="A991" s="1">
        <v>31653</v>
      </c>
      <c r="B991" s="1" t="s">
        <v>11</v>
      </c>
      <c r="C991" s="1" t="s">
        <v>2354</v>
      </c>
      <c r="D991" s="1" t="str">
        <f t="shared" si="3"/>
        <v>2</v>
      </c>
      <c r="E991" s="1" t="s">
        <v>2355</v>
      </c>
      <c r="G991" s="1">
        <f t="array" ref="G991">IF(ISNUMBER(MATCH(31653,Camille!$A:$A,0)), IF(OR(INDEX(Camille!$D:$D,MATCH(31653,Camille!$A:$A,0))=1, INDEX(Camille!$D:$D,MATCH(31653,Camille!$A:$A,0))=2), INDEX(Camille!$D:$D,MATCH(31653,Camille!$A:$A,0)), 0), 0)</f>
        <v>0</v>
      </c>
      <c r="H991" s="1">
        <f t="array" ref="H991">IF(ISNUMBER(MATCH(31653,Telmo!$A:$A,0)), IF(OR(INDEX(Telmo!$D:$D,MATCH(31653,Telmo!$A:$A,0))=1, INDEX(Telmo!$D:$D,MATCH(31653,Telmo!$A:$A,0))=2), INDEX(Telmo!$D:$D,MATCH(31653,Telmo!$A:$A,0)), 0), 0)</f>
        <v>2</v>
      </c>
      <c r="I991" s="1">
        <f t="array" ref="I991">IF(ISNUMBER(MATCH(31653,Max!$A:$A,0)), IF(OR(INDEX(Max!$D:$D,MATCH(31653,Max!$A:$A,0))=1, INDEX(Max!$D:$D,MATCH(31653,Max!$A:$A,0))=2), INDEX(Max!$D:$D,MATCH(31653,Max!$A:$A,0)), 0), 0)</f>
        <v>0</v>
      </c>
    </row>
    <row r="992" spans="1:9" ht="15.75" customHeight="1" x14ac:dyDescent="0.2">
      <c r="A992" s="1">
        <v>38472</v>
      </c>
      <c r="B992" s="1" t="s">
        <v>1657</v>
      </c>
      <c r="C992" s="1" t="s">
        <v>2356</v>
      </c>
      <c r="D992" s="1" t="str">
        <f t="shared" si="3"/>
        <v>2</v>
      </c>
      <c r="E992" s="1" t="s">
        <v>2357</v>
      </c>
      <c r="G992" s="1">
        <f t="array" ref="G992">IF(ISNUMBER(MATCH(38472,Camille!$A:$A,0)), IF(OR(INDEX(Camille!$D:$D,MATCH(38472,Camille!$A:$A,0))=1, INDEX(Camille!$D:$D,MATCH(38472,Camille!$A:$A,0))=2), INDEX(Camille!$D:$D,MATCH(38472,Camille!$A:$A,0)), 0), 0)</f>
        <v>0</v>
      </c>
      <c r="H992" s="1">
        <f t="array" ref="H992">IF(ISNUMBER(MATCH(38472,Telmo!$A:$A,0)), IF(OR(INDEX(Telmo!$D:$D,MATCH(38472,Telmo!$A:$A,0))=1, INDEX(Telmo!$D:$D,MATCH(38472,Telmo!$A:$A,0))=2), INDEX(Telmo!$D:$D,MATCH(38472,Telmo!$A:$A,0)), 0), 0)</f>
        <v>2</v>
      </c>
      <c r="I992" s="1">
        <f t="array" ref="I992">IF(ISNUMBER(MATCH(38472,Max!$A:$A,0)), IF(OR(INDEX(Max!$D:$D,MATCH(38472,Max!$A:$A,0))=1, INDEX(Max!$D:$D,MATCH(38472,Max!$A:$A,0))=2), INDEX(Max!$D:$D,MATCH(38472,Max!$A:$A,0)), 0), 0)</f>
        <v>0</v>
      </c>
    </row>
    <row r="993" spans="1:9" ht="15.75" customHeight="1" x14ac:dyDescent="0.2">
      <c r="A993" s="1">
        <v>64567</v>
      </c>
      <c r="B993" s="1" t="s">
        <v>254</v>
      </c>
      <c r="C993" s="1" t="s">
        <v>2358</v>
      </c>
      <c r="D993" s="1" t="str">
        <f t="shared" si="3"/>
        <v>2</v>
      </c>
      <c r="E993" s="1" t="s">
        <v>2359</v>
      </c>
      <c r="G993" s="1">
        <f t="array" ref="G993">IF(ISNUMBER(MATCH(64567,Camille!$A:$A,0)), IF(OR(INDEX(Camille!$D:$D,MATCH(64567,Camille!$A:$A,0))=1, INDEX(Camille!$D:$D,MATCH(64567,Camille!$A:$A,0))=2), INDEX(Camille!$D:$D,MATCH(64567,Camille!$A:$A,0)), 0), 0)</f>
        <v>0</v>
      </c>
      <c r="H993" s="1">
        <f t="array" ref="H993">IF(ISNUMBER(MATCH(64567,Telmo!$A:$A,0)), IF(OR(INDEX(Telmo!$D:$D,MATCH(64567,Telmo!$A:$A,0))=1, INDEX(Telmo!$D:$D,MATCH(64567,Telmo!$A:$A,0))=2), INDEX(Telmo!$D:$D,MATCH(64567,Telmo!$A:$A,0)), 0), 0)</f>
        <v>2</v>
      </c>
      <c r="I993" s="1">
        <f t="array" ref="I993">IF(ISNUMBER(MATCH(64567,Max!$A:$A,0)), IF(OR(INDEX(Max!$D:$D,MATCH(64567,Max!$A:$A,0))=1, INDEX(Max!$D:$D,MATCH(64567,Max!$A:$A,0))=2), INDEX(Max!$D:$D,MATCH(64567,Max!$A:$A,0)), 0), 0)</f>
        <v>0</v>
      </c>
    </row>
    <row r="994" spans="1:9" ht="15.75" customHeight="1" x14ac:dyDescent="0.2">
      <c r="A994" s="1">
        <v>34519</v>
      </c>
      <c r="B994" s="1" t="s">
        <v>32</v>
      </c>
      <c r="C994" s="1" t="s">
        <v>2360</v>
      </c>
      <c r="D994" s="1" t="str">
        <f t="shared" si="3"/>
        <v>1</v>
      </c>
      <c r="E994" s="1" t="s">
        <v>2361</v>
      </c>
      <c r="G994" s="1">
        <f t="array" ref="G994">IF(ISNUMBER(MATCH(34519,Camille!$A:$A,0)), IF(OR(INDEX(Camille!$D:$D,MATCH(34519,Camille!$A:$A,0))=1, INDEX(Camille!$D:$D,MATCH(34519,Camille!$A:$A,0))=2), INDEX(Camille!$D:$D,MATCH(34519,Camille!$A:$A,0)), 0), 0)</f>
        <v>0</v>
      </c>
      <c r="H994" s="1">
        <f t="array" ref="H994">IF(ISNUMBER(MATCH(34519,Telmo!$A:$A,0)), IF(OR(INDEX(Telmo!$D:$D,MATCH(34519,Telmo!$A:$A,0))=1, INDEX(Telmo!$D:$D,MATCH(34519,Telmo!$A:$A,0))=2), INDEX(Telmo!$D:$D,MATCH(34519,Telmo!$A:$A,0)), 0), 0)</f>
        <v>1</v>
      </c>
      <c r="I994" s="1">
        <f t="array" ref="I994">IF(ISNUMBER(MATCH(34519,Max!$A:$A,0)), IF(OR(INDEX(Max!$D:$D,MATCH(34519,Max!$A:$A,0))=1, INDEX(Max!$D:$D,MATCH(34519,Max!$A:$A,0))=2), INDEX(Max!$D:$D,MATCH(34519,Max!$A:$A,0)), 0), 0)</f>
        <v>0</v>
      </c>
    </row>
    <row r="995" spans="1:9" ht="15.75" customHeight="1" x14ac:dyDescent="0.2">
      <c r="A995" s="1">
        <v>38977</v>
      </c>
      <c r="B995" s="1" t="s">
        <v>172</v>
      </c>
      <c r="C995" s="1" t="s">
        <v>2362</v>
      </c>
      <c r="D995" s="1" t="str">
        <f t="shared" si="3"/>
        <v>1</v>
      </c>
      <c r="E995" s="1" t="s">
        <v>2363</v>
      </c>
      <c r="G995" s="1">
        <f t="array" ref="G995">IF(ISNUMBER(MATCH(38977,Camille!$A:$A,0)), IF(OR(INDEX(Camille!$D:$D,MATCH(38977,Camille!$A:$A,0))=1, INDEX(Camille!$D:$D,MATCH(38977,Camille!$A:$A,0))=2), INDEX(Camille!$D:$D,MATCH(38977,Camille!$A:$A,0)), 0), 0)</f>
        <v>0</v>
      </c>
      <c r="H995" s="1">
        <f t="array" ref="H995">IF(ISNUMBER(MATCH(38977,Telmo!$A:$A,0)), IF(OR(INDEX(Telmo!$D:$D,MATCH(38977,Telmo!$A:$A,0))=1, INDEX(Telmo!$D:$D,MATCH(38977,Telmo!$A:$A,0))=2), INDEX(Telmo!$D:$D,MATCH(38977,Telmo!$A:$A,0)), 0), 0)</f>
        <v>1</v>
      </c>
      <c r="I995" s="1">
        <f t="array" ref="I995">IF(ISNUMBER(MATCH(38977,Max!$A:$A,0)), IF(OR(INDEX(Max!$D:$D,MATCH(38977,Max!$A:$A,0))=1, INDEX(Max!$D:$D,MATCH(38977,Max!$A:$A,0))=2), INDEX(Max!$D:$D,MATCH(38977,Max!$A:$A,0)), 0), 0)</f>
        <v>0</v>
      </c>
    </row>
    <row r="996" spans="1:9" ht="15.75" customHeight="1" x14ac:dyDescent="0.2">
      <c r="A996" s="1">
        <v>58344</v>
      </c>
      <c r="B996" s="1" t="s">
        <v>1001</v>
      </c>
      <c r="C996" s="1" t="s">
        <v>2364</v>
      </c>
      <c r="D996" s="1" t="str">
        <f t="shared" si="3"/>
        <v>1</v>
      </c>
      <c r="E996" s="1" t="s">
        <v>2365</v>
      </c>
      <c r="G996" s="1">
        <f t="array" ref="G996">IF(ISNUMBER(MATCH(58344,Camille!$A:$A,0)), IF(OR(INDEX(Camille!$D:$D,MATCH(58344,Camille!$A:$A,0))=1, INDEX(Camille!$D:$D,MATCH(58344,Camille!$A:$A,0))=2), INDEX(Camille!$D:$D,MATCH(58344,Camille!$A:$A,0)), 0), 0)</f>
        <v>0</v>
      </c>
      <c r="H996" s="1">
        <f t="array" ref="H996">IF(ISNUMBER(MATCH(58344,Telmo!$A:$A,0)), IF(OR(INDEX(Telmo!$D:$D,MATCH(58344,Telmo!$A:$A,0))=1, INDEX(Telmo!$D:$D,MATCH(58344,Telmo!$A:$A,0))=2), INDEX(Telmo!$D:$D,MATCH(58344,Telmo!$A:$A,0)), 0), 0)</f>
        <v>1</v>
      </c>
      <c r="I996" s="1">
        <f t="array" ref="I996">IF(ISNUMBER(MATCH(58344,Max!$A:$A,0)), IF(OR(INDEX(Max!$D:$D,MATCH(58344,Max!$A:$A,0))=1, INDEX(Max!$D:$D,MATCH(58344,Max!$A:$A,0))=2), INDEX(Max!$D:$D,MATCH(58344,Max!$A:$A,0)), 0), 0)</f>
        <v>0</v>
      </c>
    </row>
    <row r="997" spans="1:9" ht="15.75" customHeight="1" x14ac:dyDescent="0.2">
      <c r="A997" s="1">
        <v>30056</v>
      </c>
      <c r="B997" s="1" t="s">
        <v>2366</v>
      </c>
      <c r="C997" s="1" t="s">
        <v>2367</v>
      </c>
      <c r="D997" s="1" t="str">
        <f t="shared" si="3"/>
        <v>1</v>
      </c>
      <c r="E997" s="1" t="s">
        <v>2368</v>
      </c>
      <c r="G997" s="1">
        <f t="array" ref="G997">IF(ISNUMBER(MATCH(30056,Camille!$A:$A,0)), IF(OR(INDEX(Camille!$D:$D,MATCH(30056,Camille!$A:$A,0))=1, INDEX(Camille!$D:$D,MATCH(30056,Camille!$A:$A,0))=2), INDEX(Camille!$D:$D,MATCH(30056,Camille!$A:$A,0)), 0), 0)</f>
        <v>0</v>
      </c>
      <c r="H997" s="1">
        <f t="array" ref="H997">IF(ISNUMBER(MATCH(30056,Telmo!$A:$A,0)), IF(OR(INDEX(Telmo!$D:$D,MATCH(30056,Telmo!$A:$A,0))=1, INDEX(Telmo!$D:$D,MATCH(30056,Telmo!$A:$A,0))=2), INDEX(Telmo!$D:$D,MATCH(30056,Telmo!$A:$A,0)), 0), 0)</f>
        <v>1</v>
      </c>
      <c r="I997" s="1">
        <f t="array" ref="I997">IF(ISNUMBER(MATCH(30056,Max!$A:$A,0)), IF(OR(INDEX(Max!$D:$D,MATCH(30056,Max!$A:$A,0))=1, INDEX(Max!$D:$D,MATCH(30056,Max!$A:$A,0))=2), INDEX(Max!$D:$D,MATCH(30056,Max!$A:$A,0)), 0), 0)</f>
        <v>0</v>
      </c>
    </row>
    <row r="998" spans="1:9" ht="15.75" customHeight="1" x14ac:dyDescent="0.2">
      <c r="A998" s="1">
        <v>5443</v>
      </c>
      <c r="B998" s="1" t="s">
        <v>1921</v>
      </c>
      <c r="C998" s="1" t="s">
        <v>2369</v>
      </c>
      <c r="D998" s="1" t="str">
        <f t="shared" si="3"/>
        <v>2</v>
      </c>
      <c r="E998" s="1" t="s">
        <v>2370</v>
      </c>
      <c r="G998" s="1">
        <f t="array" ref="G998">IF(ISNUMBER(MATCH(5443,Camille!$A:$A,0)), IF(OR(INDEX(Camille!$D:$D,MATCH(5443,Camille!$A:$A,0))=1, INDEX(Camille!$D:$D,MATCH(5443,Camille!$A:$A,0))=2), INDEX(Camille!$D:$D,MATCH(5443,Camille!$A:$A,0)), 0), 0)</f>
        <v>0</v>
      </c>
      <c r="H998" s="1">
        <f t="array" ref="H998">IF(ISNUMBER(MATCH(5443,Telmo!$A:$A,0)), IF(OR(INDEX(Telmo!$D:$D,MATCH(5443,Telmo!$A:$A,0))=1, INDEX(Telmo!$D:$D,MATCH(5443,Telmo!$A:$A,0))=2), INDEX(Telmo!$D:$D,MATCH(5443,Telmo!$A:$A,0)), 0), 0)</f>
        <v>2</v>
      </c>
      <c r="I998" s="1">
        <f t="array" ref="I998">IF(ISNUMBER(MATCH(5443,Max!$A:$A,0)), IF(OR(INDEX(Max!$D:$D,MATCH(5443,Max!$A:$A,0))=1, INDEX(Max!$D:$D,MATCH(5443,Max!$A:$A,0))=2), INDEX(Max!$D:$D,MATCH(5443,Max!$A:$A,0)), 0), 0)</f>
        <v>0</v>
      </c>
    </row>
    <row r="999" spans="1:9" ht="15.75" customHeight="1" x14ac:dyDescent="0.2">
      <c r="A999" s="1">
        <v>26991</v>
      </c>
      <c r="B999" s="1" t="s">
        <v>2371</v>
      </c>
      <c r="C999" s="1" t="s">
        <v>2372</v>
      </c>
      <c r="D999" s="1" t="str">
        <f t="shared" si="3"/>
        <v>2</v>
      </c>
      <c r="E999" s="1" t="s">
        <v>2373</v>
      </c>
      <c r="G999" s="1">
        <f t="array" ref="G999">IF(ISNUMBER(MATCH(26991,Camille!$A:$A,0)), IF(OR(INDEX(Camille!$D:$D,MATCH(26991,Camille!$A:$A,0))=1, INDEX(Camille!$D:$D,MATCH(26991,Camille!$A:$A,0))=2), INDEX(Camille!$D:$D,MATCH(26991,Camille!$A:$A,0)), 0), 0)</f>
        <v>0</v>
      </c>
      <c r="H999" s="1">
        <f t="array" ref="H999">IF(ISNUMBER(MATCH(26991,Telmo!$A:$A,0)), IF(OR(INDEX(Telmo!$D:$D,MATCH(26991,Telmo!$A:$A,0))=1, INDEX(Telmo!$D:$D,MATCH(26991,Telmo!$A:$A,0))=2), INDEX(Telmo!$D:$D,MATCH(26991,Telmo!$A:$A,0)), 0), 0)</f>
        <v>2</v>
      </c>
      <c r="I999" s="1">
        <f t="array" ref="I999">IF(ISNUMBER(MATCH(26991,Max!$A:$A,0)), IF(OR(INDEX(Max!$D:$D,MATCH(26991,Max!$A:$A,0))=1, INDEX(Max!$D:$D,MATCH(26991,Max!$A:$A,0))=2), INDEX(Max!$D:$D,MATCH(26991,Max!$A:$A,0)), 0), 0)</f>
        <v>0</v>
      </c>
    </row>
    <row r="1000" spans="1:9" ht="15.75" customHeight="1" x14ac:dyDescent="0.2">
      <c r="A1000" s="1">
        <v>21509</v>
      </c>
      <c r="B1000" s="1" t="s">
        <v>524</v>
      </c>
      <c r="C1000" s="1" t="s">
        <v>2374</v>
      </c>
      <c r="D1000" s="1" t="str">
        <f t="shared" si="3"/>
        <v>2</v>
      </c>
      <c r="E1000" s="1" t="s">
        <v>2375</v>
      </c>
      <c r="G1000" s="1">
        <f t="array" ref="G1000">IF(ISNUMBER(MATCH(21509,Camille!$A:$A,0)), IF(OR(INDEX(Camille!$D:$D,MATCH(21509,Camille!$A:$A,0))=1, INDEX(Camille!$D:$D,MATCH(21509,Camille!$A:$A,0))=2), INDEX(Camille!$D:$D,MATCH(21509,Camille!$A:$A,0)), 0), 0)</f>
        <v>0</v>
      </c>
      <c r="H1000" s="1">
        <f t="array" ref="H1000">IF(ISNUMBER(MATCH(21509,Telmo!$A:$A,0)), IF(OR(INDEX(Telmo!$D:$D,MATCH(21509,Telmo!$A:$A,0))=1, INDEX(Telmo!$D:$D,MATCH(21509,Telmo!$A:$A,0))=2), INDEX(Telmo!$D:$D,MATCH(21509,Telmo!$A:$A,0)), 0), 0)</f>
        <v>2</v>
      </c>
      <c r="I1000" s="1">
        <f t="array" ref="I1000">IF(ISNUMBER(MATCH(21509,Max!$A:$A,0)), IF(OR(INDEX(Max!$D:$D,MATCH(21509,Max!$A:$A,0))=1, INDEX(Max!$D:$D,MATCH(21509,Max!$A:$A,0))=2), INDEX(Max!$D:$D,MATCH(21509,Max!$A:$A,0)), 0), 0)</f>
        <v>0</v>
      </c>
    </row>
    <row r="1001" spans="1:9" ht="15.75" customHeight="1" x14ac:dyDescent="0.2">
      <c r="A1001" s="1">
        <v>69591</v>
      </c>
      <c r="B1001" s="1" t="s">
        <v>936</v>
      </c>
      <c r="C1001" s="1" t="s">
        <v>2376</v>
      </c>
      <c r="D1001" s="1" t="str">
        <f t="shared" si="3"/>
        <v>2</v>
      </c>
      <c r="E1001" s="1" t="s">
        <v>2377</v>
      </c>
      <c r="G1001" s="1">
        <f t="array" ref="G1001">IF(ISNUMBER(MATCH(69591,Camille!$A:$A,0)), IF(OR(INDEX(Camille!$D:$D,MATCH(69591,Camille!$A:$A,0))=1, INDEX(Camille!$D:$D,MATCH(69591,Camille!$A:$A,0))=2), INDEX(Camille!$D:$D,MATCH(69591,Camille!$A:$A,0)), 0), 0)</f>
        <v>0</v>
      </c>
      <c r="H1001" s="1">
        <f t="array" ref="H1001">IF(ISNUMBER(MATCH(69591,Telmo!$A:$A,0)), IF(OR(INDEX(Telmo!$D:$D,MATCH(69591,Telmo!$A:$A,0))=1, INDEX(Telmo!$D:$D,MATCH(69591,Telmo!$A:$A,0))=2), INDEX(Telmo!$D:$D,MATCH(69591,Telmo!$A:$A,0)), 0), 0)</f>
        <v>2</v>
      </c>
      <c r="I1001" s="1">
        <f t="array" ref="I1001">IF(ISNUMBER(MATCH(69591,Max!$A:$A,0)), IF(OR(INDEX(Max!$D:$D,MATCH(69591,Max!$A:$A,0))=1, INDEX(Max!$D:$D,MATCH(69591,Max!$A:$A,0))=2), INDEX(Max!$D:$D,MATCH(69591,Max!$A:$A,0)), 0), 0)</f>
        <v>0</v>
      </c>
    </row>
    <row r="1002" spans="1:9" ht="15.75" customHeight="1" x14ac:dyDescent="0.2">
      <c r="A1002" s="1">
        <v>15326</v>
      </c>
      <c r="B1002" s="1" t="s">
        <v>2345</v>
      </c>
      <c r="C1002" s="1" t="s">
        <v>2378</v>
      </c>
      <c r="D1002" s="1" t="str">
        <f t="shared" si="3"/>
        <v>1</v>
      </c>
      <c r="E1002" s="1" t="s">
        <v>2379</v>
      </c>
      <c r="G1002" s="1">
        <f t="array" ref="G1002">IF(ISNUMBER(MATCH(15326,Camille!$A:$A,0)), IF(OR(INDEX(Camille!$D:$D,MATCH(15326,Camille!$A:$A,0))=1, INDEX(Camille!$D:$D,MATCH(15326,Camille!$A:$A,0))=2), INDEX(Camille!$D:$D,MATCH(15326,Camille!$A:$A,0)), 0), 0)</f>
        <v>0</v>
      </c>
      <c r="H1002" s="1">
        <f t="array" ref="H1002">IF(ISNUMBER(MATCH(15326,Telmo!$A:$A,0)), IF(OR(INDEX(Telmo!$D:$D,MATCH(15326,Telmo!$A:$A,0))=1, INDEX(Telmo!$D:$D,MATCH(15326,Telmo!$A:$A,0))=2), INDEX(Telmo!$D:$D,MATCH(15326,Telmo!$A:$A,0)), 0), 0)</f>
        <v>1</v>
      </c>
      <c r="I1002" s="1">
        <f t="array" ref="I1002">IF(ISNUMBER(MATCH(15326,Max!$A:$A,0)), IF(OR(INDEX(Max!$D:$D,MATCH(15326,Max!$A:$A,0))=1, INDEX(Max!$D:$D,MATCH(15326,Max!$A:$A,0))=2), INDEX(Max!$D:$D,MATCH(15326,Max!$A:$A,0)), 0), 0)</f>
        <v>0</v>
      </c>
    </row>
    <row r="1003" spans="1:9" ht="15.75" customHeight="1" x14ac:dyDescent="0.2">
      <c r="A1003" s="1">
        <v>44468</v>
      </c>
      <c r="B1003" s="1" t="s">
        <v>276</v>
      </c>
      <c r="C1003" s="1" t="s">
        <v>2380</v>
      </c>
      <c r="D1003" s="1" t="str">
        <f t="shared" si="3"/>
        <v>1</v>
      </c>
      <c r="E1003" s="1" t="s">
        <v>2381</v>
      </c>
      <c r="G1003" s="1">
        <f t="array" ref="G1003">IF(ISNUMBER(MATCH(44468,Camille!$A:$A,0)), IF(OR(INDEX(Camille!$D:$D,MATCH(44468,Camille!$A:$A,0))=1, INDEX(Camille!$D:$D,MATCH(44468,Camille!$A:$A,0))=2), INDEX(Camille!$D:$D,MATCH(44468,Camille!$A:$A,0)), 0), 0)</f>
        <v>0</v>
      </c>
      <c r="H1003" s="1">
        <f t="array" ref="H1003">IF(ISNUMBER(MATCH(44468,Telmo!$A:$A,0)), IF(OR(INDEX(Telmo!$D:$D,MATCH(44468,Telmo!$A:$A,0))=1, INDEX(Telmo!$D:$D,MATCH(44468,Telmo!$A:$A,0))=2), INDEX(Telmo!$D:$D,MATCH(44468,Telmo!$A:$A,0)), 0), 0)</f>
        <v>1</v>
      </c>
      <c r="I1003" s="1">
        <f t="array" ref="I1003">IF(ISNUMBER(MATCH(44468,Max!$A:$A,0)), IF(OR(INDEX(Max!$D:$D,MATCH(44468,Max!$A:$A,0))=1, INDEX(Max!$D:$D,MATCH(44468,Max!$A:$A,0))=2), INDEX(Max!$D:$D,MATCH(44468,Max!$A:$A,0)), 0), 0)</f>
        <v>0</v>
      </c>
    </row>
    <row r="1004" spans="1:9" ht="15.75" customHeight="1" x14ac:dyDescent="0.2">
      <c r="A1004" s="1">
        <v>59322</v>
      </c>
      <c r="B1004" s="1" t="s">
        <v>2382</v>
      </c>
      <c r="C1004" s="1" t="s">
        <v>2383</v>
      </c>
      <c r="D1004" s="1" t="str">
        <f t="shared" si="3"/>
        <v>2</v>
      </c>
      <c r="E1004" s="1" t="s">
        <v>2384</v>
      </c>
      <c r="G1004" s="1">
        <f t="array" ref="G1004">IF(ISNUMBER(MATCH(59322,Camille!$A:$A,0)), IF(OR(INDEX(Camille!$D:$D,MATCH(59322,Camille!$A:$A,0))=1, INDEX(Camille!$D:$D,MATCH(59322,Camille!$A:$A,0))=2), INDEX(Camille!$D:$D,MATCH(59322,Camille!$A:$A,0)), 0), 0)</f>
        <v>0</v>
      </c>
      <c r="H1004" s="1">
        <f t="array" ref="H1004">IF(ISNUMBER(MATCH(59322,Telmo!$A:$A,0)), IF(OR(INDEX(Telmo!$D:$D,MATCH(59322,Telmo!$A:$A,0))=1, INDEX(Telmo!$D:$D,MATCH(59322,Telmo!$A:$A,0))=2), INDEX(Telmo!$D:$D,MATCH(59322,Telmo!$A:$A,0)), 0), 0)</f>
        <v>2</v>
      </c>
      <c r="I1004" s="1">
        <f t="array" ref="I1004">IF(ISNUMBER(MATCH(59322,Max!$A:$A,0)), IF(OR(INDEX(Max!$D:$D,MATCH(59322,Max!$A:$A,0))=1, INDEX(Max!$D:$D,MATCH(59322,Max!$A:$A,0))=2), INDEX(Max!$D:$D,MATCH(59322,Max!$A:$A,0)), 0), 0)</f>
        <v>0</v>
      </c>
    </row>
    <row r="1005" spans="1:9" ht="15.75" customHeight="1" x14ac:dyDescent="0.2">
      <c r="A1005" s="1">
        <v>17009</v>
      </c>
      <c r="B1005" s="1" t="s">
        <v>2385</v>
      </c>
      <c r="C1005" s="1" t="s">
        <v>2386</v>
      </c>
      <c r="D1005" s="1" t="str">
        <f t="shared" si="3"/>
        <v>2</v>
      </c>
      <c r="E1005" s="1" t="s">
        <v>2387</v>
      </c>
      <c r="G1005" s="1">
        <f t="array" ref="G1005">IF(ISNUMBER(MATCH(17009,Camille!$A:$A,0)), IF(OR(INDEX(Camille!$D:$D,MATCH(17009,Camille!$A:$A,0))=1, INDEX(Camille!$D:$D,MATCH(17009,Camille!$A:$A,0))=2), INDEX(Camille!$D:$D,MATCH(17009,Camille!$A:$A,0)), 0), 0)</f>
        <v>0</v>
      </c>
      <c r="H1005" s="1">
        <f t="array" ref="H1005">IF(ISNUMBER(MATCH(17009,Telmo!$A:$A,0)), IF(OR(INDEX(Telmo!$D:$D,MATCH(17009,Telmo!$A:$A,0))=1, INDEX(Telmo!$D:$D,MATCH(17009,Telmo!$A:$A,0))=2), INDEX(Telmo!$D:$D,MATCH(17009,Telmo!$A:$A,0)), 0), 0)</f>
        <v>2</v>
      </c>
      <c r="I1005" s="1">
        <f t="array" ref="I1005">IF(ISNUMBER(MATCH(17009,Max!$A:$A,0)), IF(OR(INDEX(Max!$D:$D,MATCH(17009,Max!$A:$A,0))=1, INDEX(Max!$D:$D,MATCH(17009,Max!$A:$A,0))=2), INDEX(Max!$D:$D,MATCH(17009,Max!$A:$A,0)), 0), 0)</f>
        <v>0</v>
      </c>
    </row>
    <row r="1006" spans="1:9" ht="15.75" customHeight="1" x14ac:dyDescent="0.2">
      <c r="A1006" s="1">
        <v>19277</v>
      </c>
      <c r="B1006" s="1" t="s">
        <v>377</v>
      </c>
      <c r="C1006" s="1" t="s">
        <v>2388</v>
      </c>
      <c r="D1006" s="1" t="str">
        <f t="shared" si="3"/>
        <v>2</v>
      </c>
      <c r="E1006" s="1" t="s">
        <v>2389</v>
      </c>
      <c r="G1006" s="1">
        <f t="array" ref="G1006">IF(ISNUMBER(MATCH(19277,Camille!$A:$A,0)), IF(OR(INDEX(Camille!$D:$D,MATCH(19277,Camille!$A:$A,0))=1, INDEX(Camille!$D:$D,MATCH(19277,Camille!$A:$A,0))=2), INDEX(Camille!$D:$D,MATCH(19277,Camille!$A:$A,0)), 0), 0)</f>
        <v>0</v>
      </c>
      <c r="H1006" s="1">
        <f t="array" ref="H1006">IF(ISNUMBER(MATCH(19277,Telmo!$A:$A,0)), IF(OR(INDEX(Telmo!$D:$D,MATCH(19277,Telmo!$A:$A,0))=1, INDEX(Telmo!$D:$D,MATCH(19277,Telmo!$A:$A,0))=2), INDEX(Telmo!$D:$D,MATCH(19277,Telmo!$A:$A,0)), 0), 0)</f>
        <v>2</v>
      </c>
      <c r="I1006" s="1">
        <f t="array" ref="I1006">IF(ISNUMBER(MATCH(19277,Max!$A:$A,0)), IF(OR(INDEX(Max!$D:$D,MATCH(19277,Max!$A:$A,0))=1, INDEX(Max!$D:$D,MATCH(19277,Max!$A:$A,0))=2), INDEX(Max!$D:$D,MATCH(19277,Max!$A:$A,0)), 0), 0)</f>
        <v>0</v>
      </c>
    </row>
    <row r="1007" spans="1:9" ht="15.75" customHeight="1" x14ac:dyDescent="0.2">
      <c r="A1007" s="1">
        <v>30368</v>
      </c>
      <c r="B1007" s="1" t="s">
        <v>1251</v>
      </c>
      <c r="C1007" s="1" t="s">
        <v>2390</v>
      </c>
      <c r="D1007" s="1" t="str">
        <f t="shared" si="3"/>
        <v>2</v>
      </c>
      <c r="E1007" s="1" t="s">
        <v>2391</v>
      </c>
      <c r="G1007" s="1">
        <f t="array" ref="G1007">IF(ISNUMBER(MATCH(30368,Camille!$A:$A,0)), IF(OR(INDEX(Camille!$D:$D,MATCH(30368,Camille!$A:$A,0))=1, INDEX(Camille!$D:$D,MATCH(30368,Camille!$A:$A,0))=2), INDEX(Camille!$D:$D,MATCH(30368,Camille!$A:$A,0)), 0), 0)</f>
        <v>0</v>
      </c>
      <c r="H1007" s="1">
        <f t="array" ref="H1007">IF(ISNUMBER(MATCH(30368,Telmo!$A:$A,0)), IF(OR(INDEX(Telmo!$D:$D,MATCH(30368,Telmo!$A:$A,0))=1, INDEX(Telmo!$D:$D,MATCH(30368,Telmo!$A:$A,0))=2), INDEX(Telmo!$D:$D,MATCH(30368,Telmo!$A:$A,0)), 0), 0)</f>
        <v>2</v>
      </c>
      <c r="I1007" s="1">
        <f t="array" ref="I1007">IF(ISNUMBER(MATCH(30368,Max!$A:$A,0)), IF(OR(INDEX(Max!$D:$D,MATCH(30368,Max!$A:$A,0))=1, INDEX(Max!$D:$D,MATCH(30368,Max!$A:$A,0))=2), INDEX(Max!$D:$D,MATCH(30368,Max!$A:$A,0)), 0), 0)</f>
        <v>0</v>
      </c>
    </row>
    <row r="1008" spans="1:9" ht="15.75" customHeight="1" x14ac:dyDescent="0.2">
      <c r="A1008" s="1">
        <v>52218</v>
      </c>
      <c r="B1008" s="1" t="s">
        <v>2392</v>
      </c>
      <c r="C1008" s="1" t="s">
        <v>2393</v>
      </c>
      <c r="D1008" s="1" t="str">
        <f t="shared" si="3"/>
        <v>1</v>
      </c>
      <c r="E1008" s="1" t="s">
        <v>2394</v>
      </c>
      <c r="G1008" s="1">
        <f t="array" ref="G1008">IF(ISNUMBER(MATCH(52218,Camille!$A:$A,0)), IF(OR(INDEX(Camille!$D:$D,MATCH(52218,Camille!$A:$A,0))=1, INDEX(Camille!$D:$D,MATCH(52218,Camille!$A:$A,0))=2), INDEX(Camille!$D:$D,MATCH(52218,Camille!$A:$A,0)), 0), 0)</f>
        <v>0</v>
      </c>
      <c r="H1008" s="1">
        <f t="array" ref="H1008">IF(ISNUMBER(MATCH(52218,Telmo!$A:$A,0)), IF(OR(INDEX(Telmo!$D:$D,MATCH(52218,Telmo!$A:$A,0))=1, INDEX(Telmo!$D:$D,MATCH(52218,Telmo!$A:$A,0))=2), INDEX(Telmo!$D:$D,MATCH(52218,Telmo!$A:$A,0)), 0), 0)</f>
        <v>1</v>
      </c>
      <c r="I1008" s="1">
        <f t="array" ref="I1008">IF(ISNUMBER(MATCH(52218,Max!$A:$A,0)), IF(OR(INDEX(Max!$D:$D,MATCH(52218,Max!$A:$A,0))=1, INDEX(Max!$D:$D,MATCH(52218,Max!$A:$A,0))=2), INDEX(Max!$D:$D,MATCH(52218,Max!$A:$A,0)), 0), 0)</f>
        <v>0</v>
      </c>
    </row>
    <row r="1009" spans="1:9" ht="15.75" customHeight="1" x14ac:dyDescent="0.2">
      <c r="A1009" s="1">
        <v>46129</v>
      </c>
      <c r="B1009" s="1" t="s">
        <v>2395</v>
      </c>
      <c r="C1009" s="1" t="s">
        <v>2396</v>
      </c>
      <c r="D1009" s="1" t="str">
        <f t="shared" si="3"/>
        <v>2</v>
      </c>
      <c r="E1009" s="1" t="s">
        <v>2397</v>
      </c>
      <c r="G1009" s="1">
        <f t="array" ref="G1009">IF(ISNUMBER(MATCH(46129,Camille!$A:$A,0)), IF(OR(INDEX(Camille!$D:$D,MATCH(46129,Camille!$A:$A,0))=1, INDEX(Camille!$D:$D,MATCH(46129,Camille!$A:$A,0))=2), INDEX(Camille!$D:$D,MATCH(46129,Camille!$A:$A,0)), 0), 0)</f>
        <v>0</v>
      </c>
      <c r="H1009" s="1">
        <f t="array" ref="H1009">IF(ISNUMBER(MATCH(46129,Telmo!$A:$A,0)), IF(OR(INDEX(Telmo!$D:$D,MATCH(46129,Telmo!$A:$A,0))=1, INDEX(Telmo!$D:$D,MATCH(46129,Telmo!$A:$A,0))=2), INDEX(Telmo!$D:$D,MATCH(46129,Telmo!$A:$A,0)), 0), 0)</f>
        <v>2</v>
      </c>
      <c r="I1009" s="1">
        <f t="array" ref="I1009">IF(ISNUMBER(MATCH(46129,Max!$A:$A,0)), IF(OR(INDEX(Max!$D:$D,MATCH(46129,Max!$A:$A,0))=1, INDEX(Max!$D:$D,MATCH(46129,Max!$A:$A,0))=2), INDEX(Max!$D:$D,MATCH(46129,Max!$A:$A,0)), 0), 0)</f>
        <v>0</v>
      </c>
    </row>
    <row r="1010" spans="1:9" ht="15.75" customHeight="1" x14ac:dyDescent="0.2">
      <c r="A1010" s="1">
        <v>68879</v>
      </c>
      <c r="B1010" s="1" t="s">
        <v>268</v>
      </c>
      <c r="C1010" s="1" t="s">
        <v>2398</v>
      </c>
      <c r="D1010" s="1" t="str">
        <f t="shared" si="3"/>
        <v>2</v>
      </c>
      <c r="E1010" s="1" t="s">
        <v>2399</v>
      </c>
      <c r="G1010" s="1">
        <f t="array" ref="G1010">IF(ISNUMBER(MATCH(68879,Camille!$A:$A,0)), IF(OR(INDEX(Camille!$D:$D,MATCH(68879,Camille!$A:$A,0))=1, INDEX(Camille!$D:$D,MATCH(68879,Camille!$A:$A,0))=2), INDEX(Camille!$D:$D,MATCH(68879,Camille!$A:$A,0)), 0), 0)</f>
        <v>0</v>
      </c>
      <c r="H1010" s="1">
        <f t="array" ref="H1010">IF(ISNUMBER(MATCH(68879,Telmo!$A:$A,0)), IF(OR(INDEX(Telmo!$D:$D,MATCH(68879,Telmo!$A:$A,0))=1, INDEX(Telmo!$D:$D,MATCH(68879,Telmo!$A:$A,0))=2), INDEX(Telmo!$D:$D,MATCH(68879,Telmo!$A:$A,0)), 0), 0)</f>
        <v>2</v>
      </c>
      <c r="I1010" s="1">
        <f t="array" ref="I1010">IF(ISNUMBER(MATCH(68879,Max!$A:$A,0)), IF(OR(INDEX(Max!$D:$D,MATCH(68879,Max!$A:$A,0))=1, INDEX(Max!$D:$D,MATCH(68879,Max!$A:$A,0))=2), INDEX(Max!$D:$D,MATCH(68879,Max!$A:$A,0)), 0), 0)</f>
        <v>0</v>
      </c>
    </row>
    <row r="1011" spans="1:9" ht="15.75" customHeight="1" x14ac:dyDescent="0.2">
      <c r="A1011" s="1">
        <v>1404</v>
      </c>
      <c r="B1011" s="1" t="s">
        <v>191</v>
      </c>
      <c r="C1011" s="1" t="s">
        <v>2400</v>
      </c>
      <c r="D1011" s="1" t="str">
        <f t="shared" si="3"/>
        <v>1</v>
      </c>
      <c r="E1011" s="1" t="s">
        <v>2401</v>
      </c>
      <c r="G1011" s="1">
        <f t="array" ref="G1011">IF(ISNUMBER(MATCH(1404,Camille!$A:$A,0)), IF(OR(INDEX(Camille!$D:$D,MATCH(1404,Camille!$A:$A,0))=1, INDEX(Camille!$D:$D,MATCH(1404,Camille!$A:$A,0))=2), INDEX(Camille!$D:$D,MATCH(1404,Camille!$A:$A,0)), 0), 0)</f>
        <v>0</v>
      </c>
      <c r="H1011" s="1">
        <f t="array" ref="H1011">IF(ISNUMBER(MATCH(1404,Telmo!$A:$A,0)), IF(OR(INDEX(Telmo!$D:$D,MATCH(1404,Telmo!$A:$A,0))=1, INDEX(Telmo!$D:$D,MATCH(1404,Telmo!$A:$A,0))=2), INDEX(Telmo!$D:$D,MATCH(1404,Telmo!$A:$A,0)), 0), 0)</f>
        <v>1</v>
      </c>
      <c r="I1011" s="1">
        <f t="array" ref="I1011">IF(ISNUMBER(MATCH(1404,Max!$A:$A,0)), IF(OR(INDEX(Max!$D:$D,MATCH(1404,Max!$A:$A,0))=1, INDEX(Max!$D:$D,MATCH(1404,Max!$A:$A,0))=2), INDEX(Max!$D:$D,MATCH(1404,Max!$A:$A,0)), 0), 0)</f>
        <v>0</v>
      </c>
    </row>
    <row r="1012" spans="1:9" ht="15.75" customHeight="1" x14ac:dyDescent="0.2">
      <c r="A1012" s="1">
        <v>35713</v>
      </c>
      <c r="B1012" s="1" t="s">
        <v>109</v>
      </c>
      <c r="C1012" s="1" t="s">
        <v>2402</v>
      </c>
      <c r="D1012" s="1" t="str">
        <f t="shared" si="3"/>
        <v>2</v>
      </c>
      <c r="E1012" s="1" t="s">
        <v>2403</v>
      </c>
      <c r="G1012" s="1">
        <f t="array" ref="G1012">IF(ISNUMBER(MATCH(35713,Camille!$A:$A,0)), IF(OR(INDEX(Camille!$D:$D,MATCH(35713,Camille!$A:$A,0))=1, INDEX(Camille!$D:$D,MATCH(35713,Camille!$A:$A,0))=2), INDEX(Camille!$D:$D,MATCH(35713,Camille!$A:$A,0)), 0), 0)</f>
        <v>0</v>
      </c>
      <c r="H1012" s="1">
        <f t="array" ref="H1012">IF(ISNUMBER(MATCH(35713,Telmo!$A:$A,0)), IF(OR(INDEX(Telmo!$D:$D,MATCH(35713,Telmo!$A:$A,0))=1, INDEX(Telmo!$D:$D,MATCH(35713,Telmo!$A:$A,0))=2), INDEX(Telmo!$D:$D,MATCH(35713,Telmo!$A:$A,0)), 0), 0)</f>
        <v>2</v>
      </c>
      <c r="I1012" s="1">
        <f t="array" ref="I1012">IF(ISNUMBER(MATCH(35713,Max!$A:$A,0)), IF(OR(INDEX(Max!$D:$D,MATCH(35713,Max!$A:$A,0))=1, INDEX(Max!$D:$D,MATCH(35713,Max!$A:$A,0))=2), INDEX(Max!$D:$D,MATCH(35713,Max!$A:$A,0)), 0), 0)</f>
        <v>0</v>
      </c>
    </row>
    <row r="1013" spans="1:9" ht="15.75" customHeight="1" x14ac:dyDescent="0.2">
      <c r="A1013" s="1">
        <v>45724</v>
      </c>
      <c r="B1013" s="1" t="s">
        <v>23</v>
      </c>
      <c r="C1013" s="1" t="s">
        <v>2404</v>
      </c>
      <c r="D1013" s="1" t="str">
        <f t="shared" si="3"/>
        <v>2</v>
      </c>
      <c r="E1013" s="1" t="s">
        <v>2405</v>
      </c>
      <c r="G1013" s="1">
        <f t="array" ref="G1013">IF(ISNUMBER(MATCH(45724,Camille!$A:$A,0)), IF(OR(INDEX(Camille!$D:$D,MATCH(45724,Camille!$A:$A,0))=1, INDEX(Camille!$D:$D,MATCH(45724,Camille!$A:$A,0))=2), INDEX(Camille!$D:$D,MATCH(45724,Camille!$A:$A,0)), 0), 0)</f>
        <v>0</v>
      </c>
      <c r="H1013" s="1">
        <f t="array" ref="H1013">IF(ISNUMBER(MATCH(45724,Telmo!$A:$A,0)), IF(OR(INDEX(Telmo!$D:$D,MATCH(45724,Telmo!$A:$A,0))=1, INDEX(Telmo!$D:$D,MATCH(45724,Telmo!$A:$A,0))=2), INDEX(Telmo!$D:$D,MATCH(45724,Telmo!$A:$A,0)), 0), 0)</f>
        <v>2</v>
      </c>
      <c r="I1013" s="1">
        <f t="array" ref="I1013">IF(ISNUMBER(MATCH(45724,Max!$A:$A,0)), IF(OR(INDEX(Max!$D:$D,MATCH(45724,Max!$A:$A,0))=1, INDEX(Max!$D:$D,MATCH(45724,Max!$A:$A,0))=2), INDEX(Max!$D:$D,MATCH(45724,Max!$A:$A,0)), 0), 0)</f>
        <v>0</v>
      </c>
    </row>
    <row r="1014" spans="1:9" ht="15.75" customHeight="1" x14ac:dyDescent="0.2">
      <c r="A1014" s="1">
        <v>20014</v>
      </c>
      <c r="B1014" s="1" t="s">
        <v>1316</v>
      </c>
      <c r="C1014" s="1" t="s">
        <v>2406</v>
      </c>
      <c r="D1014" s="1" t="str">
        <f t="shared" si="3"/>
        <v>2</v>
      </c>
      <c r="E1014" s="1" t="s">
        <v>2407</v>
      </c>
      <c r="G1014" s="1">
        <f t="array" ref="G1014">IF(ISNUMBER(MATCH(20014,Camille!$A:$A,0)), IF(OR(INDEX(Camille!$D:$D,MATCH(20014,Camille!$A:$A,0))=1, INDEX(Camille!$D:$D,MATCH(20014,Camille!$A:$A,0))=2), INDEX(Camille!$D:$D,MATCH(20014,Camille!$A:$A,0)), 0), 0)</f>
        <v>0</v>
      </c>
      <c r="H1014" s="1">
        <f t="array" ref="H1014">IF(ISNUMBER(MATCH(20014,Telmo!$A:$A,0)), IF(OR(INDEX(Telmo!$D:$D,MATCH(20014,Telmo!$A:$A,0))=1, INDEX(Telmo!$D:$D,MATCH(20014,Telmo!$A:$A,0))=2), INDEX(Telmo!$D:$D,MATCH(20014,Telmo!$A:$A,0)), 0), 0)</f>
        <v>2</v>
      </c>
      <c r="I1014" s="1">
        <f t="array" ref="I1014">IF(ISNUMBER(MATCH(20014,Max!$A:$A,0)), IF(OR(INDEX(Max!$D:$D,MATCH(20014,Max!$A:$A,0))=1, INDEX(Max!$D:$D,MATCH(20014,Max!$A:$A,0))=2), INDEX(Max!$D:$D,MATCH(20014,Max!$A:$A,0)), 0), 0)</f>
        <v>0</v>
      </c>
    </row>
    <row r="1015" spans="1:9" ht="15.75" customHeight="1" x14ac:dyDescent="0.2">
      <c r="A1015" s="1">
        <v>20284</v>
      </c>
      <c r="B1015" s="1" t="s">
        <v>336</v>
      </c>
      <c r="C1015" s="1" t="s">
        <v>2408</v>
      </c>
      <c r="D1015" s="1" t="str">
        <f t="shared" si="3"/>
        <v>2</v>
      </c>
      <c r="E1015" s="1" t="s">
        <v>2409</v>
      </c>
      <c r="G1015" s="1">
        <f t="array" ref="G1015">IF(ISNUMBER(MATCH(20284,Camille!$A:$A,0)), IF(OR(INDEX(Camille!$D:$D,MATCH(20284,Camille!$A:$A,0))=1, INDEX(Camille!$D:$D,MATCH(20284,Camille!$A:$A,0))=2), INDEX(Camille!$D:$D,MATCH(20284,Camille!$A:$A,0)), 0), 0)</f>
        <v>0</v>
      </c>
      <c r="H1015" s="1">
        <f t="array" ref="H1015">IF(ISNUMBER(MATCH(20284,Telmo!$A:$A,0)), IF(OR(INDEX(Telmo!$D:$D,MATCH(20284,Telmo!$A:$A,0))=1, INDEX(Telmo!$D:$D,MATCH(20284,Telmo!$A:$A,0))=2), INDEX(Telmo!$D:$D,MATCH(20284,Telmo!$A:$A,0)), 0), 0)</f>
        <v>2</v>
      </c>
      <c r="I1015" s="1">
        <f t="array" ref="I1015">IF(ISNUMBER(MATCH(20284,Max!$A:$A,0)), IF(OR(INDEX(Max!$D:$D,MATCH(20284,Max!$A:$A,0))=1, INDEX(Max!$D:$D,MATCH(20284,Max!$A:$A,0))=2), INDEX(Max!$D:$D,MATCH(20284,Max!$A:$A,0)), 0), 0)</f>
        <v>0</v>
      </c>
    </row>
    <row r="1016" spans="1:9" ht="15.75" customHeight="1" x14ac:dyDescent="0.2">
      <c r="A1016" s="1">
        <v>61661</v>
      </c>
      <c r="B1016" s="1" t="s">
        <v>159</v>
      </c>
      <c r="C1016" s="1" t="s">
        <v>2410</v>
      </c>
      <c r="D1016" s="1" t="str">
        <f t="shared" si="3"/>
        <v>2</v>
      </c>
      <c r="E1016" s="1" t="s">
        <v>2411</v>
      </c>
      <c r="G1016" s="1">
        <f t="array" ref="G1016">IF(ISNUMBER(MATCH(61661,Camille!$A:$A,0)), IF(OR(INDEX(Camille!$D:$D,MATCH(61661,Camille!$A:$A,0))=1, INDEX(Camille!$D:$D,MATCH(61661,Camille!$A:$A,0))=2), INDEX(Camille!$D:$D,MATCH(61661,Camille!$A:$A,0)), 0), 0)</f>
        <v>0</v>
      </c>
      <c r="H1016" s="1">
        <f t="array" ref="H1016">IF(ISNUMBER(MATCH(61661,Telmo!$A:$A,0)), IF(OR(INDEX(Telmo!$D:$D,MATCH(61661,Telmo!$A:$A,0))=1, INDEX(Telmo!$D:$D,MATCH(61661,Telmo!$A:$A,0))=2), INDEX(Telmo!$D:$D,MATCH(61661,Telmo!$A:$A,0)), 0), 0)</f>
        <v>2</v>
      </c>
      <c r="I1016" s="1">
        <f t="array" ref="I1016">IF(ISNUMBER(MATCH(61661,Max!$A:$A,0)), IF(OR(INDEX(Max!$D:$D,MATCH(61661,Max!$A:$A,0))=1, INDEX(Max!$D:$D,MATCH(61661,Max!$A:$A,0))=2), INDEX(Max!$D:$D,MATCH(61661,Max!$A:$A,0)), 0), 0)</f>
        <v>0</v>
      </c>
    </row>
    <row r="1017" spans="1:9" ht="15.75" customHeight="1" x14ac:dyDescent="0.2">
      <c r="A1017" s="1">
        <v>54478</v>
      </c>
      <c r="B1017" s="1" t="s">
        <v>38</v>
      </c>
      <c r="C1017" s="1" t="s">
        <v>2412</v>
      </c>
      <c r="D1017" s="1" t="str">
        <f t="shared" si="3"/>
        <v>2</v>
      </c>
      <c r="E1017" s="1" t="s">
        <v>2413</v>
      </c>
      <c r="G1017" s="1">
        <f t="array" ref="G1017">IF(ISNUMBER(MATCH(54478,Camille!$A:$A,0)), IF(OR(INDEX(Camille!$D:$D,MATCH(54478,Camille!$A:$A,0))=1, INDEX(Camille!$D:$D,MATCH(54478,Camille!$A:$A,0))=2), INDEX(Camille!$D:$D,MATCH(54478,Camille!$A:$A,0)), 0), 0)</f>
        <v>0</v>
      </c>
      <c r="H1017" s="1">
        <f t="array" ref="H1017">IF(ISNUMBER(MATCH(54478,Telmo!$A:$A,0)), IF(OR(INDEX(Telmo!$D:$D,MATCH(54478,Telmo!$A:$A,0))=1, INDEX(Telmo!$D:$D,MATCH(54478,Telmo!$A:$A,0))=2), INDEX(Telmo!$D:$D,MATCH(54478,Telmo!$A:$A,0)), 0), 0)</f>
        <v>2</v>
      </c>
      <c r="I1017" s="1">
        <f t="array" ref="I1017">IF(ISNUMBER(MATCH(54478,Max!$A:$A,0)), IF(OR(INDEX(Max!$D:$D,MATCH(54478,Max!$A:$A,0))=1, INDEX(Max!$D:$D,MATCH(54478,Max!$A:$A,0))=2), INDEX(Max!$D:$D,MATCH(54478,Max!$A:$A,0)), 0), 0)</f>
        <v>0</v>
      </c>
    </row>
    <row r="1018" spans="1:9" ht="15.75" customHeight="1" x14ac:dyDescent="0.2">
      <c r="A1018" s="1">
        <v>4439</v>
      </c>
      <c r="B1018" s="1" t="s">
        <v>986</v>
      </c>
      <c r="C1018" s="1" t="s">
        <v>2414</v>
      </c>
      <c r="D1018" s="1" t="str">
        <f t="shared" si="3"/>
        <v>2</v>
      </c>
      <c r="E1018" s="1" t="s">
        <v>2415</v>
      </c>
      <c r="G1018" s="1">
        <f t="array" ref="G1018">IF(ISNUMBER(MATCH(4439,Camille!$A:$A,0)), IF(OR(INDEX(Camille!$D:$D,MATCH(4439,Camille!$A:$A,0))=1, INDEX(Camille!$D:$D,MATCH(4439,Camille!$A:$A,0))=2), INDEX(Camille!$D:$D,MATCH(4439,Camille!$A:$A,0)), 0), 0)</f>
        <v>0</v>
      </c>
      <c r="H1018" s="1">
        <f t="array" ref="H1018">IF(ISNUMBER(MATCH(4439,Telmo!$A:$A,0)), IF(OR(INDEX(Telmo!$D:$D,MATCH(4439,Telmo!$A:$A,0))=1, INDEX(Telmo!$D:$D,MATCH(4439,Telmo!$A:$A,0))=2), INDEX(Telmo!$D:$D,MATCH(4439,Telmo!$A:$A,0)), 0), 0)</f>
        <v>2</v>
      </c>
      <c r="I1018" s="1">
        <f t="array" ref="I1018">IF(ISNUMBER(MATCH(4439,Max!$A:$A,0)), IF(OR(INDEX(Max!$D:$D,MATCH(4439,Max!$A:$A,0))=1, INDEX(Max!$D:$D,MATCH(4439,Max!$A:$A,0))=2), INDEX(Max!$D:$D,MATCH(4439,Max!$A:$A,0)), 0), 0)</f>
        <v>0</v>
      </c>
    </row>
    <row r="1019" spans="1:9" ht="15.75" customHeight="1" x14ac:dyDescent="0.2">
      <c r="A1019" s="1">
        <v>57037</v>
      </c>
      <c r="B1019" s="1" t="s">
        <v>244</v>
      </c>
      <c r="C1019" s="1" t="s">
        <v>2416</v>
      </c>
      <c r="D1019" s="1" t="str">
        <f t="shared" si="3"/>
        <v>2</v>
      </c>
      <c r="E1019" s="1" t="s">
        <v>2417</v>
      </c>
      <c r="G1019" s="1">
        <f t="array" ref="G1019">IF(ISNUMBER(MATCH(57037,Camille!$A:$A,0)), IF(OR(INDEX(Camille!$D:$D,MATCH(57037,Camille!$A:$A,0))=1, INDEX(Camille!$D:$D,MATCH(57037,Camille!$A:$A,0))=2), INDEX(Camille!$D:$D,MATCH(57037,Camille!$A:$A,0)), 0), 0)</f>
        <v>0</v>
      </c>
      <c r="H1019" s="1">
        <f t="array" ref="H1019">IF(ISNUMBER(MATCH(57037,Telmo!$A:$A,0)), IF(OR(INDEX(Telmo!$D:$D,MATCH(57037,Telmo!$A:$A,0))=1, INDEX(Telmo!$D:$D,MATCH(57037,Telmo!$A:$A,0))=2), INDEX(Telmo!$D:$D,MATCH(57037,Telmo!$A:$A,0)), 0), 0)</f>
        <v>2</v>
      </c>
      <c r="I1019" s="1">
        <f t="array" ref="I1019">IF(ISNUMBER(MATCH(57037,Max!$A:$A,0)), IF(OR(INDEX(Max!$D:$D,MATCH(57037,Max!$A:$A,0))=1, INDEX(Max!$D:$D,MATCH(57037,Max!$A:$A,0))=2), INDEX(Max!$D:$D,MATCH(57037,Max!$A:$A,0)), 0), 0)</f>
        <v>0</v>
      </c>
    </row>
    <row r="1020" spans="1:9" ht="15.75" customHeight="1" x14ac:dyDescent="0.2">
      <c r="A1020" s="1">
        <v>55586</v>
      </c>
      <c r="B1020" s="1" t="s">
        <v>153</v>
      </c>
      <c r="C1020" s="1" t="s">
        <v>2418</v>
      </c>
      <c r="D1020" s="1" t="str">
        <f t="shared" si="3"/>
        <v>2</v>
      </c>
      <c r="E1020" s="1" t="s">
        <v>2419</v>
      </c>
      <c r="G1020" s="1">
        <f t="array" ref="G1020">IF(ISNUMBER(MATCH(55586,Camille!$A:$A,0)), IF(OR(INDEX(Camille!$D:$D,MATCH(55586,Camille!$A:$A,0))=1, INDEX(Camille!$D:$D,MATCH(55586,Camille!$A:$A,0))=2), INDEX(Camille!$D:$D,MATCH(55586,Camille!$A:$A,0)), 0), 0)</f>
        <v>0</v>
      </c>
      <c r="H1020" s="1">
        <f t="array" ref="H1020">IF(ISNUMBER(MATCH(55586,Telmo!$A:$A,0)), IF(OR(INDEX(Telmo!$D:$D,MATCH(55586,Telmo!$A:$A,0))=1, INDEX(Telmo!$D:$D,MATCH(55586,Telmo!$A:$A,0))=2), INDEX(Telmo!$D:$D,MATCH(55586,Telmo!$A:$A,0)), 0), 0)</f>
        <v>2</v>
      </c>
      <c r="I1020" s="1">
        <f t="array" ref="I1020">IF(ISNUMBER(MATCH(55586,Max!$A:$A,0)), IF(OR(INDEX(Max!$D:$D,MATCH(55586,Max!$A:$A,0))=1, INDEX(Max!$D:$D,MATCH(55586,Max!$A:$A,0))=2), INDEX(Max!$D:$D,MATCH(55586,Max!$A:$A,0)), 0), 0)</f>
        <v>0</v>
      </c>
    </row>
    <row r="1021" spans="1:9" ht="15.75" customHeight="1" x14ac:dyDescent="0.2">
      <c r="A1021" s="1">
        <v>14459</v>
      </c>
      <c r="B1021" s="1" t="s">
        <v>2042</v>
      </c>
      <c r="C1021" s="1" t="s">
        <v>2420</v>
      </c>
      <c r="D1021" s="1" t="str">
        <f t="shared" si="3"/>
        <v>2</v>
      </c>
      <c r="E1021" s="1" t="s">
        <v>2421</v>
      </c>
      <c r="G1021" s="1">
        <f t="array" ref="G1021">IF(ISNUMBER(MATCH(14459,Camille!$A:$A,0)), IF(OR(INDEX(Camille!$D:$D,MATCH(14459,Camille!$A:$A,0))=1, INDEX(Camille!$D:$D,MATCH(14459,Camille!$A:$A,0))=2), INDEX(Camille!$D:$D,MATCH(14459,Camille!$A:$A,0)), 0), 0)</f>
        <v>0</v>
      </c>
      <c r="H1021" s="1">
        <f t="array" ref="H1021">IF(ISNUMBER(MATCH(14459,Telmo!$A:$A,0)), IF(OR(INDEX(Telmo!$D:$D,MATCH(14459,Telmo!$A:$A,0))=1, INDEX(Telmo!$D:$D,MATCH(14459,Telmo!$A:$A,0))=2), INDEX(Telmo!$D:$D,MATCH(14459,Telmo!$A:$A,0)), 0), 0)</f>
        <v>2</v>
      </c>
      <c r="I1021" s="1">
        <f t="array" ref="I1021">IF(ISNUMBER(MATCH(14459,Max!$A:$A,0)), IF(OR(INDEX(Max!$D:$D,MATCH(14459,Max!$A:$A,0))=1, INDEX(Max!$D:$D,MATCH(14459,Max!$A:$A,0))=2), INDEX(Max!$D:$D,MATCH(14459,Max!$A:$A,0)), 0), 0)</f>
        <v>0</v>
      </c>
    </row>
    <row r="1022" spans="1:9" ht="15.75" customHeight="1" x14ac:dyDescent="0.2">
      <c r="A1022" s="1">
        <v>58927</v>
      </c>
      <c r="B1022" s="1" t="s">
        <v>964</v>
      </c>
      <c r="C1022" s="1" t="s">
        <v>2422</v>
      </c>
      <c r="D1022" s="1" t="str">
        <f t="shared" si="3"/>
        <v>2</v>
      </c>
      <c r="E1022" s="1" t="s">
        <v>2423</v>
      </c>
      <c r="G1022" s="1">
        <f t="array" ref="G1022">IF(ISNUMBER(MATCH(58927,Camille!$A:$A,0)), IF(OR(INDEX(Camille!$D:$D,MATCH(58927,Camille!$A:$A,0))=1, INDEX(Camille!$D:$D,MATCH(58927,Camille!$A:$A,0))=2), INDEX(Camille!$D:$D,MATCH(58927,Camille!$A:$A,0)), 0), 0)</f>
        <v>0</v>
      </c>
      <c r="H1022" s="1">
        <f t="array" ref="H1022">IF(ISNUMBER(MATCH(58927,Telmo!$A:$A,0)), IF(OR(INDEX(Telmo!$D:$D,MATCH(58927,Telmo!$A:$A,0))=1, INDEX(Telmo!$D:$D,MATCH(58927,Telmo!$A:$A,0))=2), INDEX(Telmo!$D:$D,MATCH(58927,Telmo!$A:$A,0)), 0), 0)</f>
        <v>2</v>
      </c>
      <c r="I1022" s="1">
        <f t="array" ref="I1022">IF(ISNUMBER(MATCH(58927,Max!$A:$A,0)), IF(OR(INDEX(Max!$D:$D,MATCH(58927,Max!$A:$A,0))=1, INDEX(Max!$D:$D,MATCH(58927,Max!$A:$A,0))=2), INDEX(Max!$D:$D,MATCH(58927,Max!$A:$A,0)), 0), 0)</f>
        <v>0</v>
      </c>
    </row>
    <row r="1023" spans="1:9" ht="15.75" customHeight="1" x14ac:dyDescent="0.2">
      <c r="A1023" s="1">
        <v>32578</v>
      </c>
      <c r="B1023" s="1" t="s">
        <v>466</v>
      </c>
      <c r="C1023" s="1" t="s">
        <v>2424</v>
      </c>
      <c r="D1023" s="1" t="str">
        <f t="shared" si="3"/>
        <v>2</v>
      </c>
      <c r="E1023" s="1" t="s">
        <v>2425</v>
      </c>
      <c r="G1023" s="1">
        <f t="array" ref="G1023">IF(ISNUMBER(MATCH(32578,Camille!$A:$A,0)), IF(OR(INDEX(Camille!$D:$D,MATCH(32578,Camille!$A:$A,0))=1, INDEX(Camille!$D:$D,MATCH(32578,Camille!$A:$A,0))=2), INDEX(Camille!$D:$D,MATCH(32578,Camille!$A:$A,0)), 0), 0)</f>
        <v>0</v>
      </c>
      <c r="H1023" s="1">
        <f t="array" ref="H1023">IF(ISNUMBER(MATCH(32578,Telmo!$A:$A,0)), IF(OR(INDEX(Telmo!$D:$D,MATCH(32578,Telmo!$A:$A,0))=1, INDEX(Telmo!$D:$D,MATCH(32578,Telmo!$A:$A,0))=2), INDEX(Telmo!$D:$D,MATCH(32578,Telmo!$A:$A,0)), 0), 0)</f>
        <v>2</v>
      </c>
      <c r="I1023" s="1">
        <f t="array" ref="I1023">IF(ISNUMBER(MATCH(32578,Max!$A:$A,0)), IF(OR(INDEX(Max!$D:$D,MATCH(32578,Max!$A:$A,0))=1, INDEX(Max!$D:$D,MATCH(32578,Max!$A:$A,0))=2), INDEX(Max!$D:$D,MATCH(32578,Max!$A:$A,0)), 0), 0)</f>
        <v>0</v>
      </c>
    </row>
    <row r="1024" spans="1:9" ht="15.75" customHeight="1" x14ac:dyDescent="0.2">
      <c r="A1024" s="1">
        <v>41722</v>
      </c>
      <c r="B1024" s="1" t="s">
        <v>191</v>
      </c>
      <c r="C1024" s="1" t="s">
        <v>2426</v>
      </c>
      <c r="D1024" s="1" t="str">
        <f t="shared" si="3"/>
        <v>1</v>
      </c>
      <c r="E1024" s="1" t="s">
        <v>2427</v>
      </c>
      <c r="G1024" s="1">
        <f t="array" ref="G1024">IF(ISNUMBER(MATCH(41722,Camille!$A:$A,0)), IF(OR(INDEX(Camille!$D:$D,MATCH(41722,Camille!$A:$A,0))=1, INDEX(Camille!$D:$D,MATCH(41722,Camille!$A:$A,0))=2), INDEX(Camille!$D:$D,MATCH(41722,Camille!$A:$A,0)), 0), 0)</f>
        <v>0</v>
      </c>
      <c r="H1024" s="1">
        <f t="array" ref="H1024">IF(ISNUMBER(MATCH(41722,Telmo!$A:$A,0)), IF(OR(INDEX(Telmo!$D:$D,MATCH(41722,Telmo!$A:$A,0))=1, INDEX(Telmo!$D:$D,MATCH(41722,Telmo!$A:$A,0))=2), INDEX(Telmo!$D:$D,MATCH(41722,Telmo!$A:$A,0)), 0), 0)</f>
        <v>1</v>
      </c>
      <c r="I1024" s="1">
        <f t="array" ref="I1024">IF(ISNUMBER(MATCH(41722,Max!$A:$A,0)), IF(OR(INDEX(Max!$D:$D,MATCH(41722,Max!$A:$A,0))=1, INDEX(Max!$D:$D,MATCH(41722,Max!$A:$A,0))=2), INDEX(Max!$D:$D,MATCH(41722,Max!$A:$A,0)), 0), 0)</f>
        <v>0</v>
      </c>
    </row>
    <row r="1025" spans="1:9" ht="15.75" customHeight="1" x14ac:dyDescent="0.2">
      <c r="A1025" s="1">
        <v>27766</v>
      </c>
      <c r="B1025" s="1" t="s">
        <v>1468</v>
      </c>
      <c r="C1025" s="1" t="s">
        <v>2428</v>
      </c>
      <c r="D1025" s="1" t="str">
        <f t="shared" ref="D1025:D1279" si="4">IF(SUM(G1025:I1025)=0, "", IF(COUNTIF(G1025:I1025, "1") &gt; 0, IF(COUNTIF(G1025:I1025, "2") &gt; 0, "3", "1"),IF(COUNTIF(G1025:I1025, "2") &gt; 0, "2", "")))</f>
        <v>2</v>
      </c>
      <c r="E1025" s="1" t="s">
        <v>2429</v>
      </c>
      <c r="G1025" s="1">
        <f t="array" ref="G1025">IF(ISNUMBER(MATCH(27766,Camille!$A:$A,0)), IF(OR(INDEX(Camille!$D:$D,MATCH(27766,Camille!$A:$A,0))=1, INDEX(Camille!$D:$D,MATCH(27766,Camille!$A:$A,0))=2), INDEX(Camille!$D:$D,MATCH(27766,Camille!$A:$A,0)), 0), 0)</f>
        <v>0</v>
      </c>
      <c r="H1025" s="1">
        <f t="array" ref="H1025">IF(ISNUMBER(MATCH(27766,Telmo!$A:$A,0)), IF(OR(INDEX(Telmo!$D:$D,MATCH(27766,Telmo!$A:$A,0))=1, INDEX(Telmo!$D:$D,MATCH(27766,Telmo!$A:$A,0))=2), INDEX(Telmo!$D:$D,MATCH(27766,Telmo!$A:$A,0)), 0), 0)</f>
        <v>2</v>
      </c>
      <c r="I1025" s="1">
        <f t="array" ref="I1025">IF(ISNUMBER(MATCH(27766,Max!$A:$A,0)), IF(OR(INDEX(Max!$D:$D,MATCH(27766,Max!$A:$A,0))=1, INDEX(Max!$D:$D,MATCH(27766,Max!$A:$A,0))=2), INDEX(Max!$D:$D,MATCH(27766,Max!$A:$A,0)), 0), 0)</f>
        <v>0</v>
      </c>
    </row>
    <row r="1026" spans="1:9" ht="15.75" customHeight="1" x14ac:dyDescent="0.2">
      <c r="A1026" s="1">
        <v>41937</v>
      </c>
      <c r="B1026" s="1" t="s">
        <v>2430</v>
      </c>
      <c r="C1026" s="1" t="s">
        <v>2431</v>
      </c>
      <c r="D1026" s="1" t="str">
        <f t="shared" si="4"/>
        <v>1</v>
      </c>
      <c r="E1026" s="1" t="s">
        <v>2432</v>
      </c>
      <c r="G1026" s="1">
        <f t="array" ref="G1026">IF(ISNUMBER(MATCH(41937,Camille!$A:$A,0)), IF(OR(INDEX(Camille!$D:$D,MATCH(41937,Camille!$A:$A,0))=1, INDEX(Camille!$D:$D,MATCH(41937,Camille!$A:$A,0))=2), INDEX(Camille!$D:$D,MATCH(41937,Camille!$A:$A,0)), 0), 0)</f>
        <v>0</v>
      </c>
      <c r="H1026" s="1">
        <f t="array" ref="H1026">IF(ISNUMBER(MATCH(41937,Telmo!$A:$A,0)), IF(OR(INDEX(Telmo!$D:$D,MATCH(41937,Telmo!$A:$A,0))=1, INDEX(Telmo!$D:$D,MATCH(41937,Telmo!$A:$A,0))=2), INDEX(Telmo!$D:$D,MATCH(41937,Telmo!$A:$A,0)), 0), 0)</f>
        <v>1</v>
      </c>
      <c r="I1026" s="1">
        <f t="array" ref="I1026">IF(ISNUMBER(MATCH(41937,Max!$A:$A,0)), IF(OR(INDEX(Max!$D:$D,MATCH(41937,Max!$A:$A,0))=1, INDEX(Max!$D:$D,MATCH(41937,Max!$A:$A,0))=2), INDEX(Max!$D:$D,MATCH(41937,Max!$A:$A,0)), 0), 0)</f>
        <v>0</v>
      </c>
    </row>
    <row r="1027" spans="1:9" ht="15.75" customHeight="1" x14ac:dyDescent="0.2">
      <c r="A1027" s="1">
        <v>20166</v>
      </c>
      <c r="B1027" s="1" t="s">
        <v>345</v>
      </c>
      <c r="C1027" s="1" t="s">
        <v>2433</v>
      </c>
      <c r="D1027" s="1" t="str">
        <f t="shared" si="4"/>
        <v>2</v>
      </c>
      <c r="E1027" s="1" t="s">
        <v>2434</v>
      </c>
      <c r="G1027" s="1">
        <f t="array" ref="G1027">IF(ISNUMBER(MATCH(20166,Camille!$A:$A,0)), IF(OR(INDEX(Camille!$D:$D,MATCH(20166,Camille!$A:$A,0))=1, INDEX(Camille!$D:$D,MATCH(20166,Camille!$A:$A,0))=2), INDEX(Camille!$D:$D,MATCH(20166,Camille!$A:$A,0)), 0), 0)</f>
        <v>0</v>
      </c>
      <c r="H1027" s="1">
        <f t="array" ref="H1027">IF(ISNUMBER(MATCH(20166,Telmo!$A:$A,0)), IF(OR(INDEX(Telmo!$D:$D,MATCH(20166,Telmo!$A:$A,0))=1, INDEX(Telmo!$D:$D,MATCH(20166,Telmo!$A:$A,0))=2), INDEX(Telmo!$D:$D,MATCH(20166,Telmo!$A:$A,0)), 0), 0)</f>
        <v>2</v>
      </c>
      <c r="I1027" s="1">
        <f t="array" ref="I1027">IF(ISNUMBER(MATCH(20166,Max!$A:$A,0)), IF(OR(INDEX(Max!$D:$D,MATCH(20166,Max!$A:$A,0))=1, INDEX(Max!$D:$D,MATCH(20166,Max!$A:$A,0))=2), INDEX(Max!$D:$D,MATCH(20166,Max!$A:$A,0)), 0), 0)</f>
        <v>0</v>
      </c>
    </row>
    <row r="1028" spans="1:9" ht="15.75" customHeight="1" x14ac:dyDescent="0.2">
      <c r="A1028" s="1">
        <v>34854</v>
      </c>
      <c r="B1028" s="1" t="s">
        <v>315</v>
      </c>
      <c r="C1028" s="1" t="s">
        <v>2435</v>
      </c>
      <c r="D1028" s="1" t="str">
        <f t="shared" si="4"/>
        <v>2</v>
      </c>
      <c r="E1028" s="1" t="s">
        <v>2436</v>
      </c>
      <c r="G1028" s="1">
        <f t="array" ref="G1028">IF(ISNUMBER(MATCH(34854,Camille!$A:$A,0)), IF(OR(INDEX(Camille!$D:$D,MATCH(34854,Camille!$A:$A,0))=1, INDEX(Camille!$D:$D,MATCH(34854,Camille!$A:$A,0))=2), INDEX(Camille!$D:$D,MATCH(34854,Camille!$A:$A,0)), 0), 0)</f>
        <v>0</v>
      </c>
      <c r="H1028" s="1">
        <f t="array" ref="H1028">IF(ISNUMBER(MATCH(34854,Telmo!$A:$A,0)), IF(OR(INDEX(Telmo!$D:$D,MATCH(34854,Telmo!$A:$A,0))=1, INDEX(Telmo!$D:$D,MATCH(34854,Telmo!$A:$A,0))=2), INDEX(Telmo!$D:$D,MATCH(34854,Telmo!$A:$A,0)), 0), 0)</f>
        <v>2</v>
      </c>
      <c r="I1028" s="1">
        <f t="array" ref="I1028">IF(ISNUMBER(MATCH(34854,Max!$A:$A,0)), IF(OR(INDEX(Max!$D:$D,MATCH(34854,Max!$A:$A,0))=1, INDEX(Max!$D:$D,MATCH(34854,Max!$A:$A,0))=2), INDEX(Max!$D:$D,MATCH(34854,Max!$A:$A,0)), 0), 0)</f>
        <v>0</v>
      </c>
    </row>
    <row r="1029" spans="1:9" ht="15.75" customHeight="1" x14ac:dyDescent="0.2">
      <c r="A1029" s="1">
        <v>64476</v>
      </c>
      <c r="B1029" s="1" t="s">
        <v>153</v>
      </c>
      <c r="C1029" s="1" t="s">
        <v>2437</v>
      </c>
      <c r="D1029" s="1" t="str">
        <f t="shared" si="4"/>
        <v>2</v>
      </c>
      <c r="E1029" s="1" t="s">
        <v>2438</v>
      </c>
      <c r="G1029" s="1">
        <f t="array" ref="G1029">IF(ISNUMBER(MATCH(64476,Camille!$A:$A,0)), IF(OR(INDEX(Camille!$D:$D,MATCH(64476,Camille!$A:$A,0))=1, INDEX(Camille!$D:$D,MATCH(64476,Camille!$A:$A,0))=2), INDEX(Camille!$D:$D,MATCH(64476,Camille!$A:$A,0)), 0), 0)</f>
        <v>0</v>
      </c>
      <c r="H1029" s="1">
        <f t="array" ref="H1029">IF(ISNUMBER(MATCH(64476,Telmo!$A:$A,0)), IF(OR(INDEX(Telmo!$D:$D,MATCH(64476,Telmo!$A:$A,0))=1, INDEX(Telmo!$D:$D,MATCH(64476,Telmo!$A:$A,0))=2), INDEX(Telmo!$D:$D,MATCH(64476,Telmo!$A:$A,0)), 0), 0)</f>
        <v>2</v>
      </c>
      <c r="I1029" s="1">
        <f t="array" ref="I1029">IF(ISNUMBER(MATCH(64476,Max!$A:$A,0)), IF(OR(INDEX(Max!$D:$D,MATCH(64476,Max!$A:$A,0))=1, INDEX(Max!$D:$D,MATCH(64476,Max!$A:$A,0))=2), INDEX(Max!$D:$D,MATCH(64476,Max!$A:$A,0)), 0), 0)</f>
        <v>0</v>
      </c>
    </row>
    <row r="1030" spans="1:9" ht="15.75" customHeight="1" x14ac:dyDescent="0.2">
      <c r="A1030" s="1">
        <v>51823</v>
      </c>
      <c r="B1030" s="1" t="s">
        <v>32</v>
      </c>
      <c r="C1030" s="1" t="s">
        <v>2439</v>
      </c>
      <c r="D1030" s="1" t="str">
        <f t="shared" si="4"/>
        <v>2</v>
      </c>
      <c r="E1030" s="1" t="s">
        <v>2440</v>
      </c>
      <c r="G1030" s="1">
        <f t="array" ref="G1030">IF(ISNUMBER(MATCH(51823,Camille!$A:$A,0)), IF(OR(INDEX(Camille!$D:$D,MATCH(51823,Camille!$A:$A,0))=1, INDEX(Camille!$D:$D,MATCH(51823,Camille!$A:$A,0))=2), INDEX(Camille!$D:$D,MATCH(51823,Camille!$A:$A,0)), 0), 0)</f>
        <v>0</v>
      </c>
      <c r="H1030" s="1">
        <f t="array" ref="H1030">IF(ISNUMBER(MATCH(51823,Telmo!$A:$A,0)), IF(OR(INDEX(Telmo!$D:$D,MATCH(51823,Telmo!$A:$A,0))=1, INDEX(Telmo!$D:$D,MATCH(51823,Telmo!$A:$A,0))=2), INDEX(Telmo!$D:$D,MATCH(51823,Telmo!$A:$A,0)), 0), 0)</f>
        <v>2</v>
      </c>
      <c r="I1030" s="1">
        <f t="array" ref="I1030">IF(ISNUMBER(MATCH(51823,Max!$A:$A,0)), IF(OR(INDEX(Max!$D:$D,MATCH(51823,Max!$A:$A,0))=1, INDEX(Max!$D:$D,MATCH(51823,Max!$A:$A,0))=2), INDEX(Max!$D:$D,MATCH(51823,Max!$A:$A,0)), 0), 0)</f>
        <v>0</v>
      </c>
    </row>
    <row r="1031" spans="1:9" ht="15.75" customHeight="1" x14ac:dyDescent="0.2">
      <c r="A1031" s="1">
        <v>51751</v>
      </c>
      <c r="B1031" s="1" t="s">
        <v>490</v>
      </c>
      <c r="C1031" s="1" t="s">
        <v>2441</v>
      </c>
      <c r="D1031" s="1" t="str">
        <f t="shared" si="4"/>
        <v>1</v>
      </c>
      <c r="E1031" s="1" t="s">
        <v>2442</v>
      </c>
      <c r="G1031" s="1">
        <f t="array" ref="G1031">IF(ISNUMBER(MATCH(51751,Camille!$A:$A,0)), IF(OR(INDEX(Camille!$D:$D,MATCH(51751,Camille!$A:$A,0))=1, INDEX(Camille!$D:$D,MATCH(51751,Camille!$A:$A,0))=2), INDEX(Camille!$D:$D,MATCH(51751,Camille!$A:$A,0)), 0), 0)</f>
        <v>0</v>
      </c>
      <c r="H1031" s="1">
        <f t="array" ref="H1031">IF(ISNUMBER(MATCH(51751,Telmo!$A:$A,0)), IF(OR(INDEX(Telmo!$D:$D,MATCH(51751,Telmo!$A:$A,0))=1, INDEX(Telmo!$D:$D,MATCH(51751,Telmo!$A:$A,0))=2), INDEX(Telmo!$D:$D,MATCH(51751,Telmo!$A:$A,0)), 0), 0)</f>
        <v>1</v>
      </c>
      <c r="I1031" s="1">
        <f t="array" ref="I1031">IF(ISNUMBER(MATCH(51751,Max!$A:$A,0)), IF(OR(INDEX(Max!$D:$D,MATCH(51751,Max!$A:$A,0))=1, INDEX(Max!$D:$D,MATCH(51751,Max!$A:$A,0))=2), INDEX(Max!$D:$D,MATCH(51751,Max!$A:$A,0)), 0), 0)</f>
        <v>0</v>
      </c>
    </row>
    <row r="1032" spans="1:9" ht="15.75" customHeight="1" x14ac:dyDescent="0.2">
      <c r="A1032" s="1">
        <v>67660</v>
      </c>
      <c r="B1032" s="1" t="s">
        <v>731</v>
      </c>
      <c r="C1032" s="1" t="s">
        <v>2443</v>
      </c>
      <c r="D1032" s="1" t="str">
        <f t="shared" si="4"/>
        <v>2</v>
      </c>
      <c r="E1032" s="1" t="s">
        <v>2444</v>
      </c>
      <c r="G1032" s="1">
        <f t="array" ref="G1032">IF(ISNUMBER(MATCH(67660,Camille!$A:$A,0)), IF(OR(INDEX(Camille!$D:$D,MATCH(67660,Camille!$A:$A,0))=1, INDEX(Camille!$D:$D,MATCH(67660,Camille!$A:$A,0))=2), INDEX(Camille!$D:$D,MATCH(67660,Camille!$A:$A,0)), 0), 0)</f>
        <v>0</v>
      </c>
      <c r="H1032" s="1">
        <f t="array" ref="H1032">IF(ISNUMBER(MATCH(67660,Telmo!$A:$A,0)), IF(OR(INDEX(Telmo!$D:$D,MATCH(67660,Telmo!$A:$A,0))=1, INDEX(Telmo!$D:$D,MATCH(67660,Telmo!$A:$A,0))=2), INDEX(Telmo!$D:$D,MATCH(67660,Telmo!$A:$A,0)), 0), 0)</f>
        <v>2</v>
      </c>
      <c r="I1032" s="1">
        <f t="array" ref="I1032">IF(ISNUMBER(MATCH(67660,Max!$A:$A,0)), IF(OR(INDEX(Max!$D:$D,MATCH(67660,Max!$A:$A,0))=1, INDEX(Max!$D:$D,MATCH(67660,Max!$A:$A,0))=2), INDEX(Max!$D:$D,MATCH(67660,Max!$A:$A,0)), 0), 0)</f>
        <v>0</v>
      </c>
    </row>
    <row r="1033" spans="1:9" ht="15.75" customHeight="1" x14ac:dyDescent="0.2">
      <c r="A1033" s="1">
        <v>47041</v>
      </c>
      <c r="B1033" s="1" t="s">
        <v>527</v>
      </c>
      <c r="C1033" s="1" t="s">
        <v>2445</v>
      </c>
      <c r="D1033" s="1" t="str">
        <f t="shared" si="4"/>
        <v>1</v>
      </c>
      <c r="E1033" s="1" t="s">
        <v>2446</v>
      </c>
      <c r="G1033" s="1">
        <f t="array" ref="G1033">IF(ISNUMBER(MATCH(47041,Camille!$A:$A,0)), IF(OR(INDEX(Camille!$D:$D,MATCH(47041,Camille!$A:$A,0))=1, INDEX(Camille!$D:$D,MATCH(47041,Camille!$A:$A,0))=2), INDEX(Camille!$D:$D,MATCH(47041,Camille!$A:$A,0)), 0), 0)</f>
        <v>0</v>
      </c>
      <c r="H1033" s="1">
        <f t="array" ref="H1033">IF(ISNUMBER(MATCH(47041,Telmo!$A:$A,0)), IF(OR(INDEX(Telmo!$D:$D,MATCH(47041,Telmo!$A:$A,0))=1, INDEX(Telmo!$D:$D,MATCH(47041,Telmo!$A:$A,0))=2), INDEX(Telmo!$D:$D,MATCH(47041,Telmo!$A:$A,0)), 0), 0)</f>
        <v>1</v>
      </c>
      <c r="I1033" s="1">
        <f t="array" ref="I1033">IF(ISNUMBER(MATCH(47041,Max!$A:$A,0)), IF(OR(INDEX(Max!$D:$D,MATCH(47041,Max!$A:$A,0))=1, INDEX(Max!$D:$D,MATCH(47041,Max!$A:$A,0))=2), INDEX(Max!$D:$D,MATCH(47041,Max!$A:$A,0)), 0), 0)</f>
        <v>0</v>
      </c>
    </row>
    <row r="1034" spans="1:9" ht="15.75" customHeight="1" x14ac:dyDescent="0.2">
      <c r="A1034" s="1">
        <v>61505</v>
      </c>
      <c r="B1034" s="1" t="s">
        <v>493</v>
      </c>
      <c r="C1034" s="1" t="s">
        <v>2447</v>
      </c>
      <c r="D1034" s="1" t="str">
        <f t="shared" si="4"/>
        <v>2</v>
      </c>
      <c r="E1034" s="1" t="s">
        <v>2448</v>
      </c>
      <c r="G1034" s="1">
        <f t="array" ref="G1034">IF(ISNUMBER(MATCH(61505,Camille!$A:$A,0)), IF(OR(INDEX(Camille!$D:$D,MATCH(61505,Camille!$A:$A,0))=1, INDEX(Camille!$D:$D,MATCH(61505,Camille!$A:$A,0))=2), INDEX(Camille!$D:$D,MATCH(61505,Camille!$A:$A,0)), 0), 0)</f>
        <v>0</v>
      </c>
      <c r="H1034" s="1">
        <f t="array" ref="H1034">IF(ISNUMBER(MATCH(61505,Telmo!$A:$A,0)), IF(OR(INDEX(Telmo!$D:$D,MATCH(61505,Telmo!$A:$A,0))=1, INDEX(Telmo!$D:$D,MATCH(61505,Telmo!$A:$A,0))=2), INDEX(Telmo!$D:$D,MATCH(61505,Telmo!$A:$A,0)), 0), 0)</f>
        <v>2</v>
      </c>
      <c r="I1034" s="1">
        <f t="array" ref="I1034">IF(ISNUMBER(MATCH(61505,Max!$A:$A,0)), IF(OR(INDEX(Max!$D:$D,MATCH(61505,Max!$A:$A,0))=1, INDEX(Max!$D:$D,MATCH(61505,Max!$A:$A,0))=2), INDEX(Max!$D:$D,MATCH(61505,Max!$A:$A,0)), 0), 0)</f>
        <v>0</v>
      </c>
    </row>
    <row r="1035" spans="1:9" ht="15.75" customHeight="1" x14ac:dyDescent="0.2">
      <c r="A1035" s="1">
        <v>53035</v>
      </c>
      <c r="B1035" s="1" t="s">
        <v>180</v>
      </c>
      <c r="C1035" s="1" t="s">
        <v>2449</v>
      </c>
      <c r="D1035" s="1" t="str">
        <f t="shared" si="4"/>
        <v>2</v>
      </c>
      <c r="E1035" s="1" t="s">
        <v>2450</v>
      </c>
      <c r="G1035" s="1">
        <f t="array" ref="G1035">IF(ISNUMBER(MATCH(53035,Camille!$A:$A,0)), IF(OR(INDEX(Camille!$D:$D,MATCH(53035,Camille!$A:$A,0))=1, INDEX(Camille!$D:$D,MATCH(53035,Camille!$A:$A,0))=2), INDEX(Camille!$D:$D,MATCH(53035,Camille!$A:$A,0)), 0), 0)</f>
        <v>0</v>
      </c>
      <c r="H1035" s="1">
        <f t="array" ref="H1035">IF(ISNUMBER(MATCH(53035,Telmo!$A:$A,0)), IF(OR(INDEX(Telmo!$D:$D,MATCH(53035,Telmo!$A:$A,0))=1, INDEX(Telmo!$D:$D,MATCH(53035,Telmo!$A:$A,0))=2), INDEX(Telmo!$D:$D,MATCH(53035,Telmo!$A:$A,0)), 0), 0)</f>
        <v>2</v>
      </c>
      <c r="I1035" s="1">
        <f t="array" ref="I1035">IF(ISNUMBER(MATCH(53035,Max!$A:$A,0)), IF(OR(INDEX(Max!$D:$D,MATCH(53035,Max!$A:$A,0))=1, INDEX(Max!$D:$D,MATCH(53035,Max!$A:$A,0))=2), INDEX(Max!$D:$D,MATCH(53035,Max!$A:$A,0)), 0), 0)</f>
        <v>0</v>
      </c>
    </row>
    <row r="1036" spans="1:9" ht="15.75" customHeight="1" x14ac:dyDescent="0.2">
      <c r="A1036" s="1">
        <v>63356</v>
      </c>
      <c r="B1036" s="1" t="s">
        <v>153</v>
      </c>
      <c r="C1036" s="1" t="s">
        <v>2451</v>
      </c>
      <c r="D1036" s="1" t="str">
        <f t="shared" si="4"/>
        <v>2</v>
      </c>
      <c r="E1036" s="1" t="s">
        <v>2452</v>
      </c>
      <c r="G1036" s="1">
        <f t="array" ref="G1036">IF(ISNUMBER(MATCH(63356,Camille!$A:$A,0)), IF(OR(INDEX(Camille!$D:$D,MATCH(63356,Camille!$A:$A,0))=1, INDEX(Camille!$D:$D,MATCH(63356,Camille!$A:$A,0))=2), INDEX(Camille!$D:$D,MATCH(63356,Camille!$A:$A,0)), 0), 0)</f>
        <v>0</v>
      </c>
      <c r="H1036" s="1">
        <f t="array" ref="H1036">IF(ISNUMBER(MATCH(63356,Telmo!$A:$A,0)), IF(OR(INDEX(Telmo!$D:$D,MATCH(63356,Telmo!$A:$A,0))=1, INDEX(Telmo!$D:$D,MATCH(63356,Telmo!$A:$A,0))=2), INDEX(Telmo!$D:$D,MATCH(63356,Telmo!$A:$A,0)), 0), 0)</f>
        <v>2</v>
      </c>
      <c r="I1036" s="1">
        <f t="array" ref="I1036">IF(ISNUMBER(MATCH(63356,Max!$A:$A,0)), IF(OR(INDEX(Max!$D:$D,MATCH(63356,Max!$A:$A,0))=1, INDEX(Max!$D:$D,MATCH(63356,Max!$A:$A,0))=2), INDEX(Max!$D:$D,MATCH(63356,Max!$A:$A,0)), 0), 0)</f>
        <v>0</v>
      </c>
    </row>
    <row r="1037" spans="1:9" ht="15.75" customHeight="1" x14ac:dyDescent="0.2">
      <c r="A1037" s="1">
        <v>67871</v>
      </c>
      <c r="B1037" s="1" t="s">
        <v>466</v>
      </c>
      <c r="C1037" s="1" t="s">
        <v>2453</v>
      </c>
      <c r="D1037" s="1" t="str">
        <f t="shared" si="4"/>
        <v>2</v>
      </c>
      <c r="E1037" s="1" t="s">
        <v>2454</v>
      </c>
      <c r="G1037" s="1">
        <f t="array" ref="G1037">IF(ISNUMBER(MATCH(67871,Camille!$A:$A,0)), IF(OR(INDEX(Camille!$D:$D,MATCH(67871,Camille!$A:$A,0))=1, INDEX(Camille!$D:$D,MATCH(67871,Camille!$A:$A,0))=2), INDEX(Camille!$D:$D,MATCH(67871,Camille!$A:$A,0)), 0), 0)</f>
        <v>0</v>
      </c>
      <c r="H1037" s="1">
        <f t="array" ref="H1037">IF(ISNUMBER(MATCH(67871,Telmo!$A:$A,0)), IF(OR(INDEX(Telmo!$D:$D,MATCH(67871,Telmo!$A:$A,0))=1, INDEX(Telmo!$D:$D,MATCH(67871,Telmo!$A:$A,0))=2), INDEX(Telmo!$D:$D,MATCH(67871,Telmo!$A:$A,0)), 0), 0)</f>
        <v>2</v>
      </c>
      <c r="I1037" s="1">
        <f t="array" ref="I1037">IF(ISNUMBER(MATCH(67871,Max!$A:$A,0)), IF(OR(INDEX(Max!$D:$D,MATCH(67871,Max!$A:$A,0))=1, INDEX(Max!$D:$D,MATCH(67871,Max!$A:$A,0))=2), INDEX(Max!$D:$D,MATCH(67871,Max!$A:$A,0)), 0), 0)</f>
        <v>0</v>
      </c>
    </row>
    <row r="1038" spans="1:9" ht="15.75" customHeight="1" x14ac:dyDescent="0.2">
      <c r="A1038" s="1">
        <v>11570</v>
      </c>
      <c r="B1038" s="1" t="s">
        <v>1825</v>
      </c>
      <c r="C1038" s="1" t="s">
        <v>2455</v>
      </c>
      <c r="D1038" s="1" t="str">
        <f t="shared" si="4"/>
        <v>2</v>
      </c>
      <c r="E1038" s="1" t="s">
        <v>2456</v>
      </c>
      <c r="G1038" s="1">
        <f t="array" ref="G1038">IF(ISNUMBER(MATCH(11570,Camille!$A:$A,0)), IF(OR(INDEX(Camille!$D:$D,MATCH(11570,Camille!$A:$A,0))=1, INDEX(Camille!$D:$D,MATCH(11570,Camille!$A:$A,0))=2), INDEX(Camille!$D:$D,MATCH(11570,Camille!$A:$A,0)), 0), 0)</f>
        <v>0</v>
      </c>
      <c r="H1038" s="1">
        <f t="array" ref="H1038">IF(ISNUMBER(MATCH(11570,Telmo!$A:$A,0)), IF(OR(INDEX(Telmo!$D:$D,MATCH(11570,Telmo!$A:$A,0))=1, INDEX(Telmo!$D:$D,MATCH(11570,Telmo!$A:$A,0))=2), INDEX(Telmo!$D:$D,MATCH(11570,Telmo!$A:$A,0)), 0), 0)</f>
        <v>2</v>
      </c>
      <c r="I1038" s="1">
        <f t="array" ref="I1038">IF(ISNUMBER(MATCH(11570,Max!$A:$A,0)), IF(OR(INDEX(Max!$D:$D,MATCH(11570,Max!$A:$A,0))=1, INDEX(Max!$D:$D,MATCH(11570,Max!$A:$A,0))=2), INDEX(Max!$D:$D,MATCH(11570,Max!$A:$A,0)), 0), 0)</f>
        <v>0</v>
      </c>
    </row>
    <row r="1039" spans="1:9" ht="15.75" customHeight="1" x14ac:dyDescent="0.2">
      <c r="A1039" s="1">
        <v>51571</v>
      </c>
      <c r="B1039" s="1" t="s">
        <v>2457</v>
      </c>
      <c r="C1039" s="1" t="s">
        <v>2458</v>
      </c>
      <c r="D1039" s="1" t="str">
        <f t="shared" si="4"/>
        <v>1</v>
      </c>
      <c r="E1039" s="1" t="s">
        <v>2459</v>
      </c>
      <c r="G1039" s="1">
        <f t="array" ref="G1039">IF(ISNUMBER(MATCH(51571,Camille!$A:$A,0)), IF(OR(INDEX(Camille!$D:$D,MATCH(51571,Camille!$A:$A,0))=1, INDEX(Camille!$D:$D,MATCH(51571,Camille!$A:$A,0))=2), INDEX(Camille!$D:$D,MATCH(51571,Camille!$A:$A,0)), 0), 0)</f>
        <v>0</v>
      </c>
      <c r="H1039" s="1">
        <f t="array" ref="H1039">IF(ISNUMBER(MATCH(51571,Telmo!$A:$A,0)), IF(OR(INDEX(Telmo!$D:$D,MATCH(51571,Telmo!$A:$A,0))=1, INDEX(Telmo!$D:$D,MATCH(51571,Telmo!$A:$A,0))=2), INDEX(Telmo!$D:$D,MATCH(51571,Telmo!$A:$A,0)), 0), 0)</f>
        <v>1</v>
      </c>
      <c r="I1039" s="1">
        <f t="array" ref="I1039">IF(ISNUMBER(MATCH(51571,Max!$A:$A,0)), IF(OR(INDEX(Max!$D:$D,MATCH(51571,Max!$A:$A,0))=1, INDEX(Max!$D:$D,MATCH(51571,Max!$A:$A,0))=2), INDEX(Max!$D:$D,MATCH(51571,Max!$A:$A,0)), 0), 0)</f>
        <v>0</v>
      </c>
    </row>
    <row r="1040" spans="1:9" ht="15.75" customHeight="1" x14ac:dyDescent="0.2">
      <c r="A1040" s="1">
        <v>65861</v>
      </c>
      <c r="B1040" s="1" t="s">
        <v>457</v>
      </c>
      <c r="C1040" s="1" t="s">
        <v>2460</v>
      </c>
      <c r="D1040" s="1" t="str">
        <f t="shared" si="4"/>
        <v>2</v>
      </c>
      <c r="E1040" s="1" t="s">
        <v>2461</v>
      </c>
      <c r="G1040" s="1">
        <f t="array" ref="G1040">IF(ISNUMBER(MATCH(65861,Camille!$A:$A,0)), IF(OR(INDEX(Camille!$D:$D,MATCH(65861,Camille!$A:$A,0))=1, INDEX(Camille!$D:$D,MATCH(65861,Camille!$A:$A,0))=2), INDEX(Camille!$D:$D,MATCH(65861,Camille!$A:$A,0)), 0), 0)</f>
        <v>0</v>
      </c>
      <c r="H1040" s="1">
        <f t="array" ref="H1040">IF(ISNUMBER(MATCH(65861,Telmo!$A:$A,0)), IF(OR(INDEX(Telmo!$D:$D,MATCH(65861,Telmo!$A:$A,0))=1, INDEX(Telmo!$D:$D,MATCH(65861,Telmo!$A:$A,0))=2), INDEX(Telmo!$D:$D,MATCH(65861,Telmo!$A:$A,0)), 0), 0)</f>
        <v>2</v>
      </c>
      <c r="I1040" s="1">
        <f t="array" ref="I1040">IF(ISNUMBER(MATCH(65861,Max!$A:$A,0)), IF(OR(INDEX(Max!$D:$D,MATCH(65861,Max!$A:$A,0))=1, INDEX(Max!$D:$D,MATCH(65861,Max!$A:$A,0))=2), INDEX(Max!$D:$D,MATCH(65861,Max!$A:$A,0)), 0), 0)</f>
        <v>0</v>
      </c>
    </row>
    <row r="1041" spans="1:9" ht="15.75" customHeight="1" x14ac:dyDescent="0.2">
      <c r="A1041" s="1">
        <v>60375</v>
      </c>
      <c r="B1041" s="1" t="s">
        <v>354</v>
      </c>
      <c r="C1041" s="1" t="s">
        <v>2462</v>
      </c>
      <c r="D1041" s="1" t="str">
        <f t="shared" si="4"/>
        <v>2</v>
      </c>
      <c r="E1041" s="1" t="s">
        <v>2463</v>
      </c>
      <c r="G1041" s="1">
        <f t="array" ref="G1041">IF(ISNUMBER(MATCH(60375,Camille!$A:$A,0)), IF(OR(INDEX(Camille!$D:$D,MATCH(60375,Camille!$A:$A,0))=1, INDEX(Camille!$D:$D,MATCH(60375,Camille!$A:$A,0))=2), INDEX(Camille!$D:$D,MATCH(60375,Camille!$A:$A,0)), 0), 0)</f>
        <v>0</v>
      </c>
      <c r="H1041" s="1">
        <f t="array" ref="H1041">IF(ISNUMBER(MATCH(60375,Telmo!$A:$A,0)), IF(OR(INDEX(Telmo!$D:$D,MATCH(60375,Telmo!$A:$A,0))=1, INDEX(Telmo!$D:$D,MATCH(60375,Telmo!$A:$A,0))=2), INDEX(Telmo!$D:$D,MATCH(60375,Telmo!$A:$A,0)), 0), 0)</f>
        <v>2</v>
      </c>
      <c r="I1041" s="1">
        <f t="array" ref="I1041">IF(ISNUMBER(MATCH(60375,Max!$A:$A,0)), IF(OR(INDEX(Max!$D:$D,MATCH(60375,Max!$A:$A,0))=1, INDEX(Max!$D:$D,MATCH(60375,Max!$A:$A,0))=2), INDEX(Max!$D:$D,MATCH(60375,Max!$A:$A,0)), 0), 0)</f>
        <v>0</v>
      </c>
    </row>
    <row r="1042" spans="1:9" ht="15.75" customHeight="1" x14ac:dyDescent="0.2">
      <c r="A1042" s="1">
        <v>19854</v>
      </c>
      <c r="B1042" s="1" t="s">
        <v>2464</v>
      </c>
      <c r="C1042" s="1" t="s">
        <v>2465</v>
      </c>
      <c r="D1042" s="1" t="str">
        <f t="shared" si="4"/>
        <v>2</v>
      </c>
      <c r="E1042" s="1" t="s">
        <v>2466</v>
      </c>
      <c r="G1042" s="1">
        <f t="array" ref="G1042">IF(ISNUMBER(MATCH(19854,Camille!$A:$A,0)), IF(OR(INDEX(Camille!$D:$D,MATCH(19854,Camille!$A:$A,0))=1, INDEX(Camille!$D:$D,MATCH(19854,Camille!$A:$A,0))=2), INDEX(Camille!$D:$D,MATCH(19854,Camille!$A:$A,0)), 0), 0)</f>
        <v>0</v>
      </c>
      <c r="H1042" s="1">
        <f t="array" ref="H1042">IF(ISNUMBER(MATCH(19854,Telmo!$A:$A,0)), IF(OR(INDEX(Telmo!$D:$D,MATCH(19854,Telmo!$A:$A,0))=1, INDEX(Telmo!$D:$D,MATCH(19854,Telmo!$A:$A,0))=2), INDEX(Telmo!$D:$D,MATCH(19854,Telmo!$A:$A,0)), 0), 0)</f>
        <v>2</v>
      </c>
      <c r="I1042" s="1">
        <f t="array" ref="I1042">IF(ISNUMBER(MATCH(19854,Max!$A:$A,0)), IF(OR(INDEX(Max!$D:$D,MATCH(19854,Max!$A:$A,0))=1, INDEX(Max!$D:$D,MATCH(19854,Max!$A:$A,0))=2), INDEX(Max!$D:$D,MATCH(19854,Max!$A:$A,0)), 0), 0)</f>
        <v>0</v>
      </c>
    </row>
    <row r="1043" spans="1:9" ht="15.75" customHeight="1" x14ac:dyDescent="0.2">
      <c r="A1043" s="1">
        <v>33910</v>
      </c>
      <c r="B1043" s="1" t="s">
        <v>298</v>
      </c>
      <c r="C1043" s="1" t="s">
        <v>2467</v>
      </c>
      <c r="D1043" s="1" t="str">
        <f t="shared" si="4"/>
        <v>1</v>
      </c>
      <c r="E1043" s="1" t="s">
        <v>2468</v>
      </c>
      <c r="G1043" s="1">
        <f t="array" ref="G1043">IF(ISNUMBER(MATCH(33910,Camille!$A:$A,0)), IF(OR(INDEX(Camille!$D:$D,MATCH(33910,Camille!$A:$A,0))=1, INDEX(Camille!$D:$D,MATCH(33910,Camille!$A:$A,0))=2), INDEX(Camille!$D:$D,MATCH(33910,Camille!$A:$A,0)), 0), 0)</f>
        <v>0</v>
      </c>
      <c r="H1043" s="1">
        <f t="array" ref="H1043">IF(ISNUMBER(MATCH(33910,Telmo!$A:$A,0)), IF(OR(INDEX(Telmo!$D:$D,MATCH(33910,Telmo!$A:$A,0))=1, INDEX(Telmo!$D:$D,MATCH(33910,Telmo!$A:$A,0))=2), INDEX(Telmo!$D:$D,MATCH(33910,Telmo!$A:$A,0)), 0), 0)</f>
        <v>1</v>
      </c>
      <c r="I1043" s="1">
        <f t="array" ref="I1043">IF(ISNUMBER(MATCH(33910,Max!$A:$A,0)), IF(OR(INDEX(Max!$D:$D,MATCH(33910,Max!$A:$A,0))=1, INDEX(Max!$D:$D,MATCH(33910,Max!$A:$A,0))=2), INDEX(Max!$D:$D,MATCH(33910,Max!$A:$A,0)), 0), 0)</f>
        <v>0</v>
      </c>
    </row>
    <row r="1044" spans="1:9" ht="15.75" customHeight="1" x14ac:dyDescent="0.2">
      <c r="A1044" s="1">
        <v>14609</v>
      </c>
      <c r="B1044" s="1" t="s">
        <v>194</v>
      </c>
      <c r="C1044" s="1" t="s">
        <v>2469</v>
      </c>
      <c r="D1044" s="1" t="str">
        <f t="shared" si="4"/>
        <v>1</v>
      </c>
      <c r="E1044" s="1" t="s">
        <v>2470</v>
      </c>
      <c r="G1044" s="1">
        <f t="array" ref="G1044">IF(ISNUMBER(MATCH(14609,Camille!$A:$A,0)), IF(OR(INDEX(Camille!$D:$D,MATCH(14609,Camille!$A:$A,0))=1, INDEX(Camille!$D:$D,MATCH(14609,Camille!$A:$A,0))=2), INDEX(Camille!$D:$D,MATCH(14609,Camille!$A:$A,0)), 0), 0)</f>
        <v>0</v>
      </c>
      <c r="H1044" s="1">
        <f t="array" ref="H1044">IF(ISNUMBER(MATCH(14609,Telmo!$A:$A,0)), IF(OR(INDEX(Telmo!$D:$D,MATCH(14609,Telmo!$A:$A,0))=1, INDEX(Telmo!$D:$D,MATCH(14609,Telmo!$A:$A,0))=2), INDEX(Telmo!$D:$D,MATCH(14609,Telmo!$A:$A,0)), 0), 0)</f>
        <v>1</v>
      </c>
      <c r="I1044" s="1">
        <f t="array" ref="I1044">IF(ISNUMBER(MATCH(14609,Max!$A:$A,0)), IF(OR(INDEX(Max!$D:$D,MATCH(14609,Max!$A:$A,0))=1, INDEX(Max!$D:$D,MATCH(14609,Max!$A:$A,0))=2), INDEX(Max!$D:$D,MATCH(14609,Max!$A:$A,0)), 0), 0)</f>
        <v>0</v>
      </c>
    </row>
    <row r="1045" spans="1:9" ht="15.75" customHeight="1" x14ac:dyDescent="0.2">
      <c r="A1045" s="1">
        <v>41192</v>
      </c>
      <c r="B1045" s="1" t="s">
        <v>1357</v>
      </c>
      <c r="C1045" s="1" t="s">
        <v>2471</v>
      </c>
      <c r="D1045" s="1" t="str">
        <f t="shared" si="4"/>
        <v>2</v>
      </c>
      <c r="E1045" s="1" t="s">
        <v>2472</v>
      </c>
      <c r="G1045" s="1">
        <f t="array" ref="G1045">IF(ISNUMBER(MATCH(41192,Camille!$A:$A,0)), IF(OR(INDEX(Camille!$D:$D,MATCH(41192,Camille!$A:$A,0))=1, INDEX(Camille!$D:$D,MATCH(41192,Camille!$A:$A,0))=2), INDEX(Camille!$D:$D,MATCH(41192,Camille!$A:$A,0)), 0), 0)</f>
        <v>0</v>
      </c>
      <c r="H1045" s="1">
        <f t="array" ref="H1045">IF(ISNUMBER(MATCH(41192,Telmo!$A:$A,0)), IF(OR(INDEX(Telmo!$D:$D,MATCH(41192,Telmo!$A:$A,0))=1, INDEX(Telmo!$D:$D,MATCH(41192,Telmo!$A:$A,0))=2), INDEX(Telmo!$D:$D,MATCH(41192,Telmo!$A:$A,0)), 0), 0)</f>
        <v>2</v>
      </c>
      <c r="I1045" s="1">
        <f t="array" ref="I1045">IF(ISNUMBER(MATCH(41192,Max!$A:$A,0)), IF(OR(INDEX(Max!$D:$D,MATCH(41192,Max!$A:$A,0))=1, INDEX(Max!$D:$D,MATCH(41192,Max!$A:$A,0))=2), INDEX(Max!$D:$D,MATCH(41192,Max!$A:$A,0)), 0), 0)</f>
        <v>0</v>
      </c>
    </row>
    <row r="1046" spans="1:9" ht="15.75" customHeight="1" x14ac:dyDescent="0.2">
      <c r="A1046" s="1">
        <v>68196</v>
      </c>
      <c r="B1046" s="1" t="s">
        <v>32</v>
      </c>
      <c r="C1046" s="1" t="s">
        <v>2473</v>
      </c>
      <c r="D1046" s="1" t="str">
        <f t="shared" si="4"/>
        <v>1</v>
      </c>
      <c r="E1046" s="1" t="s">
        <v>2474</v>
      </c>
      <c r="G1046" s="1">
        <f t="array" ref="G1046">IF(ISNUMBER(MATCH(68196,Camille!$A:$A,0)), IF(OR(INDEX(Camille!$D:$D,MATCH(68196,Camille!$A:$A,0))=1, INDEX(Camille!$D:$D,MATCH(68196,Camille!$A:$A,0))=2), INDEX(Camille!$D:$D,MATCH(68196,Camille!$A:$A,0)), 0), 0)</f>
        <v>0</v>
      </c>
      <c r="H1046" s="1">
        <f t="array" ref="H1046">IF(ISNUMBER(MATCH(68196,Telmo!$A:$A,0)), IF(OR(INDEX(Telmo!$D:$D,MATCH(68196,Telmo!$A:$A,0))=1, INDEX(Telmo!$D:$D,MATCH(68196,Telmo!$A:$A,0))=2), INDEX(Telmo!$D:$D,MATCH(68196,Telmo!$A:$A,0)), 0), 0)</f>
        <v>1</v>
      </c>
      <c r="I1046" s="1">
        <f t="array" ref="I1046">IF(ISNUMBER(MATCH(68196,Max!$A:$A,0)), IF(OR(INDEX(Max!$D:$D,MATCH(68196,Max!$A:$A,0))=1, INDEX(Max!$D:$D,MATCH(68196,Max!$A:$A,0))=2), INDEX(Max!$D:$D,MATCH(68196,Max!$A:$A,0)), 0), 0)</f>
        <v>0</v>
      </c>
    </row>
    <row r="1047" spans="1:9" ht="15.75" customHeight="1" x14ac:dyDescent="0.2">
      <c r="A1047" s="1">
        <v>12344</v>
      </c>
      <c r="B1047" s="1" t="s">
        <v>298</v>
      </c>
      <c r="C1047" s="1" t="s">
        <v>2475</v>
      </c>
      <c r="D1047" s="1" t="str">
        <f t="shared" si="4"/>
        <v>1</v>
      </c>
      <c r="E1047" s="1" t="s">
        <v>2476</v>
      </c>
      <c r="G1047" s="1">
        <f t="array" ref="G1047">IF(ISNUMBER(MATCH(12344,Camille!$A:$A,0)), IF(OR(INDEX(Camille!$D:$D,MATCH(12344,Camille!$A:$A,0))=1, INDEX(Camille!$D:$D,MATCH(12344,Camille!$A:$A,0))=2), INDEX(Camille!$D:$D,MATCH(12344,Camille!$A:$A,0)), 0), 0)</f>
        <v>0</v>
      </c>
      <c r="H1047" s="1">
        <f t="array" ref="H1047">IF(ISNUMBER(MATCH(12344,Telmo!$A:$A,0)), IF(OR(INDEX(Telmo!$D:$D,MATCH(12344,Telmo!$A:$A,0))=1, INDEX(Telmo!$D:$D,MATCH(12344,Telmo!$A:$A,0))=2), INDEX(Telmo!$D:$D,MATCH(12344,Telmo!$A:$A,0)), 0), 0)</f>
        <v>1</v>
      </c>
      <c r="I1047" s="1">
        <f t="array" ref="I1047">IF(ISNUMBER(MATCH(12344,Max!$A:$A,0)), IF(OR(INDEX(Max!$D:$D,MATCH(12344,Max!$A:$A,0))=1, INDEX(Max!$D:$D,MATCH(12344,Max!$A:$A,0))=2), INDEX(Max!$D:$D,MATCH(12344,Max!$A:$A,0)), 0), 0)</f>
        <v>0</v>
      </c>
    </row>
    <row r="1048" spans="1:9" ht="15.75" customHeight="1" x14ac:dyDescent="0.2">
      <c r="A1048" s="1">
        <v>19463</v>
      </c>
      <c r="B1048" s="1" t="s">
        <v>103</v>
      </c>
      <c r="C1048" s="1" t="s">
        <v>2477</v>
      </c>
      <c r="D1048" s="1" t="str">
        <f t="shared" si="4"/>
        <v>2</v>
      </c>
      <c r="E1048" s="1" t="s">
        <v>2478</v>
      </c>
      <c r="G1048" s="1">
        <f t="array" ref="G1048">IF(ISNUMBER(MATCH(19463,Camille!$A:$A,0)), IF(OR(INDEX(Camille!$D:$D,MATCH(19463,Camille!$A:$A,0))=1, INDEX(Camille!$D:$D,MATCH(19463,Camille!$A:$A,0))=2), INDEX(Camille!$D:$D,MATCH(19463,Camille!$A:$A,0)), 0), 0)</f>
        <v>0</v>
      </c>
      <c r="H1048" s="1">
        <f t="array" ref="H1048">IF(ISNUMBER(MATCH(19463,Telmo!$A:$A,0)), IF(OR(INDEX(Telmo!$D:$D,MATCH(19463,Telmo!$A:$A,0))=1, INDEX(Telmo!$D:$D,MATCH(19463,Telmo!$A:$A,0))=2), INDEX(Telmo!$D:$D,MATCH(19463,Telmo!$A:$A,0)), 0), 0)</f>
        <v>2</v>
      </c>
      <c r="I1048" s="1">
        <f t="array" ref="I1048">IF(ISNUMBER(MATCH(19463,Max!$A:$A,0)), IF(OR(INDEX(Max!$D:$D,MATCH(19463,Max!$A:$A,0))=1, INDEX(Max!$D:$D,MATCH(19463,Max!$A:$A,0))=2), INDEX(Max!$D:$D,MATCH(19463,Max!$A:$A,0)), 0), 0)</f>
        <v>0</v>
      </c>
    </row>
    <row r="1049" spans="1:9" ht="15.75" customHeight="1" x14ac:dyDescent="0.2">
      <c r="A1049" s="1">
        <v>37290</v>
      </c>
      <c r="B1049" s="1" t="s">
        <v>254</v>
      </c>
      <c r="C1049" s="1" t="s">
        <v>2479</v>
      </c>
      <c r="D1049" s="1" t="str">
        <f t="shared" si="4"/>
        <v>2</v>
      </c>
      <c r="E1049" s="1" t="s">
        <v>2480</v>
      </c>
      <c r="G1049" s="1">
        <f t="array" ref="G1049">IF(ISNUMBER(MATCH(37290,Camille!$A:$A,0)), IF(OR(INDEX(Camille!$D:$D,MATCH(37290,Camille!$A:$A,0))=1, INDEX(Camille!$D:$D,MATCH(37290,Camille!$A:$A,0))=2), INDEX(Camille!$D:$D,MATCH(37290,Camille!$A:$A,0)), 0), 0)</f>
        <v>0</v>
      </c>
      <c r="H1049" s="1">
        <f t="array" ref="H1049">IF(ISNUMBER(MATCH(37290,Telmo!$A:$A,0)), IF(OR(INDEX(Telmo!$D:$D,MATCH(37290,Telmo!$A:$A,0))=1, INDEX(Telmo!$D:$D,MATCH(37290,Telmo!$A:$A,0))=2), INDEX(Telmo!$D:$D,MATCH(37290,Telmo!$A:$A,0)), 0), 0)</f>
        <v>2</v>
      </c>
      <c r="I1049" s="1">
        <f t="array" ref="I1049">IF(ISNUMBER(MATCH(37290,Max!$A:$A,0)), IF(OR(INDEX(Max!$D:$D,MATCH(37290,Max!$A:$A,0))=1, INDEX(Max!$D:$D,MATCH(37290,Max!$A:$A,0))=2), INDEX(Max!$D:$D,MATCH(37290,Max!$A:$A,0)), 0), 0)</f>
        <v>0</v>
      </c>
    </row>
    <row r="1050" spans="1:9" ht="15.75" customHeight="1" x14ac:dyDescent="0.2">
      <c r="A1050" s="1">
        <v>12888</v>
      </c>
      <c r="B1050" s="1" t="s">
        <v>159</v>
      </c>
      <c r="C1050" s="1" t="s">
        <v>2481</v>
      </c>
      <c r="D1050" s="1" t="str">
        <f t="shared" si="4"/>
        <v>2</v>
      </c>
      <c r="E1050" s="1" t="s">
        <v>2482</v>
      </c>
      <c r="G1050" s="1">
        <f t="array" ref="G1050">IF(ISNUMBER(MATCH(12888,Camille!$A:$A,0)), IF(OR(INDEX(Camille!$D:$D,MATCH(12888,Camille!$A:$A,0))=1, INDEX(Camille!$D:$D,MATCH(12888,Camille!$A:$A,0))=2), INDEX(Camille!$D:$D,MATCH(12888,Camille!$A:$A,0)), 0), 0)</f>
        <v>0</v>
      </c>
      <c r="H1050" s="1">
        <f t="array" ref="H1050">IF(ISNUMBER(MATCH(12888,Telmo!$A:$A,0)), IF(OR(INDEX(Telmo!$D:$D,MATCH(12888,Telmo!$A:$A,0))=1, INDEX(Telmo!$D:$D,MATCH(12888,Telmo!$A:$A,0))=2), INDEX(Telmo!$D:$D,MATCH(12888,Telmo!$A:$A,0)), 0), 0)</f>
        <v>2</v>
      </c>
      <c r="I1050" s="1">
        <f t="array" ref="I1050">IF(ISNUMBER(MATCH(12888,Max!$A:$A,0)), IF(OR(INDEX(Max!$D:$D,MATCH(12888,Max!$A:$A,0))=1, INDEX(Max!$D:$D,MATCH(12888,Max!$A:$A,0))=2), INDEX(Max!$D:$D,MATCH(12888,Max!$A:$A,0)), 0), 0)</f>
        <v>0</v>
      </c>
    </row>
    <row r="1051" spans="1:9" ht="15.75" customHeight="1" x14ac:dyDescent="0.2">
      <c r="A1051" s="1">
        <v>43282</v>
      </c>
      <c r="B1051" s="1" t="s">
        <v>38</v>
      </c>
      <c r="C1051" s="1" t="s">
        <v>2483</v>
      </c>
      <c r="D1051" s="1" t="str">
        <f t="shared" si="4"/>
        <v>2</v>
      </c>
      <c r="E1051" s="1" t="s">
        <v>2484</v>
      </c>
      <c r="G1051" s="1">
        <f t="array" ref="G1051">IF(ISNUMBER(MATCH(43282,Camille!$A:$A,0)), IF(OR(INDEX(Camille!$D:$D,MATCH(43282,Camille!$A:$A,0))=1, INDEX(Camille!$D:$D,MATCH(43282,Camille!$A:$A,0))=2), INDEX(Camille!$D:$D,MATCH(43282,Camille!$A:$A,0)), 0), 0)</f>
        <v>0</v>
      </c>
      <c r="H1051" s="1">
        <f t="array" ref="H1051">IF(ISNUMBER(MATCH(43282,Telmo!$A:$A,0)), IF(OR(INDEX(Telmo!$D:$D,MATCH(43282,Telmo!$A:$A,0))=1, INDEX(Telmo!$D:$D,MATCH(43282,Telmo!$A:$A,0))=2), INDEX(Telmo!$D:$D,MATCH(43282,Telmo!$A:$A,0)), 0), 0)</f>
        <v>2</v>
      </c>
      <c r="I1051" s="1">
        <f t="array" ref="I1051">IF(ISNUMBER(MATCH(43282,Max!$A:$A,0)), IF(OR(INDEX(Max!$D:$D,MATCH(43282,Max!$A:$A,0))=1, INDEX(Max!$D:$D,MATCH(43282,Max!$A:$A,0))=2), INDEX(Max!$D:$D,MATCH(43282,Max!$A:$A,0)), 0), 0)</f>
        <v>0</v>
      </c>
    </row>
    <row r="1052" spans="1:9" ht="15.75" customHeight="1" x14ac:dyDescent="0.2">
      <c r="A1052" s="1">
        <v>39893</v>
      </c>
      <c r="B1052" s="1" t="s">
        <v>713</v>
      </c>
      <c r="C1052" s="1" t="s">
        <v>2485</v>
      </c>
      <c r="D1052" s="1" t="str">
        <f t="shared" si="4"/>
        <v>2</v>
      </c>
      <c r="E1052" s="1" t="s">
        <v>2486</v>
      </c>
      <c r="G1052" s="1">
        <f t="array" ref="G1052">IF(ISNUMBER(MATCH(39893,Camille!$A:$A,0)), IF(OR(INDEX(Camille!$D:$D,MATCH(39893,Camille!$A:$A,0))=1, INDEX(Camille!$D:$D,MATCH(39893,Camille!$A:$A,0))=2), INDEX(Camille!$D:$D,MATCH(39893,Camille!$A:$A,0)), 0), 0)</f>
        <v>0</v>
      </c>
      <c r="H1052" s="1">
        <f t="array" ref="H1052">IF(ISNUMBER(MATCH(39893,Telmo!$A:$A,0)), IF(OR(INDEX(Telmo!$D:$D,MATCH(39893,Telmo!$A:$A,0))=1, INDEX(Telmo!$D:$D,MATCH(39893,Telmo!$A:$A,0))=2), INDEX(Telmo!$D:$D,MATCH(39893,Telmo!$A:$A,0)), 0), 0)</f>
        <v>2</v>
      </c>
      <c r="I1052" s="1">
        <f t="array" ref="I1052">IF(ISNUMBER(MATCH(39893,Max!$A:$A,0)), IF(OR(INDEX(Max!$D:$D,MATCH(39893,Max!$A:$A,0))=1, INDEX(Max!$D:$D,MATCH(39893,Max!$A:$A,0))=2), INDEX(Max!$D:$D,MATCH(39893,Max!$A:$A,0)), 0), 0)</f>
        <v>0</v>
      </c>
    </row>
    <row r="1053" spans="1:9" ht="15.75" customHeight="1" x14ac:dyDescent="0.2">
      <c r="A1053" s="1">
        <v>34470</v>
      </c>
      <c r="B1053" s="1" t="s">
        <v>259</v>
      </c>
      <c r="C1053" s="1" t="s">
        <v>2487</v>
      </c>
      <c r="D1053" s="1" t="str">
        <f t="shared" si="4"/>
        <v>2</v>
      </c>
      <c r="E1053" s="1" t="s">
        <v>2488</v>
      </c>
      <c r="G1053" s="1">
        <f t="array" ref="G1053">IF(ISNUMBER(MATCH(34470,Camille!$A:$A,0)), IF(OR(INDEX(Camille!$D:$D,MATCH(34470,Camille!$A:$A,0))=1, INDEX(Camille!$D:$D,MATCH(34470,Camille!$A:$A,0))=2), INDEX(Camille!$D:$D,MATCH(34470,Camille!$A:$A,0)), 0), 0)</f>
        <v>0</v>
      </c>
      <c r="H1053" s="1">
        <f t="array" ref="H1053">IF(ISNUMBER(MATCH(34470,Telmo!$A:$A,0)), IF(OR(INDEX(Telmo!$D:$D,MATCH(34470,Telmo!$A:$A,0))=1, INDEX(Telmo!$D:$D,MATCH(34470,Telmo!$A:$A,0))=2), INDEX(Telmo!$D:$D,MATCH(34470,Telmo!$A:$A,0)), 0), 0)</f>
        <v>2</v>
      </c>
      <c r="I1053" s="1">
        <f t="array" ref="I1053">IF(ISNUMBER(MATCH(34470,Max!$A:$A,0)), IF(OR(INDEX(Max!$D:$D,MATCH(34470,Max!$A:$A,0))=1, INDEX(Max!$D:$D,MATCH(34470,Max!$A:$A,0))=2), INDEX(Max!$D:$D,MATCH(34470,Max!$A:$A,0)), 0), 0)</f>
        <v>0</v>
      </c>
    </row>
    <row r="1054" spans="1:9" ht="15.75" customHeight="1" x14ac:dyDescent="0.2">
      <c r="A1054" s="1">
        <v>43464</v>
      </c>
      <c r="B1054" s="1" t="s">
        <v>466</v>
      </c>
      <c r="C1054" s="1" t="s">
        <v>2489</v>
      </c>
      <c r="D1054" s="1" t="str">
        <f t="shared" si="4"/>
        <v>2</v>
      </c>
      <c r="E1054" s="1" t="s">
        <v>2490</v>
      </c>
      <c r="G1054" s="1">
        <f t="array" ref="G1054">IF(ISNUMBER(MATCH(43464,Camille!$A:$A,0)), IF(OR(INDEX(Camille!$D:$D,MATCH(43464,Camille!$A:$A,0))=1, INDEX(Camille!$D:$D,MATCH(43464,Camille!$A:$A,0))=2), INDEX(Camille!$D:$D,MATCH(43464,Camille!$A:$A,0)), 0), 0)</f>
        <v>0</v>
      </c>
      <c r="H1054" s="1">
        <f t="array" ref="H1054">IF(ISNUMBER(MATCH(43464,Telmo!$A:$A,0)), IF(OR(INDEX(Telmo!$D:$D,MATCH(43464,Telmo!$A:$A,0))=1, INDEX(Telmo!$D:$D,MATCH(43464,Telmo!$A:$A,0))=2), INDEX(Telmo!$D:$D,MATCH(43464,Telmo!$A:$A,0)), 0), 0)</f>
        <v>2</v>
      </c>
      <c r="I1054" s="1">
        <f t="array" ref="I1054">IF(ISNUMBER(MATCH(43464,Max!$A:$A,0)), IF(OR(INDEX(Max!$D:$D,MATCH(43464,Max!$A:$A,0))=1, INDEX(Max!$D:$D,MATCH(43464,Max!$A:$A,0))=2), INDEX(Max!$D:$D,MATCH(43464,Max!$A:$A,0)), 0), 0)</f>
        <v>0</v>
      </c>
    </row>
    <row r="1055" spans="1:9" ht="15.75" customHeight="1" x14ac:dyDescent="0.2">
      <c r="A1055" s="1">
        <v>50400</v>
      </c>
      <c r="B1055" s="1" t="s">
        <v>95</v>
      </c>
      <c r="C1055" s="1" t="s">
        <v>2491</v>
      </c>
      <c r="D1055" s="1" t="str">
        <f t="shared" si="4"/>
        <v>2</v>
      </c>
      <c r="E1055" s="1" t="s">
        <v>2492</v>
      </c>
      <c r="G1055" s="1">
        <f t="array" ref="G1055">IF(ISNUMBER(MATCH(50400,Camille!$A:$A,0)), IF(OR(INDEX(Camille!$D:$D,MATCH(50400,Camille!$A:$A,0))=1, INDEX(Camille!$D:$D,MATCH(50400,Camille!$A:$A,0))=2), INDEX(Camille!$D:$D,MATCH(50400,Camille!$A:$A,0)), 0), 0)</f>
        <v>0</v>
      </c>
      <c r="H1055" s="1">
        <f t="array" ref="H1055">IF(ISNUMBER(MATCH(50400,Telmo!$A:$A,0)), IF(OR(INDEX(Telmo!$D:$D,MATCH(50400,Telmo!$A:$A,0))=1, INDEX(Telmo!$D:$D,MATCH(50400,Telmo!$A:$A,0))=2), INDEX(Telmo!$D:$D,MATCH(50400,Telmo!$A:$A,0)), 0), 0)</f>
        <v>2</v>
      </c>
      <c r="I1055" s="1">
        <f t="array" ref="I1055">IF(ISNUMBER(MATCH(50400,Max!$A:$A,0)), IF(OR(INDEX(Max!$D:$D,MATCH(50400,Max!$A:$A,0))=1, INDEX(Max!$D:$D,MATCH(50400,Max!$A:$A,0))=2), INDEX(Max!$D:$D,MATCH(50400,Max!$A:$A,0)), 0), 0)</f>
        <v>0</v>
      </c>
    </row>
    <row r="1056" spans="1:9" ht="15.75" customHeight="1" x14ac:dyDescent="0.2">
      <c r="A1056" s="1">
        <v>32330</v>
      </c>
      <c r="B1056" s="1" t="s">
        <v>2493</v>
      </c>
      <c r="C1056" s="1" t="s">
        <v>2494</v>
      </c>
      <c r="D1056" s="1" t="str">
        <f t="shared" si="4"/>
        <v>1</v>
      </c>
      <c r="E1056" s="1" t="s">
        <v>2495</v>
      </c>
      <c r="G1056" s="1">
        <f t="array" ref="G1056">IF(ISNUMBER(MATCH(32330,Camille!$A:$A,0)), IF(OR(INDEX(Camille!$D:$D,MATCH(32330,Camille!$A:$A,0))=1, INDEX(Camille!$D:$D,MATCH(32330,Camille!$A:$A,0))=2), INDEX(Camille!$D:$D,MATCH(32330,Camille!$A:$A,0)), 0), 0)</f>
        <v>0</v>
      </c>
      <c r="H1056" s="1">
        <f t="array" ref="H1056">IF(ISNUMBER(MATCH(32330,Telmo!$A:$A,0)), IF(OR(INDEX(Telmo!$D:$D,MATCH(32330,Telmo!$A:$A,0))=1, INDEX(Telmo!$D:$D,MATCH(32330,Telmo!$A:$A,0))=2), INDEX(Telmo!$D:$D,MATCH(32330,Telmo!$A:$A,0)), 0), 0)</f>
        <v>1</v>
      </c>
      <c r="I1056" s="1">
        <f t="array" ref="I1056">IF(ISNUMBER(MATCH(32330,Max!$A:$A,0)), IF(OR(INDEX(Max!$D:$D,MATCH(32330,Max!$A:$A,0))=1, INDEX(Max!$D:$D,MATCH(32330,Max!$A:$A,0))=2), INDEX(Max!$D:$D,MATCH(32330,Max!$A:$A,0)), 0), 0)</f>
        <v>0</v>
      </c>
    </row>
    <row r="1057" spans="1:9" ht="15.75" customHeight="1" x14ac:dyDescent="0.2">
      <c r="A1057" s="1">
        <v>53438</v>
      </c>
      <c r="B1057" s="1" t="s">
        <v>2496</v>
      </c>
      <c r="C1057" s="1" t="s">
        <v>2497</v>
      </c>
      <c r="D1057" s="1" t="str">
        <f t="shared" si="4"/>
        <v>2</v>
      </c>
      <c r="E1057" s="1" t="s">
        <v>2498</v>
      </c>
      <c r="G1057" s="1">
        <f t="array" ref="G1057">IF(ISNUMBER(MATCH(53438,Camille!$A:$A,0)), IF(OR(INDEX(Camille!$D:$D,MATCH(53438,Camille!$A:$A,0))=1, INDEX(Camille!$D:$D,MATCH(53438,Camille!$A:$A,0))=2), INDEX(Camille!$D:$D,MATCH(53438,Camille!$A:$A,0)), 0), 0)</f>
        <v>0</v>
      </c>
      <c r="H1057" s="1">
        <f t="array" ref="H1057">IF(ISNUMBER(MATCH(53438,Telmo!$A:$A,0)), IF(OR(INDEX(Telmo!$D:$D,MATCH(53438,Telmo!$A:$A,0))=1, INDEX(Telmo!$D:$D,MATCH(53438,Telmo!$A:$A,0))=2), INDEX(Telmo!$D:$D,MATCH(53438,Telmo!$A:$A,0)), 0), 0)</f>
        <v>2</v>
      </c>
      <c r="I1057" s="1">
        <f t="array" ref="I1057">IF(ISNUMBER(MATCH(53438,Max!$A:$A,0)), IF(OR(INDEX(Max!$D:$D,MATCH(53438,Max!$A:$A,0))=1, INDEX(Max!$D:$D,MATCH(53438,Max!$A:$A,0))=2), INDEX(Max!$D:$D,MATCH(53438,Max!$A:$A,0)), 0), 0)</f>
        <v>0</v>
      </c>
    </row>
    <row r="1058" spans="1:9" ht="15.75" customHeight="1" x14ac:dyDescent="0.2">
      <c r="A1058" s="1">
        <v>19028</v>
      </c>
      <c r="B1058" s="1" t="s">
        <v>78</v>
      </c>
      <c r="C1058" s="1" t="s">
        <v>2499</v>
      </c>
      <c r="D1058" s="1" t="str">
        <f t="shared" si="4"/>
        <v>2</v>
      </c>
      <c r="E1058" s="1" t="s">
        <v>2500</v>
      </c>
      <c r="G1058" s="1">
        <f t="array" ref="G1058">IF(ISNUMBER(MATCH(19028,Camille!$A:$A,0)), IF(OR(INDEX(Camille!$D:$D,MATCH(19028,Camille!$A:$A,0))=1, INDEX(Camille!$D:$D,MATCH(19028,Camille!$A:$A,0))=2), INDEX(Camille!$D:$D,MATCH(19028,Camille!$A:$A,0)), 0), 0)</f>
        <v>0</v>
      </c>
      <c r="H1058" s="1">
        <f t="array" ref="H1058">IF(ISNUMBER(MATCH(19028,Telmo!$A:$A,0)), IF(OR(INDEX(Telmo!$D:$D,MATCH(19028,Telmo!$A:$A,0))=1, INDEX(Telmo!$D:$D,MATCH(19028,Telmo!$A:$A,0))=2), INDEX(Telmo!$D:$D,MATCH(19028,Telmo!$A:$A,0)), 0), 0)</f>
        <v>2</v>
      </c>
      <c r="I1058" s="1">
        <f t="array" ref="I1058">IF(ISNUMBER(MATCH(19028,Max!$A:$A,0)), IF(OR(INDEX(Max!$D:$D,MATCH(19028,Max!$A:$A,0))=1, INDEX(Max!$D:$D,MATCH(19028,Max!$A:$A,0))=2), INDEX(Max!$D:$D,MATCH(19028,Max!$A:$A,0)), 0), 0)</f>
        <v>0</v>
      </c>
    </row>
    <row r="1059" spans="1:9" ht="15.75" customHeight="1" x14ac:dyDescent="0.2">
      <c r="A1059" s="1">
        <v>32949</v>
      </c>
      <c r="B1059" s="1" t="s">
        <v>1468</v>
      </c>
      <c r="C1059" s="1" t="s">
        <v>2501</v>
      </c>
      <c r="D1059" s="1" t="str">
        <f t="shared" si="4"/>
        <v>2</v>
      </c>
      <c r="E1059" s="1" t="s">
        <v>2502</v>
      </c>
      <c r="G1059" s="1">
        <f t="array" ref="G1059">IF(ISNUMBER(MATCH(32949,Camille!$A:$A,0)), IF(OR(INDEX(Camille!$D:$D,MATCH(32949,Camille!$A:$A,0))=1, INDEX(Camille!$D:$D,MATCH(32949,Camille!$A:$A,0))=2), INDEX(Camille!$D:$D,MATCH(32949,Camille!$A:$A,0)), 0), 0)</f>
        <v>0</v>
      </c>
      <c r="H1059" s="1">
        <f t="array" ref="H1059">IF(ISNUMBER(MATCH(32949,Telmo!$A:$A,0)), IF(OR(INDEX(Telmo!$D:$D,MATCH(32949,Telmo!$A:$A,0))=1, INDEX(Telmo!$D:$D,MATCH(32949,Telmo!$A:$A,0))=2), INDEX(Telmo!$D:$D,MATCH(32949,Telmo!$A:$A,0)), 0), 0)</f>
        <v>2</v>
      </c>
      <c r="I1059" s="1">
        <f t="array" ref="I1059">IF(ISNUMBER(MATCH(32949,Max!$A:$A,0)), IF(OR(INDEX(Max!$D:$D,MATCH(32949,Max!$A:$A,0))=1, INDEX(Max!$D:$D,MATCH(32949,Max!$A:$A,0))=2), INDEX(Max!$D:$D,MATCH(32949,Max!$A:$A,0)), 0), 0)</f>
        <v>0</v>
      </c>
    </row>
    <row r="1060" spans="1:9" ht="15.75" customHeight="1" x14ac:dyDescent="0.2">
      <c r="A1060" s="1">
        <v>5138</v>
      </c>
      <c r="B1060" s="1" t="s">
        <v>2097</v>
      </c>
      <c r="C1060" s="1" t="s">
        <v>2503</v>
      </c>
      <c r="D1060" s="1" t="str">
        <f t="shared" si="4"/>
        <v>1</v>
      </c>
      <c r="E1060" s="1" t="s">
        <v>2504</v>
      </c>
      <c r="G1060" s="1">
        <f t="array" ref="G1060">IF(ISNUMBER(MATCH(5138,Camille!$A:$A,0)), IF(OR(INDEX(Camille!$D:$D,MATCH(5138,Camille!$A:$A,0))=1, INDEX(Camille!$D:$D,MATCH(5138,Camille!$A:$A,0))=2), INDEX(Camille!$D:$D,MATCH(5138,Camille!$A:$A,0)), 0), 0)</f>
        <v>0</v>
      </c>
      <c r="H1060" s="1">
        <f t="array" ref="H1060">IF(ISNUMBER(MATCH(5138,Telmo!$A:$A,0)), IF(OR(INDEX(Telmo!$D:$D,MATCH(5138,Telmo!$A:$A,0))=1, INDEX(Telmo!$D:$D,MATCH(5138,Telmo!$A:$A,0))=2), INDEX(Telmo!$D:$D,MATCH(5138,Telmo!$A:$A,0)), 0), 0)</f>
        <v>1</v>
      </c>
      <c r="I1060" s="1">
        <f t="array" ref="I1060">IF(ISNUMBER(MATCH(5138,Max!$A:$A,0)), IF(OR(INDEX(Max!$D:$D,MATCH(5138,Max!$A:$A,0))=1, INDEX(Max!$D:$D,MATCH(5138,Max!$A:$A,0))=2), INDEX(Max!$D:$D,MATCH(5138,Max!$A:$A,0)), 0), 0)</f>
        <v>0</v>
      </c>
    </row>
    <row r="1061" spans="1:9" ht="15.75" customHeight="1" x14ac:dyDescent="0.2">
      <c r="A1061" s="1">
        <v>57165</v>
      </c>
      <c r="B1061" s="1" t="s">
        <v>1156</v>
      </c>
      <c r="C1061" s="1" t="s">
        <v>2505</v>
      </c>
      <c r="D1061" s="1" t="str">
        <f t="shared" si="4"/>
        <v>2</v>
      </c>
      <c r="E1061" s="1" t="s">
        <v>2506</v>
      </c>
      <c r="G1061" s="1">
        <f t="array" ref="G1061">IF(ISNUMBER(MATCH(57165,Camille!$A:$A,0)), IF(OR(INDEX(Camille!$D:$D,MATCH(57165,Camille!$A:$A,0))=1, INDEX(Camille!$D:$D,MATCH(57165,Camille!$A:$A,0))=2), INDEX(Camille!$D:$D,MATCH(57165,Camille!$A:$A,0)), 0), 0)</f>
        <v>0</v>
      </c>
      <c r="H1061" s="1">
        <f t="array" ref="H1061">IF(ISNUMBER(MATCH(57165,Telmo!$A:$A,0)), IF(OR(INDEX(Telmo!$D:$D,MATCH(57165,Telmo!$A:$A,0))=1, INDEX(Telmo!$D:$D,MATCH(57165,Telmo!$A:$A,0))=2), INDEX(Telmo!$D:$D,MATCH(57165,Telmo!$A:$A,0)), 0), 0)</f>
        <v>2</v>
      </c>
      <c r="I1061" s="1">
        <f t="array" ref="I1061">IF(ISNUMBER(MATCH(57165,Max!$A:$A,0)), IF(OR(INDEX(Max!$D:$D,MATCH(57165,Max!$A:$A,0))=1, INDEX(Max!$D:$D,MATCH(57165,Max!$A:$A,0))=2), INDEX(Max!$D:$D,MATCH(57165,Max!$A:$A,0)), 0), 0)</f>
        <v>0</v>
      </c>
    </row>
    <row r="1062" spans="1:9" ht="15.75" customHeight="1" x14ac:dyDescent="0.2">
      <c r="A1062" s="1">
        <v>30376</v>
      </c>
      <c r="B1062" s="1" t="s">
        <v>1344</v>
      </c>
      <c r="C1062" s="1" t="s">
        <v>2507</v>
      </c>
      <c r="D1062" s="1" t="str">
        <f t="shared" si="4"/>
        <v>2</v>
      </c>
      <c r="E1062" s="1" t="s">
        <v>2508</v>
      </c>
      <c r="G1062" s="1">
        <f t="array" ref="G1062">IF(ISNUMBER(MATCH(30376,Camille!$A:$A,0)), IF(OR(INDEX(Camille!$D:$D,MATCH(30376,Camille!$A:$A,0))=1, INDEX(Camille!$D:$D,MATCH(30376,Camille!$A:$A,0))=2), INDEX(Camille!$D:$D,MATCH(30376,Camille!$A:$A,0)), 0), 0)</f>
        <v>0</v>
      </c>
      <c r="H1062" s="1">
        <f t="array" ref="H1062">IF(ISNUMBER(MATCH(30376,Telmo!$A:$A,0)), IF(OR(INDEX(Telmo!$D:$D,MATCH(30376,Telmo!$A:$A,0))=1, INDEX(Telmo!$D:$D,MATCH(30376,Telmo!$A:$A,0))=2), INDEX(Telmo!$D:$D,MATCH(30376,Telmo!$A:$A,0)), 0), 0)</f>
        <v>2</v>
      </c>
      <c r="I1062" s="1">
        <f t="array" ref="I1062">IF(ISNUMBER(MATCH(30376,Max!$A:$A,0)), IF(OR(INDEX(Max!$D:$D,MATCH(30376,Max!$A:$A,0))=1, INDEX(Max!$D:$D,MATCH(30376,Max!$A:$A,0))=2), INDEX(Max!$D:$D,MATCH(30376,Max!$A:$A,0)), 0), 0)</f>
        <v>0</v>
      </c>
    </row>
    <row r="1063" spans="1:9" ht="15.75" customHeight="1" x14ac:dyDescent="0.2">
      <c r="A1063" s="1">
        <v>11769</v>
      </c>
      <c r="B1063" s="1" t="s">
        <v>2509</v>
      </c>
      <c r="C1063" s="1" t="s">
        <v>2510</v>
      </c>
      <c r="D1063" s="1" t="str">
        <f t="shared" si="4"/>
        <v>1</v>
      </c>
      <c r="E1063" s="1" t="s">
        <v>2511</v>
      </c>
      <c r="G1063" s="1">
        <f t="array" ref="G1063">IF(ISNUMBER(MATCH(11769,Camille!$A:$A,0)), IF(OR(INDEX(Camille!$D:$D,MATCH(11769,Camille!$A:$A,0))=1, INDEX(Camille!$D:$D,MATCH(11769,Camille!$A:$A,0))=2), INDEX(Camille!$D:$D,MATCH(11769,Camille!$A:$A,0)), 0), 0)</f>
        <v>0</v>
      </c>
      <c r="H1063" s="1">
        <f t="array" ref="H1063">IF(ISNUMBER(MATCH(11769,Telmo!$A:$A,0)), IF(OR(INDEX(Telmo!$D:$D,MATCH(11769,Telmo!$A:$A,0))=1, INDEX(Telmo!$D:$D,MATCH(11769,Telmo!$A:$A,0))=2), INDEX(Telmo!$D:$D,MATCH(11769,Telmo!$A:$A,0)), 0), 0)</f>
        <v>1</v>
      </c>
      <c r="I1063" s="1">
        <f t="array" ref="I1063">IF(ISNUMBER(MATCH(11769,Max!$A:$A,0)), IF(OR(INDEX(Max!$D:$D,MATCH(11769,Max!$A:$A,0))=1, INDEX(Max!$D:$D,MATCH(11769,Max!$A:$A,0))=2), INDEX(Max!$D:$D,MATCH(11769,Max!$A:$A,0)), 0), 0)</f>
        <v>0</v>
      </c>
    </row>
    <row r="1064" spans="1:9" ht="15.75" customHeight="1" x14ac:dyDescent="0.2">
      <c r="A1064" s="1">
        <v>62072</v>
      </c>
      <c r="B1064" s="1" t="s">
        <v>1825</v>
      </c>
      <c r="C1064" s="1" t="s">
        <v>2512</v>
      </c>
      <c r="D1064" s="1" t="str">
        <f t="shared" si="4"/>
        <v>1</v>
      </c>
      <c r="E1064" s="1" t="s">
        <v>2513</v>
      </c>
      <c r="G1064" s="1">
        <f t="array" ref="G1064">IF(ISNUMBER(MATCH(62072,Camille!$A:$A,0)), IF(OR(INDEX(Camille!$D:$D,MATCH(62072,Camille!$A:$A,0))=1, INDEX(Camille!$D:$D,MATCH(62072,Camille!$A:$A,0))=2), INDEX(Camille!$D:$D,MATCH(62072,Camille!$A:$A,0)), 0), 0)</f>
        <v>0</v>
      </c>
      <c r="H1064" s="1">
        <f t="array" ref="H1064">IF(ISNUMBER(MATCH(62072,Telmo!$A:$A,0)), IF(OR(INDEX(Telmo!$D:$D,MATCH(62072,Telmo!$A:$A,0))=1, INDEX(Telmo!$D:$D,MATCH(62072,Telmo!$A:$A,0))=2), INDEX(Telmo!$D:$D,MATCH(62072,Telmo!$A:$A,0)), 0), 0)</f>
        <v>1</v>
      </c>
      <c r="I1064" s="1">
        <f t="array" ref="I1064">IF(ISNUMBER(MATCH(62072,Max!$A:$A,0)), IF(OR(INDEX(Max!$D:$D,MATCH(62072,Max!$A:$A,0))=1, INDEX(Max!$D:$D,MATCH(62072,Max!$A:$A,0))=2), INDEX(Max!$D:$D,MATCH(62072,Max!$A:$A,0)), 0), 0)</f>
        <v>0</v>
      </c>
    </row>
    <row r="1065" spans="1:9" ht="15.75" customHeight="1" x14ac:dyDescent="0.2">
      <c r="A1065" s="1">
        <v>14766</v>
      </c>
      <c r="B1065" s="1" t="s">
        <v>32</v>
      </c>
      <c r="C1065" s="1" t="s">
        <v>2514</v>
      </c>
      <c r="D1065" s="1" t="str">
        <f t="shared" si="4"/>
        <v>2</v>
      </c>
      <c r="E1065" s="1" t="s">
        <v>2515</v>
      </c>
      <c r="G1065" s="1">
        <f t="array" ref="G1065">IF(ISNUMBER(MATCH(14766,Camille!$A:$A,0)), IF(OR(INDEX(Camille!$D:$D,MATCH(14766,Camille!$A:$A,0))=1, INDEX(Camille!$D:$D,MATCH(14766,Camille!$A:$A,0))=2), INDEX(Camille!$D:$D,MATCH(14766,Camille!$A:$A,0)), 0), 0)</f>
        <v>0</v>
      </c>
      <c r="H1065" s="1">
        <f t="array" ref="H1065">IF(ISNUMBER(MATCH(14766,Telmo!$A:$A,0)), IF(OR(INDEX(Telmo!$D:$D,MATCH(14766,Telmo!$A:$A,0))=1, INDEX(Telmo!$D:$D,MATCH(14766,Telmo!$A:$A,0))=2), INDEX(Telmo!$D:$D,MATCH(14766,Telmo!$A:$A,0)), 0), 0)</f>
        <v>2</v>
      </c>
      <c r="I1065" s="1">
        <f t="array" ref="I1065">IF(ISNUMBER(MATCH(14766,Max!$A:$A,0)), IF(OR(INDEX(Max!$D:$D,MATCH(14766,Max!$A:$A,0))=1, INDEX(Max!$D:$D,MATCH(14766,Max!$A:$A,0))=2), INDEX(Max!$D:$D,MATCH(14766,Max!$A:$A,0)), 0), 0)</f>
        <v>0</v>
      </c>
    </row>
    <row r="1066" spans="1:9" ht="15.75" customHeight="1" x14ac:dyDescent="0.2">
      <c r="A1066" s="1">
        <v>7674</v>
      </c>
      <c r="B1066" s="1" t="s">
        <v>1395</v>
      </c>
      <c r="C1066" s="1" t="s">
        <v>2516</v>
      </c>
      <c r="D1066" s="1" t="str">
        <f t="shared" si="4"/>
        <v>2</v>
      </c>
      <c r="E1066" s="1" t="s">
        <v>2517</v>
      </c>
      <c r="G1066" s="1">
        <f t="array" ref="G1066">IF(ISNUMBER(MATCH(7674,Camille!$A:$A,0)), IF(OR(INDEX(Camille!$D:$D,MATCH(7674,Camille!$A:$A,0))=1, INDEX(Camille!$D:$D,MATCH(7674,Camille!$A:$A,0))=2), INDEX(Camille!$D:$D,MATCH(7674,Camille!$A:$A,0)), 0), 0)</f>
        <v>0</v>
      </c>
      <c r="H1066" s="1">
        <f t="array" ref="H1066">IF(ISNUMBER(MATCH(7674,Telmo!$A:$A,0)), IF(OR(INDEX(Telmo!$D:$D,MATCH(7674,Telmo!$A:$A,0))=1, INDEX(Telmo!$D:$D,MATCH(7674,Telmo!$A:$A,0))=2), INDEX(Telmo!$D:$D,MATCH(7674,Telmo!$A:$A,0)), 0), 0)</f>
        <v>2</v>
      </c>
      <c r="I1066" s="1">
        <f t="array" ref="I1066">IF(ISNUMBER(MATCH(7674,Max!$A:$A,0)), IF(OR(INDEX(Max!$D:$D,MATCH(7674,Max!$A:$A,0))=1, INDEX(Max!$D:$D,MATCH(7674,Max!$A:$A,0))=2), INDEX(Max!$D:$D,MATCH(7674,Max!$A:$A,0)), 0), 0)</f>
        <v>0</v>
      </c>
    </row>
    <row r="1067" spans="1:9" ht="15.75" customHeight="1" x14ac:dyDescent="0.2">
      <c r="A1067" s="1">
        <v>22345</v>
      </c>
      <c r="B1067" s="1" t="s">
        <v>180</v>
      </c>
      <c r="C1067" s="1" t="s">
        <v>2518</v>
      </c>
      <c r="D1067" s="1" t="str">
        <f t="shared" si="4"/>
        <v>2</v>
      </c>
      <c r="E1067" s="1" t="s">
        <v>2519</v>
      </c>
      <c r="G1067" s="1">
        <f t="array" ref="G1067">IF(ISNUMBER(MATCH(22345,Camille!$A:$A,0)), IF(OR(INDEX(Camille!$D:$D,MATCH(22345,Camille!$A:$A,0))=1, INDEX(Camille!$D:$D,MATCH(22345,Camille!$A:$A,0))=2), INDEX(Camille!$D:$D,MATCH(22345,Camille!$A:$A,0)), 0), 0)</f>
        <v>0</v>
      </c>
      <c r="H1067" s="1">
        <f t="array" ref="H1067">IF(ISNUMBER(MATCH(22345,Telmo!$A:$A,0)), IF(OR(INDEX(Telmo!$D:$D,MATCH(22345,Telmo!$A:$A,0))=1, INDEX(Telmo!$D:$D,MATCH(22345,Telmo!$A:$A,0))=2), INDEX(Telmo!$D:$D,MATCH(22345,Telmo!$A:$A,0)), 0), 0)</f>
        <v>2</v>
      </c>
      <c r="I1067" s="1">
        <f t="array" ref="I1067">IF(ISNUMBER(MATCH(22345,Max!$A:$A,0)), IF(OR(INDEX(Max!$D:$D,MATCH(22345,Max!$A:$A,0))=1, INDEX(Max!$D:$D,MATCH(22345,Max!$A:$A,0))=2), INDEX(Max!$D:$D,MATCH(22345,Max!$A:$A,0)), 0), 0)</f>
        <v>0</v>
      </c>
    </row>
    <row r="1068" spans="1:9" ht="15.75" customHeight="1" x14ac:dyDescent="0.2">
      <c r="A1068" s="1">
        <v>16467</v>
      </c>
      <c r="B1068" s="1" t="s">
        <v>2520</v>
      </c>
      <c r="C1068" s="1" t="s">
        <v>2521</v>
      </c>
      <c r="D1068" s="1" t="str">
        <f t="shared" si="4"/>
        <v>1</v>
      </c>
      <c r="E1068" s="1" t="s">
        <v>2522</v>
      </c>
      <c r="G1068" s="1">
        <f t="array" ref="G1068">IF(ISNUMBER(MATCH(16467,Camille!$A:$A,0)), IF(OR(INDEX(Camille!$D:$D,MATCH(16467,Camille!$A:$A,0))=1, INDEX(Camille!$D:$D,MATCH(16467,Camille!$A:$A,0))=2), INDEX(Camille!$D:$D,MATCH(16467,Camille!$A:$A,0)), 0), 0)</f>
        <v>0</v>
      </c>
      <c r="H1068" s="1">
        <f t="array" ref="H1068">IF(ISNUMBER(MATCH(16467,Telmo!$A:$A,0)), IF(OR(INDEX(Telmo!$D:$D,MATCH(16467,Telmo!$A:$A,0))=1, INDEX(Telmo!$D:$D,MATCH(16467,Telmo!$A:$A,0))=2), INDEX(Telmo!$D:$D,MATCH(16467,Telmo!$A:$A,0)), 0), 0)</f>
        <v>1</v>
      </c>
      <c r="I1068" s="1">
        <f t="array" ref="I1068">IF(ISNUMBER(MATCH(16467,Max!$A:$A,0)), IF(OR(INDEX(Max!$D:$D,MATCH(16467,Max!$A:$A,0))=1, INDEX(Max!$D:$D,MATCH(16467,Max!$A:$A,0))=2), INDEX(Max!$D:$D,MATCH(16467,Max!$A:$A,0)), 0), 0)</f>
        <v>0</v>
      </c>
    </row>
    <row r="1069" spans="1:9" ht="15.75" customHeight="1" x14ac:dyDescent="0.2">
      <c r="A1069" s="1">
        <v>29498</v>
      </c>
      <c r="B1069" s="1" t="s">
        <v>636</v>
      </c>
      <c r="C1069" s="1" t="s">
        <v>2523</v>
      </c>
      <c r="D1069" s="1" t="str">
        <f t="shared" si="4"/>
        <v>1</v>
      </c>
      <c r="E1069" s="1" t="s">
        <v>2524</v>
      </c>
      <c r="G1069" s="1">
        <f t="array" ref="G1069">IF(ISNUMBER(MATCH(29498,Camille!$A:$A,0)), IF(OR(INDEX(Camille!$D:$D,MATCH(29498,Camille!$A:$A,0))=1, INDEX(Camille!$D:$D,MATCH(29498,Camille!$A:$A,0))=2), INDEX(Camille!$D:$D,MATCH(29498,Camille!$A:$A,0)), 0), 0)</f>
        <v>0</v>
      </c>
      <c r="H1069" s="1">
        <f t="array" ref="H1069">IF(ISNUMBER(MATCH(29498,Telmo!$A:$A,0)), IF(OR(INDEX(Telmo!$D:$D,MATCH(29498,Telmo!$A:$A,0))=1, INDEX(Telmo!$D:$D,MATCH(29498,Telmo!$A:$A,0))=2), INDEX(Telmo!$D:$D,MATCH(29498,Telmo!$A:$A,0)), 0), 0)</f>
        <v>1</v>
      </c>
      <c r="I1069" s="1">
        <f t="array" ref="I1069">IF(ISNUMBER(MATCH(29498,Max!$A:$A,0)), IF(OR(INDEX(Max!$D:$D,MATCH(29498,Max!$A:$A,0))=1, INDEX(Max!$D:$D,MATCH(29498,Max!$A:$A,0))=2), INDEX(Max!$D:$D,MATCH(29498,Max!$A:$A,0)), 0), 0)</f>
        <v>0</v>
      </c>
    </row>
    <row r="1070" spans="1:9" ht="15.75" customHeight="1" x14ac:dyDescent="0.2">
      <c r="A1070" s="1">
        <v>21269</v>
      </c>
      <c r="B1070" s="1" t="s">
        <v>35</v>
      </c>
      <c r="C1070" s="1" t="s">
        <v>2525</v>
      </c>
      <c r="D1070" s="1" t="str">
        <f t="shared" si="4"/>
        <v>2</v>
      </c>
      <c r="E1070" s="1" t="s">
        <v>2526</v>
      </c>
      <c r="G1070" s="1">
        <f t="array" ref="G1070">IF(ISNUMBER(MATCH(21269,Camille!$A:$A,0)), IF(OR(INDEX(Camille!$D:$D,MATCH(21269,Camille!$A:$A,0))=1, INDEX(Camille!$D:$D,MATCH(21269,Camille!$A:$A,0))=2), INDEX(Camille!$D:$D,MATCH(21269,Camille!$A:$A,0)), 0), 0)</f>
        <v>0</v>
      </c>
      <c r="H1070" s="1">
        <f t="array" ref="H1070">IF(ISNUMBER(MATCH(21269,Telmo!$A:$A,0)), IF(OR(INDEX(Telmo!$D:$D,MATCH(21269,Telmo!$A:$A,0))=1, INDEX(Telmo!$D:$D,MATCH(21269,Telmo!$A:$A,0))=2), INDEX(Telmo!$D:$D,MATCH(21269,Telmo!$A:$A,0)), 0), 0)</f>
        <v>2</v>
      </c>
      <c r="I1070" s="1">
        <f t="array" ref="I1070">IF(ISNUMBER(MATCH(21269,Max!$A:$A,0)), IF(OR(INDEX(Max!$D:$D,MATCH(21269,Max!$A:$A,0))=1, INDEX(Max!$D:$D,MATCH(21269,Max!$A:$A,0))=2), INDEX(Max!$D:$D,MATCH(21269,Max!$A:$A,0)), 0), 0)</f>
        <v>0</v>
      </c>
    </row>
    <row r="1071" spans="1:9" ht="15.75" customHeight="1" x14ac:dyDescent="0.2">
      <c r="A1071" s="1">
        <v>32069</v>
      </c>
      <c r="B1071" s="1" t="s">
        <v>307</v>
      </c>
      <c r="C1071" s="1" t="s">
        <v>2527</v>
      </c>
      <c r="D1071" s="1" t="str">
        <f t="shared" si="4"/>
        <v>2</v>
      </c>
      <c r="E1071" s="1" t="s">
        <v>2528</v>
      </c>
      <c r="G1071" s="1">
        <f t="array" ref="G1071">IF(ISNUMBER(MATCH(32069,Camille!$A:$A,0)), IF(OR(INDEX(Camille!$D:$D,MATCH(32069,Camille!$A:$A,0))=1, INDEX(Camille!$D:$D,MATCH(32069,Camille!$A:$A,0))=2), INDEX(Camille!$D:$D,MATCH(32069,Camille!$A:$A,0)), 0), 0)</f>
        <v>0</v>
      </c>
      <c r="H1071" s="1">
        <f t="array" ref="H1071">IF(ISNUMBER(MATCH(32069,Telmo!$A:$A,0)), IF(OR(INDEX(Telmo!$D:$D,MATCH(32069,Telmo!$A:$A,0))=1, INDEX(Telmo!$D:$D,MATCH(32069,Telmo!$A:$A,0))=2), INDEX(Telmo!$D:$D,MATCH(32069,Telmo!$A:$A,0)), 0), 0)</f>
        <v>2</v>
      </c>
      <c r="I1071" s="1">
        <f t="array" ref="I1071">IF(ISNUMBER(MATCH(32069,Max!$A:$A,0)), IF(OR(INDEX(Max!$D:$D,MATCH(32069,Max!$A:$A,0))=1, INDEX(Max!$D:$D,MATCH(32069,Max!$A:$A,0))=2), INDEX(Max!$D:$D,MATCH(32069,Max!$A:$A,0)), 0), 0)</f>
        <v>0</v>
      </c>
    </row>
    <row r="1072" spans="1:9" ht="15.75" customHeight="1" x14ac:dyDescent="0.2">
      <c r="A1072" s="1">
        <v>54756</v>
      </c>
      <c r="B1072" s="1" t="s">
        <v>339</v>
      </c>
      <c r="C1072" s="1" t="s">
        <v>2529</v>
      </c>
      <c r="D1072" s="1" t="str">
        <f t="shared" si="4"/>
        <v>2</v>
      </c>
      <c r="E1072" s="1" t="s">
        <v>2530</v>
      </c>
      <c r="G1072" s="1">
        <f t="array" ref="G1072">IF(ISNUMBER(MATCH(54756,Camille!$A:$A,0)), IF(OR(INDEX(Camille!$D:$D,MATCH(54756,Camille!$A:$A,0))=1, INDEX(Camille!$D:$D,MATCH(54756,Camille!$A:$A,0))=2), INDEX(Camille!$D:$D,MATCH(54756,Camille!$A:$A,0)), 0), 0)</f>
        <v>0</v>
      </c>
      <c r="H1072" s="1">
        <f t="array" ref="H1072">IF(ISNUMBER(MATCH(54756,Telmo!$A:$A,0)), IF(OR(INDEX(Telmo!$D:$D,MATCH(54756,Telmo!$A:$A,0))=1, INDEX(Telmo!$D:$D,MATCH(54756,Telmo!$A:$A,0))=2), INDEX(Telmo!$D:$D,MATCH(54756,Telmo!$A:$A,0)), 0), 0)</f>
        <v>2</v>
      </c>
      <c r="I1072" s="1">
        <f t="array" ref="I1072">IF(ISNUMBER(MATCH(54756,Max!$A:$A,0)), IF(OR(INDEX(Max!$D:$D,MATCH(54756,Max!$A:$A,0))=1, INDEX(Max!$D:$D,MATCH(54756,Max!$A:$A,0))=2), INDEX(Max!$D:$D,MATCH(54756,Max!$A:$A,0)), 0), 0)</f>
        <v>0</v>
      </c>
    </row>
    <row r="1073" spans="1:9" ht="15.75" customHeight="1" x14ac:dyDescent="0.2">
      <c r="A1073" s="1">
        <v>55209</v>
      </c>
      <c r="B1073" s="1" t="s">
        <v>244</v>
      </c>
      <c r="C1073" s="1" t="s">
        <v>2531</v>
      </c>
      <c r="D1073" s="1" t="str">
        <f t="shared" si="4"/>
        <v>1</v>
      </c>
      <c r="E1073" s="1" t="s">
        <v>2532</v>
      </c>
      <c r="G1073" s="1">
        <f t="array" ref="G1073">IF(ISNUMBER(MATCH(55209,Camille!$A:$A,0)), IF(OR(INDEX(Camille!$D:$D,MATCH(55209,Camille!$A:$A,0))=1, INDEX(Camille!$D:$D,MATCH(55209,Camille!$A:$A,0))=2), INDEX(Camille!$D:$D,MATCH(55209,Camille!$A:$A,0)), 0), 0)</f>
        <v>0</v>
      </c>
      <c r="H1073" s="1">
        <f t="array" ref="H1073">IF(ISNUMBER(MATCH(55209,Telmo!$A:$A,0)), IF(OR(INDEX(Telmo!$D:$D,MATCH(55209,Telmo!$A:$A,0))=1, INDEX(Telmo!$D:$D,MATCH(55209,Telmo!$A:$A,0))=2), INDEX(Telmo!$D:$D,MATCH(55209,Telmo!$A:$A,0)), 0), 0)</f>
        <v>1</v>
      </c>
      <c r="I1073" s="1">
        <f t="array" ref="I1073">IF(ISNUMBER(MATCH(55209,Max!$A:$A,0)), IF(OR(INDEX(Max!$D:$D,MATCH(55209,Max!$A:$A,0))=1, INDEX(Max!$D:$D,MATCH(55209,Max!$A:$A,0))=2), INDEX(Max!$D:$D,MATCH(55209,Max!$A:$A,0)), 0), 0)</f>
        <v>0</v>
      </c>
    </row>
    <row r="1074" spans="1:9" ht="15.75" customHeight="1" x14ac:dyDescent="0.2">
      <c r="A1074" s="1">
        <v>71439</v>
      </c>
      <c r="B1074" s="1" t="s">
        <v>38</v>
      </c>
      <c r="C1074" s="1" t="s">
        <v>2533</v>
      </c>
      <c r="D1074" s="1" t="str">
        <f t="shared" si="4"/>
        <v>2</v>
      </c>
      <c r="E1074" s="1" t="s">
        <v>2534</v>
      </c>
      <c r="G1074" s="1">
        <f t="array" ref="G1074">IF(ISNUMBER(MATCH(71439,Camille!$A:$A,0)), IF(OR(INDEX(Camille!$D:$D,MATCH(71439,Camille!$A:$A,0))=1, INDEX(Camille!$D:$D,MATCH(71439,Camille!$A:$A,0))=2), INDEX(Camille!$D:$D,MATCH(71439,Camille!$A:$A,0)), 0), 0)</f>
        <v>0</v>
      </c>
      <c r="H1074" s="1">
        <f t="array" ref="H1074">IF(ISNUMBER(MATCH(71439,Telmo!$A:$A,0)), IF(OR(INDEX(Telmo!$D:$D,MATCH(71439,Telmo!$A:$A,0))=1, INDEX(Telmo!$D:$D,MATCH(71439,Telmo!$A:$A,0))=2), INDEX(Telmo!$D:$D,MATCH(71439,Telmo!$A:$A,0)), 0), 0)</f>
        <v>2</v>
      </c>
      <c r="I1074" s="1">
        <f t="array" ref="I1074">IF(ISNUMBER(MATCH(71439,Max!$A:$A,0)), IF(OR(INDEX(Max!$D:$D,MATCH(71439,Max!$A:$A,0))=1, INDEX(Max!$D:$D,MATCH(71439,Max!$A:$A,0))=2), INDEX(Max!$D:$D,MATCH(71439,Max!$A:$A,0)), 0), 0)</f>
        <v>0</v>
      </c>
    </row>
    <row r="1075" spans="1:9" ht="15.75" customHeight="1" x14ac:dyDescent="0.2">
      <c r="A1075" s="1">
        <v>7989</v>
      </c>
      <c r="B1075" s="1" t="s">
        <v>32</v>
      </c>
      <c r="C1075" s="1" t="s">
        <v>2535</v>
      </c>
      <c r="D1075" s="1" t="str">
        <f t="shared" si="4"/>
        <v>2</v>
      </c>
      <c r="E1075" s="1" t="s">
        <v>2536</v>
      </c>
      <c r="G1075" s="1">
        <f t="array" ref="G1075">IF(ISNUMBER(MATCH(7989,Camille!$A:$A,0)), IF(OR(INDEX(Camille!$D:$D,MATCH(7989,Camille!$A:$A,0))=1, INDEX(Camille!$D:$D,MATCH(7989,Camille!$A:$A,0))=2), INDEX(Camille!$D:$D,MATCH(7989,Camille!$A:$A,0)), 0), 0)</f>
        <v>0</v>
      </c>
      <c r="H1075" s="1">
        <f t="array" ref="H1075">IF(ISNUMBER(MATCH(7989,Telmo!$A:$A,0)), IF(OR(INDEX(Telmo!$D:$D,MATCH(7989,Telmo!$A:$A,0))=1, INDEX(Telmo!$D:$D,MATCH(7989,Telmo!$A:$A,0))=2), INDEX(Telmo!$D:$D,MATCH(7989,Telmo!$A:$A,0)), 0), 0)</f>
        <v>2</v>
      </c>
      <c r="I1075" s="1">
        <f t="array" ref="I1075">IF(ISNUMBER(MATCH(7989,Max!$A:$A,0)), IF(OR(INDEX(Max!$D:$D,MATCH(7989,Max!$A:$A,0))=1, INDEX(Max!$D:$D,MATCH(7989,Max!$A:$A,0))=2), INDEX(Max!$D:$D,MATCH(7989,Max!$A:$A,0)), 0), 0)</f>
        <v>0</v>
      </c>
    </row>
    <row r="1076" spans="1:9" ht="15.75" customHeight="1" x14ac:dyDescent="0.2">
      <c r="A1076" s="1">
        <v>65718</v>
      </c>
      <c r="B1076" s="1" t="s">
        <v>249</v>
      </c>
      <c r="C1076" s="1" t="s">
        <v>2537</v>
      </c>
      <c r="D1076" s="1" t="str">
        <f t="shared" si="4"/>
        <v>2</v>
      </c>
      <c r="E1076" s="1" t="s">
        <v>2538</v>
      </c>
      <c r="G1076" s="1">
        <f t="array" ref="G1076">IF(ISNUMBER(MATCH(65718,Camille!$A:$A,0)), IF(OR(INDEX(Camille!$D:$D,MATCH(65718,Camille!$A:$A,0))=1, INDEX(Camille!$D:$D,MATCH(65718,Camille!$A:$A,0))=2), INDEX(Camille!$D:$D,MATCH(65718,Camille!$A:$A,0)), 0), 0)</f>
        <v>0</v>
      </c>
      <c r="H1076" s="1">
        <f t="array" ref="H1076">IF(ISNUMBER(MATCH(65718,Telmo!$A:$A,0)), IF(OR(INDEX(Telmo!$D:$D,MATCH(65718,Telmo!$A:$A,0))=1, INDEX(Telmo!$D:$D,MATCH(65718,Telmo!$A:$A,0))=2), INDEX(Telmo!$D:$D,MATCH(65718,Telmo!$A:$A,0)), 0), 0)</f>
        <v>2</v>
      </c>
      <c r="I1076" s="1">
        <f t="array" ref="I1076">IF(ISNUMBER(MATCH(65718,Max!$A:$A,0)), IF(OR(INDEX(Max!$D:$D,MATCH(65718,Max!$A:$A,0))=1, INDEX(Max!$D:$D,MATCH(65718,Max!$A:$A,0))=2), INDEX(Max!$D:$D,MATCH(65718,Max!$A:$A,0)), 0), 0)</f>
        <v>0</v>
      </c>
    </row>
    <row r="1077" spans="1:9" ht="15.75" customHeight="1" x14ac:dyDescent="0.2">
      <c r="A1077" s="1">
        <v>50326</v>
      </c>
      <c r="B1077" s="1" t="s">
        <v>405</v>
      </c>
      <c r="C1077" s="1" t="s">
        <v>2539</v>
      </c>
      <c r="D1077" s="1" t="str">
        <f t="shared" si="4"/>
        <v>1</v>
      </c>
      <c r="E1077" s="1" t="s">
        <v>2540</v>
      </c>
      <c r="G1077" s="1">
        <f t="array" ref="G1077">IF(ISNUMBER(MATCH(50326,Camille!$A:$A,0)), IF(OR(INDEX(Camille!$D:$D,MATCH(50326,Camille!$A:$A,0))=1, INDEX(Camille!$D:$D,MATCH(50326,Camille!$A:$A,0))=2), INDEX(Camille!$D:$D,MATCH(50326,Camille!$A:$A,0)), 0), 0)</f>
        <v>0</v>
      </c>
      <c r="H1077" s="1">
        <f t="array" ref="H1077">IF(ISNUMBER(MATCH(50326,Telmo!$A:$A,0)), IF(OR(INDEX(Telmo!$D:$D,MATCH(50326,Telmo!$A:$A,0))=1, INDEX(Telmo!$D:$D,MATCH(50326,Telmo!$A:$A,0))=2), INDEX(Telmo!$D:$D,MATCH(50326,Telmo!$A:$A,0)), 0), 0)</f>
        <v>1</v>
      </c>
      <c r="I1077" s="1">
        <f t="array" ref="I1077">IF(ISNUMBER(MATCH(50326,Max!$A:$A,0)), IF(OR(INDEX(Max!$D:$D,MATCH(50326,Max!$A:$A,0))=1, INDEX(Max!$D:$D,MATCH(50326,Max!$A:$A,0))=2), INDEX(Max!$D:$D,MATCH(50326,Max!$A:$A,0)), 0), 0)</f>
        <v>0</v>
      </c>
    </row>
    <row r="1078" spans="1:9" ht="15.75" customHeight="1" x14ac:dyDescent="0.2">
      <c r="A1078" s="1">
        <v>45435</v>
      </c>
      <c r="B1078" s="1" t="s">
        <v>167</v>
      </c>
      <c r="C1078" s="1" t="s">
        <v>2541</v>
      </c>
      <c r="D1078" s="1" t="str">
        <f t="shared" si="4"/>
        <v>2</v>
      </c>
      <c r="E1078" s="1" t="s">
        <v>2542</v>
      </c>
      <c r="G1078" s="1">
        <f t="array" ref="G1078">IF(ISNUMBER(MATCH(45435,Camille!$A:$A,0)), IF(OR(INDEX(Camille!$D:$D,MATCH(45435,Camille!$A:$A,0))=1, INDEX(Camille!$D:$D,MATCH(45435,Camille!$A:$A,0))=2), INDEX(Camille!$D:$D,MATCH(45435,Camille!$A:$A,0)), 0), 0)</f>
        <v>0</v>
      </c>
      <c r="H1078" s="1">
        <f t="array" ref="H1078">IF(ISNUMBER(MATCH(45435,Telmo!$A:$A,0)), IF(OR(INDEX(Telmo!$D:$D,MATCH(45435,Telmo!$A:$A,0))=1, INDEX(Telmo!$D:$D,MATCH(45435,Telmo!$A:$A,0))=2), INDEX(Telmo!$D:$D,MATCH(45435,Telmo!$A:$A,0)), 0), 0)</f>
        <v>2</v>
      </c>
      <c r="I1078" s="1">
        <f t="array" ref="I1078">IF(ISNUMBER(MATCH(45435,Max!$A:$A,0)), IF(OR(INDEX(Max!$D:$D,MATCH(45435,Max!$A:$A,0))=1, INDEX(Max!$D:$D,MATCH(45435,Max!$A:$A,0))=2), INDEX(Max!$D:$D,MATCH(45435,Max!$A:$A,0)), 0), 0)</f>
        <v>0</v>
      </c>
    </row>
    <row r="1079" spans="1:9" ht="15.75" customHeight="1" x14ac:dyDescent="0.2">
      <c r="A1079" s="1">
        <v>51352</v>
      </c>
      <c r="B1079" s="1" t="s">
        <v>180</v>
      </c>
      <c r="C1079" s="1" t="s">
        <v>2543</v>
      </c>
      <c r="D1079" s="1" t="str">
        <f t="shared" si="4"/>
        <v>2</v>
      </c>
      <c r="E1079" s="1" t="s">
        <v>2544</v>
      </c>
      <c r="G1079" s="1">
        <f t="array" ref="G1079">IF(ISNUMBER(MATCH(51352,Camille!$A:$A,0)), IF(OR(INDEX(Camille!$D:$D,MATCH(51352,Camille!$A:$A,0))=1, INDEX(Camille!$D:$D,MATCH(51352,Camille!$A:$A,0))=2), INDEX(Camille!$D:$D,MATCH(51352,Camille!$A:$A,0)), 0), 0)</f>
        <v>0</v>
      </c>
      <c r="H1079" s="1">
        <f t="array" ref="H1079">IF(ISNUMBER(MATCH(51352,Telmo!$A:$A,0)), IF(OR(INDEX(Telmo!$D:$D,MATCH(51352,Telmo!$A:$A,0))=1, INDEX(Telmo!$D:$D,MATCH(51352,Telmo!$A:$A,0))=2), INDEX(Telmo!$D:$D,MATCH(51352,Telmo!$A:$A,0)), 0), 0)</f>
        <v>2</v>
      </c>
      <c r="I1079" s="1">
        <f t="array" ref="I1079">IF(ISNUMBER(MATCH(51352,Max!$A:$A,0)), IF(OR(INDEX(Max!$D:$D,MATCH(51352,Max!$A:$A,0))=1, INDEX(Max!$D:$D,MATCH(51352,Max!$A:$A,0))=2), INDEX(Max!$D:$D,MATCH(51352,Max!$A:$A,0)), 0), 0)</f>
        <v>0</v>
      </c>
    </row>
    <row r="1080" spans="1:9" ht="15.75" customHeight="1" x14ac:dyDescent="0.2">
      <c r="A1080" s="1">
        <v>19181</v>
      </c>
      <c r="B1080" s="1" t="s">
        <v>723</v>
      </c>
      <c r="C1080" s="1" t="s">
        <v>2545</v>
      </c>
      <c r="D1080" s="1" t="str">
        <f t="shared" si="4"/>
        <v>2</v>
      </c>
      <c r="E1080" s="1" t="s">
        <v>2546</v>
      </c>
      <c r="G1080" s="1">
        <f t="array" ref="G1080">IF(ISNUMBER(MATCH(19181,Camille!$A:$A,0)), IF(OR(INDEX(Camille!$D:$D,MATCH(19181,Camille!$A:$A,0))=1, INDEX(Camille!$D:$D,MATCH(19181,Camille!$A:$A,0))=2), INDEX(Camille!$D:$D,MATCH(19181,Camille!$A:$A,0)), 0), 0)</f>
        <v>0</v>
      </c>
      <c r="H1080" s="1">
        <f t="array" ref="H1080">IF(ISNUMBER(MATCH(19181,Telmo!$A:$A,0)), IF(OR(INDEX(Telmo!$D:$D,MATCH(19181,Telmo!$A:$A,0))=1, INDEX(Telmo!$D:$D,MATCH(19181,Telmo!$A:$A,0))=2), INDEX(Telmo!$D:$D,MATCH(19181,Telmo!$A:$A,0)), 0), 0)</f>
        <v>2</v>
      </c>
      <c r="I1080" s="1">
        <f t="array" ref="I1080">IF(ISNUMBER(MATCH(19181,Max!$A:$A,0)), IF(OR(INDEX(Max!$D:$D,MATCH(19181,Max!$A:$A,0))=1, INDEX(Max!$D:$D,MATCH(19181,Max!$A:$A,0))=2), INDEX(Max!$D:$D,MATCH(19181,Max!$A:$A,0)), 0), 0)</f>
        <v>0</v>
      </c>
    </row>
    <row r="1081" spans="1:9" ht="15.75" customHeight="1" x14ac:dyDescent="0.2">
      <c r="A1081" s="1">
        <v>20067</v>
      </c>
      <c r="B1081" s="1" t="s">
        <v>194</v>
      </c>
      <c r="C1081" s="1" t="s">
        <v>2547</v>
      </c>
      <c r="D1081" s="1" t="str">
        <f t="shared" si="4"/>
        <v>2</v>
      </c>
      <c r="E1081" s="1" t="s">
        <v>2548</v>
      </c>
      <c r="G1081" s="1">
        <f t="array" ref="G1081">IF(ISNUMBER(MATCH(20067,Camille!$A:$A,0)), IF(OR(INDEX(Camille!$D:$D,MATCH(20067,Camille!$A:$A,0))=1, INDEX(Camille!$D:$D,MATCH(20067,Camille!$A:$A,0))=2), INDEX(Camille!$D:$D,MATCH(20067,Camille!$A:$A,0)), 0), 0)</f>
        <v>0</v>
      </c>
      <c r="H1081" s="1">
        <f t="array" ref="H1081">IF(ISNUMBER(MATCH(20067,Telmo!$A:$A,0)), IF(OR(INDEX(Telmo!$D:$D,MATCH(20067,Telmo!$A:$A,0))=1, INDEX(Telmo!$D:$D,MATCH(20067,Telmo!$A:$A,0))=2), INDEX(Telmo!$D:$D,MATCH(20067,Telmo!$A:$A,0)), 0), 0)</f>
        <v>2</v>
      </c>
      <c r="I1081" s="1">
        <f t="array" ref="I1081">IF(ISNUMBER(MATCH(20067,Max!$A:$A,0)), IF(OR(INDEX(Max!$D:$D,MATCH(20067,Max!$A:$A,0))=1, INDEX(Max!$D:$D,MATCH(20067,Max!$A:$A,0))=2), INDEX(Max!$D:$D,MATCH(20067,Max!$A:$A,0)), 0), 0)</f>
        <v>0</v>
      </c>
    </row>
    <row r="1082" spans="1:9" ht="15.75" customHeight="1" x14ac:dyDescent="0.2">
      <c r="A1082" s="1">
        <v>18240</v>
      </c>
      <c r="B1082" s="1" t="s">
        <v>191</v>
      </c>
      <c r="C1082" s="1" t="s">
        <v>2549</v>
      </c>
      <c r="D1082" s="1" t="str">
        <f t="shared" si="4"/>
        <v>1</v>
      </c>
      <c r="E1082" s="1" t="s">
        <v>2550</v>
      </c>
      <c r="G1082" s="1">
        <f t="array" ref="G1082">IF(ISNUMBER(MATCH(18240,Camille!$A:$A,0)), IF(OR(INDEX(Camille!$D:$D,MATCH(18240,Camille!$A:$A,0))=1, INDEX(Camille!$D:$D,MATCH(18240,Camille!$A:$A,0))=2), INDEX(Camille!$D:$D,MATCH(18240,Camille!$A:$A,0)), 0), 0)</f>
        <v>0</v>
      </c>
      <c r="H1082" s="1">
        <f t="array" ref="H1082">IF(ISNUMBER(MATCH(18240,Telmo!$A:$A,0)), IF(OR(INDEX(Telmo!$D:$D,MATCH(18240,Telmo!$A:$A,0))=1, INDEX(Telmo!$D:$D,MATCH(18240,Telmo!$A:$A,0))=2), INDEX(Telmo!$D:$D,MATCH(18240,Telmo!$A:$A,0)), 0), 0)</f>
        <v>1</v>
      </c>
      <c r="I1082" s="1">
        <f t="array" ref="I1082">IF(ISNUMBER(MATCH(18240,Max!$A:$A,0)), IF(OR(INDEX(Max!$D:$D,MATCH(18240,Max!$A:$A,0))=1, INDEX(Max!$D:$D,MATCH(18240,Max!$A:$A,0))=2), INDEX(Max!$D:$D,MATCH(18240,Max!$A:$A,0)), 0), 0)</f>
        <v>0</v>
      </c>
    </row>
    <row r="1083" spans="1:9" ht="15.75" customHeight="1" x14ac:dyDescent="0.2">
      <c r="A1083" s="1">
        <v>61875</v>
      </c>
      <c r="B1083" s="1" t="s">
        <v>11</v>
      </c>
      <c r="C1083" s="1" t="s">
        <v>2551</v>
      </c>
      <c r="D1083" s="1" t="str">
        <f t="shared" si="4"/>
        <v>2</v>
      </c>
      <c r="E1083" s="1" t="s">
        <v>2552</v>
      </c>
      <c r="G1083" s="1">
        <f t="array" ref="G1083">IF(ISNUMBER(MATCH(61875,Camille!$A:$A,0)), IF(OR(INDEX(Camille!$D:$D,MATCH(61875,Camille!$A:$A,0))=1, INDEX(Camille!$D:$D,MATCH(61875,Camille!$A:$A,0))=2), INDEX(Camille!$D:$D,MATCH(61875,Camille!$A:$A,0)), 0), 0)</f>
        <v>0</v>
      </c>
      <c r="H1083" s="1">
        <f t="array" ref="H1083">IF(ISNUMBER(MATCH(61875,Telmo!$A:$A,0)), IF(OR(INDEX(Telmo!$D:$D,MATCH(61875,Telmo!$A:$A,0))=1, INDEX(Telmo!$D:$D,MATCH(61875,Telmo!$A:$A,0))=2), INDEX(Telmo!$D:$D,MATCH(61875,Telmo!$A:$A,0)), 0), 0)</f>
        <v>2</v>
      </c>
      <c r="I1083" s="1">
        <f t="array" ref="I1083">IF(ISNUMBER(MATCH(61875,Max!$A:$A,0)), IF(OR(INDEX(Max!$D:$D,MATCH(61875,Max!$A:$A,0))=1, INDEX(Max!$D:$D,MATCH(61875,Max!$A:$A,0))=2), INDEX(Max!$D:$D,MATCH(61875,Max!$A:$A,0)), 0), 0)</f>
        <v>0</v>
      </c>
    </row>
    <row r="1084" spans="1:9" ht="15.75" customHeight="1" x14ac:dyDescent="0.2">
      <c r="A1084" s="1">
        <v>9323</v>
      </c>
      <c r="B1084" s="1" t="s">
        <v>301</v>
      </c>
      <c r="C1084" s="1" t="s">
        <v>2553</v>
      </c>
      <c r="D1084" s="1" t="str">
        <f t="shared" si="4"/>
        <v>1</v>
      </c>
      <c r="E1084" s="1" t="s">
        <v>2554</v>
      </c>
      <c r="G1084" s="1">
        <f t="array" ref="G1084">IF(ISNUMBER(MATCH(9323,Camille!$A:$A,0)), IF(OR(INDEX(Camille!$D:$D,MATCH(9323,Camille!$A:$A,0))=1, INDEX(Camille!$D:$D,MATCH(9323,Camille!$A:$A,0))=2), INDEX(Camille!$D:$D,MATCH(9323,Camille!$A:$A,0)), 0), 0)</f>
        <v>0</v>
      </c>
      <c r="H1084" s="1">
        <f t="array" ref="H1084">IF(ISNUMBER(MATCH(9323,Telmo!$A:$A,0)), IF(OR(INDEX(Telmo!$D:$D,MATCH(9323,Telmo!$A:$A,0))=1, INDEX(Telmo!$D:$D,MATCH(9323,Telmo!$A:$A,0))=2), INDEX(Telmo!$D:$D,MATCH(9323,Telmo!$A:$A,0)), 0), 0)</f>
        <v>1</v>
      </c>
      <c r="I1084" s="1">
        <f t="array" ref="I1084">IF(ISNUMBER(MATCH(9323,Max!$A:$A,0)), IF(OR(INDEX(Max!$D:$D,MATCH(9323,Max!$A:$A,0))=1, INDEX(Max!$D:$D,MATCH(9323,Max!$A:$A,0))=2), INDEX(Max!$D:$D,MATCH(9323,Max!$A:$A,0)), 0), 0)</f>
        <v>0</v>
      </c>
    </row>
    <row r="1085" spans="1:9" ht="15.75" customHeight="1" x14ac:dyDescent="0.2">
      <c r="A1085" s="1">
        <v>45378</v>
      </c>
      <c r="B1085" s="1" t="s">
        <v>301</v>
      </c>
      <c r="C1085" s="1" t="s">
        <v>2555</v>
      </c>
      <c r="D1085" s="1" t="str">
        <f t="shared" si="4"/>
        <v>1</v>
      </c>
      <c r="E1085" s="1" t="s">
        <v>2556</v>
      </c>
      <c r="G1085" s="1">
        <f t="array" ref="G1085">IF(ISNUMBER(MATCH(45378,Camille!$A:$A,0)), IF(OR(INDEX(Camille!$D:$D,MATCH(45378,Camille!$A:$A,0))=1, INDEX(Camille!$D:$D,MATCH(45378,Camille!$A:$A,0))=2), INDEX(Camille!$D:$D,MATCH(45378,Camille!$A:$A,0)), 0), 0)</f>
        <v>0</v>
      </c>
      <c r="H1085" s="1">
        <f t="array" ref="H1085">IF(ISNUMBER(MATCH(45378,Telmo!$A:$A,0)), IF(OR(INDEX(Telmo!$D:$D,MATCH(45378,Telmo!$A:$A,0))=1, INDEX(Telmo!$D:$D,MATCH(45378,Telmo!$A:$A,0))=2), INDEX(Telmo!$D:$D,MATCH(45378,Telmo!$A:$A,0)), 0), 0)</f>
        <v>1</v>
      </c>
      <c r="I1085" s="1">
        <f t="array" ref="I1085">IF(ISNUMBER(MATCH(45378,Max!$A:$A,0)), IF(OR(INDEX(Max!$D:$D,MATCH(45378,Max!$A:$A,0))=1, INDEX(Max!$D:$D,MATCH(45378,Max!$A:$A,0))=2), INDEX(Max!$D:$D,MATCH(45378,Max!$A:$A,0)), 0), 0)</f>
        <v>0</v>
      </c>
    </row>
    <row r="1086" spans="1:9" ht="15.75" customHeight="1" x14ac:dyDescent="0.2">
      <c r="A1086" s="1">
        <v>3845</v>
      </c>
      <c r="B1086" s="1" t="s">
        <v>1657</v>
      </c>
      <c r="C1086" s="1" t="s">
        <v>2557</v>
      </c>
      <c r="D1086" s="1" t="str">
        <f t="shared" si="4"/>
        <v>2</v>
      </c>
      <c r="E1086" s="1" t="s">
        <v>2558</v>
      </c>
      <c r="G1086" s="1">
        <f t="array" ref="G1086">IF(ISNUMBER(MATCH(3845,Camille!$A:$A,0)), IF(OR(INDEX(Camille!$D:$D,MATCH(3845,Camille!$A:$A,0))=1, INDEX(Camille!$D:$D,MATCH(3845,Camille!$A:$A,0))=2), INDEX(Camille!$D:$D,MATCH(3845,Camille!$A:$A,0)), 0), 0)</f>
        <v>0</v>
      </c>
      <c r="H1086" s="1">
        <f t="array" ref="H1086">IF(ISNUMBER(MATCH(3845,Telmo!$A:$A,0)), IF(OR(INDEX(Telmo!$D:$D,MATCH(3845,Telmo!$A:$A,0))=1, INDEX(Telmo!$D:$D,MATCH(3845,Telmo!$A:$A,0))=2), INDEX(Telmo!$D:$D,MATCH(3845,Telmo!$A:$A,0)), 0), 0)</f>
        <v>2</v>
      </c>
      <c r="I1086" s="1">
        <f t="array" ref="I1086">IF(ISNUMBER(MATCH(3845,Max!$A:$A,0)), IF(OR(INDEX(Max!$D:$D,MATCH(3845,Max!$A:$A,0))=1, INDEX(Max!$D:$D,MATCH(3845,Max!$A:$A,0))=2), INDEX(Max!$D:$D,MATCH(3845,Max!$A:$A,0)), 0), 0)</f>
        <v>0</v>
      </c>
    </row>
    <row r="1087" spans="1:9" ht="15.75" customHeight="1" x14ac:dyDescent="0.2">
      <c r="A1087" s="1">
        <v>49325</v>
      </c>
      <c r="B1087" s="1" t="s">
        <v>430</v>
      </c>
      <c r="C1087" s="1" t="s">
        <v>2559</v>
      </c>
      <c r="D1087" s="1" t="str">
        <f t="shared" si="4"/>
        <v>2</v>
      </c>
      <c r="E1087" s="1" t="s">
        <v>2560</v>
      </c>
      <c r="G1087" s="1">
        <f t="array" ref="G1087">IF(ISNUMBER(MATCH(49325,Camille!$A:$A,0)), IF(OR(INDEX(Camille!$D:$D,MATCH(49325,Camille!$A:$A,0))=1, INDEX(Camille!$D:$D,MATCH(49325,Camille!$A:$A,0))=2), INDEX(Camille!$D:$D,MATCH(49325,Camille!$A:$A,0)), 0), 0)</f>
        <v>0</v>
      </c>
      <c r="H1087" s="1">
        <f t="array" ref="H1087">IF(ISNUMBER(MATCH(49325,Telmo!$A:$A,0)), IF(OR(INDEX(Telmo!$D:$D,MATCH(49325,Telmo!$A:$A,0))=1, INDEX(Telmo!$D:$D,MATCH(49325,Telmo!$A:$A,0))=2), INDEX(Telmo!$D:$D,MATCH(49325,Telmo!$A:$A,0)), 0), 0)</f>
        <v>2</v>
      </c>
      <c r="I1087" s="1">
        <f t="array" ref="I1087">IF(ISNUMBER(MATCH(49325,Max!$A:$A,0)), IF(OR(INDEX(Max!$D:$D,MATCH(49325,Max!$A:$A,0))=1, INDEX(Max!$D:$D,MATCH(49325,Max!$A:$A,0))=2), INDEX(Max!$D:$D,MATCH(49325,Max!$A:$A,0)), 0), 0)</f>
        <v>0</v>
      </c>
    </row>
    <row r="1088" spans="1:9" ht="15.75" customHeight="1" x14ac:dyDescent="0.2">
      <c r="A1088" s="1">
        <v>46652</v>
      </c>
      <c r="B1088" s="1" t="s">
        <v>2561</v>
      </c>
      <c r="C1088" s="1" t="s">
        <v>2562</v>
      </c>
      <c r="D1088" s="1" t="str">
        <f t="shared" si="4"/>
        <v>2</v>
      </c>
      <c r="E1088" s="1" t="s">
        <v>2563</v>
      </c>
      <c r="G1088" s="1">
        <f t="array" ref="G1088">IF(ISNUMBER(MATCH(46652,Camille!$A:$A,0)), IF(OR(INDEX(Camille!$D:$D,MATCH(46652,Camille!$A:$A,0))=1, INDEX(Camille!$D:$D,MATCH(46652,Camille!$A:$A,0))=2), INDEX(Camille!$D:$D,MATCH(46652,Camille!$A:$A,0)), 0), 0)</f>
        <v>0</v>
      </c>
      <c r="H1088" s="1">
        <f t="array" ref="H1088">IF(ISNUMBER(MATCH(46652,Telmo!$A:$A,0)), IF(OR(INDEX(Telmo!$D:$D,MATCH(46652,Telmo!$A:$A,0))=1, INDEX(Telmo!$D:$D,MATCH(46652,Telmo!$A:$A,0))=2), INDEX(Telmo!$D:$D,MATCH(46652,Telmo!$A:$A,0)), 0), 0)</f>
        <v>2</v>
      </c>
      <c r="I1088" s="1">
        <f t="array" ref="I1088">IF(ISNUMBER(MATCH(46652,Max!$A:$A,0)), IF(OR(INDEX(Max!$D:$D,MATCH(46652,Max!$A:$A,0))=1, INDEX(Max!$D:$D,MATCH(46652,Max!$A:$A,0))=2), INDEX(Max!$D:$D,MATCH(46652,Max!$A:$A,0)), 0), 0)</f>
        <v>0</v>
      </c>
    </row>
    <row r="1089" spans="1:9" ht="15.75" customHeight="1" x14ac:dyDescent="0.2">
      <c r="A1089" s="1">
        <v>13084</v>
      </c>
      <c r="B1089" s="1" t="s">
        <v>191</v>
      </c>
      <c r="C1089" s="1" t="s">
        <v>2564</v>
      </c>
      <c r="D1089" s="1" t="str">
        <f t="shared" si="4"/>
        <v>2</v>
      </c>
      <c r="E1089" s="1" t="s">
        <v>2565</v>
      </c>
      <c r="G1089" s="1">
        <f t="array" ref="G1089">IF(ISNUMBER(MATCH(13084,Camille!$A:$A,0)), IF(OR(INDEX(Camille!$D:$D,MATCH(13084,Camille!$A:$A,0))=1, INDEX(Camille!$D:$D,MATCH(13084,Camille!$A:$A,0))=2), INDEX(Camille!$D:$D,MATCH(13084,Camille!$A:$A,0)), 0), 0)</f>
        <v>0</v>
      </c>
      <c r="H1089" s="1">
        <f t="array" ref="H1089">IF(ISNUMBER(MATCH(13084,Telmo!$A:$A,0)), IF(OR(INDEX(Telmo!$D:$D,MATCH(13084,Telmo!$A:$A,0))=1, INDEX(Telmo!$D:$D,MATCH(13084,Telmo!$A:$A,0))=2), INDEX(Telmo!$D:$D,MATCH(13084,Telmo!$A:$A,0)), 0), 0)</f>
        <v>2</v>
      </c>
      <c r="I1089" s="1">
        <f t="array" ref="I1089">IF(ISNUMBER(MATCH(13084,Max!$A:$A,0)), IF(OR(INDEX(Max!$D:$D,MATCH(13084,Max!$A:$A,0))=1, INDEX(Max!$D:$D,MATCH(13084,Max!$A:$A,0))=2), INDEX(Max!$D:$D,MATCH(13084,Max!$A:$A,0)), 0), 0)</f>
        <v>0</v>
      </c>
    </row>
    <row r="1090" spans="1:9" ht="15.75" customHeight="1" x14ac:dyDescent="0.2">
      <c r="A1090" s="1">
        <v>55164</v>
      </c>
      <c r="B1090" s="1" t="s">
        <v>496</v>
      </c>
      <c r="C1090" s="1" t="s">
        <v>2566</v>
      </c>
      <c r="D1090" s="1" t="str">
        <f t="shared" si="4"/>
        <v>2</v>
      </c>
      <c r="E1090" s="1" t="s">
        <v>2567</v>
      </c>
      <c r="G1090" s="1">
        <f t="array" ref="G1090">IF(ISNUMBER(MATCH(55164,Camille!$A:$A,0)), IF(OR(INDEX(Camille!$D:$D,MATCH(55164,Camille!$A:$A,0))=1, INDEX(Camille!$D:$D,MATCH(55164,Camille!$A:$A,0))=2), INDEX(Camille!$D:$D,MATCH(55164,Camille!$A:$A,0)), 0), 0)</f>
        <v>0</v>
      </c>
      <c r="H1090" s="1">
        <f t="array" ref="H1090">IF(ISNUMBER(MATCH(55164,Telmo!$A:$A,0)), IF(OR(INDEX(Telmo!$D:$D,MATCH(55164,Telmo!$A:$A,0))=1, INDEX(Telmo!$D:$D,MATCH(55164,Telmo!$A:$A,0))=2), INDEX(Telmo!$D:$D,MATCH(55164,Telmo!$A:$A,0)), 0), 0)</f>
        <v>2</v>
      </c>
      <c r="I1090" s="1">
        <f t="array" ref="I1090">IF(ISNUMBER(MATCH(55164,Max!$A:$A,0)), IF(OR(INDEX(Max!$D:$D,MATCH(55164,Max!$A:$A,0))=1, INDEX(Max!$D:$D,MATCH(55164,Max!$A:$A,0))=2), INDEX(Max!$D:$D,MATCH(55164,Max!$A:$A,0)), 0), 0)</f>
        <v>0</v>
      </c>
    </row>
    <row r="1091" spans="1:9" ht="15.75" customHeight="1" x14ac:dyDescent="0.2">
      <c r="A1091" s="1">
        <v>17430</v>
      </c>
      <c r="B1091" s="1" t="s">
        <v>23</v>
      </c>
      <c r="C1091" s="1" t="s">
        <v>2568</v>
      </c>
      <c r="D1091" s="1" t="str">
        <f t="shared" si="4"/>
        <v>2</v>
      </c>
      <c r="E1091" s="1" t="s">
        <v>2569</v>
      </c>
      <c r="G1091" s="1">
        <f t="array" ref="G1091">IF(ISNUMBER(MATCH(17430,Camille!$A:$A,0)), IF(OR(INDEX(Camille!$D:$D,MATCH(17430,Camille!$A:$A,0))=1, INDEX(Camille!$D:$D,MATCH(17430,Camille!$A:$A,0))=2), INDEX(Camille!$D:$D,MATCH(17430,Camille!$A:$A,0)), 0), 0)</f>
        <v>0</v>
      </c>
      <c r="H1091" s="1">
        <f t="array" ref="H1091">IF(ISNUMBER(MATCH(17430,Telmo!$A:$A,0)), IF(OR(INDEX(Telmo!$D:$D,MATCH(17430,Telmo!$A:$A,0))=1, INDEX(Telmo!$D:$D,MATCH(17430,Telmo!$A:$A,0))=2), INDEX(Telmo!$D:$D,MATCH(17430,Telmo!$A:$A,0)), 0), 0)</f>
        <v>2</v>
      </c>
      <c r="I1091" s="1">
        <f t="array" ref="I1091">IF(ISNUMBER(MATCH(17430,Max!$A:$A,0)), IF(OR(INDEX(Max!$D:$D,MATCH(17430,Max!$A:$A,0))=1, INDEX(Max!$D:$D,MATCH(17430,Max!$A:$A,0))=2), INDEX(Max!$D:$D,MATCH(17430,Max!$A:$A,0)), 0), 0)</f>
        <v>0</v>
      </c>
    </row>
    <row r="1092" spans="1:9" ht="15.75" customHeight="1" x14ac:dyDescent="0.2">
      <c r="A1092" s="1">
        <v>59295</v>
      </c>
      <c r="B1092" s="1" t="s">
        <v>357</v>
      </c>
      <c r="C1092" s="1" t="s">
        <v>2570</v>
      </c>
      <c r="D1092" s="1" t="str">
        <f t="shared" si="4"/>
        <v>1</v>
      </c>
      <c r="E1092" s="1" t="s">
        <v>2571</v>
      </c>
      <c r="G1092" s="1">
        <f t="array" ref="G1092">IF(ISNUMBER(MATCH(59295,Camille!$A:$A,0)), IF(OR(INDEX(Camille!$D:$D,MATCH(59295,Camille!$A:$A,0))=1, INDEX(Camille!$D:$D,MATCH(59295,Camille!$A:$A,0))=2), INDEX(Camille!$D:$D,MATCH(59295,Camille!$A:$A,0)), 0), 0)</f>
        <v>0</v>
      </c>
      <c r="H1092" s="1">
        <f t="array" ref="H1092">IF(ISNUMBER(MATCH(59295,Telmo!$A:$A,0)), IF(OR(INDEX(Telmo!$D:$D,MATCH(59295,Telmo!$A:$A,0))=1, INDEX(Telmo!$D:$D,MATCH(59295,Telmo!$A:$A,0))=2), INDEX(Telmo!$D:$D,MATCH(59295,Telmo!$A:$A,0)), 0), 0)</f>
        <v>1</v>
      </c>
      <c r="I1092" s="1">
        <f t="array" ref="I1092">IF(ISNUMBER(MATCH(59295,Max!$A:$A,0)), IF(OR(INDEX(Max!$D:$D,MATCH(59295,Max!$A:$A,0))=1, INDEX(Max!$D:$D,MATCH(59295,Max!$A:$A,0))=2), INDEX(Max!$D:$D,MATCH(59295,Max!$A:$A,0)), 0), 0)</f>
        <v>0</v>
      </c>
    </row>
    <row r="1093" spans="1:9" ht="15.75" customHeight="1" x14ac:dyDescent="0.2">
      <c r="A1093" s="1">
        <v>13243</v>
      </c>
      <c r="B1093" s="1" t="s">
        <v>408</v>
      </c>
      <c r="C1093" s="1" t="s">
        <v>2572</v>
      </c>
      <c r="D1093" s="1" t="str">
        <f t="shared" si="4"/>
        <v>2</v>
      </c>
      <c r="E1093" s="1" t="s">
        <v>2573</v>
      </c>
      <c r="G1093" s="1">
        <f t="array" ref="G1093">IF(ISNUMBER(MATCH(13243,Camille!$A:$A,0)), IF(OR(INDEX(Camille!$D:$D,MATCH(13243,Camille!$A:$A,0))=1, INDEX(Camille!$D:$D,MATCH(13243,Camille!$A:$A,0))=2), INDEX(Camille!$D:$D,MATCH(13243,Camille!$A:$A,0)), 0), 0)</f>
        <v>0</v>
      </c>
      <c r="H1093" s="1">
        <f t="array" ref="H1093">IF(ISNUMBER(MATCH(13243,Telmo!$A:$A,0)), IF(OR(INDEX(Telmo!$D:$D,MATCH(13243,Telmo!$A:$A,0))=1, INDEX(Telmo!$D:$D,MATCH(13243,Telmo!$A:$A,0))=2), INDEX(Telmo!$D:$D,MATCH(13243,Telmo!$A:$A,0)), 0), 0)</f>
        <v>2</v>
      </c>
      <c r="I1093" s="1">
        <f t="array" ref="I1093">IF(ISNUMBER(MATCH(13243,Max!$A:$A,0)), IF(OR(INDEX(Max!$D:$D,MATCH(13243,Max!$A:$A,0))=1, INDEX(Max!$D:$D,MATCH(13243,Max!$A:$A,0))=2), INDEX(Max!$D:$D,MATCH(13243,Max!$A:$A,0)), 0), 0)</f>
        <v>0</v>
      </c>
    </row>
    <row r="1094" spans="1:9" ht="15.75" customHeight="1" x14ac:dyDescent="0.2">
      <c r="A1094" s="1">
        <v>69070</v>
      </c>
      <c r="B1094" s="1" t="s">
        <v>2574</v>
      </c>
      <c r="C1094" s="1" t="s">
        <v>2575</v>
      </c>
      <c r="D1094" s="1" t="str">
        <f t="shared" si="4"/>
        <v>2</v>
      </c>
      <c r="E1094" s="1" t="s">
        <v>2576</v>
      </c>
      <c r="G1094" s="1">
        <f t="array" ref="G1094">IF(ISNUMBER(MATCH(69070,Camille!$A:$A,0)), IF(OR(INDEX(Camille!$D:$D,MATCH(69070,Camille!$A:$A,0))=1, INDEX(Camille!$D:$D,MATCH(69070,Camille!$A:$A,0))=2), INDEX(Camille!$D:$D,MATCH(69070,Camille!$A:$A,0)), 0), 0)</f>
        <v>0</v>
      </c>
      <c r="H1094" s="1">
        <f t="array" ref="H1094">IF(ISNUMBER(MATCH(69070,Telmo!$A:$A,0)), IF(OR(INDEX(Telmo!$D:$D,MATCH(69070,Telmo!$A:$A,0))=1, INDEX(Telmo!$D:$D,MATCH(69070,Telmo!$A:$A,0))=2), INDEX(Telmo!$D:$D,MATCH(69070,Telmo!$A:$A,0)), 0), 0)</f>
        <v>2</v>
      </c>
      <c r="I1094" s="1">
        <f t="array" ref="I1094">IF(ISNUMBER(MATCH(69070,Max!$A:$A,0)), IF(OR(INDEX(Max!$D:$D,MATCH(69070,Max!$A:$A,0))=1, INDEX(Max!$D:$D,MATCH(69070,Max!$A:$A,0))=2), INDEX(Max!$D:$D,MATCH(69070,Max!$A:$A,0)), 0), 0)</f>
        <v>0</v>
      </c>
    </row>
    <row r="1095" spans="1:9" ht="15.75" customHeight="1" x14ac:dyDescent="0.2">
      <c r="A1095" s="1">
        <v>64501</v>
      </c>
      <c r="B1095" s="1" t="s">
        <v>100</v>
      </c>
      <c r="C1095" s="1" t="s">
        <v>2577</v>
      </c>
      <c r="D1095" s="1" t="str">
        <f t="shared" si="4"/>
        <v>2</v>
      </c>
      <c r="E1095" s="1" t="s">
        <v>2578</v>
      </c>
      <c r="G1095" s="1">
        <f t="array" ref="G1095">IF(ISNUMBER(MATCH(64501,Camille!$A:$A,0)), IF(OR(INDEX(Camille!$D:$D,MATCH(64501,Camille!$A:$A,0))=1, INDEX(Camille!$D:$D,MATCH(64501,Camille!$A:$A,0))=2), INDEX(Camille!$D:$D,MATCH(64501,Camille!$A:$A,0)), 0), 0)</f>
        <v>0</v>
      </c>
      <c r="H1095" s="1">
        <f t="array" ref="H1095">IF(ISNUMBER(MATCH(64501,Telmo!$A:$A,0)), IF(OR(INDEX(Telmo!$D:$D,MATCH(64501,Telmo!$A:$A,0))=1, INDEX(Telmo!$D:$D,MATCH(64501,Telmo!$A:$A,0))=2), INDEX(Telmo!$D:$D,MATCH(64501,Telmo!$A:$A,0)), 0), 0)</f>
        <v>2</v>
      </c>
      <c r="I1095" s="1">
        <f t="array" ref="I1095">IF(ISNUMBER(MATCH(64501,Max!$A:$A,0)), IF(OR(INDEX(Max!$D:$D,MATCH(64501,Max!$A:$A,0))=1, INDEX(Max!$D:$D,MATCH(64501,Max!$A:$A,0))=2), INDEX(Max!$D:$D,MATCH(64501,Max!$A:$A,0)), 0), 0)</f>
        <v>0</v>
      </c>
    </row>
    <row r="1096" spans="1:9" ht="15.75" customHeight="1" x14ac:dyDescent="0.2">
      <c r="A1096" s="1">
        <v>17692</v>
      </c>
      <c r="B1096" s="1" t="s">
        <v>552</v>
      </c>
      <c r="C1096" s="1" t="s">
        <v>2579</v>
      </c>
      <c r="D1096" s="1" t="str">
        <f t="shared" si="4"/>
        <v>1</v>
      </c>
      <c r="E1096" s="1" t="s">
        <v>2580</v>
      </c>
      <c r="G1096" s="1">
        <f t="array" ref="G1096">IF(ISNUMBER(MATCH(17692,Camille!$A:$A,0)), IF(OR(INDEX(Camille!$D:$D,MATCH(17692,Camille!$A:$A,0))=1, INDEX(Camille!$D:$D,MATCH(17692,Camille!$A:$A,0))=2), INDEX(Camille!$D:$D,MATCH(17692,Camille!$A:$A,0)), 0), 0)</f>
        <v>0</v>
      </c>
      <c r="H1096" s="1">
        <f t="array" ref="H1096">IF(ISNUMBER(MATCH(17692,Telmo!$A:$A,0)), IF(OR(INDEX(Telmo!$D:$D,MATCH(17692,Telmo!$A:$A,0))=1, INDEX(Telmo!$D:$D,MATCH(17692,Telmo!$A:$A,0))=2), INDEX(Telmo!$D:$D,MATCH(17692,Telmo!$A:$A,0)), 0), 0)</f>
        <v>1</v>
      </c>
      <c r="I1096" s="1">
        <f t="array" ref="I1096">IF(ISNUMBER(MATCH(17692,Max!$A:$A,0)), IF(OR(INDEX(Max!$D:$D,MATCH(17692,Max!$A:$A,0))=1, INDEX(Max!$D:$D,MATCH(17692,Max!$A:$A,0))=2), INDEX(Max!$D:$D,MATCH(17692,Max!$A:$A,0)), 0), 0)</f>
        <v>0</v>
      </c>
    </row>
    <row r="1097" spans="1:9" ht="15.75" customHeight="1" x14ac:dyDescent="0.2">
      <c r="A1097" s="1">
        <v>44788</v>
      </c>
      <c r="B1097" s="1" t="s">
        <v>144</v>
      </c>
      <c r="C1097" s="1" t="s">
        <v>2581</v>
      </c>
      <c r="D1097" s="1" t="str">
        <f t="shared" si="4"/>
        <v>2</v>
      </c>
      <c r="E1097" s="1" t="s">
        <v>2582</v>
      </c>
      <c r="G1097" s="1">
        <f t="array" ref="G1097">IF(ISNUMBER(MATCH(44788,Camille!$A:$A,0)), IF(OR(INDEX(Camille!$D:$D,MATCH(44788,Camille!$A:$A,0))=1, INDEX(Camille!$D:$D,MATCH(44788,Camille!$A:$A,0))=2), INDEX(Camille!$D:$D,MATCH(44788,Camille!$A:$A,0)), 0), 0)</f>
        <v>0</v>
      </c>
      <c r="H1097" s="1">
        <f t="array" ref="H1097">IF(ISNUMBER(MATCH(44788,Telmo!$A:$A,0)), IF(OR(INDEX(Telmo!$D:$D,MATCH(44788,Telmo!$A:$A,0))=1, INDEX(Telmo!$D:$D,MATCH(44788,Telmo!$A:$A,0))=2), INDEX(Telmo!$D:$D,MATCH(44788,Telmo!$A:$A,0)), 0), 0)</f>
        <v>2</v>
      </c>
      <c r="I1097" s="1">
        <f t="array" ref="I1097">IF(ISNUMBER(MATCH(44788,Max!$A:$A,0)), IF(OR(INDEX(Max!$D:$D,MATCH(44788,Max!$A:$A,0))=1, INDEX(Max!$D:$D,MATCH(44788,Max!$A:$A,0))=2), INDEX(Max!$D:$D,MATCH(44788,Max!$A:$A,0)), 0), 0)</f>
        <v>0</v>
      </c>
    </row>
    <row r="1098" spans="1:9" ht="15.75" customHeight="1" x14ac:dyDescent="0.2">
      <c r="A1098" s="1">
        <v>8345</v>
      </c>
      <c r="B1098" s="1" t="s">
        <v>159</v>
      </c>
      <c r="C1098" s="1" t="s">
        <v>2583</v>
      </c>
      <c r="D1098" s="1" t="str">
        <f t="shared" si="4"/>
        <v>2</v>
      </c>
      <c r="E1098" s="1" t="s">
        <v>2584</v>
      </c>
      <c r="G1098" s="1">
        <f t="array" ref="G1098">IF(ISNUMBER(MATCH(8345,Camille!$A:$A,0)), IF(OR(INDEX(Camille!$D:$D,MATCH(8345,Camille!$A:$A,0))=1, INDEX(Camille!$D:$D,MATCH(8345,Camille!$A:$A,0))=2), INDEX(Camille!$D:$D,MATCH(8345,Camille!$A:$A,0)), 0), 0)</f>
        <v>0</v>
      </c>
      <c r="H1098" s="1">
        <f t="array" ref="H1098">IF(ISNUMBER(MATCH(8345,Telmo!$A:$A,0)), IF(OR(INDEX(Telmo!$D:$D,MATCH(8345,Telmo!$A:$A,0))=1, INDEX(Telmo!$D:$D,MATCH(8345,Telmo!$A:$A,0))=2), INDEX(Telmo!$D:$D,MATCH(8345,Telmo!$A:$A,0)), 0), 0)</f>
        <v>2</v>
      </c>
      <c r="I1098" s="1">
        <f t="array" ref="I1098">IF(ISNUMBER(MATCH(8345,Max!$A:$A,0)), IF(OR(INDEX(Max!$D:$D,MATCH(8345,Max!$A:$A,0))=1, INDEX(Max!$D:$D,MATCH(8345,Max!$A:$A,0))=2), INDEX(Max!$D:$D,MATCH(8345,Max!$A:$A,0)), 0), 0)</f>
        <v>0</v>
      </c>
    </row>
    <row r="1099" spans="1:9" ht="15.75" customHeight="1" x14ac:dyDescent="0.2">
      <c r="A1099" s="1">
        <v>42027</v>
      </c>
      <c r="B1099" s="1" t="s">
        <v>11</v>
      </c>
      <c r="C1099" s="1" t="s">
        <v>2585</v>
      </c>
      <c r="D1099" s="1" t="str">
        <f t="shared" si="4"/>
        <v>2</v>
      </c>
      <c r="E1099" s="1" t="s">
        <v>2586</v>
      </c>
      <c r="G1099" s="1">
        <f t="array" ref="G1099">IF(ISNUMBER(MATCH(42027,Camille!$A:$A,0)), IF(OR(INDEX(Camille!$D:$D,MATCH(42027,Camille!$A:$A,0))=1, INDEX(Camille!$D:$D,MATCH(42027,Camille!$A:$A,0))=2), INDEX(Camille!$D:$D,MATCH(42027,Camille!$A:$A,0)), 0), 0)</f>
        <v>0</v>
      </c>
      <c r="H1099" s="1">
        <f t="array" ref="H1099">IF(ISNUMBER(MATCH(42027,Telmo!$A:$A,0)), IF(OR(INDEX(Telmo!$D:$D,MATCH(42027,Telmo!$A:$A,0))=1, INDEX(Telmo!$D:$D,MATCH(42027,Telmo!$A:$A,0))=2), INDEX(Telmo!$D:$D,MATCH(42027,Telmo!$A:$A,0)), 0), 0)</f>
        <v>2</v>
      </c>
      <c r="I1099" s="1">
        <f t="array" ref="I1099">IF(ISNUMBER(MATCH(42027,Max!$A:$A,0)), IF(OR(INDEX(Max!$D:$D,MATCH(42027,Max!$A:$A,0))=1, INDEX(Max!$D:$D,MATCH(42027,Max!$A:$A,0))=2), INDEX(Max!$D:$D,MATCH(42027,Max!$A:$A,0)), 0), 0)</f>
        <v>0</v>
      </c>
    </row>
    <row r="1100" spans="1:9" ht="15.75" customHeight="1" x14ac:dyDescent="0.2">
      <c r="A1100" s="1">
        <v>46504</v>
      </c>
      <c r="B1100" s="1" t="s">
        <v>84</v>
      </c>
      <c r="C1100" s="1" t="s">
        <v>2587</v>
      </c>
      <c r="D1100" s="1" t="str">
        <f t="shared" si="4"/>
        <v>2</v>
      </c>
      <c r="E1100" s="1" t="s">
        <v>2588</v>
      </c>
      <c r="G1100" s="1">
        <f t="array" ref="G1100">IF(ISNUMBER(MATCH(46504,Camille!$A:$A,0)), IF(OR(INDEX(Camille!$D:$D,MATCH(46504,Camille!$A:$A,0))=1, INDEX(Camille!$D:$D,MATCH(46504,Camille!$A:$A,0))=2), INDEX(Camille!$D:$D,MATCH(46504,Camille!$A:$A,0)), 0), 0)</f>
        <v>0</v>
      </c>
      <c r="H1100" s="1">
        <f t="array" ref="H1100">IF(ISNUMBER(MATCH(46504,Telmo!$A:$A,0)), IF(OR(INDEX(Telmo!$D:$D,MATCH(46504,Telmo!$A:$A,0))=1, INDEX(Telmo!$D:$D,MATCH(46504,Telmo!$A:$A,0))=2), INDEX(Telmo!$D:$D,MATCH(46504,Telmo!$A:$A,0)), 0), 0)</f>
        <v>2</v>
      </c>
      <c r="I1100" s="1">
        <f t="array" ref="I1100">IF(ISNUMBER(MATCH(46504,Max!$A:$A,0)), IF(OR(INDEX(Max!$D:$D,MATCH(46504,Max!$A:$A,0))=1, INDEX(Max!$D:$D,MATCH(46504,Max!$A:$A,0))=2), INDEX(Max!$D:$D,MATCH(46504,Max!$A:$A,0)), 0), 0)</f>
        <v>0</v>
      </c>
    </row>
    <row r="1101" spans="1:9" ht="15.75" customHeight="1" x14ac:dyDescent="0.2">
      <c r="A1101" s="1">
        <v>6407</v>
      </c>
      <c r="B1101" s="1" t="s">
        <v>524</v>
      </c>
      <c r="C1101" s="1" t="s">
        <v>2589</v>
      </c>
      <c r="D1101" s="1" t="str">
        <f t="shared" si="4"/>
        <v>2</v>
      </c>
      <c r="E1101" s="1" t="s">
        <v>2590</v>
      </c>
      <c r="G1101" s="1">
        <f t="array" ref="G1101">IF(ISNUMBER(MATCH(6407,Camille!$A:$A,0)), IF(OR(INDEX(Camille!$D:$D,MATCH(6407,Camille!$A:$A,0))=1, INDEX(Camille!$D:$D,MATCH(6407,Camille!$A:$A,0))=2), INDEX(Camille!$D:$D,MATCH(6407,Camille!$A:$A,0)), 0), 0)</f>
        <v>0</v>
      </c>
      <c r="H1101" s="1">
        <f t="array" ref="H1101">IF(ISNUMBER(MATCH(6407,Telmo!$A:$A,0)), IF(OR(INDEX(Telmo!$D:$D,MATCH(6407,Telmo!$A:$A,0))=1, INDEX(Telmo!$D:$D,MATCH(6407,Telmo!$A:$A,0))=2), INDEX(Telmo!$D:$D,MATCH(6407,Telmo!$A:$A,0)), 0), 0)</f>
        <v>2</v>
      </c>
      <c r="I1101" s="1">
        <f t="array" ref="I1101">IF(ISNUMBER(MATCH(6407,Max!$A:$A,0)), IF(OR(INDEX(Max!$D:$D,MATCH(6407,Max!$A:$A,0))=1, INDEX(Max!$D:$D,MATCH(6407,Max!$A:$A,0))=2), INDEX(Max!$D:$D,MATCH(6407,Max!$A:$A,0)), 0), 0)</f>
        <v>0</v>
      </c>
    </row>
    <row r="1102" spans="1:9" ht="15.75" customHeight="1" x14ac:dyDescent="0.2">
      <c r="A1102" s="1">
        <v>7336</v>
      </c>
      <c r="B1102" s="1" t="s">
        <v>103</v>
      </c>
      <c r="C1102" s="1" t="s">
        <v>2591</v>
      </c>
      <c r="D1102" s="1" t="str">
        <f t="shared" si="4"/>
        <v>1</v>
      </c>
      <c r="E1102" s="1" t="s">
        <v>2592</v>
      </c>
      <c r="G1102" s="1">
        <f t="array" ref="G1102">IF(ISNUMBER(MATCH(7336,Camille!$A:$A,0)), IF(OR(INDEX(Camille!$D:$D,MATCH(7336,Camille!$A:$A,0))=1, INDEX(Camille!$D:$D,MATCH(7336,Camille!$A:$A,0))=2), INDEX(Camille!$D:$D,MATCH(7336,Camille!$A:$A,0)), 0), 0)</f>
        <v>0</v>
      </c>
      <c r="H1102" s="1">
        <f t="array" ref="H1102">IF(ISNUMBER(MATCH(7336,Telmo!$A:$A,0)), IF(OR(INDEX(Telmo!$D:$D,MATCH(7336,Telmo!$A:$A,0))=1, INDEX(Telmo!$D:$D,MATCH(7336,Telmo!$A:$A,0))=2), INDEX(Telmo!$D:$D,MATCH(7336,Telmo!$A:$A,0)), 0), 0)</f>
        <v>1</v>
      </c>
      <c r="I1102" s="1">
        <f t="array" ref="I1102">IF(ISNUMBER(MATCH(7336,Max!$A:$A,0)), IF(OR(INDEX(Max!$D:$D,MATCH(7336,Max!$A:$A,0))=1, INDEX(Max!$D:$D,MATCH(7336,Max!$A:$A,0))=2), INDEX(Max!$D:$D,MATCH(7336,Max!$A:$A,0)), 0), 0)</f>
        <v>0</v>
      </c>
    </row>
    <row r="1103" spans="1:9" ht="15.75" customHeight="1" x14ac:dyDescent="0.2">
      <c r="A1103" s="1">
        <v>60497</v>
      </c>
      <c r="B1103" s="1" t="s">
        <v>126</v>
      </c>
      <c r="C1103" s="1" t="s">
        <v>2593</v>
      </c>
      <c r="D1103" s="1" t="str">
        <f t="shared" si="4"/>
        <v>2</v>
      </c>
      <c r="E1103" s="1" t="s">
        <v>2594</v>
      </c>
      <c r="G1103" s="1">
        <f t="array" ref="G1103">IF(ISNUMBER(MATCH(60497,Camille!$A:$A,0)), IF(OR(INDEX(Camille!$D:$D,MATCH(60497,Camille!$A:$A,0))=1, INDEX(Camille!$D:$D,MATCH(60497,Camille!$A:$A,0))=2), INDEX(Camille!$D:$D,MATCH(60497,Camille!$A:$A,0)), 0), 0)</f>
        <v>0</v>
      </c>
      <c r="H1103" s="1">
        <f t="array" ref="H1103">IF(ISNUMBER(MATCH(60497,Telmo!$A:$A,0)), IF(OR(INDEX(Telmo!$D:$D,MATCH(60497,Telmo!$A:$A,0))=1, INDEX(Telmo!$D:$D,MATCH(60497,Telmo!$A:$A,0))=2), INDEX(Telmo!$D:$D,MATCH(60497,Telmo!$A:$A,0)), 0), 0)</f>
        <v>2</v>
      </c>
      <c r="I1103" s="1">
        <f t="array" ref="I1103">IF(ISNUMBER(MATCH(60497,Max!$A:$A,0)), IF(OR(INDEX(Max!$D:$D,MATCH(60497,Max!$A:$A,0))=1, INDEX(Max!$D:$D,MATCH(60497,Max!$A:$A,0))=2), INDEX(Max!$D:$D,MATCH(60497,Max!$A:$A,0)), 0), 0)</f>
        <v>0</v>
      </c>
    </row>
    <row r="1104" spans="1:9" ht="15.75" customHeight="1" x14ac:dyDescent="0.2">
      <c r="A1104" s="1">
        <v>19363</v>
      </c>
      <c r="B1104" s="1" t="s">
        <v>64</v>
      </c>
      <c r="C1104" s="1" t="s">
        <v>2595</v>
      </c>
      <c r="D1104" s="1" t="str">
        <f t="shared" si="4"/>
        <v>2</v>
      </c>
      <c r="E1104" s="1" t="s">
        <v>2596</v>
      </c>
      <c r="G1104" s="1">
        <f t="array" ref="G1104">IF(ISNUMBER(MATCH(19363,Camille!$A:$A,0)), IF(OR(INDEX(Camille!$D:$D,MATCH(19363,Camille!$A:$A,0))=1, INDEX(Camille!$D:$D,MATCH(19363,Camille!$A:$A,0))=2), INDEX(Camille!$D:$D,MATCH(19363,Camille!$A:$A,0)), 0), 0)</f>
        <v>0</v>
      </c>
      <c r="H1104" s="1">
        <f t="array" ref="H1104">IF(ISNUMBER(MATCH(19363,Telmo!$A:$A,0)), IF(OR(INDEX(Telmo!$D:$D,MATCH(19363,Telmo!$A:$A,0))=1, INDEX(Telmo!$D:$D,MATCH(19363,Telmo!$A:$A,0))=2), INDEX(Telmo!$D:$D,MATCH(19363,Telmo!$A:$A,0)), 0), 0)</f>
        <v>2</v>
      </c>
      <c r="I1104" s="1">
        <f t="array" ref="I1104">IF(ISNUMBER(MATCH(19363,Max!$A:$A,0)), IF(OR(INDEX(Max!$D:$D,MATCH(19363,Max!$A:$A,0))=1, INDEX(Max!$D:$D,MATCH(19363,Max!$A:$A,0))=2), INDEX(Max!$D:$D,MATCH(19363,Max!$A:$A,0)), 0), 0)</f>
        <v>0</v>
      </c>
    </row>
    <row r="1105" spans="1:9" ht="15.75" customHeight="1" x14ac:dyDescent="0.2">
      <c r="A1105" s="1">
        <v>65678</v>
      </c>
      <c r="B1105" s="1" t="s">
        <v>244</v>
      </c>
      <c r="C1105" s="1" t="s">
        <v>2597</v>
      </c>
      <c r="D1105" s="1" t="str">
        <f t="shared" si="4"/>
        <v>2</v>
      </c>
      <c r="E1105" s="1" t="s">
        <v>2598</v>
      </c>
      <c r="G1105" s="1">
        <f t="array" ref="G1105">IF(ISNUMBER(MATCH(65678,Camille!$A:$A,0)), IF(OR(INDEX(Camille!$D:$D,MATCH(65678,Camille!$A:$A,0))=1, INDEX(Camille!$D:$D,MATCH(65678,Camille!$A:$A,0))=2), INDEX(Camille!$D:$D,MATCH(65678,Camille!$A:$A,0)), 0), 0)</f>
        <v>0</v>
      </c>
      <c r="H1105" s="1">
        <f t="array" ref="H1105">IF(ISNUMBER(MATCH(65678,Telmo!$A:$A,0)), IF(OR(INDEX(Telmo!$D:$D,MATCH(65678,Telmo!$A:$A,0))=1, INDEX(Telmo!$D:$D,MATCH(65678,Telmo!$A:$A,0))=2), INDEX(Telmo!$D:$D,MATCH(65678,Telmo!$A:$A,0)), 0), 0)</f>
        <v>2</v>
      </c>
      <c r="I1105" s="1">
        <f t="array" ref="I1105">IF(ISNUMBER(MATCH(65678,Max!$A:$A,0)), IF(OR(INDEX(Max!$D:$D,MATCH(65678,Max!$A:$A,0))=1, INDEX(Max!$D:$D,MATCH(65678,Max!$A:$A,0))=2), INDEX(Max!$D:$D,MATCH(65678,Max!$A:$A,0)), 0), 0)</f>
        <v>0</v>
      </c>
    </row>
    <row r="1106" spans="1:9" ht="15.75" customHeight="1" x14ac:dyDescent="0.2">
      <c r="A1106" s="1">
        <v>28681</v>
      </c>
      <c r="B1106" s="1" t="s">
        <v>2599</v>
      </c>
      <c r="C1106" s="1" t="s">
        <v>2600</v>
      </c>
      <c r="D1106" s="1" t="str">
        <f t="shared" si="4"/>
        <v>1</v>
      </c>
      <c r="E1106" s="1" t="s">
        <v>2601</v>
      </c>
      <c r="G1106" s="1">
        <f t="array" ref="G1106">IF(ISNUMBER(MATCH(28681,Camille!$A:$A,0)), IF(OR(INDEX(Camille!$D:$D,MATCH(28681,Camille!$A:$A,0))=1, INDEX(Camille!$D:$D,MATCH(28681,Camille!$A:$A,0))=2), INDEX(Camille!$D:$D,MATCH(28681,Camille!$A:$A,0)), 0), 0)</f>
        <v>0</v>
      </c>
      <c r="H1106" s="1">
        <f t="array" ref="H1106">IF(ISNUMBER(MATCH(28681,Telmo!$A:$A,0)), IF(OR(INDEX(Telmo!$D:$D,MATCH(28681,Telmo!$A:$A,0))=1, INDEX(Telmo!$D:$D,MATCH(28681,Telmo!$A:$A,0))=2), INDEX(Telmo!$D:$D,MATCH(28681,Telmo!$A:$A,0)), 0), 0)</f>
        <v>1</v>
      </c>
      <c r="I1106" s="1">
        <f t="array" ref="I1106">IF(ISNUMBER(MATCH(28681,Max!$A:$A,0)), IF(OR(INDEX(Max!$D:$D,MATCH(28681,Max!$A:$A,0))=1, INDEX(Max!$D:$D,MATCH(28681,Max!$A:$A,0))=2), INDEX(Max!$D:$D,MATCH(28681,Max!$A:$A,0)), 0), 0)</f>
        <v>0</v>
      </c>
    </row>
    <row r="1107" spans="1:9" ht="15.75" customHeight="1" x14ac:dyDescent="0.2">
      <c r="A1107" s="1">
        <v>47902</v>
      </c>
      <c r="B1107" s="1" t="s">
        <v>276</v>
      </c>
      <c r="C1107" s="1" t="s">
        <v>2602</v>
      </c>
      <c r="D1107" s="1" t="str">
        <f t="shared" si="4"/>
        <v>1</v>
      </c>
      <c r="E1107" s="1" t="s">
        <v>2603</v>
      </c>
      <c r="G1107" s="1">
        <f t="array" ref="G1107">IF(ISNUMBER(MATCH(47902,Camille!$A:$A,0)), IF(OR(INDEX(Camille!$D:$D,MATCH(47902,Camille!$A:$A,0))=1, INDEX(Camille!$D:$D,MATCH(47902,Camille!$A:$A,0))=2), INDEX(Camille!$D:$D,MATCH(47902,Camille!$A:$A,0)), 0), 0)</f>
        <v>0</v>
      </c>
      <c r="H1107" s="1">
        <f t="array" ref="H1107">IF(ISNUMBER(MATCH(47902,Telmo!$A:$A,0)), IF(OR(INDEX(Telmo!$D:$D,MATCH(47902,Telmo!$A:$A,0))=1, INDEX(Telmo!$D:$D,MATCH(47902,Telmo!$A:$A,0))=2), INDEX(Telmo!$D:$D,MATCH(47902,Telmo!$A:$A,0)), 0), 0)</f>
        <v>1</v>
      </c>
      <c r="I1107" s="1">
        <f t="array" ref="I1107">IF(ISNUMBER(MATCH(47902,Max!$A:$A,0)), IF(OR(INDEX(Max!$D:$D,MATCH(47902,Max!$A:$A,0))=1, INDEX(Max!$D:$D,MATCH(47902,Max!$A:$A,0))=2), INDEX(Max!$D:$D,MATCH(47902,Max!$A:$A,0)), 0), 0)</f>
        <v>0</v>
      </c>
    </row>
    <row r="1108" spans="1:9" ht="15.75" customHeight="1" x14ac:dyDescent="0.2">
      <c r="A1108" s="1">
        <v>56297</v>
      </c>
      <c r="B1108" s="1" t="s">
        <v>32</v>
      </c>
      <c r="C1108" s="1" t="s">
        <v>2604</v>
      </c>
      <c r="D1108" s="1" t="str">
        <f t="shared" si="4"/>
        <v>2</v>
      </c>
      <c r="E1108" s="1" t="s">
        <v>2605</v>
      </c>
      <c r="G1108" s="1">
        <f t="array" ref="G1108">IF(ISNUMBER(MATCH(56297,Camille!$A:$A,0)), IF(OR(INDEX(Camille!$D:$D,MATCH(56297,Camille!$A:$A,0))=1, INDEX(Camille!$D:$D,MATCH(56297,Camille!$A:$A,0))=2), INDEX(Camille!$D:$D,MATCH(56297,Camille!$A:$A,0)), 0), 0)</f>
        <v>0</v>
      </c>
      <c r="H1108" s="1">
        <f t="array" ref="H1108">IF(ISNUMBER(MATCH(56297,Telmo!$A:$A,0)), IF(OR(INDEX(Telmo!$D:$D,MATCH(56297,Telmo!$A:$A,0))=1, INDEX(Telmo!$D:$D,MATCH(56297,Telmo!$A:$A,0))=2), INDEX(Telmo!$D:$D,MATCH(56297,Telmo!$A:$A,0)), 0), 0)</f>
        <v>2</v>
      </c>
      <c r="I1108" s="1">
        <f t="array" ref="I1108">IF(ISNUMBER(MATCH(56297,Max!$A:$A,0)), IF(OR(INDEX(Max!$D:$D,MATCH(56297,Max!$A:$A,0))=1, INDEX(Max!$D:$D,MATCH(56297,Max!$A:$A,0))=2), INDEX(Max!$D:$D,MATCH(56297,Max!$A:$A,0)), 0), 0)</f>
        <v>0</v>
      </c>
    </row>
    <row r="1109" spans="1:9" ht="15.75" customHeight="1" x14ac:dyDescent="0.2">
      <c r="A1109" s="1">
        <v>56879</v>
      </c>
      <c r="B1109" s="1" t="s">
        <v>244</v>
      </c>
      <c r="C1109" s="1" t="s">
        <v>2606</v>
      </c>
      <c r="D1109" s="1" t="str">
        <f t="shared" si="4"/>
        <v>2</v>
      </c>
      <c r="E1109" s="1" t="s">
        <v>2607</v>
      </c>
      <c r="G1109" s="1">
        <f t="array" ref="G1109">IF(ISNUMBER(MATCH(56879,Camille!$A:$A,0)), IF(OR(INDEX(Camille!$D:$D,MATCH(56879,Camille!$A:$A,0))=1, INDEX(Camille!$D:$D,MATCH(56879,Camille!$A:$A,0))=2), INDEX(Camille!$D:$D,MATCH(56879,Camille!$A:$A,0)), 0), 0)</f>
        <v>0</v>
      </c>
      <c r="H1109" s="1">
        <f t="array" ref="H1109">IF(ISNUMBER(MATCH(56879,Telmo!$A:$A,0)), IF(OR(INDEX(Telmo!$D:$D,MATCH(56879,Telmo!$A:$A,0))=1, INDEX(Telmo!$D:$D,MATCH(56879,Telmo!$A:$A,0))=2), INDEX(Telmo!$D:$D,MATCH(56879,Telmo!$A:$A,0)), 0), 0)</f>
        <v>2</v>
      </c>
      <c r="I1109" s="1">
        <f t="array" ref="I1109">IF(ISNUMBER(MATCH(56879,Max!$A:$A,0)), IF(OR(INDEX(Max!$D:$D,MATCH(56879,Max!$A:$A,0))=1, INDEX(Max!$D:$D,MATCH(56879,Max!$A:$A,0))=2), INDEX(Max!$D:$D,MATCH(56879,Max!$A:$A,0)), 0), 0)</f>
        <v>0</v>
      </c>
    </row>
    <row r="1110" spans="1:9" ht="15.75" customHeight="1" x14ac:dyDescent="0.2">
      <c r="A1110" s="1">
        <v>8843</v>
      </c>
      <c r="B1110" s="1" t="s">
        <v>524</v>
      </c>
      <c r="C1110" s="1" t="s">
        <v>2608</v>
      </c>
      <c r="D1110" s="1" t="str">
        <f t="shared" si="4"/>
        <v>1</v>
      </c>
      <c r="E1110" s="1" t="s">
        <v>2609</v>
      </c>
      <c r="G1110" s="1">
        <f t="array" ref="G1110">IF(ISNUMBER(MATCH(8843,Camille!$A:$A,0)), IF(OR(INDEX(Camille!$D:$D,MATCH(8843,Camille!$A:$A,0))=1, INDEX(Camille!$D:$D,MATCH(8843,Camille!$A:$A,0))=2), INDEX(Camille!$D:$D,MATCH(8843,Camille!$A:$A,0)), 0), 0)</f>
        <v>0</v>
      </c>
      <c r="H1110" s="1">
        <f t="array" ref="H1110">IF(ISNUMBER(MATCH(8843,Telmo!$A:$A,0)), IF(OR(INDEX(Telmo!$D:$D,MATCH(8843,Telmo!$A:$A,0))=1, INDEX(Telmo!$D:$D,MATCH(8843,Telmo!$A:$A,0))=2), INDEX(Telmo!$D:$D,MATCH(8843,Telmo!$A:$A,0)), 0), 0)</f>
        <v>1</v>
      </c>
      <c r="I1110" s="1">
        <f t="array" ref="I1110">IF(ISNUMBER(MATCH(8843,Max!$A:$A,0)), IF(OR(INDEX(Max!$D:$D,MATCH(8843,Max!$A:$A,0))=1, INDEX(Max!$D:$D,MATCH(8843,Max!$A:$A,0))=2), INDEX(Max!$D:$D,MATCH(8843,Max!$A:$A,0)), 0), 0)</f>
        <v>0</v>
      </c>
    </row>
    <row r="1111" spans="1:9" ht="15.75" customHeight="1" x14ac:dyDescent="0.2">
      <c r="A1111" s="1">
        <v>43505</v>
      </c>
      <c r="B1111" s="1" t="s">
        <v>38</v>
      </c>
      <c r="C1111" s="1" t="s">
        <v>2610</v>
      </c>
      <c r="D1111" s="1" t="str">
        <f t="shared" si="4"/>
        <v>2</v>
      </c>
      <c r="E1111" s="1" t="s">
        <v>2611</v>
      </c>
      <c r="G1111" s="1">
        <f t="array" ref="G1111">IF(ISNUMBER(MATCH(43505,Camille!$A:$A,0)), IF(OR(INDEX(Camille!$D:$D,MATCH(43505,Camille!$A:$A,0))=1, INDEX(Camille!$D:$D,MATCH(43505,Camille!$A:$A,0))=2), INDEX(Camille!$D:$D,MATCH(43505,Camille!$A:$A,0)), 0), 0)</f>
        <v>0</v>
      </c>
      <c r="H1111" s="1">
        <f t="array" ref="H1111">IF(ISNUMBER(MATCH(43505,Telmo!$A:$A,0)), IF(OR(INDEX(Telmo!$D:$D,MATCH(43505,Telmo!$A:$A,0))=1, INDEX(Telmo!$D:$D,MATCH(43505,Telmo!$A:$A,0))=2), INDEX(Telmo!$D:$D,MATCH(43505,Telmo!$A:$A,0)), 0), 0)</f>
        <v>2</v>
      </c>
      <c r="I1111" s="1">
        <f t="array" ref="I1111">IF(ISNUMBER(MATCH(43505,Max!$A:$A,0)), IF(OR(INDEX(Max!$D:$D,MATCH(43505,Max!$A:$A,0))=1, INDEX(Max!$D:$D,MATCH(43505,Max!$A:$A,0))=2), INDEX(Max!$D:$D,MATCH(43505,Max!$A:$A,0)), 0), 0)</f>
        <v>0</v>
      </c>
    </row>
    <row r="1112" spans="1:9" ht="15.75" customHeight="1" x14ac:dyDescent="0.2">
      <c r="A1112" s="1">
        <v>35778</v>
      </c>
      <c r="B1112" s="1" t="s">
        <v>490</v>
      </c>
      <c r="C1112" s="1" t="s">
        <v>2612</v>
      </c>
      <c r="D1112" s="1" t="str">
        <f t="shared" si="4"/>
        <v>2</v>
      </c>
      <c r="E1112" s="1" t="s">
        <v>2613</v>
      </c>
      <c r="G1112" s="1">
        <f t="array" ref="G1112">IF(ISNUMBER(MATCH(35778,Camille!$A:$A,0)), IF(OR(INDEX(Camille!$D:$D,MATCH(35778,Camille!$A:$A,0))=1, INDEX(Camille!$D:$D,MATCH(35778,Camille!$A:$A,0))=2), INDEX(Camille!$D:$D,MATCH(35778,Camille!$A:$A,0)), 0), 0)</f>
        <v>0</v>
      </c>
      <c r="H1112" s="1">
        <f t="array" ref="H1112">IF(ISNUMBER(MATCH(35778,Telmo!$A:$A,0)), IF(OR(INDEX(Telmo!$D:$D,MATCH(35778,Telmo!$A:$A,0))=1, INDEX(Telmo!$D:$D,MATCH(35778,Telmo!$A:$A,0))=2), INDEX(Telmo!$D:$D,MATCH(35778,Telmo!$A:$A,0)), 0), 0)</f>
        <v>2</v>
      </c>
      <c r="I1112" s="1">
        <f t="array" ref="I1112">IF(ISNUMBER(MATCH(35778,Max!$A:$A,0)), IF(OR(INDEX(Max!$D:$D,MATCH(35778,Max!$A:$A,0))=1, INDEX(Max!$D:$D,MATCH(35778,Max!$A:$A,0))=2), INDEX(Max!$D:$D,MATCH(35778,Max!$A:$A,0)), 0), 0)</f>
        <v>0</v>
      </c>
    </row>
    <row r="1113" spans="1:9" ht="15.75" customHeight="1" x14ac:dyDescent="0.2">
      <c r="A1113" s="1">
        <v>56014</v>
      </c>
      <c r="B1113" s="1" t="s">
        <v>244</v>
      </c>
      <c r="C1113" s="1" t="s">
        <v>2614</v>
      </c>
      <c r="D1113" s="1" t="str">
        <f t="shared" si="4"/>
        <v>2</v>
      </c>
      <c r="E1113" s="1" t="s">
        <v>2615</v>
      </c>
      <c r="G1113" s="1">
        <f t="array" ref="G1113">IF(ISNUMBER(MATCH(56014,Camille!$A:$A,0)), IF(OR(INDEX(Camille!$D:$D,MATCH(56014,Camille!$A:$A,0))=1, INDEX(Camille!$D:$D,MATCH(56014,Camille!$A:$A,0))=2), INDEX(Camille!$D:$D,MATCH(56014,Camille!$A:$A,0)), 0), 0)</f>
        <v>0</v>
      </c>
      <c r="H1113" s="1">
        <f t="array" ref="H1113">IF(ISNUMBER(MATCH(56014,Telmo!$A:$A,0)), IF(OR(INDEX(Telmo!$D:$D,MATCH(56014,Telmo!$A:$A,0))=1, INDEX(Telmo!$D:$D,MATCH(56014,Telmo!$A:$A,0))=2), INDEX(Telmo!$D:$D,MATCH(56014,Telmo!$A:$A,0)), 0), 0)</f>
        <v>2</v>
      </c>
      <c r="I1113" s="1">
        <f t="array" ref="I1113">IF(ISNUMBER(MATCH(56014,Max!$A:$A,0)), IF(OR(INDEX(Max!$D:$D,MATCH(56014,Max!$A:$A,0))=1, INDEX(Max!$D:$D,MATCH(56014,Max!$A:$A,0))=2), INDEX(Max!$D:$D,MATCH(56014,Max!$A:$A,0)), 0), 0)</f>
        <v>0</v>
      </c>
    </row>
    <row r="1114" spans="1:9" ht="15.75" customHeight="1" x14ac:dyDescent="0.2">
      <c r="A1114" s="1">
        <v>32451</v>
      </c>
      <c r="B1114" s="1" t="s">
        <v>32</v>
      </c>
      <c r="C1114" s="1" t="s">
        <v>2616</v>
      </c>
      <c r="D1114" s="1" t="str">
        <f t="shared" si="4"/>
        <v>1</v>
      </c>
      <c r="E1114" s="1" t="s">
        <v>2617</v>
      </c>
      <c r="G1114" s="1">
        <f t="array" ref="G1114">IF(ISNUMBER(MATCH(32451,Camille!$A:$A,0)), IF(OR(INDEX(Camille!$D:$D,MATCH(32451,Camille!$A:$A,0))=1, INDEX(Camille!$D:$D,MATCH(32451,Camille!$A:$A,0))=2), INDEX(Camille!$D:$D,MATCH(32451,Camille!$A:$A,0)), 0), 0)</f>
        <v>0</v>
      </c>
      <c r="H1114" s="1">
        <f t="array" ref="H1114">IF(ISNUMBER(MATCH(32451,Telmo!$A:$A,0)), IF(OR(INDEX(Telmo!$D:$D,MATCH(32451,Telmo!$A:$A,0))=1, INDEX(Telmo!$D:$D,MATCH(32451,Telmo!$A:$A,0))=2), INDEX(Telmo!$D:$D,MATCH(32451,Telmo!$A:$A,0)), 0), 0)</f>
        <v>1</v>
      </c>
      <c r="I1114" s="1">
        <f t="array" ref="I1114">IF(ISNUMBER(MATCH(32451,Max!$A:$A,0)), IF(OR(INDEX(Max!$D:$D,MATCH(32451,Max!$A:$A,0))=1, INDEX(Max!$D:$D,MATCH(32451,Max!$A:$A,0))=2), INDEX(Max!$D:$D,MATCH(32451,Max!$A:$A,0)), 0), 0)</f>
        <v>0</v>
      </c>
    </row>
    <row r="1115" spans="1:9" ht="15.75" customHeight="1" x14ac:dyDescent="0.2">
      <c r="A1115" s="1">
        <v>66543</v>
      </c>
      <c r="B1115" s="1" t="s">
        <v>268</v>
      </c>
      <c r="C1115" s="1" t="s">
        <v>2618</v>
      </c>
      <c r="D1115" s="1" t="str">
        <f t="shared" si="4"/>
        <v>1</v>
      </c>
      <c r="E1115" s="1" t="s">
        <v>2619</v>
      </c>
      <c r="G1115" s="1">
        <f t="array" ref="G1115">IF(ISNUMBER(MATCH(66543,Camille!$A:$A,0)), IF(OR(INDEX(Camille!$D:$D,MATCH(66543,Camille!$A:$A,0))=1, INDEX(Camille!$D:$D,MATCH(66543,Camille!$A:$A,0))=2), INDEX(Camille!$D:$D,MATCH(66543,Camille!$A:$A,0)), 0), 0)</f>
        <v>0</v>
      </c>
      <c r="H1115" s="1">
        <f t="array" ref="H1115">IF(ISNUMBER(MATCH(66543,Telmo!$A:$A,0)), IF(OR(INDEX(Telmo!$D:$D,MATCH(66543,Telmo!$A:$A,0))=1, INDEX(Telmo!$D:$D,MATCH(66543,Telmo!$A:$A,0))=2), INDEX(Telmo!$D:$D,MATCH(66543,Telmo!$A:$A,0)), 0), 0)</f>
        <v>1</v>
      </c>
      <c r="I1115" s="1">
        <f t="array" ref="I1115">IF(ISNUMBER(MATCH(66543,Max!$A:$A,0)), IF(OR(INDEX(Max!$D:$D,MATCH(66543,Max!$A:$A,0))=1, INDEX(Max!$D:$D,MATCH(66543,Max!$A:$A,0))=2), INDEX(Max!$D:$D,MATCH(66543,Max!$A:$A,0)), 0), 0)</f>
        <v>0</v>
      </c>
    </row>
    <row r="1116" spans="1:9" ht="15.75" customHeight="1" x14ac:dyDescent="0.2">
      <c r="A1116" s="1">
        <v>49198</v>
      </c>
      <c r="B1116" s="1" t="s">
        <v>103</v>
      </c>
      <c r="C1116" s="1" t="s">
        <v>2620</v>
      </c>
      <c r="D1116" s="1" t="str">
        <f t="shared" si="4"/>
        <v>2</v>
      </c>
      <c r="E1116" s="1" t="s">
        <v>2621</v>
      </c>
      <c r="G1116" s="1">
        <f t="array" ref="G1116">IF(ISNUMBER(MATCH(49198,Camille!$A:$A,0)), IF(OR(INDEX(Camille!$D:$D,MATCH(49198,Camille!$A:$A,0))=1, INDEX(Camille!$D:$D,MATCH(49198,Camille!$A:$A,0))=2), INDEX(Camille!$D:$D,MATCH(49198,Camille!$A:$A,0)), 0), 0)</f>
        <v>0</v>
      </c>
      <c r="H1116" s="1">
        <f t="array" ref="H1116">IF(ISNUMBER(MATCH(49198,Telmo!$A:$A,0)), IF(OR(INDEX(Telmo!$D:$D,MATCH(49198,Telmo!$A:$A,0))=1, INDEX(Telmo!$D:$D,MATCH(49198,Telmo!$A:$A,0))=2), INDEX(Telmo!$D:$D,MATCH(49198,Telmo!$A:$A,0)), 0), 0)</f>
        <v>2</v>
      </c>
      <c r="I1116" s="1">
        <f t="array" ref="I1116">IF(ISNUMBER(MATCH(49198,Max!$A:$A,0)), IF(OR(INDEX(Max!$D:$D,MATCH(49198,Max!$A:$A,0))=1, INDEX(Max!$D:$D,MATCH(49198,Max!$A:$A,0))=2), INDEX(Max!$D:$D,MATCH(49198,Max!$A:$A,0)), 0), 0)</f>
        <v>0</v>
      </c>
    </row>
    <row r="1117" spans="1:9" ht="15.75" customHeight="1" x14ac:dyDescent="0.2">
      <c r="A1117" s="1">
        <v>70979</v>
      </c>
      <c r="B1117" s="1" t="s">
        <v>244</v>
      </c>
      <c r="C1117" s="1" t="s">
        <v>2622</v>
      </c>
      <c r="D1117" s="1" t="str">
        <f t="shared" si="4"/>
        <v>1</v>
      </c>
      <c r="E1117" s="1" t="s">
        <v>2623</v>
      </c>
      <c r="G1117" s="1">
        <f t="array" ref="G1117">IF(ISNUMBER(MATCH(70979,Camille!$A:$A,0)), IF(OR(INDEX(Camille!$D:$D,MATCH(70979,Camille!$A:$A,0))=1, INDEX(Camille!$D:$D,MATCH(70979,Camille!$A:$A,0))=2), INDEX(Camille!$D:$D,MATCH(70979,Camille!$A:$A,0)), 0), 0)</f>
        <v>0</v>
      </c>
      <c r="H1117" s="1">
        <f t="array" ref="H1117">IF(ISNUMBER(MATCH(70979,Telmo!$A:$A,0)), IF(OR(INDEX(Telmo!$D:$D,MATCH(70979,Telmo!$A:$A,0))=1, INDEX(Telmo!$D:$D,MATCH(70979,Telmo!$A:$A,0))=2), INDEX(Telmo!$D:$D,MATCH(70979,Telmo!$A:$A,0)), 0), 0)</f>
        <v>1</v>
      </c>
      <c r="I1117" s="1">
        <f t="array" ref="I1117">IF(ISNUMBER(MATCH(70979,Max!$A:$A,0)), IF(OR(INDEX(Max!$D:$D,MATCH(70979,Max!$A:$A,0))=1, INDEX(Max!$D:$D,MATCH(70979,Max!$A:$A,0))=2), INDEX(Max!$D:$D,MATCH(70979,Max!$A:$A,0)), 0), 0)</f>
        <v>0</v>
      </c>
    </row>
    <row r="1118" spans="1:9" ht="15.75" customHeight="1" x14ac:dyDescent="0.2">
      <c r="A1118" s="1">
        <v>34018</v>
      </c>
      <c r="B1118" s="1" t="s">
        <v>2624</v>
      </c>
      <c r="C1118" s="1" t="s">
        <v>2625</v>
      </c>
      <c r="D1118" s="1" t="str">
        <f t="shared" si="4"/>
        <v>2</v>
      </c>
      <c r="E1118" s="1" t="s">
        <v>2626</v>
      </c>
      <c r="G1118" s="1">
        <f t="array" ref="G1118">IF(ISNUMBER(MATCH(34018,Camille!$A:$A,0)), IF(OR(INDEX(Camille!$D:$D,MATCH(34018,Camille!$A:$A,0))=1, INDEX(Camille!$D:$D,MATCH(34018,Camille!$A:$A,0))=2), INDEX(Camille!$D:$D,MATCH(34018,Camille!$A:$A,0)), 0), 0)</f>
        <v>0</v>
      </c>
      <c r="H1118" s="1">
        <f t="array" ref="H1118">IF(ISNUMBER(MATCH(34018,Telmo!$A:$A,0)), IF(OR(INDEX(Telmo!$D:$D,MATCH(34018,Telmo!$A:$A,0))=1, INDEX(Telmo!$D:$D,MATCH(34018,Telmo!$A:$A,0))=2), INDEX(Telmo!$D:$D,MATCH(34018,Telmo!$A:$A,0)), 0), 0)</f>
        <v>2</v>
      </c>
      <c r="I1118" s="1">
        <f t="array" ref="I1118">IF(ISNUMBER(MATCH(34018,Max!$A:$A,0)), IF(OR(INDEX(Max!$D:$D,MATCH(34018,Max!$A:$A,0))=1, INDEX(Max!$D:$D,MATCH(34018,Max!$A:$A,0))=2), INDEX(Max!$D:$D,MATCH(34018,Max!$A:$A,0)), 0), 0)</f>
        <v>0</v>
      </c>
    </row>
    <row r="1119" spans="1:9" ht="15.75" customHeight="1" x14ac:dyDescent="0.2">
      <c r="A1119" s="1">
        <v>59942</v>
      </c>
      <c r="B1119" s="1" t="s">
        <v>1415</v>
      </c>
      <c r="C1119" s="1" t="s">
        <v>2627</v>
      </c>
      <c r="D1119" s="1" t="str">
        <f t="shared" si="4"/>
        <v>2</v>
      </c>
      <c r="E1119" s="1" t="s">
        <v>2628</v>
      </c>
      <c r="G1119" s="1">
        <f t="array" ref="G1119">IF(ISNUMBER(MATCH(59942,Camille!$A:$A,0)), IF(OR(INDEX(Camille!$D:$D,MATCH(59942,Camille!$A:$A,0))=1, INDEX(Camille!$D:$D,MATCH(59942,Camille!$A:$A,0))=2), INDEX(Camille!$D:$D,MATCH(59942,Camille!$A:$A,0)), 0), 0)</f>
        <v>0</v>
      </c>
      <c r="H1119" s="1">
        <f t="array" ref="H1119">IF(ISNUMBER(MATCH(59942,Telmo!$A:$A,0)), IF(OR(INDEX(Telmo!$D:$D,MATCH(59942,Telmo!$A:$A,0))=1, INDEX(Telmo!$D:$D,MATCH(59942,Telmo!$A:$A,0))=2), INDEX(Telmo!$D:$D,MATCH(59942,Telmo!$A:$A,0)), 0), 0)</f>
        <v>2</v>
      </c>
      <c r="I1119" s="1">
        <f t="array" ref="I1119">IF(ISNUMBER(MATCH(59942,Max!$A:$A,0)), IF(OR(INDEX(Max!$D:$D,MATCH(59942,Max!$A:$A,0))=1, INDEX(Max!$D:$D,MATCH(59942,Max!$A:$A,0))=2), INDEX(Max!$D:$D,MATCH(59942,Max!$A:$A,0)), 0), 0)</f>
        <v>0</v>
      </c>
    </row>
    <row r="1120" spans="1:9" ht="15.75" customHeight="1" x14ac:dyDescent="0.2">
      <c r="A1120" s="1">
        <v>22773</v>
      </c>
      <c r="B1120" s="1" t="s">
        <v>597</v>
      </c>
      <c r="C1120" s="1" t="s">
        <v>2629</v>
      </c>
      <c r="D1120" s="1" t="str">
        <f t="shared" si="4"/>
        <v>1</v>
      </c>
      <c r="E1120" s="1" t="s">
        <v>2630</v>
      </c>
      <c r="G1120" s="1">
        <f t="array" ref="G1120">IF(ISNUMBER(MATCH(22773,Camille!$A:$A,0)), IF(OR(INDEX(Camille!$D:$D,MATCH(22773,Camille!$A:$A,0))=1, INDEX(Camille!$D:$D,MATCH(22773,Camille!$A:$A,0))=2), INDEX(Camille!$D:$D,MATCH(22773,Camille!$A:$A,0)), 0), 0)</f>
        <v>0</v>
      </c>
      <c r="H1120" s="1">
        <f t="array" ref="H1120">IF(ISNUMBER(MATCH(22773,Telmo!$A:$A,0)), IF(OR(INDEX(Telmo!$D:$D,MATCH(22773,Telmo!$A:$A,0))=1, INDEX(Telmo!$D:$D,MATCH(22773,Telmo!$A:$A,0))=2), INDEX(Telmo!$D:$D,MATCH(22773,Telmo!$A:$A,0)), 0), 0)</f>
        <v>1</v>
      </c>
      <c r="I1120" s="1">
        <f t="array" ref="I1120">IF(ISNUMBER(MATCH(22773,Max!$A:$A,0)), IF(OR(INDEX(Max!$D:$D,MATCH(22773,Max!$A:$A,0))=1, INDEX(Max!$D:$D,MATCH(22773,Max!$A:$A,0))=2), INDEX(Max!$D:$D,MATCH(22773,Max!$A:$A,0)), 0), 0)</f>
        <v>0</v>
      </c>
    </row>
    <row r="1121" spans="1:9" ht="15.75" customHeight="1" x14ac:dyDescent="0.2">
      <c r="A1121" s="1">
        <v>9625</v>
      </c>
      <c r="B1121" s="1" t="s">
        <v>333</v>
      </c>
      <c r="C1121" s="1" t="s">
        <v>2631</v>
      </c>
      <c r="D1121" s="1" t="str">
        <f t="shared" si="4"/>
        <v>2</v>
      </c>
      <c r="E1121" s="1" t="s">
        <v>2632</v>
      </c>
      <c r="G1121" s="1">
        <f t="array" ref="G1121">IF(ISNUMBER(MATCH(9625,Camille!$A:$A,0)), IF(OR(INDEX(Camille!$D:$D,MATCH(9625,Camille!$A:$A,0))=1, INDEX(Camille!$D:$D,MATCH(9625,Camille!$A:$A,0))=2), INDEX(Camille!$D:$D,MATCH(9625,Camille!$A:$A,0)), 0), 0)</f>
        <v>0</v>
      </c>
      <c r="H1121" s="1">
        <f t="array" ref="H1121">IF(ISNUMBER(MATCH(9625,Telmo!$A:$A,0)), IF(OR(INDEX(Telmo!$D:$D,MATCH(9625,Telmo!$A:$A,0))=1, INDEX(Telmo!$D:$D,MATCH(9625,Telmo!$A:$A,0))=2), INDEX(Telmo!$D:$D,MATCH(9625,Telmo!$A:$A,0)), 0), 0)</f>
        <v>2</v>
      </c>
      <c r="I1121" s="1">
        <f t="array" ref="I1121">IF(ISNUMBER(MATCH(9625,Max!$A:$A,0)), IF(OR(INDEX(Max!$D:$D,MATCH(9625,Max!$A:$A,0))=1, INDEX(Max!$D:$D,MATCH(9625,Max!$A:$A,0))=2), INDEX(Max!$D:$D,MATCH(9625,Max!$A:$A,0)), 0), 0)</f>
        <v>0</v>
      </c>
    </row>
    <row r="1122" spans="1:9" ht="15.75" customHeight="1" x14ac:dyDescent="0.2">
      <c r="A1122" s="1">
        <v>12670</v>
      </c>
      <c r="B1122" s="1" t="s">
        <v>298</v>
      </c>
      <c r="C1122" s="1" t="s">
        <v>2633</v>
      </c>
      <c r="D1122" s="1" t="str">
        <f t="shared" si="4"/>
        <v>1</v>
      </c>
      <c r="E1122" s="1" t="s">
        <v>2634</v>
      </c>
      <c r="G1122" s="1">
        <f t="array" ref="G1122">IF(ISNUMBER(MATCH(12670,Camille!$A:$A,0)), IF(OR(INDEX(Camille!$D:$D,MATCH(12670,Camille!$A:$A,0))=1, INDEX(Camille!$D:$D,MATCH(12670,Camille!$A:$A,0))=2), INDEX(Camille!$D:$D,MATCH(12670,Camille!$A:$A,0)), 0), 0)</f>
        <v>0</v>
      </c>
      <c r="H1122" s="1">
        <f t="array" ref="H1122">IF(ISNUMBER(MATCH(12670,Telmo!$A:$A,0)), IF(OR(INDEX(Telmo!$D:$D,MATCH(12670,Telmo!$A:$A,0))=1, INDEX(Telmo!$D:$D,MATCH(12670,Telmo!$A:$A,0))=2), INDEX(Telmo!$D:$D,MATCH(12670,Telmo!$A:$A,0)), 0), 0)</f>
        <v>1</v>
      </c>
      <c r="I1122" s="1">
        <f t="array" ref="I1122">IF(ISNUMBER(MATCH(12670,Max!$A:$A,0)), IF(OR(INDEX(Max!$D:$D,MATCH(12670,Max!$A:$A,0))=1, INDEX(Max!$D:$D,MATCH(12670,Max!$A:$A,0))=2), INDEX(Max!$D:$D,MATCH(12670,Max!$A:$A,0)), 0), 0)</f>
        <v>0</v>
      </c>
    </row>
    <row r="1123" spans="1:9" ht="15.75" customHeight="1" x14ac:dyDescent="0.2">
      <c r="A1123" s="1">
        <v>49955</v>
      </c>
      <c r="B1123" s="1" t="s">
        <v>315</v>
      </c>
      <c r="C1123" s="1" t="s">
        <v>2635</v>
      </c>
      <c r="D1123" s="1" t="str">
        <f t="shared" si="4"/>
        <v>2</v>
      </c>
      <c r="E1123" s="1" t="s">
        <v>2636</v>
      </c>
      <c r="G1123" s="1">
        <f t="array" ref="G1123">IF(ISNUMBER(MATCH(49955,Camille!$A:$A,0)), IF(OR(INDEX(Camille!$D:$D,MATCH(49955,Camille!$A:$A,0))=1, INDEX(Camille!$D:$D,MATCH(49955,Camille!$A:$A,0))=2), INDEX(Camille!$D:$D,MATCH(49955,Camille!$A:$A,0)), 0), 0)</f>
        <v>0</v>
      </c>
      <c r="H1123" s="1">
        <f t="array" ref="H1123">IF(ISNUMBER(MATCH(49955,Telmo!$A:$A,0)), IF(OR(INDEX(Telmo!$D:$D,MATCH(49955,Telmo!$A:$A,0))=1, INDEX(Telmo!$D:$D,MATCH(49955,Telmo!$A:$A,0))=2), INDEX(Telmo!$D:$D,MATCH(49955,Telmo!$A:$A,0)), 0), 0)</f>
        <v>2</v>
      </c>
      <c r="I1123" s="1">
        <f t="array" ref="I1123">IF(ISNUMBER(MATCH(49955,Max!$A:$A,0)), IF(OR(INDEX(Max!$D:$D,MATCH(49955,Max!$A:$A,0))=1, INDEX(Max!$D:$D,MATCH(49955,Max!$A:$A,0))=2), INDEX(Max!$D:$D,MATCH(49955,Max!$A:$A,0)), 0), 0)</f>
        <v>0</v>
      </c>
    </row>
    <row r="1124" spans="1:9" ht="15.75" customHeight="1" x14ac:dyDescent="0.2">
      <c r="A1124" s="1">
        <v>21540</v>
      </c>
      <c r="B1124" s="1" t="s">
        <v>11</v>
      </c>
      <c r="C1124" s="1" t="s">
        <v>2637</v>
      </c>
      <c r="D1124" s="1" t="str">
        <f t="shared" si="4"/>
        <v>2</v>
      </c>
      <c r="E1124" s="1" t="s">
        <v>2638</v>
      </c>
      <c r="G1124" s="1">
        <f t="array" ref="G1124">IF(ISNUMBER(MATCH(21540,Camille!$A:$A,0)), IF(OR(INDEX(Camille!$D:$D,MATCH(21540,Camille!$A:$A,0))=1, INDEX(Camille!$D:$D,MATCH(21540,Camille!$A:$A,0))=2), INDEX(Camille!$D:$D,MATCH(21540,Camille!$A:$A,0)), 0), 0)</f>
        <v>0</v>
      </c>
      <c r="H1124" s="1">
        <f t="array" ref="H1124">IF(ISNUMBER(MATCH(21540,Telmo!$A:$A,0)), IF(OR(INDEX(Telmo!$D:$D,MATCH(21540,Telmo!$A:$A,0))=1, INDEX(Telmo!$D:$D,MATCH(21540,Telmo!$A:$A,0))=2), INDEX(Telmo!$D:$D,MATCH(21540,Telmo!$A:$A,0)), 0), 0)</f>
        <v>2</v>
      </c>
      <c r="I1124" s="1">
        <f t="array" ref="I1124">IF(ISNUMBER(MATCH(21540,Max!$A:$A,0)), IF(OR(INDEX(Max!$D:$D,MATCH(21540,Max!$A:$A,0))=1, INDEX(Max!$D:$D,MATCH(21540,Max!$A:$A,0))=2), INDEX(Max!$D:$D,MATCH(21540,Max!$A:$A,0)), 0), 0)</f>
        <v>0</v>
      </c>
    </row>
    <row r="1125" spans="1:9" ht="15.75" customHeight="1" x14ac:dyDescent="0.2">
      <c r="A1125" s="1">
        <v>32950</v>
      </c>
      <c r="B1125" s="1" t="s">
        <v>1167</v>
      </c>
      <c r="C1125" s="1" t="s">
        <v>2639</v>
      </c>
      <c r="D1125" s="1" t="str">
        <f t="shared" si="4"/>
        <v>2</v>
      </c>
      <c r="E1125" s="1" t="s">
        <v>2640</v>
      </c>
      <c r="G1125" s="1">
        <f t="array" ref="G1125">IF(ISNUMBER(MATCH(32950,Camille!$A:$A,0)), IF(OR(INDEX(Camille!$D:$D,MATCH(32950,Camille!$A:$A,0))=1, INDEX(Camille!$D:$D,MATCH(32950,Camille!$A:$A,0))=2), INDEX(Camille!$D:$D,MATCH(32950,Camille!$A:$A,0)), 0), 0)</f>
        <v>0</v>
      </c>
      <c r="H1125" s="1">
        <f t="array" ref="H1125">IF(ISNUMBER(MATCH(32950,Telmo!$A:$A,0)), IF(OR(INDEX(Telmo!$D:$D,MATCH(32950,Telmo!$A:$A,0))=1, INDEX(Telmo!$D:$D,MATCH(32950,Telmo!$A:$A,0))=2), INDEX(Telmo!$D:$D,MATCH(32950,Telmo!$A:$A,0)), 0), 0)</f>
        <v>2</v>
      </c>
      <c r="I1125" s="1">
        <f t="array" ref="I1125">IF(ISNUMBER(MATCH(32950,Max!$A:$A,0)), IF(OR(INDEX(Max!$D:$D,MATCH(32950,Max!$A:$A,0))=1, INDEX(Max!$D:$D,MATCH(32950,Max!$A:$A,0))=2), INDEX(Max!$D:$D,MATCH(32950,Max!$A:$A,0)), 0), 0)</f>
        <v>0</v>
      </c>
    </row>
    <row r="1126" spans="1:9" ht="15.75" customHeight="1" x14ac:dyDescent="0.2">
      <c r="A1126" s="1">
        <v>34849</v>
      </c>
      <c r="B1126" s="1" t="s">
        <v>32</v>
      </c>
      <c r="C1126" s="1" t="s">
        <v>2641</v>
      </c>
      <c r="D1126" s="1" t="str">
        <f t="shared" si="4"/>
        <v>1</v>
      </c>
      <c r="E1126" s="1" t="s">
        <v>2642</v>
      </c>
      <c r="G1126" s="1">
        <f t="array" ref="G1126">IF(ISNUMBER(MATCH(34849,Camille!$A:$A,0)), IF(OR(INDEX(Camille!$D:$D,MATCH(34849,Camille!$A:$A,0))=1, INDEX(Camille!$D:$D,MATCH(34849,Camille!$A:$A,0))=2), INDEX(Camille!$D:$D,MATCH(34849,Camille!$A:$A,0)), 0), 0)</f>
        <v>0</v>
      </c>
      <c r="H1126" s="1">
        <f t="array" ref="H1126">IF(ISNUMBER(MATCH(34849,Telmo!$A:$A,0)), IF(OR(INDEX(Telmo!$D:$D,MATCH(34849,Telmo!$A:$A,0))=1, INDEX(Telmo!$D:$D,MATCH(34849,Telmo!$A:$A,0))=2), INDEX(Telmo!$D:$D,MATCH(34849,Telmo!$A:$A,0)), 0), 0)</f>
        <v>1</v>
      </c>
      <c r="I1126" s="1">
        <f t="array" ref="I1126">IF(ISNUMBER(MATCH(34849,Max!$A:$A,0)), IF(OR(INDEX(Max!$D:$D,MATCH(34849,Max!$A:$A,0))=1, INDEX(Max!$D:$D,MATCH(34849,Max!$A:$A,0))=2), INDEX(Max!$D:$D,MATCH(34849,Max!$A:$A,0)), 0), 0)</f>
        <v>0</v>
      </c>
    </row>
    <row r="1127" spans="1:9" ht="15.75" customHeight="1" x14ac:dyDescent="0.2">
      <c r="A1127" s="1">
        <v>47685</v>
      </c>
      <c r="B1127" s="1" t="s">
        <v>731</v>
      </c>
      <c r="C1127" s="1" t="s">
        <v>2643</v>
      </c>
      <c r="D1127" s="1" t="str">
        <f t="shared" si="4"/>
        <v>2</v>
      </c>
      <c r="E1127" s="1" t="s">
        <v>2644</v>
      </c>
      <c r="G1127" s="1">
        <f t="array" ref="G1127">IF(ISNUMBER(MATCH(47685,Camille!$A:$A,0)), IF(OR(INDEX(Camille!$D:$D,MATCH(47685,Camille!$A:$A,0))=1, INDEX(Camille!$D:$D,MATCH(47685,Camille!$A:$A,0))=2), INDEX(Camille!$D:$D,MATCH(47685,Camille!$A:$A,0)), 0), 0)</f>
        <v>0</v>
      </c>
      <c r="H1127" s="1">
        <f t="array" ref="H1127">IF(ISNUMBER(MATCH(47685,Telmo!$A:$A,0)), IF(OR(INDEX(Telmo!$D:$D,MATCH(47685,Telmo!$A:$A,0))=1, INDEX(Telmo!$D:$D,MATCH(47685,Telmo!$A:$A,0))=2), INDEX(Telmo!$D:$D,MATCH(47685,Telmo!$A:$A,0)), 0), 0)</f>
        <v>2</v>
      </c>
      <c r="I1127" s="1">
        <f t="array" ref="I1127">IF(ISNUMBER(MATCH(47685,Max!$A:$A,0)), IF(OR(INDEX(Max!$D:$D,MATCH(47685,Max!$A:$A,0))=1, INDEX(Max!$D:$D,MATCH(47685,Max!$A:$A,0))=2), INDEX(Max!$D:$D,MATCH(47685,Max!$A:$A,0)), 0), 0)</f>
        <v>0</v>
      </c>
    </row>
    <row r="1128" spans="1:9" ht="15.75" customHeight="1" x14ac:dyDescent="0.2">
      <c r="A1128" s="1">
        <v>62389</v>
      </c>
      <c r="B1128" s="1" t="s">
        <v>2645</v>
      </c>
      <c r="C1128" s="1" t="s">
        <v>2646</v>
      </c>
      <c r="D1128" s="1" t="str">
        <f t="shared" si="4"/>
        <v>2</v>
      </c>
      <c r="E1128" s="1" t="s">
        <v>2647</v>
      </c>
      <c r="G1128" s="1">
        <f t="array" ref="G1128">IF(ISNUMBER(MATCH(62389,Camille!$A:$A,0)), IF(OR(INDEX(Camille!$D:$D,MATCH(62389,Camille!$A:$A,0))=1, INDEX(Camille!$D:$D,MATCH(62389,Camille!$A:$A,0))=2), INDEX(Camille!$D:$D,MATCH(62389,Camille!$A:$A,0)), 0), 0)</f>
        <v>0</v>
      </c>
      <c r="H1128" s="1">
        <f t="array" ref="H1128">IF(ISNUMBER(MATCH(62389,Telmo!$A:$A,0)), IF(OR(INDEX(Telmo!$D:$D,MATCH(62389,Telmo!$A:$A,0))=1, INDEX(Telmo!$D:$D,MATCH(62389,Telmo!$A:$A,0))=2), INDEX(Telmo!$D:$D,MATCH(62389,Telmo!$A:$A,0)), 0), 0)</f>
        <v>2</v>
      </c>
      <c r="I1128" s="1">
        <f t="array" ref="I1128">IF(ISNUMBER(MATCH(62389,Max!$A:$A,0)), IF(OR(INDEX(Max!$D:$D,MATCH(62389,Max!$A:$A,0))=1, INDEX(Max!$D:$D,MATCH(62389,Max!$A:$A,0))=2), INDEX(Max!$D:$D,MATCH(62389,Max!$A:$A,0)), 0), 0)</f>
        <v>0</v>
      </c>
    </row>
    <row r="1129" spans="1:9" ht="15.75" customHeight="1" x14ac:dyDescent="0.2">
      <c r="A1129" s="1">
        <v>51692</v>
      </c>
      <c r="B1129" s="1" t="s">
        <v>276</v>
      </c>
      <c r="C1129" s="1" t="s">
        <v>2648</v>
      </c>
      <c r="D1129" s="1" t="str">
        <f t="shared" si="4"/>
        <v>1</v>
      </c>
      <c r="E1129" s="1" t="s">
        <v>2649</v>
      </c>
      <c r="G1129" s="1">
        <f t="array" ref="G1129">IF(ISNUMBER(MATCH(51692,Camille!$A:$A,0)), IF(OR(INDEX(Camille!$D:$D,MATCH(51692,Camille!$A:$A,0))=1, INDEX(Camille!$D:$D,MATCH(51692,Camille!$A:$A,0))=2), INDEX(Camille!$D:$D,MATCH(51692,Camille!$A:$A,0)), 0), 0)</f>
        <v>0</v>
      </c>
      <c r="H1129" s="1">
        <f t="array" ref="H1129">IF(ISNUMBER(MATCH(51692,Telmo!$A:$A,0)), IF(OR(INDEX(Telmo!$D:$D,MATCH(51692,Telmo!$A:$A,0))=1, INDEX(Telmo!$D:$D,MATCH(51692,Telmo!$A:$A,0))=2), INDEX(Telmo!$D:$D,MATCH(51692,Telmo!$A:$A,0)), 0), 0)</f>
        <v>1</v>
      </c>
      <c r="I1129" s="1">
        <f t="array" ref="I1129">IF(ISNUMBER(MATCH(51692,Max!$A:$A,0)), IF(OR(INDEX(Max!$D:$D,MATCH(51692,Max!$A:$A,0))=1, INDEX(Max!$D:$D,MATCH(51692,Max!$A:$A,0))=2), INDEX(Max!$D:$D,MATCH(51692,Max!$A:$A,0)), 0), 0)</f>
        <v>0</v>
      </c>
    </row>
    <row r="1130" spans="1:9" ht="15.75" customHeight="1" x14ac:dyDescent="0.2">
      <c r="A1130" s="1">
        <v>12156</v>
      </c>
      <c r="B1130" s="1" t="s">
        <v>78</v>
      </c>
      <c r="C1130" s="1" t="s">
        <v>2650</v>
      </c>
      <c r="D1130" s="1" t="str">
        <f t="shared" si="4"/>
        <v>1</v>
      </c>
      <c r="E1130" s="1" t="s">
        <v>2651</v>
      </c>
      <c r="G1130" s="1">
        <f t="array" ref="G1130">IF(ISNUMBER(MATCH(12156,Camille!$A:$A,0)), IF(OR(INDEX(Camille!$D:$D,MATCH(12156,Camille!$A:$A,0))=1, INDEX(Camille!$D:$D,MATCH(12156,Camille!$A:$A,0))=2), INDEX(Camille!$D:$D,MATCH(12156,Camille!$A:$A,0)), 0), 0)</f>
        <v>0</v>
      </c>
      <c r="H1130" s="1">
        <f t="array" ref="H1130">IF(ISNUMBER(MATCH(12156,Telmo!$A:$A,0)), IF(OR(INDEX(Telmo!$D:$D,MATCH(12156,Telmo!$A:$A,0))=1, INDEX(Telmo!$D:$D,MATCH(12156,Telmo!$A:$A,0))=2), INDEX(Telmo!$D:$D,MATCH(12156,Telmo!$A:$A,0)), 0), 0)</f>
        <v>1</v>
      </c>
      <c r="I1130" s="1">
        <f t="array" ref="I1130">IF(ISNUMBER(MATCH(12156,Max!$A:$A,0)), IF(OR(INDEX(Max!$D:$D,MATCH(12156,Max!$A:$A,0))=1, INDEX(Max!$D:$D,MATCH(12156,Max!$A:$A,0))=2), INDEX(Max!$D:$D,MATCH(12156,Max!$A:$A,0)), 0), 0)</f>
        <v>0</v>
      </c>
    </row>
    <row r="1131" spans="1:9" ht="15.75" customHeight="1" x14ac:dyDescent="0.2">
      <c r="A1131" s="1">
        <v>7931</v>
      </c>
      <c r="B1131" s="1" t="s">
        <v>268</v>
      </c>
      <c r="C1131" s="1" t="s">
        <v>2652</v>
      </c>
      <c r="D1131" s="1" t="str">
        <f t="shared" si="4"/>
        <v>2</v>
      </c>
      <c r="E1131" s="1" t="s">
        <v>2653</v>
      </c>
      <c r="G1131" s="1">
        <f t="array" ref="G1131">IF(ISNUMBER(MATCH(7931,Camille!$A:$A,0)), IF(OR(INDEX(Camille!$D:$D,MATCH(7931,Camille!$A:$A,0))=1, INDEX(Camille!$D:$D,MATCH(7931,Camille!$A:$A,0))=2), INDEX(Camille!$D:$D,MATCH(7931,Camille!$A:$A,0)), 0), 0)</f>
        <v>0</v>
      </c>
      <c r="H1131" s="1">
        <f t="array" ref="H1131">IF(ISNUMBER(MATCH(7931,Telmo!$A:$A,0)), IF(OR(INDEX(Telmo!$D:$D,MATCH(7931,Telmo!$A:$A,0))=1, INDEX(Telmo!$D:$D,MATCH(7931,Telmo!$A:$A,0))=2), INDEX(Telmo!$D:$D,MATCH(7931,Telmo!$A:$A,0)), 0), 0)</f>
        <v>2</v>
      </c>
      <c r="I1131" s="1">
        <f t="array" ref="I1131">IF(ISNUMBER(MATCH(7931,Max!$A:$A,0)), IF(OR(INDEX(Max!$D:$D,MATCH(7931,Max!$A:$A,0))=1, INDEX(Max!$D:$D,MATCH(7931,Max!$A:$A,0))=2), INDEX(Max!$D:$D,MATCH(7931,Max!$A:$A,0)), 0), 0)</f>
        <v>0</v>
      </c>
    </row>
    <row r="1132" spans="1:9" ht="15.75" customHeight="1" x14ac:dyDescent="0.2">
      <c r="A1132" s="1">
        <v>67074</v>
      </c>
      <c r="B1132" s="1" t="s">
        <v>2654</v>
      </c>
      <c r="C1132" s="1" t="s">
        <v>2655</v>
      </c>
      <c r="D1132" s="1" t="str">
        <f t="shared" si="4"/>
        <v>2</v>
      </c>
      <c r="E1132" s="1" t="s">
        <v>2656</v>
      </c>
      <c r="G1132" s="1">
        <f t="array" ref="G1132">IF(ISNUMBER(MATCH(67074,Camille!$A:$A,0)), IF(OR(INDEX(Camille!$D:$D,MATCH(67074,Camille!$A:$A,0))=1, INDEX(Camille!$D:$D,MATCH(67074,Camille!$A:$A,0))=2), INDEX(Camille!$D:$D,MATCH(67074,Camille!$A:$A,0)), 0), 0)</f>
        <v>0</v>
      </c>
      <c r="H1132" s="1">
        <f t="array" ref="H1132">IF(ISNUMBER(MATCH(67074,Telmo!$A:$A,0)), IF(OR(INDEX(Telmo!$D:$D,MATCH(67074,Telmo!$A:$A,0))=1, INDEX(Telmo!$D:$D,MATCH(67074,Telmo!$A:$A,0))=2), INDEX(Telmo!$D:$D,MATCH(67074,Telmo!$A:$A,0)), 0), 0)</f>
        <v>2</v>
      </c>
      <c r="I1132" s="1">
        <f t="array" ref="I1132">IF(ISNUMBER(MATCH(67074,Max!$A:$A,0)), IF(OR(INDEX(Max!$D:$D,MATCH(67074,Max!$A:$A,0))=1, INDEX(Max!$D:$D,MATCH(67074,Max!$A:$A,0))=2), INDEX(Max!$D:$D,MATCH(67074,Max!$A:$A,0)), 0), 0)</f>
        <v>0</v>
      </c>
    </row>
    <row r="1133" spans="1:9" ht="15.75" customHeight="1" x14ac:dyDescent="0.2">
      <c r="A1133" s="1">
        <v>28811</v>
      </c>
      <c r="B1133" s="1" t="s">
        <v>656</v>
      </c>
      <c r="C1133" s="1" t="s">
        <v>2657</v>
      </c>
      <c r="D1133" s="1" t="str">
        <f t="shared" si="4"/>
        <v>2</v>
      </c>
      <c r="E1133" s="1" t="s">
        <v>2658</v>
      </c>
      <c r="G1133" s="1">
        <f t="array" ref="G1133">IF(ISNUMBER(MATCH(28811,Camille!$A:$A,0)), IF(OR(INDEX(Camille!$D:$D,MATCH(28811,Camille!$A:$A,0))=1, INDEX(Camille!$D:$D,MATCH(28811,Camille!$A:$A,0))=2), INDEX(Camille!$D:$D,MATCH(28811,Camille!$A:$A,0)), 0), 0)</f>
        <v>0</v>
      </c>
      <c r="H1133" s="1">
        <f t="array" ref="H1133">IF(ISNUMBER(MATCH(28811,Telmo!$A:$A,0)), IF(OR(INDEX(Telmo!$D:$D,MATCH(28811,Telmo!$A:$A,0))=1, INDEX(Telmo!$D:$D,MATCH(28811,Telmo!$A:$A,0))=2), INDEX(Telmo!$D:$D,MATCH(28811,Telmo!$A:$A,0)), 0), 0)</f>
        <v>2</v>
      </c>
      <c r="I1133" s="1">
        <f t="array" ref="I1133">IF(ISNUMBER(MATCH(28811,Max!$A:$A,0)), IF(OR(INDEX(Max!$D:$D,MATCH(28811,Max!$A:$A,0))=1, INDEX(Max!$D:$D,MATCH(28811,Max!$A:$A,0))=2), INDEX(Max!$D:$D,MATCH(28811,Max!$A:$A,0)), 0), 0)</f>
        <v>0</v>
      </c>
    </row>
    <row r="1134" spans="1:9" ht="15.75" customHeight="1" x14ac:dyDescent="0.2">
      <c r="A1134" s="1">
        <v>8624</v>
      </c>
      <c r="B1134" s="1" t="s">
        <v>333</v>
      </c>
      <c r="C1134" s="1" t="s">
        <v>2659</v>
      </c>
      <c r="D1134" s="1" t="str">
        <f t="shared" si="4"/>
        <v>2</v>
      </c>
      <c r="E1134" s="1" t="s">
        <v>2660</v>
      </c>
      <c r="G1134" s="1">
        <f t="array" ref="G1134">IF(ISNUMBER(MATCH(8624,Camille!$A:$A,0)), IF(OR(INDEX(Camille!$D:$D,MATCH(8624,Camille!$A:$A,0))=1, INDEX(Camille!$D:$D,MATCH(8624,Camille!$A:$A,0))=2), INDEX(Camille!$D:$D,MATCH(8624,Camille!$A:$A,0)), 0), 0)</f>
        <v>0</v>
      </c>
      <c r="H1134" s="1">
        <f t="array" ref="H1134">IF(ISNUMBER(MATCH(8624,Telmo!$A:$A,0)), IF(OR(INDEX(Telmo!$D:$D,MATCH(8624,Telmo!$A:$A,0))=1, INDEX(Telmo!$D:$D,MATCH(8624,Telmo!$A:$A,0))=2), INDEX(Telmo!$D:$D,MATCH(8624,Telmo!$A:$A,0)), 0), 0)</f>
        <v>2</v>
      </c>
      <c r="I1134" s="1">
        <f t="array" ref="I1134">IF(ISNUMBER(MATCH(8624,Max!$A:$A,0)), IF(OR(INDEX(Max!$D:$D,MATCH(8624,Max!$A:$A,0))=1, INDEX(Max!$D:$D,MATCH(8624,Max!$A:$A,0))=2), INDEX(Max!$D:$D,MATCH(8624,Max!$A:$A,0)), 0), 0)</f>
        <v>0</v>
      </c>
    </row>
    <row r="1135" spans="1:9" ht="15.75" customHeight="1" x14ac:dyDescent="0.2">
      <c r="A1135" s="1">
        <v>26391</v>
      </c>
      <c r="B1135" s="1" t="s">
        <v>172</v>
      </c>
      <c r="C1135" s="1" t="s">
        <v>2661</v>
      </c>
      <c r="D1135" s="1" t="str">
        <f t="shared" si="4"/>
        <v>2</v>
      </c>
      <c r="E1135" s="1" t="s">
        <v>2662</v>
      </c>
      <c r="G1135" s="1">
        <f t="array" ref="G1135">IF(ISNUMBER(MATCH(26391,Camille!$A:$A,0)), IF(OR(INDEX(Camille!$D:$D,MATCH(26391,Camille!$A:$A,0))=1, INDEX(Camille!$D:$D,MATCH(26391,Camille!$A:$A,0))=2), INDEX(Camille!$D:$D,MATCH(26391,Camille!$A:$A,0)), 0), 0)</f>
        <v>0</v>
      </c>
      <c r="H1135" s="1">
        <f t="array" ref="H1135">IF(ISNUMBER(MATCH(26391,Telmo!$A:$A,0)), IF(OR(INDEX(Telmo!$D:$D,MATCH(26391,Telmo!$A:$A,0))=1, INDEX(Telmo!$D:$D,MATCH(26391,Telmo!$A:$A,0))=2), INDEX(Telmo!$D:$D,MATCH(26391,Telmo!$A:$A,0)), 0), 0)</f>
        <v>2</v>
      </c>
      <c r="I1135" s="1">
        <f t="array" ref="I1135">IF(ISNUMBER(MATCH(26391,Max!$A:$A,0)), IF(OR(INDEX(Max!$D:$D,MATCH(26391,Max!$A:$A,0))=1, INDEX(Max!$D:$D,MATCH(26391,Max!$A:$A,0))=2), INDEX(Max!$D:$D,MATCH(26391,Max!$A:$A,0)), 0), 0)</f>
        <v>0</v>
      </c>
    </row>
    <row r="1136" spans="1:9" ht="15.75" customHeight="1" x14ac:dyDescent="0.2">
      <c r="A1136" s="1">
        <v>54877</v>
      </c>
      <c r="B1136" s="1" t="s">
        <v>326</v>
      </c>
      <c r="C1136" s="1" t="s">
        <v>2663</v>
      </c>
      <c r="D1136" s="1" t="str">
        <f t="shared" si="4"/>
        <v>2</v>
      </c>
      <c r="E1136" s="1" t="s">
        <v>2664</v>
      </c>
      <c r="G1136" s="1">
        <f t="array" ref="G1136">IF(ISNUMBER(MATCH(54877,Camille!$A:$A,0)), IF(OR(INDEX(Camille!$D:$D,MATCH(54877,Camille!$A:$A,0))=1, INDEX(Camille!$D:$D,MATCH(54877,Camille!$A:$A,0))=2), INDEX(Camille!$D:$D,MATCH(54877,Camille!$A:$A,0)), 0), 0)</f>
        <v>0</v>
      </c>
      <c r="H1136" s="1">
        <f t="array" ref="H1136">IF(ISNUMBER(MATCH(54877,Telmo!$A:$A,0)), IF(OR(INDEX(Telmo!$D:$D,MATCH(54877,Telmo!$A:$A,0))=1, INDEX(Telmo!$D:$D,MATCH(54877,Telmo!$A:$A,0))=2), INDEX(Telmo!$D:$D,MATCH(54877,Telmo!$A:$A,0)), 0), 0)</f>
        <v>2</v>
      </c>
      <c r="I1136" s="1">
        <f t="array" ref="I1136">IF(ISNUMBER(MATCH(54877,Max!$A:$A,0)), IF(OR(INDEX(Max!$D:$D,MATCH(54877,Max!$A:$A,0))=1, INDEX(Max!$D:$D,MATCH(54877,Max!$A:$A,0))=2), INDEX(Max!$D:$D,MATCH(54877,Max!$A:$A,0)), 0), 0)</f>
        <v>0</v>
      </c>
    </row>
    <row r="1137" spans="1:9" ht="15.75" customHeight="1" x14ac:dyDescent="0.2">
      <c r="A1137" s="1">
        <v>25440</v>
      </c>
      <c r="B1137" s="1" t="s">
        <v>1984</v>
      </c>
      <c r="C1137" s="1" t="s">
        <v>2665</v>
      </c>
      <c r="D1137" s="1" t="str">
        <f t="shared" si="4"/>
        <v>2</v>
      </c>
      <c r="E1137" s="1" t="s">
        <v>2666</v>
      </c>
      <c r="G1137" s="1">
        <f t="array" ref="G1137">IF(ISNUMBER(MATCH(25440,Camille!$A:$A,0)), IF(OR(INDEX(Camille!$D:$D,MATCH(25440,Camille!$A:$A,0))=1, INDEX(Camille!$D:$D,MATCH(25440,Camille!$A:$A,0))=2), INDEX(Camille!$D:$D,MATCH(25440,Camille!$A:$A,0)), 0), 0)</f>
        <v>0</v>
      </c>
      <c r="H1137" s="1">
        <f t="array" ref="H1137">IF(ISNUMBER(MATCH(25440,Telmo!$A:$A,0)), IF(OR(INDEX(Telmo!$D:$D,MATCH(25440,Telmo!$A:$A,0))=1, INDEX(Telmo!$D:$D,MATCH(25440,Telmo!$A:$A,0))=2), INDEX(Telmo!$D:$D,MATCH(25440,Telmo!$A:$A,0)), 0), 0)</f>
        <v>2</v>
      </c>
      <c r="I1137" s="1">
        <f t="array" ref="I1137">IF(ISNUMBER(MATCH(25440,Max!$A:$A,0)), IF(OR(INDEX(Max!$D:$D,MATCH(25440,Max!$A:$A,0))=1, INDEX(Max!$D:$D,MATCH(25440,Max!$A:$A,0))=2), INDEX(Max!$D:$D,MATCH(25440,Max!$A:$A,0)), 0), 0)</f>
        <v>0</v>
      </c>
    </row>
    <row r="1138" spans="1:9" ht="15.75" customHeight="1" x14ac:dyDescent="0.2">
      <c r="A1138" s="1">
        <v>32920</v>
      </c>
      <c r="B1138" s="1" t="s">
        <v>2667</v>
      </c>
      <c r="C1138" s="1" t="s">
        <v>2668</v>
      </c>
      <c r="D1138" s="1" t="str">
        <f t="shared" si="4"/>
        <v>2</v>
      </c>
      <c r="E1138" s="1" t="s">
        <v>2669</v>
      </c>
      <c r="G1138" s="1">
        <f t="array" ref="G1138">IF(ISNUMBER(MATCH(32920,Camille!$A:$A,0)), IF(OR(INDEX(Camille!$D:$D,MATCH(32920,Camille!$A:$A,0))=1, INDEX(Camille!$D:$D,MATCH(32920,Camille!$A:$A,0))=2), INDEX(Camille!$D:$D,MATCH(32920,Camille!$A:$A,0)), 0), 0)</f>
        <v>0</v>
      </c>
      <c r="H1138" s="1">
        <f t="array" ref="H1138">IF(ISNUMBER(MATCH(32920,Telmo!$A:$A,0)), IF(OR(INDEX(Telmo!$D:$D,MATCH(32920,Telmo!$A:$A,0))=1, INDEX(Telmo!$D:$D,MATCH(32920,Telmo!$A:$A,0))=2), INDEX(Telmo!$D:$D,MATCH(32920,Telmo!$A:$A,0)), 0), 0)</f>
        <v>2</v>
      </c>
      <c r="I1138" s="1">
        <f t="array" ref="I1138">IF(ISNUMBER(MATCH(32920,Max!$A:$A,0)), IF(OR(INDEX(Max!$D:$D,MATCH(32920,Max!$A:$A,0))=1, INDEX(Max!$D:$D,MATCH(32920,Max!$A:$A,0))=2), INDEX(Max!$D:$D,MATCH(32920,Max!$A:$A,0)), 0), 0)</f>
        <v>0</v>
      </c>
    </row>
    <row r="1139" spans="1:9" ht="15.75" customHeight="1" x14ac:dyDescent="0.2">
      <c r="A1139" s="1">
        <v>471</v>
      </c>
      <c r="B1139" s="1" t="s">
        <v>2670</v>
      </c>
      <c r="C1139" s="1" t="s">
        <v>2671</v>
      </c>
      <c r="D1139" s="1" t="str">
        <f t="shared" si="4"/>
        <v>2</v>
      </c>
      <c r="E1139" s="1" t="s">
        <v>2672</v>
      </c>
      <c r="G1139" s="1">
        <f t="array" ref="G1139">IF(ISNUMBER(MATCH(471,Camille!$A:$A,0)), IF(OR(INDEX(Camille!$D:$D,MATCH(471,Camille!$A:$A,0))=1, INDEX(Camille!$D:$D,MATCH(471,Camille!$A:$A,0))=2), INDEX(Camille!$D:$D,MATCH(471,Camille!$A:$A,0)), 0), 0)</f>
        <v>0</v>
      </c>
      <c r="H1139" s="1">
        <f t="array" ref="H1139">IF(ISNUMBER(MATCH(471,Telmo!$A:$A,0)), IF(OR(INDEX(Telmo!$D:$D,MATCH(471,Telmo!$A:$A,0))=1, INDEX(Telmo!$D:$D,MATCH(471,Telmo!$A:$A,0))=2), INDEX(Telmo!$D:$D,MATCH(471,Telmo!$A:$A,0)), 0), 0)</f>
        <v>2</v>
      </c>
      <c r="I1139" s="1">
        <f t="array" ref="I1139">IF(ISNUMBER(MATCH(471,Max!$A:$A,0)), IF(OR(INDEX(Max!$D:$D,MATCH(471,Max!$A:$A,0))=1, INDEX(Max!$D:$D,MATCH(471,Max!$A:$A,0))=2), INDEX(Max!$D:$D,MATCH(471,Max!$A:$A,0)), 0), 0)</f>
        <v>0</v>
      </c>
    </row>
    <row r="1140" spans="1:9" ht="15.75" customHeight="1" x14ac:dyDescent="0.2">
      <c r="A1140" s="1">
        <v>38691</v>
      </c>
      <c r="B1140" s="1" t="s">
        <v>362</v>
      </c>
      <c r="C1140" s="1" t="s">
        <v>2673</v>
      </c>
      <c r="D1140" s="1" t="str">
        <f t="shared" si="4"/>
        <v>2</v>
      </c>
      <c r="E1140" s="1" t="s">
        <v>2674</v>
      </c>
      <c r="G1140" s="1">
        <f t="array" ref="G1140">IF(ISNUMBER(MATCH(38691,Camille!$A:$A,0)), IF(OR(INDEX(Camille!$D:$D,MATCH(38691,Camille!$A:$A,0))=1, INDEX(Camille!$D:$D,MATCH(38691,Camille!$A:$A,0))=2), INDEX(Camille!$D:$D,MATCH(38691,Camille!$A:$A,0)), 0), 0)</f>
        <v>0</v>
      </c>
      <c r="H1140" s="1">
        <f t="array" ref="H1140">IF(ISNUMBER(MATCH(38691,Telmo!$A:$A,0)), IF(OR(INDEX(Telmo!$D:$D,MATCH(38691,Telmo!$A:$A,0))=1, INDEX(Telmo!$D:$D,MATCH(38691,Telmo!$A:$A,0))=2), INDEX(Telmo!$D:$D,MATCH(38691,Telmo!$A:$A,0)), 0), 0)</f>
        <v>2</v>
      </c>
      <c r="I1140" s="1">
        <f t="array" ref="I1140">IF(ISNUMBER(MATCH(38691,Max!$A:$A,0)), IF(OR(INDEX(Max!$D:$D,MATCH(38691,Max!$A:$A,0))=1, INDEX(Max!$D:$D,MATCH(38691,Max!$A:$A,0))=2), INDEX(Max!$D:$D,MATCH(38691,Max!$A:$A,0)), 0), 0)</f>
        <v>0</v>
      </c>
    </row>
    <row r="1141" spans="1:9" ht="15.75" customHeight="1" x14ac:dyDescent="0.2">
      <c r="A1141" s="1">
        <v>16972</v>
      </c>
      <c r="B1141" s="1" t="s">
        <v>132</v>
      </c>
      <c r="C1141" s="1" t="s">
        <v>2675</v>
      </c>
      <c r="D1141" s="1" t="str">
        <f t="shared" si="4"/>
        <v>1</v>
      </c>
      <c r="E1141" s="1" t="s">
        <v>2676</v>
      </c>
      <c r="G1141" s="1">
        <f t="array" ref="G1141">IF(ISNUMBER(MATCH(16972,Camille!$A:$A,0)), IF(OR(INDEX(Camille!$D:$D,MATCH(16972,Camille!$A:$A,0))=1, INDEX(Camille!$D:$D,MATCH(16972,Camille!$A:$A,0))=2), INDEX(Camille!$D:$D,MATCH(16972,Camille!$A:$A,0)), 0), 0)</f>
        <v>0</v>
      </c>
      <c r="H1141" s="1">
        <f t="array" ref="H1141">IF(ISNUMBER(MATCH(16972,Telmo!$A:$A,0)), IF(OR(INDEX(Telmo!$D:$D,MATCH(16972,Telmo!$A:$A,0))=1, INDEX(Telmo!$D:$D,MATCH(16972,Telmo!$A:$A,0))=2), INDEX(Telmo!$D:$D,MATCH(16972,Telmo!$A:$A,0)), 0), 0)</f>
        <v>1</v>
      </c>
      <c r="I1141" s="1">
        <f t="array" ref="I1141">IF(ISNUMBER(MATCH(16972,Max!$A:$A,0)), IF(OR(INDEX(Max!$D:$D,MATCH(16972,Max!$A:$A,0))=1, INDEX(Max!$D:$D,MATCH(16972,Max!$A:$A,0))=2), INDEX(Max!$D:$D,MATCH(16972,Max!$A:$A,0)), 0), 0)</f>
        <v>0</v>
      </c>
    </row>
    <row r="1142" spans="1:9" ht="15.75" customHeight="1" x14ac:dyDescent="0.2">
      <c r="A1142" s="1">
        <v>7241</v>
      </c>
      <c r="B1142" s="1" t="s">
        <v>2677</v>
      </c>
      <c r="C1142" s="1" t="s">
        <v>2678</v>
      </c>
      <c r="D1142" s="1" t="str">
        <f t="shared" si="4"/>
        <v>2</v>
      </c>
      <c r="E1142" s="1" t="s">
        <v>2679</v>
      </c>
      <c r="G1142" s="1">
        <f t="array" ref="G1142">IF(ISNUMBER(MATCH(7241,Camille!$A:$A,0)), IF(OR(INDEX(Camille!$D:$D,MATCH(7241,Camille!$A:$A,0))=1, INDEX(Camille!$D:$D,MATCH(7241,Camille!$A:$A,0))=2), INDEX(Camille!$D:$D,MATCH(7241,Camille!$A:$A,0)), 0), 0)</f>
        <v>0</v>
      </c>
      <c r="H1142" s="1">
        <f t="array" ref="H1142">IF(ISNUMBER(MATCH(7241,Telmo!$A:$A,0)), IF(OR(INDEX(Telmo!$D:$D,MATCH(7241,Telmo!$A:$A,0))=1, INDEX(Telmo!$D:$D,MATCH(7241,Telmo!$A:$A,0))=2), INDEX(Telmo!$D:$D,MATCH(7241,Telmo!$A:$A,0)), 0), 0)</f>
        <v>2</v>
      </c>
      <c r="I1142" s="1">
        <f t="array" ref="I1142">IF(ISNUMBER(MATCH(7241,Max!$A:$A,0)), IF(OR(INDEX(Max!$D:$D,MATCH(7241,Max!$A:$A,0))=1, INDEX(Max!$D:$D,MATCH(7241,Max!$A:$A,0))=2), INDEX(Max!$D:$D,MATCH(7241,Max!$A:$A,0)), 0), 0)</f>
        <v>0</v>
      </c>
    </row>
    <row r="1143" spans="1:9" ht="15.75" customHeight="1" x14ac:dyDescent="0.2">
      <c r="A1143" s="1">
        <v>50103</v>
      </c>
      <c r="B1143" s="1" t="s">
        <v>797</v>
      </c>
      <c r="C1143" s="1" t="s">
        <v>2680</v>
      </c>
      <c r="D1143" s="1" t="str">
        <f t="shared" si="4"/>
        <v>2</v>
      </c>
      <c r="E1143" s="1" t="s">
        <v>2681</v>
      </c>
      <c r="G1143" s="1">
        <f t="array" ref="G1143">IF(ISNUMBER(MATCH(50103,Camille!$A:$A,0)), IF(OR(INDEX(Camille!$D:$D,MATCH(50103,Camille!$A:$A,0))=1, INDEX(Camille!$D:$D,MATCH(50103,Camille!$A:$A,0))=2), INDEX(Camille!$D:$D,MATCH(50103,Camille!$A:$A,0)), 0), 0)</f>
        <v>0</v>
      </c>
      <c r="H1143" s="1">
        <f t="array" ref="H1143">IF(ISNUMBER(MATCH(50103,Telmo!$A:$A,0)), IF(OR(INDEX(Telmo!$D:$D,MATCH(50103,Telmo!$A:$A,0))=1, INDEX(Telmo!$D:$D,MATCH(50103,Telmo!$A:$A,0))=2), INDEX(Telmo!$D:$D,MATCH(50103,Telmo!$A:$A,0)), 0), 0)</f>
        <v>2</v>
      </c>
      <c r="I1143" s="1">
        <f t="array" ref="I1143">IF(ISNUMBER(MATCH(50103,Max!$A:$A,0)), IF(OR(INDEX(Max!$D:$D,MATCH(50103,Max!$A:$A,0))=1, INDEX(Max!$D:$D,MATCH(50103,Max!$A:$A,0))=2), INDEX(Max!$D:$D,MATCH(50103,Max!$A:$A,0)), 0), 0)</f>
        <v>0</v>
      </c>
    </row>
    <row r="1144" spans="1:9" ht="15.75" customHeight="1" x14ac:dyDescent="0.2">
      <c r="A1144" s="1">
        <v>8572</v>
      </c>
      <c r="B1144" s="1" t="s">
        <v>2682</v>
      </c>
      <c r="C1144" s="1" t="s">
        <v>2683</v>
      </c>
      <c r="D1144" s="1" t="str">
        <f t="shared" si="4"/>
        <v>2</v>
      </c>
      <c r="E1144" s="1" t="s">
        <v>2684</v>
      </c>
      <c r="G1144" s="1">
        <f t="array" ref="G1144">IF(ISNUMBER(MATCH(8572,Camille!$A:$A,0)), IF(OR(INDEX(Camille!$D:$D,MATCH(8572,Camille!$A:$A,0))=1, INDEX(Camille!$D:$D,MATCH(8572,Camille!$A:$A,0))=2), INDEX(Camille!$D:$D,MATCH(8572,Camille!$A:$A,0)), 0), 0)</f>
        <v>0</v>
      </c>
      <c r="H1144" s="1">
        <f t="array" ref="H1144">IF(ISNUMBER(MATCH(8572,Telmo!$A:$A,0)), IF(OR(INDEX(Telmo!$D:$D,MATCH(8572,Telmo!$A:$A,0))=1, INDEX(Telmo!$D:$D,MATCH(8572,Telmo!$A:$A,0))=2), INDEX(Telmo!$D:$D,MATCH(8572,Telmo!$A:$A,0)), 0), 0)</f>
        <v>2</v>
      </c>
      <c r="I1144" s="1">
        <f t="array" ref="I1144">IF(ISNUMBER(MATCH(8572,Max!$A:$A,0)), IF(OR(INDEX(Max!$D:$D,MATCH(8572,Max!$A:$A,0))=1, INDEX(Max!$D:$D,MATCH(8572,Max!$A:$A,0))=2), INDEX(Max!$D:$D,MATCH(8572,Max!$A:$A,0)), 0), 0)</f>
        <v>0</v>
      </c>
    </row>
    <row r="1145" spans="1:9" ht="15.75" customHeight="1" x14ac:dyDescent="0.2">
      <c r="A1145" s="1">
        <v>27226</v>
      </c>
      <c r="B1145" s="1" t="s">
        <v>2685</v>
      </c>
      <c r="C1145" s="1" t="s">
        <v>2686</v>
      </c>
      <c r="D1145" s="1" t="str">
        <f t="shared" si="4"/>
        <v>1</v>
      </c>
      <c r="E1145" s="1" t="s">
        <v>2687</v>
      </c>
      <c r="G1145" s="1">
        <f t="array" ref="G1145">IF(ISNUMBER(MATCH(27226,Camille!$A:$A,0)), IF(OR(INDEX(Camille!$D:$D,MATCH(27226,Camille!$A:$A,0))=1, INDEX(Camille!$D:$D,MATCH(27226,Camille!$A:$A,0))=2), INDEX(Camille!$D:$D,MATCH(27226,Camille!$A:$A,0)), 0), 0)</f>
        <v>0</v>
      </c>
      <c r="H1145" s="1">
        <f t="array" ref="H1145">IF(ISNUMBER(MATCH(27226,Telmo!$A:$A,0)), IF(OR(INDEX(Telmo!$D:$D,MATCH(27226,Telmo!$A:$A,0))=1, INDEX(Telmo!$D:$D,MATCH(27226,Telmo!$A:$A,0))=2), INDEX(Telmo!$D:$D,MATCH(27226,Telmo!$A:$A,0)), 0), 0)</f>
        <v>1</v>
      </c>
      <c r="I1145" s="1">
        <f t="array" ref="I1145">IF(ISNUMBER(MATCH(27226,Max!$A:$A,0)), IF(OR(INDEX(Max!$D:$D,MATCH(27226,Max!$A:$A,0))=1, INDEX(Max!$D:$D,MATCH(27226,Max!$A:$A,0))=2), INDEX(Max!$D:$D,MATCH(27226,Max!$A:$A,0)), 0), 0)</f>
        <v>0</v>
      </c>
    </row>
    <row r="1146" spans="1:9" ht="15.75" customHeight="1" x14ac:dyDescent="0.2">
      <c r="A1146" s="1">
        <v>67870</v>
      </c>
      <c r="B1146" s="1" t="s">
        <v>244</v>
      </c>
      <c r="C1146" s="1" t="s">
        <v>2688</v>
      </c>
      <c r="D1146" s="1" t="str">
        <f t="shared" si="4"/>
        <v>2</v>
      </c>
      <c r="E1146" s="1" t="s">
        <v>2689</v>
      </c>
      <c r="G1146" s="1">
        <f t="array" ref="G1146">IF(ISNUMBER(MATCH(67870,Camille!$A:$A,0)), IF(OR(INDEX(Camille!$D:$D,MATCH(67870,Camille!$A:$A,0))=1, INDEX(Camille!$D:$D,MATCH(67870,Camille!$A:$A,0))=2), INDEX(Camille!$D:$D,MATCH(67870,Camille!$A:$A,0)), 0), 0)</f>
        <v>0</v>
      </c>
      <c r="H1146" s="1">
        <f t="array" ref="H1146">IF(ISNUMBER(MATCH(67870,Telmo!$A:$A,0)), IF(OR(INDEX(Telmo!$D:$D,MATCH(67870,Telmo!$A:$A,0))=1, INDEX(Telmo!$D:$D,MATCH(67870,Telmo!$A:$A,0))=2), INDEX(Telmo!$D:$D,MATCH(67870,Telmo!$A:$A,0)), 0), 0)</f>
        <v>2</v>
      </c>
      <c r="I1146" s="1">
        <f t="array" ref="I1146">IF(ISNUMBER(MATCH(67870,Max!$A:$A,0)), IF(OR(INDEX(Max!$D:$D,MATCH(67870,Max!$A:$A,0))=1, INDEX(Max!$D:$D,MATCH(67870,Max!$A:$A,0))=2), INDEX(Max!$D:$D,MATCH(67870,Max!$A:$A,0)), 0), 0)</f>
        <v>0</v>
      </c>
    </row>
    <row r="1147" spans="1:9" ht="15.75" customHeight="1" x14ac:dyDescent="0.2">
      <c r="A1147" s="1">
        <v>23454</v>
      </c>
      <c r="B1147" s="1" t="s">
        <v>1052</v>
      </c>
      <c r="C1147" s="1" t="s">
        <v>2690</v>
      </c>
      <c r="D1147" s="1" t="str">
        <f t="shared" si="4"/>
        <v>2</v>
      </c>
      <c r="E1147" s="1" t="s">
        <v>2691</v>
      </c>
      <c r="G1147" s="1">
        <f t="array" ref="G1147">IF(ISNUMBER(MATCH(23454,Camille!$A:$A,0)), IF(OR(INDEX(Camille!$D:$D,MATCH(23454,Camille!$A:$A,0))=1, INDEX(Camille!$D:$D,MATCH(23454,Camille!$A:$A,0))=2), INDEX(Camille!$D:$D,MATCH(23454,Camille!$A:$A,0)), 0), 0)</f>
        <v>0</v>
      </c>
      <c r="H1147" s="1">
        <f t="array" ref="H1147">IF(ISNUMBER(MATCH(23454,Telmo!$A:$A,0)), IF(OR(INDEX(Telmo!$D:$D,MATCH(23454,Telmo!$A:$A,0))=1, INDEX(Telmo!$D:$D,MATCH(23454,Telmo!$A:$A,0))=2), INDEX(Telmo!$D:$D,MATCH(23454,Telmo!$A:$A,0)), 0), 0)</f>
        <v>2</v>
      </c>
      <c r="I1147" s="1">
        <f t="array" ref="I1147">IF(ISNUMBER(MATCH(23454,Max!$A:$A,0)), IF(OR(INDEX(Max!$D:$D,MATCH(23454,Max!$A:$A,0))=1, INDEX(Max!$D:$D,MATCH(23454,Max!$A:$A,0))=2), INDEX(Max!$D:$D,MATCH(23454,Max!$A:$A,0)), 0), 0)</f>
        <v>0</v>
      </c>
    </row>
    <row r="1148" spans="1:9" ht="15.75" customHeight="1" x14ac:dyDescent="0.2">
      <c r="A1148" s="1">
        <v>28148</v>
      </c>
      <c r="B1148" s="1" t="s">
        <v>244</v>
      </c>
      <c r="C1148" s="1" t="s">
        <v>2692</v>
      </c>
      <c r="D1148" s="1" t="str">
        <f t="shared" si="4"/>
        <v>2</v>
      </c>
      <c r="E1148" s="1" t="s">
        <v>2693</v>
      </c>
      <c r="G1148" s="1">
        <f t="array" ref="G1148">IF(ISNUMBER(MATCH(28148,Camille!$A:$A,0)), IF(OR(INDEX(Camille!$D:$D,MATCH(28148,Camille!$A:$A,0))=1, INDEX(Camille!$D:$D,MATCH(28148,Camille!$A:$A,0))=2), INDEX(Camille!$D:$D,MATCH(28148,Camille!$A:$A,0)), 0), 0)</f>
        <v>0</v>
      </c>
      <c r="H1148" s="1">
        <f t="array" ref="H1148">IF(ISNUMBER(MATCH(28148,Telmo!$A:$A,0)), IF(OR(INDEX(Telmo!$D:$D,MATCH(28148,Telmo!$A:$A,0))=1, INDEX(Telmo!$D:$D,MATCH(28148,Telmo!$A:$A,0))=2), INDEX(Telmo!$D:$D,MATCH(28148,Telmo!$A:$A,0)), 0), 0)</f>
        <v>2</v>
      </c>
      <c r="I1148" s="1">
        <f t="array" ref="I1148">IF(ISNUMBER(MATCH(28148,Max!$A:$A,0)), IF(OR(INDEX(Max!$D:$D,MATCH(28148,Max!$A:$A,0))=1, INDEX(Max!$D:$D,MATCH(28148,Max!$A:$A,0))=2), INDEX(Max!$D:$D,MATCH(28148,Max!$A:$A,0)), 0), 0)</f>
        <v>0</v>
      </c>
    </row>
    <row r="1149" spans="1:9" ht="15.75" customHeight="1" x14ac:dyDescent="0.2">
      <c r="A1149" s="1">
        <v>24262</v>
      </c>
      <c r="B1149" s="1" t="s">
        <v>931</v>
      </c>
      <c r="C1149" s="1" t="s">
        <v>2694</v>
      </c>
      <c r="D1149" s="1" t="str">
        <f t="shared" si="4"/>
        <v>1</v>
      </c>
      <c r="E1149" s="1" t="s">
        <v>2695</v>
      </c>
      <c r="G1149" s="1">
        <f t="array" ref="G1149">IF(ISNUMBER(MATCH(24262,Camille!$A:$A,0)), IF(OR(INDEX(Camille!$D:$D,MATCH(24262,Camille!$A:$A,0))=1, INDEX(Camille!$D:$D,MATCH(24262,Camille!$A:$A,0))=2), INDEX(Camille!$D:$D,MATCH(24262,Camille!$A:$A,0)), 0), 0)</f>
        <v>0</v>
      </c>
      <c r="H1149" s="1">
        <f t="array" ref="H1149">IF(ISNUMBER(MATCH(24262,Telmo!$A:$A,0)), IF(OR(INDEX(Telmo!$D:$D,MATCH(24262,Telmo!$A:$A,0))=1, INDEX(Telmo!$D:$D,MATCH(24262,Telmo!$A:$A,0))=2), INDEX(Telmo!$D:$D,MATCH(24262,Telmo!$A:$A,0)), 0), 0)</f>
        <v>1</v>
      </c>
      <c r="I1149" s="1">
        <f t="array" ref="I1149">IF(ISNUMBER(MATCH(24262,Max!$A:$A,0)), IF(OR(INDEX(Max!$D:$D,MATCH(24262,Max!$A:$A,0))=1, INDEX(Max!$D:$D,MATCH(24262,Max!$A:$A,0))=2), INDEX(Max!$D:$D,MATCH(24262,Max!$A:$A,0)), 0), 0)</f>
        <v>0</v>
      </c>
    </row>
    <row r="1150" spans="1:9" ht="15.75" customHeight="1" x14ac:dyDescent="0.2">
      <c r="A1150" s="1">
        <v>8036</v>
      </c>
      <c r="B1150" s="1" t="s">
        <v>1516</v>
      </c>
      <c r="C1150" s="1" t="s">
        <v>2696</v>
      </c>
      <c r="D1150" s="1" t="str">
        <f t="shared" si="4"/>
        <v>1</v>
      </c>
      <c r="E1150" s="1" t="s">
        <v>2697</v>
      </c>
      <c r="G1150" s="1">
        <f t="array" ref="G1150">IF(ISNUMBER(MATCH(8036,Camille!$A:$A,0)), IF(OR(INDEX(Camille!$D:$D,MATCH(8036,Camille!$A:$A,0))=1, INDEX(Camille!$D:$D,MATCH(8036,Camille!$A:$A,0))=2), INDEX(Camille!$D:$D,MATCH(8036,Camille!$A:$A,0)), 0), 0)</f>
        <v>0</v>
      </c>
      <c r="H1150" s="1">
        <f t="array" ref="H1150">IF(ISNUMBER(MATCH(8036,Telmo!$A:$A,0)), IF(OR(INDEX(Telmo!$D:$D,MATCH(8036,Telmo!$A:$A,0))=1, INDEX(Telmo!$D:$D,MATCH(8036,Telmo!$A:$A,0))=2), INDEX(Telmo!$D:$D,MATCH(8036,Telmo!$A:$A,0)), 0), 0)</f>
        <v>1</v>
      </c>
      <c r="I1150" s="1">
        <f t="array" ref="I1150">IF(ISNUMBER(MATCH(8036,Max!$A:$A,0)), IF(OR(INDEX(Max!$D:$D,MATCH(8036,Max!$A:$A,0))=1, INDEX(Max!$D:$D,MATCH(8036,Max!$A:$A,0))=2), INDEX(Max!$D:$D,MATCH(8036,Max!$A:$A,0)), 0), 0)</f>
        <v>0</v>
      </c>
    </row>
    <row r="1151" spans="1:9" ht="15.75" customHeight="1" x14ac:dyDescent="0.2">
      <c r="A1151" s="1">
        <v>15751</v>
      </c>
      <c r="B1151" s="1" t="s">
        <v>819</v>
      </c>
      <c r="C1151" s="1" t="s">
        <v>2698</v>
      </c>
      <c r="D1151" s="1" t="str">
        <f t="shared" si="4"/>
        <v>1</v>
      </c>
      <c r="E1151" s="1" t="s">
        <v>2699</v>
      </c>
      <c r="G1151" s="1">
        <f t="array" ref="G1151">IF(ISNUMBER(MATCH(15751,Camille!$A:$A,0)), IF(OR(INDEX(Camille!$D:$D,MATCH(15751,Camille!$A:$A,0))=1, INDEX(Camille!$D:$D,MATCH(15751,Camille!$A:$A,0))=2), INDEX(Camille!$D:$D,MATCH(15751,Camille!$A:$A,0)), 0), 0)</f>
        <v>0</v>
      </c>
      <c r="H1151" s="1">
        <f t="array" ref="H1151">IF(ISNUMBER(MATCH(15751,Telmo!$A:$A,0)), IF(OR(INDEX(Telmo!$D:$D,MATCH(15751,Telmo!$A:$A,0))=1, INDEX(Telmo!$D:$D,MATCH(15751,Telmo!$A:$A,0))=2), INDEX(Telmo!$D:$D,MATCH(15751,Telmo!$A:$A,0)), 0), 0)</f>
        <v>1</v>
      </c>
      <c r="I1151" s="1">
        <f t="array" ref="I1151">IF(ISNUMBER(MATCH(15751,Max!$A:$A,0)), IF(OR(INDEX(Max!$D:$D,MATCH(15751,Max!$A:$A,0))=1, INDEX(Max!$D:$D,MATCH(15751,Max!$A:$A,0))=2), INDEX(Max!$D:$D,MATCH(15751,Max!$A:$A,0)), 0), 0)</f>
        <v>0</v>
      </c>
    </row>
    <row r="1152" spans="1:9" ht="15.75" customHeight="1" x14ac:dyDescent="0.2">
      <c r="A1152" s="1">
        <v>868</v>
      </c>
      <c r="B1152" s="1" t="s">
        <v>1657</v>
      </c>
      <c r="C1152" s="1" t="s">
        <v>2700</v>
      </c>
      <c r="D1152" s="1" t="str">
        <f t="shared" si="4"/>
        <v>1</v>
      </c>
      <c r="E1152" s="1" t="s">
        <v>2701</v>
      </c>
      <c r="G1152" s="1">
        <f t="array" ref="G1152">IF(ISNUMBER(MATCH(868,Camille!$A:$A,0)), IF(OR(INDEX(Camille!$D:$D,MATCH(868,Camille!$A:$A,0))=1, INDEX(Camille!$D:$D,MATCH(868,Camille!$A:$A,0))=2), INDEX(Camille!$D:$D,MATCH(868,Camille!$A:$A,0)), 0), 0)</f>
        <v>0</v>
      </c>
      <c r="H1152" s="1">
        <f t="array" ref="H1152">IF(ISNUMBER(MATCH(868,Telmo!$A:$A,0)), IF(OR(INDEX(Telmo!$D:$D,MATCH(868,Telmo!$A:$A,0))=1, INDEX(Telmo!$D:$D,MATCH(868,Telmo!$A:$A,0))=2), INDEX(Telmo!$D:$D,MATCH(868,Telmo!$A:$A,0)), 0), 0)</f>
        <v>1</v>
      </c>
      <c r="I1152" s="1">
        <f t="array" ref="I1152">IF(ISNUMBER(MATCH(868,Max!$A:$A,0)), IF(OR(INDEX(Max!$D:$D,MATCH(868,Max!$A:$A,0))=1, INDEX(Max!$D:$D,MATCH(868,Max!$A:$A,0))=2), INDEX(Max!$D:$D,MATCH(868,Max!$A:$A,0)), 0), 0)</f>
        <v>0</v>
      </c>
    </row>
    <row r="1153" spans="1:9" ht="15.75" customHeight="1" x14ac:dyDescent="0.2">
      <c r="A1153" s="1">
        <v>10548</v>
      </c>
      <c r="B1153" s="1" t="s">
        <v>153</v>
      </c>
      <c r="C1153" s="1" t="s">
        <v>2702</v>
      </c>
      <c r="D1153" s="1" t="str">
        <f t="shared" si="4"/>
        <v>2</v>
      </c>
      <c r="E1153" s="1" t="s">
        <v>2703</v>
      </c>
      <c r="G1153" s="1">
        <f t="array" ref="G1153">IF(ISNUMBER(MATCH(10548,Camille!$A:$A,0)), IF(OR(INDEX(Camille!$D:$D,MATCH(10548,Camille!$A:$A,0))=1, INDEX(Camille!$D:$D,MATCH(10548,Camille!$A:$A,0))=2), INDEX(Camille!$D:$D,MATCH(10548,Camille!$A:$A,0)), 0), 0)</f>
        <v>0</v>
      </c>
      <c r="H1153" s="1">
        <f t="array" ref="H1153">IF(ISNUMBER(MATCH(10548,Telmo!$A:$A,0)), IF(OR(INDEX(Telmo!$D:$D,MATCH(10548,Telmo!$A:$A,0))=1, INDEX(Telmo!$D:$D,MATCH(10548,Telmo!$A:$A,0))=2), INDEX(Telmo!$D:$D,MATCH(10548,Telmo!$A:$A,0)), 0), 0)</f>
        <v>2</v>
      </c>
      <c r="I1153" s="1">
        <f t="array" ref="I1153">IF(ISNUMBER(MATCH(10548,Max!$A:$A,0)), IF(OR(INDEX(Max!$D:$D,MATCH(10548,Max!$A:$A,0))=1, INDEX(Max!$D:$D,MATCH(10548,Max!$A:$A,0))=2), INDEX(Max!$D:$D,MATCH(10548,Max!$A:$A,0)), 0), 0)</f>
        <v>0</v>
      </c>
    </row>
    <row r="1154" spans="1:9" ht="15.75" customHeight="1" x14ac:dyDescent="0.2">
      <c r="A1154" s="1">
        <v>29562</v>
      </c>
      <c r="B1154" s="1" t="s">
        <v>78</v>
      </c>
      <c r="C1154" s="1" t="s">
        <v>2704</v>
      </c>
      <c r="D1154" s="1" t="str">
        <f t="shared" si="4"/>
        <v>2</v>
      </c>
      <c r="E1154" s="1" t="s">
        <v>2705</v>
      </c>
      <c r="G1154" s="1">
        <f t="array" ref="G1154">IF(ISNUMBER(MATCH(29562,Camille!$A:$A,0)), IF(OR(INDEX(Camille!$D:$D,MATCH(29562,Camille!$A:$A,0))=1, INDEX(Camille!$D:$D,MATCH(29562,Camille!$A:$A,0))=2), INDEX(Camille!$D:$D,MATCH(29562,Camille!$A:$A,0)), 0), 0)</f>
        <v>0</v>
      </c>
      <c r="H1154" s="1">
        <f t="array" ref="H1154">IF(ISNUMBER(MATCH(29562,Telmo!$A:$A,0)), IF(OR(INDEX(Telmo!$D:$D,MATCH(29562,Telmo!$A:$A,0))=1, INDEX(Telmo!$D:$D,MATCH(29562,Telmo!$A:$A,0))=2), INDEX(Telmo!$D:$D,MATCH(29562,Telmo!$A:$A,0)), 0), 0)</f>
        <v>2</v>
      </c>
      <c r="I1154" s="1">
        <f t="array" ref="I1154">IF(ISNUMBER(MATCH(29562,Max!$A:$A,0)), IF(OR(INDEX(Max!$D:$D,MATCH(29562,Max!$A:$A,0))=1, INDEX(Max!$D:$D,MATCH(29562,Max!$A:$A,0))=2), INDEX(Max!$D:$D,MATCH(29562,Max!$A:$A,0)), 0), 0)</f>
        <v>0</v>
      </c>
    </row>
    <row r="1155" spans="1:9" ht="15.75" customHeight="1" x14ac:dyDescent="0.2">
      <c r="A1155" s="1">
        <v>56446</v>
      </c>
      <c r="B1155" s="1" t="s">
        <v>791</v>
      </c>
      <c r="C1155" s="1" t="s">
        <v>2706</v>
      </c>
      <c r="D1155" s="1" t="str">
        <f t="shared" si="4"/>
        <v>2</v>
      </c>
      <c r="E1155" s="1" t="s">
        <v>2707</v>
      </c>
      <c r="G1155" s="1">
        <f t="array" ref="G1155">IF(ISNUMBER(MATCH(56446,Camille!$A:$A,0)), IF(OR(INDEX(Camille!$D:$D,MATCH(56446,Camille!$A:$A,0))=1, INDEX(Camille!$D:$D,MATCH(56446,Camille!$A:$A,0))=2), INDEX(Camille!$D:$D,MATCH(56446,Camille!$A:$A,0)), 0), 0)</f>
        <v>0</v>
      </c>
      <c r="H1155" s="1">
        <f t="array" ref="H1155">IF(ISNUMBER(MATCH(56446,Telmo!$A:$A,0)), IF(OR(INDEX(Telmo!$D:$D,MATCH(56446,Telmo!$A:$A,0))=1, INDEX(Telmo!$D:$D,MATCH(56446,Telmo!$A:$A,0))=2), INDEX(Telmo!$D:$D,MATCH(56446,Telmo!$A:$A,0)), 0), 0)</f>
        <v>2</v>
      </c>
      <c r="I1155" s="1">
        <f t="array" ref="I1155">IF(ISNUMBER(MATCH(56446,Max!$A:$A,0)), IF(OR(INDEX(Max!$D:$D,MATCH(56446,Max!$A:$A,0))=1, INDEX(Max!$D:$D,MATCH(56446,Max!$A:$A,0))=2), INDEX(Max!$D:$D,MATCH(56446,Max!$A:$A,0)), 0), 0)</f>
        <v>0</v>
      </c>
    </row>
    <row r="1156" spans="1:9" ht="15.75" customHeight="1" x14ac:dyDescent="0.2">
      <c r="A1156" s="1">
        <v>29100</v>
      </c>
      <c r="B1156" s="1" t="s">
        <v>78</v>
      </c>
      <c r="C1156" s="1" t="s">
        <v>2708</v>
      </c>
      <c r="D1156" s="1" t="str">
        <f t="shared" si="4"/>
        <v>2</v>
      </c>
      <c r="E1156" s="1" t="s">
        <v>2709</v>
      </c>
      <c r="G1156" s="1">
        <f t="array" ref="G1156">IF(ISNUMBER(MATCH(29100,Camille!$A:$A,0)), IF(OR(INDEX(Camille!$D:$D,MATCH(29100,Camille!$A:$A,0))=1, INDEX(Camille!$D:$D,MATCH(29100,Camille!$A:$A,0))=2), INDEX(Camille!$D:$D,MATCH(29100,Camille!$A:$A,0)), 0), 0)</f>
        <v>0</v>
      </c>
      <c r="H1156" s="1">
        <f t="array" ref="H1156">IF(ISNUMBER(MATCH(29100,Telmo!$A:$A,0)), IF(OR(INDEX(Telmo!$D:$D,MATCH(29100,Telmo!$A:$A,0))=1, INDEX(Telmo!$D:$D,MATCH(29100,Telmo!$A:$A,0))=2), INDEX(Telmo!$D:$D,MATCH(29100,Telmo!$A:$A,0)), 0), 0)</f>
        <v>2</v>
      </c>
      <c r="I1156" s="1">
        <f t="array" ref="I1156">IF(ISNUMBER(MATCH(29100,Max!$A:$A,0)), IF(OR(INDEX(Max!$D:$D,MATCH(29100,Max!$A:$A,0))=1, INDEX(Max!$D:$D,MATCH(29100,Max!$A:$A,0))=2), INDEX(Max!$D:$D,MATCH(29100,Max!$A:$A,0)), 0), 0)</f>
        <v>0</v>
      </c>
    </row>
    <row r="1157" spans="1:9" ht="15.75" customHeight="1" x14ac:dyDescent="0.2">
      <c r="A1157" s="1">
        <v>67058</v>
      </c>
      <c r="B1157" s="1" t="s">
        <v>90</v>
      </c>
      <c r="C1157" s="1" t="s">
        <v>2710</v>
      </c>
      <c r="D1157" s="1" t="str">
        <f t="shared" si="4"/>
        <v>2</v>
      </c>
      <c r="E1157" s="1" t="s">
        <v>2711</v>
      </c>
      <c r="G1157" s="1">
        <f t="array" ref="G1157">IF(ISNUMBER(MATCH(67058,Camille!$A:$A,0)), IF(OR(INDEX(Camille!$D:$D,MATCH(67058,Camille!$A:$A,0))=1, INDEX(Camille!$D:$D,MATCH(67058,Camille!$A:$A,0))=2), INDEX(Camille!$D:$D,MATCH(67058,Camille!$A:$A,0)), 0), 0)</f>
        <v>0</v>
      </c>
      <c r="H1157" s="1">
        <f t="array" ref="H1157">IF(ISNUMBER(MATCH(67058,Telmo!$A:$A,0)), IF(OR(INDEX(Telmo!$D:$D,MATCH(67058,Telmo!$A:$A,0))=1, INDEX(Telmo!$D:$D,MATCH(67058,Telmo!$A:$A,0))=2), INDEX(Telmo!$D:$D,MATCH(67058,Telmo!$A:$A,0)), 0), 0)</f>
        <v>2</v>
      </c>
      <c r="I1157" s="1">
        <f t="array" ref="I1157">IF(ISNUMBER(MATCH(67058,Max!$A:$A,0)), IF(OR(INDEX(Max!$D:$D,MATCH(67058,Max!$A:$A,0))=1, INDEX(Max!$D:$D,MATCH(67058,Max!$A:$A,0))=2), INDEX(Max!$D:$D,MATCH(67058,Max!$A:$A,0)), 0), 0)</f>
        <v>0</v>
      </c>
    </row>
    <row r="1158" spans="1:9" ht="15.75" customHeight="1" x14ac:dyDescent="0.2">
      <c r="A1158" s="1">
        <v>38924</v>
      </c>
      <c r="B1158" s="1" t="s">
        <v>408</v>
      </c>
      <c r="C1158" s="1" t="s">
        <v>2712</v>
      </c>
      <c r="D1158" s="1" t="str">
        <f t="shared" si="4"/>
        <v>2</v>
      </c>
      <c r="E1158" s="1" t="s">
        <v>2713</v>
      </c>
      <c r="G1158" s="1">
        <f t="array" ref="G1158">IF(ISNUMBER(MATCH(38924,Camille!$A:$A,0)), IF(OR(INDEX(Camille!$D:$D,MATCH(38924,Camille!$A:$A,0))=1, INDEX(Camille!$D:$D,MATCH(38924,Camille!$A:$A,0))=2), INDEX(Camille!$D:$D,MATCH(38924,Camille!$A:$A,0)), 0), 0)</f>
        <v>0</v>
      </c>
      <c r="H1158" s="1">
        <f t="array" ref="H1158">IF(ISNUMBER(MATCH(38924,Telmo!$A:$A,0)), IF(OR(INDEX(Telmo!$D:$D,MATCH(38924,Telmo!$A:$A,0))=1, INDEX(Telmo!$D:$D,MATCH(38924,Telmo!$A:$A,0))=2), INDEX(Telmo!$D:$D,MATCH(38924,Telmo!$A:$A,0)), 0), 0)</f>
        <v>2</v>
      </c>
      <c r="I1158" s="1">
        <f t="array" ref="I1158">IF(ISNUMBER(MATCH(38924,Max!$A:$A,0)), IF(OR(INDEX(Max!$D:$D,MATCH(38924,Max!$A:$A,0))=1, INDEX(Max!$D:$D,MATCH(38924,Max!$A:$A,0))=2), INDEX(Max!$D:$D,MATCH(38924,Max!$A:$A,0)), 0), 0)</f>
        <v>0</v>
      </c>
    </row>
    <row r="1159" spans="1:9" ht="15.75" customHeight="1" x14ac:dyDescent="0.2">
      <c r="A1159" s="1">
        <v>38107</v>
      </c>
      <c r="B1159" s="1" t="s">
        <v>996</v>
      </c>
      <c r="C1159" s="1" t="s">
        <v>2714</v>
      </c>
      <c r="D1159" s="1" t="str">
        <f t="shared" si="4"/>
        <v>2</v>
      </c>
      <c r="E1159" s="1" t="s">
        <v>2715</v>
      </c>
      <c r="G1159" s="1">
        <f t="array" ref="G1159">IF(ISNUMBER(MATCH(38107,Camille!$A:$A,0)), IF(OR(INDEX(Camille!$D:$D,MATCH(38107,Camille!$A:$A,0))=1, INDEX(Camille!$D:$D,MATCH(38107,Camille!$A:$A,0))=2), INDEX(Camille!$D:$D,MATCH(38107,Camille!$A:$A,0)), 0), 0)</f>
        <v>0</v>
      </c>
      <c r="H1159" s="1">
        <f t="array" ref="H1159">IF(ISNUMBER(MATCH(38107,Telmo!$A:$A,0)), IF(OR(INDEX(Telmo!$D:$D,MATCH(38107,Telmo!$A:$A,0))=1, INDEX(Telmo!$D:$D,MATCH(38107,Telmo!$A:$A,0))=2), INDEX(Telmo!$D:$D,MATCH(38107,Telmo!$A:$A,0)), 0), 0)</f>
        <v>2</v>
      </c>
      <c r="I1159" s="1">
        <f t="array" ref="I1159">IF(ISNUMBER(MATCH(38107,Max!$A:$A,0)), IF(OR(INDEX(Max!$D:$D,MATCH(38107,Max!$A:$A,0))=1, INDEX(Max!$D:$D,MATCH(38107,Max!$A:$A,0))=2), INDEX(Max!$D:$D,MATCH(38107,Max!$A:$A,0)), 0), 0)</f>
        <v>0</v>
      </c>
    </row>
    <row r="1160" spans="1:9" ht="15.75" customHeight="1" x14ac:dyDescent="0.2">
      <c r="A1160" s="1">
        <v>48945</v>
      </c>
      <c r="B1160" s="1" t="s">
        <v>215</v>
      </c>
      <c r="C1160" s="1" t="s">
        <v>2716</v>
      </c>
      <c r="D1160" s="1" t="str">
        <f t="shared" si="4"/>
        <v>2</v>
      </c>
      <c r="E1160" s="1" t="s">
        <v>2717</v>
      </c>
      <c r="G1160" s="1">
        <f t="array" ref="G1160">IF(ISNUMBER(MATCH(48945,Camille!$A:$A,0)), IF(OR(INDEX(Camille!$D:$D,MATCH(48945,Camille!$A:$A,0))=1, INDEX(Camille!$D:$D,MATCH(48945,Camille!$A:$A,0))=2), INDEX(Camille!$D:$D,MATCH(48945,Camille!$A:$A,0)), 0), 0)</f>
        <v>0</v>
      </c>
      <c r="H1160" s="1">
        <f t="array" ref="H1160">IF(ISNUMBER(MATCH(48945,Telmo!$A:$A,0)), IF(OR(INDEX(Telmo!$D:$D,MATCH(48945,Telmo!$A:$A,0))=1, INDEX(Telmo!$D:$D,MATCH(48945,Telmo!$A:$A,0))=2), INDEX(Telmo!$D:$D,MATCH(48945,Telmo!$A:$A,0)), 0), 0)</f>
        <v>2</v>
      </c>
      <c r="I1160" s="1">
        <f t="array" ref="I1160">IF(ISNUMBER(MATCH(48945,Max!$A:$A,0)), IF(OR(INDEX(Max!$D:$D,MATCH(48945,Max!$A:$A,0))=1, INDEX(Max!$D:$D,MATCH(48945,Max!$A:$A,0))=2), INDEX(Max!$D:$D,MATCH(48945,Max!$A:$A,0)), 0), 0)</f>
        <v>0</v>
      </c>
    </row>
    <row r="1161" spans="1:9" ht="15.75" customHeight="1" x14ac:dyDescent="0.2">
      <c r="A1161" s="1">
        <v>27374</v>
      </c>
      <c r="B1161" s="1" t="s">
        <v>167</v>
      </c>
      <c r="C1161" s="1" t="s">
        <v>2718</v>
      </c>
      <c r="D1161" s="1" t="str">
        <f t="shared" si="4"/>
        <v>2</v>
      </c>
      <c r="E1161" s="1" t="s">
        <v>2719</v>
      </c>
      <c r="G1161" s="1">
        <f t="array" ref="G1161">IF(ISNUMBER(MATCH(27374,Camille!$A:$A,0)), IF(OR(INDEX(Camille!$D:$D,MATCH(27374,Camille!$A:$A,0))=1, INDEX(Camille!$D:$D,MATCH(27374,Camille!$A:$A,0))=2), INDEX(Camille!$D:$D,MATCH(27374,Camille!$A:$A,0)), 0), 0)</f>
        <v>0</v>
      </c>
      <c r="H1161" s="1">
        <f t="array" ref="H1161">IF(ISNUMBER(MATCH(27374,Telmo!$A:$A,0)), IF(OR(INDEX(Telmo!$D:$D,MATCH(27374,Telmo!$A:$A,0))=1, INDEX(Telmo!$D:$D,MATCH(27374,Telmo!$A:$A,0))=2), INDEX(Telmo!$D:$D,MATCH(27374,Telmo!$A:$A,0)), 0), 0)</f>
        <v>2</v>
      </c>
      <c r="I1161" s="1">
        <f t="array" ref="I1161">IF(ISNUMBER(MATCH(27374,Max!$A:$A,0)), IF(OR(INDEX(Max!$D:$D,MATCH(27374,Max!$A:$A,0))=1, INDEX(Max!$D:$D,MATCH(27374,Max!$A:$A,0))=2), INDEX(Max!$D:$D,MATCH(27374,Max!$A:$A,0)), 0), 0)</f>
        <v>0</v>
      </c>
    </row>
    <row r="1162" spans="1:9" ht="15.75" customHeight="1" x14ac:dyDescent="0.2">
      <c r="A1162" s="1">
        <v>61483</v>
      </c>
      <c r="B1162" s="1" t="s">
        <v>35</v>
      </c>
      <c r="C1162" s="1" t="s">
        <v>2720</v>
      </c>
      <c r="D1162" s="1" t="str">
        <f t="shared" si="4"/>
        <v>2</v>
      </c>
      <c r="E1162" s="1" t="s">
        <v>2721</v>
      </c>
      <c r="G1162" s="1">
        <f t="array" ref="G1162">IF(ISNUMBER(MATCH(61483,Camille!$A:$A,0)), IF(OR(INDEX(Camille!$D:$D,MATCH(61483,Camille!$A:$A,0))=1, INDEX(Camille!$D:$D,MATCH(61483,Camille!$A:$A,0))=2), INDEX(Camille!$D:$D,MATCH(61483,Camille!$A:$A,0)), 0), 0)</f>
        <v>0</v>
      </c>
      <c r="H1162" s="1">
        <f t="array" ref="H1162">IF(ISNUMBER(MATCH(61483,Telmo!$A:$A,0)), IF(OR(INDEX(Telmo!$D:$D,MATCH(61483,Telmo!$A:$A,0))=1, INDEX(Telmo!$D:$D,MATCH(61483,Telmo!$A:$A,0))=2), INDEX(Telmo!$D:$D,MATCH(61483,Telmo!$A:$A,0)), 0), 0)</f>
        <v>2</v>
      </c>
      <c r="I1162" s="1">
        <f t="array" ref="I1162">IF(ISNUMBER(MATCH(61483,Max!$A:$A,0)), IF(OR(INDEX(Max!$D:$D,MATCH(61483,Max!$A:$A,0))=1, INDEX(Max!$D:$D,MATCH(61483,Max!$A:$A,0))=2), INDEX(Max!$D:$D,MATCH(61483,Max!$A:$A,0)), 0), 0)</f>
        <v>0</v>
      </c>
    </row>
    <row r="1163" spans="1:9" ht="15.75" customHeight="1" x14ac:dyDescent="0.2">
      <c r="A1163" s="1">
        <v>32234</v>
      </c>
      <c r="B1163" s="1" t="s">
        <v>1102</v>
      </c>
      <c r="C1163" s="1" t="s">
        <v>2722</v>
      </c>
      <c r="D1163" s="1" t="str">
        <f t="shared" si="4"/>
        <v>2</v>
      </c>
      <c r="E1163" s="1" t="s">
        <v>2723</v>
      </c>
      <c r="G1163" s="1">
        <f t="array" ref="G1163">IF(ISNUMBER(MATCH(32234,Camille!$A:$A,0)), IF(OR(INDEX(Camille!$D:$D,MATCH(32234,Camille!$A:$A,0))=1, INDEX(Camille!$D:$D,MATCH(32234,Camille!$A:$A,0))=2), INDEX(Camille!$D:$D,MATCH(32234,Camille!$A:$A,0)), 0), 0)</f>
        <v>0</v>
      </c>
      <c r="H1163" s="1">
        <f t="array" ref="H1163">IF(ISNUMBER(MATCH(32234,Telmo!$A:$A,0)), IF(OR(INDEX(Telmo!$D:$D,MATCH(32234,Telmo!$A:$A,0))=1, INDEX(Telmo!$D:$D,MATCH(32234,Telmo!$A:$A,0))=2), INDEX(Telmo!$D:$D,MATCH(32234,Telmo!$A:$A,0)), 0), 0)</f>
        <v>2</v>
      </c>
      <c r="I1163" s="1">
        <f t="array" ref="I1163">IF(ISNUMBER(MATCH(32234,Max!$A:$A,0)), IF(OR(INDEX(Max!$D:$D,MATCH(32234,Max!$A:$A,0))=1, INDEX(Max!$D:$D,MATCH(32234,Max!$A:$A,0))=2), INDEX(Max!$D:$D,MATCH(32234,Max!$A:$A,0)), 0), 0)</f>
        <v>0</v>
      </c>
    </row>
    <row r="1164" spans="1:9" ht="15.75" customHeight="1" x14ac:dyDescent="0.2">
      <c r="A1164" s="1">
        <v>62555</v>
      </c>
      <c r="B1164" s="1" t="s">
        <v>32</v>
      </c>
      <c r="C1164" s="1" t="s">
        <v>2724</v>
      </c>
      <c r="D1164" s="1" t="str">
        <f t="shared" si="4"/>
        <v>2</v>
      </c>
      <c r="E1164" s="1" t="s">
        <v>2725</v>
      </c>
      <c r="G1164" s="1">
        <f t="array" ref="G1164">IF(ISNUMBER(MATCH(62555,Camille!$A:$A,0)), IF(OR(INDEX(Camille!$D:$D,MATCH(62555,Camille!$A:$A,0))=1, INDEX(Camille!$D:$D,MATCH(62555,Camille!$A:$A,0))=2), INDEX(Camille!$D:$D,MATCH(62555,Camille!$A:$A,0)), 0), 0)</f>
        <v>0</v>
      </c>
      <c r="H1164" s="1">
        <f t="array" ref="H1164">IF(ISNUMBER(MATCH(62555,Telmo!$A:$A,0)), IF(OR(INDEX(Telmo!$D:$D,MATCH(62555,Telmo!$A:$A,0))=1, INDEX(Telmo!$D:$D,MATCH(62555,Telmo!$A:$A,0))=2), INDEX(Telmo!$D:$D,MATCH(62555,Telmo!$A:$A,0)), 0), 0)</f>
        <v>2</v>
      </c>
      <c r="I1164" s="1">
        <f t="array" ref="I1164">IF(ISNUMBER(MATCH(62555,Max!$A:$A,0)), IF(OR(INDEX(Max!$D:$D,MATCH(62555,Max!$A:$A,0))=1, INDEX(Max!$D:$D,MATCH(62555,Max!$A:$A,0))=2), INDEX(Max!$D:$D,MATCH(62555,Max!$A:$A,0)), 0), 0)</f>
        <v>0</v>
      </c>
    </row>
    <row r="1165" spans="1:9" ht="15.75" customHeight="1" x14ac:dyDescent="0.2">
      <c r="A1165" s="1">
        <v>63045</v>
      </c>
      <c r="B1165" s="1" t="s">
        <v>109</v>
      </c>
      <c r="C1165" s="1" t="s">
        <v>2726</v>
      </c>
      <c r="D1165" s="1" t="str">
        <f t="shared" si="4"/>
        <v>1</v>
      </c>
      <c r="E1165" s="1" t="s">
        <v>2727</v>
      </c>
      <c r="G1165" s="1">
        <f t="array" ref="G1165">IF(ISNUMBER(MATCH(63045,Camille!$A:$A,0)), IF(OR(INDEX(Camille!$D:$D,MATCH(63045,Camille!$A:$A,0))=1, INDEX(Camille!$D:$D,MATCH(63045,Camille!$A:$A,0))=2), INDEX(Camille!$D:$D,MATCH(63045,Camille!$A:$A,0)), 0), 0)</f>
        <v>0</v>
      </c>
      <c r="H1165" s="1">
        <f t="array" ref="H1165">IF(ISNUMBER(MATCH(63045,Telmo!$A:$A,0)), IF(OR(INDEX(Telmo!$D:$D,MATCH(63045,Telmo!$A:$A,0))=1, INDEX(Telmo!$D:$D,MATCH(63045,Telmo!$A:$A,0))=2), INDEX(Telmo!$D:$D,MATCH(63045,Telmo!$A:$A,0)), 0), 0)</f>
        <v>1</v>
      </c>
      <c r="I1165" s="1">
        <f t="array" ref="I1165">IF(ISNUMBER(MATCH(63045,Max!$A:$A,0)), IF(OR(INDEX(Max!$D:$D,MATCH(63045,Max!$A:$A,0))=1, INDEX(Max!$D:$D,MATCH(63045,Max!$A:$A,0))=2), INDEX(Max!$D:$D,MATCH(63045,Max!$A:$A,0)), 0), 0)</f>
        <v>0</v>
      </c>
    </row>
    <row r="1166" spans="1:9" ht="15.75" customHeight="1" x14ac:dyDescent="0.2">
      <c r="A1166" s="1">
        <v>32439</v>
      </c>
      <c r="B1166" s="1" t="s">
        <v>2728</v>
      </c>
      <c r="C1166" s="1" t="s">
        <v>2729</v>
      </c>
      <c r="D1166" s="1" t="str">
        <f t="shared" si="4"/>
        <v>2</v>
      </c>
      <c r="E1166" s="1" t="s">
        <v>2730</v>
      </c>
      <c r="G1166" s="1">
        <f t="array" ref="G1166">IF(ISNUMBER(MATCH(32439,Camille!$A:$A,0)), IF(OR(INDEX(Camille!$D:$D,MATCH(32439,Camille!$A:$A,0))=1, INDEX(Camille!$D:$D,MATCH(32439,Camille!$A:$A,0))=2), INDEX(Camille!$D:$D,MATCH(32439,Camille!$A:$A,0)), 0), 0)</f>
        <v>0</v>
      </c>
      <c r="H1166" s="1">
        <f t="array" ref="H1166">IF(ISNUMBER(MATCH(32439,Telmo!$A:$A,0)), IF(OR(INDEX(Telmo!$D:$D,MATCH(32439,Telmo!$A:$A,0))=1, INDEX(Telmo!$D:$D,MATCH(32439,Telmo!$A:$A,0))=2), INDEX(Telmo!$D:$D,MATCH(32439,Telmo!$A:$A,0)), 0), 0)</f>
        <v>2</v>
      </c>
      <c r="I1166" s="1">
        <f t="array" ref="I1166">IF(ISNUMBER(MATCH(32439,Max!$A:$A,0)), IF(OR(INDEX(Max!$D:$D,MATCH(32439,Max!$A:$A,0))=1, INDEX(Max!$D:$D,MATCH(32439,Max!$A:$A,0))=2), INDEX(Max!$D:$D,MATCH(32439,Max!$A:$A,0)), 0), 0)</f>
        <v>0</v>
      </c>
    </row>
    <row r="1167" spans="1:9" ht="15.75" customHeight="1" x14ac:dyDescent="0.2">
      <c r="A1167" s="1">
        <v>69823</v>
      </c>
      <c r="B1167" s="1" t="s">
        <v>126</v>
      </c>
      <c r="C1167" s="1" t="s">
        <v>2731</v>
      </c>
      <c r="D1167" s="1" t="str">
        <f t="shared" si="4"/>
        <v>2</v>
      </c>
      <c r="E1167" s="1" t="s">
        <v>2732</v>
      </c>
      <c r="G1167" s="1">
        <f t="array" ref="G1167">IF(ISNUMBER(MATCH(69823,Camille!$A:$A,0)), IF(OR(INDEX(Camille!$D:$D,MATCH(69823,Camille!$A:$A,0))=1, INDEX(Camille!$D:$D,MATCH(69823,Camille!$A:$A,0))=2), INDEX(Camille!$D:$D,MATCH(69823,Camille!$A:$A,0)), 0), 0)</f>
        <v>0</v>
      </c>
      <c r="H1167" s="1">
        <f t="array" ref="H1167">IF(ISNUMBER(MATCH(69823,Telmo!$A:$A,0)), IF(OR(INDEX(Telmo!$D:$D,MATCH(69823,Telmo!$A:$A,0))=1, INDEX(Telmo!$D:$D,MATCH(69823,Telmo!$A:$A,0))=2), INDEX(Telmo!$D:$D,MATCH(69823,Telmo!$A:$A,0)), 0), 0)</f>
        <v>2</v>
      </c>
      <c r="I1167" s="1">
        <f t="array" ref="I1167">IF(ISNUMBER(MATCH(69823,Max!$A:$A,0)), IF(OR(INDEX(Max!$D:$D,MATCH(69823,Max!$A:$A,0))=1, INDEX(Max!$D:$D,MATCH(69823,Max!$A:$A,0))=2), INDEX(Max!$D:$D,MATCH(69823,Max!$A:$A,0)), 0), 0)</f>
        <v>0</v>
      </c>
    </row>
    <row r="1168" spans="1:9" ht="15.75" customHeight="1" x14ac:dyDescent="0.2">
      <c r="A1168" s="1">
        <v>17424</v>
      </c>
      <c r="B1168" s="1" t="s">
        <v>1548</v>
      </c>
      <c r="C1168" s="1" t="s">
        <v>2733</v>
      </c>
      <c r="D1168" s="1" t="str">
        <f t="shared" si="4"/>
        <v>2</v>
      </c>
      <c r="E1168" s="1" t="s">
        <v>2734</v>
      </c>
      <c r="G1168" s="1">
        <f t="array" ref="G1168">IF(ISNUMBER(MATCH(17424,Camille!$A:$A,0)), IF(OR(INDEX(Camille!$D:$D,MATCH(17424,Camille!$A:$A,0))=1, INDEX(Camille!$D:$D,MATCH(17424,Camille!$A:$A,0))=2), INDEX(Camille!$D:$D,MATCH(17424,Camille!$A:$A,0)), 0), 0)</f>
        <v>0</v>
      </c>
      <c r="H1168" s="1">
        <f t="array" ref="H1168">IF(ISNUMBER(MATCH(17424,Telmo!$A:$A,0)), IF(OR(INDEX(Telmo!$D:$D,MATCH(17424,Telmo!$A:$A,0))=1, INDEX(Telmo!$D:$D,MATCH(17424,Telmo!$A:$A,0))=2), INDEX(Telmo!$D:$D,MATCH(17424,Telmo!$A:$A,0)), 0), 0)</f>
        <v>2</v>
      </c>
      <c r="I1168" s="1">
        <f t="array" ref="I1168">IF(ISNUMBER(MATCH(17424,Max!$A:$A,0)), IF(OR(INDEX(Max!$D:$D,MATCH(17424,Max!$A:$A,0))=1, INDEX(Max!$D:$D,MATCH(17424,Max!$A:$A,0))=2), INDEX(Max!$D:$D,MATCH(17424,Max!$A:$A,0)), 0), 0)</f>
        <v>0</v>
      </c>
    </row>
    <row r="1169" spans="1:9" ht="15.75" customHeight="1" x14ac:dyDescent="0.2">
      <c r="A1169" s="1">
        <v>28287</v>
      </c>
      <c r="B1169" s="1" t="s">
        <v>751</v>
      </c>
      <c r="C1169" s="1" t="s">
        <v>2735</v>
      </c>
      <c r="D1169" s="1" t="str">
        <f t="shared" si="4"/>
        <v>2</v>
      </c>
      <c r="E1169" s="1" t="s">
        <v>2736</v>
      </c>
      <c r="G1169" s="1">
        <f t="array" ref="G1169">IF(ISNUMBER(MATCH(28287,Camille!$A:$A,0)), IF(OR(INDEX(Camille!$D:$D,MATCH(28287,Camille!$A:$A,0))=1, INDEX(Camille!$D:$D,MATCH(28287,Camille!$A:$A,0))=2), INDEX(Camille!$D:$D,MATCH(28287,Camille!$A:$A,0)), 0), 0)</f>
        <v>0</v>
      </c>
      <c r="H1169" s="1">
        <f t="array" ref="H1169">IF(ISNUMBER(MATCH(28287,Telmo!$A:$A,0)), IF(OR(INDEX(Telmo!$D:$D,MATCH(28287,Telmo!$A:$A,0))=1, INDEX(Telmo!$D:$D,MATCH(28287,Telmo!$A:$A,0))=2), INDEX(Telmo!$D:$D,MATCH(28287,Telmo!$A:$A,0)), 0), 0)</f>
        <v>2</v>
      </c>
      <c r="I1169" s="1">
        <f t="array" ref="I1169">IF(ISNUMBER(MATCH(28287,Max!$A:$A,0)), IF(OR(INDEX(Max!$D:$D,MATCH(28287,Max!$A:$A,0))=1, INDEX(Max!$D:$D,MATCH(28287,Max!$A:$A,0))=2), INDEX(Max!$D:$D,MATCH(28287,Max!$A:$A,0)), 0), 0)</f>
        <v>0</v>
      </c>
    </row>
    <row r="1170" spans="1:9" ht="15.75" customHeight="1" x14ac:dyDescent="0.2">
      <c r="A1170" s="1">
        <v>17971</v>
      </c>
      <c r="B1170" s="1" t="s">
        <v>354</v>
      </c>
      <c r="C1170" s="1" t="s">
        <v>2737</v>
      </c>
      <c r="D1170" s="1" t="str">
        <f t="shared" si="4"/>
        <v>1</v>
      </c>
      <c r="E1170" s="1" t="s">
        <v>2738</v>
      </c>
      <c r="G1170" s="1">
        <f t="array" ref="G1170">IF(ISNUMBER(MATCH(17971,Camille!$A:$A,0)), IF(OR(INDEX(Camille!$D:$D,MATCH(17971,Camille!$A:$A,0))=1, INDEX(Camille!$D:$D,MATCH(17971,Camille!$A:$A,0))=2), INDEX(Camille!$D:$D,MATCH(17971,Camille!$A:$A,0)), 0), 0)</f>
        <v>0</v>
      </c>
      <c r="H1170" s="1">
        <f t="array" ref="H1170">IF(ISNUMBER(MATCH(17971,Telmo!$A:$A,0)), IF(OR(INDEX(Telmo!$D:$D,MATCH(17971,Telmo!$A:$A,0))=1, INDEX(Telmo!$D:$D,MATCH(17971,Telmo!$A:$A,0))=2), INDEX(Telmo!$D:$D,MATCH(17971,Telmo!$A:$A,0)), 0), 0)</f>
        <v>1</v>
      </c>
      <c r="I1170" s="1">
        <f t="array" ref="I1170">IF(ISNUMBER(MATCH(17971,Max!$A:$A,0)), IF(OR(INDEX(Max!$D:$D,MATCH(17971,Max!$A:$A,0))=1, INDEX(Max!$D:$D,MATCH(17971,Max!$A:$A,0))=2), INDEX(Max!$D:$D,MATCH(17971,Max!$A:$A,0)), 0), 0)</f>
        <v>0</v>
      </c>
    </row>
    <row r="1171" spans="1:9" ht="15.75" customHeight="1" x14ac:dyDescent="0.2">
      <c r="A1171" s="1">
        <v>48063</v>
      </c>
      <c r="B1171" s="1" t="s">
        <v>408</v>
      </c>
      <c r="C1171" s="1" t="s">
        <v>2739</v>
      </c>
      <c r="D1171" s="1" t="str">
        <f t="shared" si="4"/>
        <v>2</v>
      </c>
      <c r="E1171" s="1" t="s">
        <v>2740</v>
      </c>
      <c r="G1171" s="1">
        <f t="array" ref="G1171">IF(ISNUMBER(MATCH(48063,Camille!$A:$A,0)), IF(OR(INDEX(Camille!$D:$D,MATCH(48063,Camille!$A:$A,0))=1, INDEX(Camille!$D:$D,MATCH(48063,Camille!$A:$A,0))=2), INDEX(Camille!$D:$D,MATCH(48063,Camille!$A:$A,0)), 0), 0)</f>
        <v>0</v>
      </c>
      <c r="H1171" s="1">
        <f t="array" ref="H1171">IF(ISNUMBER(MATCH(48063,Telmo!$A:$A,0)), IF(OR(INDEX(Telmo!$D:$D,MATCH(48063,Telmo!$A:$A,0))=1, INDEX(Telmo!$D:$D,MATCH(48063,Telmo!$A:$A,0))=2), INDEX(Telmo!$D:$D,MATCH(48063,Telmo!$A:$A,0)), 0), 0)</f>
        <v>2</v>
      </c>
      <c r="I1171" s="1">
        <f t="array" ref="I1171">IF(ISNUMBER(MATCH(48063,Max!$A:$A,0)), IF(OR(INDEX(Max!$D:$D,MATCH(48063,Max!$A:$A,0))=1, INDEX(Max!$D:$D,MATCH(48063,Max!$A:$A,0))=2), INDEX(Max!$D:$D,MATCH(48063,Max!$A:$A,0)), 0), 0)</f>
        <v>0</v>
      </c>
    </row>
    <row r="1172" spans="1:9" ht="15.75" customHeight="1" x14ac:dyDescent="0.2">
      <c r="A1172" s="1">
        <v>10093</v>
      </c>
      <c r="B1172" s="1" t="s">
        <v>2741</v>
      </c>
      <c r="C1172" s="1" t="s">
        <v>2742</v>
      </c>
      <c r="D1172" s="1" t="str">
        <f t="shared" si="4"/>
        <v>2</v>
      </c>
      <c r="E1172" s="1" t="s">
        <v>2743</v>
      </c>
      <c r="G1172" s="1">
        <f t="array" ref="G1172">IF(ISNUMBER(MATCH(10093,Camille!$A:$A,0)), IF(OR(INDEX(Camille!$D:$D,MATCH(10093,Camille!$A:$A,0))=1, INDEX(Camille!$D:$D,MATCH(10093,Camille!$A:$A,0))=2), INDEX(Camille!$D:$D,MATCH(10093,Camille!$A:$A,0)), 0), 0)</f>
        <v>0</v>
      </c>
      <c r="H1172" s="1">
        <f t="array" ref="H1172">IF(ISNUMBER(MATCH(10093,Telmo!$A:$A,0)), IF(OR(INDEX(Telmo!$D:$D,MATCH(10093,Telmo!$A:$A,0))=1, INDEX(Telmo!$D:$D,MATCH(10093,Telmo!$A:$A,0))=2), INDEX(Telmo!$D:$D,MATCH(10093,Telmo!$A:$A,0)), 0), 0)</f>
        <v>2</v>
      </c>
      <c r="I1172" s="1">
        <f t="array" ref="I1172">IF(ISNUMBER(MATCH(10093,Max!$A:$A,0)), IF(OR(INDEX(Max!$D:$D,MATCH(10093,Max!$A:$A,0))=1, INDEX(Max!$D:$D,MATCH(10093,Max!$A:$A,0))=2), INDEX(Max!$D:$D,MATCH(10093,Max!$A:$A,0)), 0), 0)</f>
        <v>0</v>
      </c>
    </row>
    <row r="1173" spans="1:9" ht="15.75" customHeight="1" x14ac:dyDescent="0.2">
      <c r="A1173" s="1">
        <v>46618</v>
      </c>
      <c r="B1173" s="1" t="s">
        <v>1333</v>
      </c>
      <c r="C1173" s="1" t="s">
        <v>2744</v>
      </c>
      <c r="D1173" s="1" t="str">
        <f t="shared" si="4"/>
        <v>2</v>
      </c>
      <c r="E1173" s="1" t="s">
        <v>2745</v>
      </c>
      <c r="G1173" s="1">
        <f t="array" ref="G1173">IF(ISNUMBER(MATCH(46618,Camille!$A:$A,0)), IF(OR(INDEX(Camille!$D:$D,MATCH(46618,Camille!$A:$A,0))=1, INDEX(Camille!$D:$D,MATCH(46618,Camille!$A:$A,0))=2), INDEX(Camille!$D:$D,MATCH(46618,Camille!$A:$A,0)), 0), 0)</f>
        <v>0</v>
      </c>
      <c r="H1173" s="1">
        <f t="array" ref="H1173">IF(ISNUMBER(MATCH(46618,Telmo!$A:$A,0)), IF(OR(INDEX(Telmo!$D:$D,MATCH(46618,Telmo!$A:$A,0))=1, INDEX(Telmo!$D:$D,MATCH(46618,Telmo!$A:$A,0))=2), INDEX(Telmo!$D:$D,MATCH(46618,Telmo!$A:$A,0)), 0), 0)</f>
        <v>2</v>
      </c>
      <c r="I1173" s="1">
        <f t="array" ref="I1173">IF(ISNUMBER(MATCH(46618,Max!$A:$A,0)), IF(OR(INDEX(Max!$D:$D,MATCH(46618,Max!$A:$A,0))=1, INDEX(Max!$D:$D,MATCH(46618,Max!$A:$A,0))=2), INDEX(Max!$D:$D,MATCH(46618,Max!$A:$A,0)), 0), 0)</f>
        <v>0</v>
      </c>
    </row>
    <row r="1174" spans="1:9" ht="15.75" customHeight="1" x14ac:dyDescent="0.2">
      <c r="A1174" s="1">
        <v>57582</v>
      </c>
      <c r="B1174" s="1" t="s">
        <v>144</v>
      </c>
      <c r="C1174" s="1" t="s">
        <v>2746</v>
      </c>
      <c r="D1174" s="1" t="str">
        <f t="shared" si="4"/>
        <v>2</v>
      </c>
      <c r="E1174" s="1" t="s">
        <v>2747</v>
      </c>
      <c r="G1174" s="1">
        <f t="array" ref="G1174">IF(ISNUMBER(MATCH(57582,Camille!$A:$A,0)), IF(OR(INDEX(Camille!$D:$D,MATCH(57582,Camille!$A:$A,0))=1, INDEX(Camille!$D:$D,MATCH(57582,Camille!$A:$A,0))=2), INDEX(Camille!$D:$D,MATCH(57582,Camille!$A:$A,0)), 0), 0)</f>
        <v>0</v>
      </c>
      <c r="H1174" s="1">
        <f t="array" ref="H1174">IF(ISNUMBER(MATCH(57582,Telmo!$A:$A,0)), IF(OR(INDEX(Telmo!$D:$D,MATCH(57582,Telmo!$A:$A,0))=1, INDEX(Telmo!$D:$D,MATCH(57582,Telmo!$A:$A,0))=2), INDEX(Telmo!$D:$D,MATCH(57582,Telmo!$A:$A,0)), 0), 0)</f>
        <v>2</v>
      </c>
      <c r="I1174" s="1">
        <f t="array" ref="I1174">IF(ISNUMBER(MATCH(57582,Max!$A:$A,0)), IF(OR(INDEX(Max!$D:$D,MATCH(57582,Max!$A:$A,0))=1, INDEX(Max!$D:$D,MATCH(57582,Max!$A:$A,0))=2), INDEX(Max!$D:$D,MATCH(57582,Max!$A:$A,0)), 0), 0)</f>
        <v>0</v>
      </c>
    </row>
    <row r="1175" spans="1:9" ht="15.75" customHeight="1" x14ac:dyDescent="0.2">
      <c r="A1175" s="1">
        <v>68900</v>
      </c>
      <c r="B1175" s="1" t="s">
        <v>751</v>
      </c>
      <c r="C1175" s="1" t="s">
        <v>2748</v>
      </c>
      <c r="D1175" s="1" t="str">
        <f t="shared" si="4"/>
        <v>2</v>
      </c>
      <c r="E1175" s="1" t="s">
        <v>2749</v>
      </c>
      <c r="G1175" s="1">
        <f t="array" ref="G1175">IF(ISNUMBER(MATCH(68900,Camille!$A:$A,0)), IF(OR(INDEX(Camille!$D:$D,MATCH(68900,Camille!$A:$A,0))=1, INDEX(Camille!$D:$D,MATCH(68900,Camille!$A:$A,0))=2), INDEX(Camille!$D:$D,MATCH(68900,Camille!$A:$A,0)), 0), 0)</f>
        <v>0</v>
      </c>
      <c r="H1175" s="1">
        <f t="array" ref="H1175">IF(ISNUMBER(MATCH(68900,Telmo!$A:$A,0)), IF(OR(INDEX(Telmo!$D:$D,MATCH(68900,Telmo!$A:$A,0))=1, INDEX(Telmo!$D:$D,MATCH(68900,Telmo!$A:$A,0))=2), INDEX(Telmo!$D:$D,MATCH(68900,Telmo!$A:$A,0)), 0), 0)</f>
        <v>2</v>
      </c>
      <c r="I1175" s="1">
        <f t="array" ref="I1175">IF(ISNUMBER(MATCH(68900,Max!$A:$A,0)), IF(OR(INDEX(Max!$D:$D,MATCH(68900,Max!$A:$A,0))=1, INDEX(Max!$D:$D,MATCH(68900,Max!$A:$A,0))=2), INDEX(Max!$D:$D,MATCH(68900,Max!$A:$A,0)), 0), 0)</f>
        <v>0</v>
      </c>
    </row>
    <row r="1176" spans="1:9" ht="15.75" customHeight="1" x14ac:dyDescent="0.2">
      <c r="A1176" s="1">
        <v>17867</v>
      </c>
      <c r="B1176" s="1" t="s">
        <v>32</v>
      </c>
      <c r="C1176" s="1" t="s">
        <v>2750</v>
      </c>
      <c r="D1176" s="1" t="str">
        <f t="shared" si="4"/>
        <v>2</v>
      </c>
      <c r="E1176" s="1" t="s">
        <v>2751</v>
      </c>
      <c r="G1176" s="1">
        <f t="array" ref="G1176">IF(ISNUMBER(MATCH(17867,Camille!$A:$A,0)), IF(OR(INDEX(Camille!$D:$D,MATCH(17867,Camille!$A:$A,0))=1, INDEX(Camille!$D:$D,MATCH(17867,Camille!$A:$A,0))=2), INDEX(Camille!$D:$D,MATCH(17867,Camille!$A:$A,0)), 0), 0)</f>
        <v>0</v>
      </c>
      <c r="H1176" s="1">
        <f t="array" ref="H1176">IF(ISNUMBER(MATCH(17867,Telmo!$A:$A,0)), IF(OR(INDEX(Telmo!$D:$D,MATCH(17867,Telmo!$A:$A,0))=1, INDEX(Telmo!$D:$D,MATCH(17867,Telmo!$A:$A,0))=2), INDEX(Telmo!$D:$D,MATCH(17867,Telmo!$A:$A,0)), 0), 0)</f>
        <v>2</v>
      </c>
      <c r="I1176" s="1">
        <f t="array" ref="I1176">IF(ISNUMBER(MATCH(17867,Max!$A:$A,0)), IF(OR(INDEX(Max!$D:$D,MATCH(17867,Max!$A:$A,0))=1, INDEX(Max!$D:$D,MATCH(17867,Max!$A:$A,0))=2), INDEX(Max!$D:$D,MATCH(17867,Max!$A:$A,0)), 0), 0)</f>
        <v>0</v>
      </c>
    </row>
    <row r="1177" spans="1:9" ht="15.75" customHeight="1" x14ac:dyDescent="0.2">
      <c r="A1177" s="1">
        <v>11885</v>
      </c>
      <c r="B1177" s="1" t="s">
        <v>2752</v>
      </c>
      <c r="C1177" s="1" t="s">
        <v>2753</v>
      </c>
      <c r="D1177" s="1" t="str">
        <f t="shared" si="4"/>
        <v>2</v>
      </c>
      <c r="E1177" s="1" t="s">
        <v>2754</v>
      </c>
      <c r="G1177" s="1">
        <f t="array" ref="G1177">IF(ISNUMBER(MATCH(11885,Camille!$A:$A,0)), IF(OR(INDEX(Camille!$D:$D,MATCH(11885,Camille!$A:$A,0))=1, INDEX(Camille!$D:$D,MATCH(11885,Camille!$A:$A,0))=2), INDEX(Camille!$D:$D,MATCH(11885,Camille!$A:$A,0)), 0), 0)</f>
        <v>0</v>
      </c>
      <c r="H1177" s="1">
        <f t="array" ref="H1177">IF(ISNUMBER(MATCH(11885,Telmo!$A:$A,0)), IF(OR(INDEX(Telmo!$D:$D,MATCH(11885,Telmo!$A:$A,0))=1, INDEX(Telmo!$D:$D,MATCH(11885,Telmo!$A:$A,0))=2), INDEX(Telmo!$D:$D,MATCH(11885,Telmo!$A:$A,0)), 0), 0)</f>
        <v>2</v>
      </c>
      <c r="I1177" s="1">
        <f t="array" ref="I1177">IF(ISNUMBER(MATCH(11885,Max!$A:$A,0)), IF(OR(INDEX(Max!$D:$D,MATCH(11885,Max!$A:$A,0))=1, INDEX(Max!$D:$D,MATCH(11885,Max!$A:$A,0))=2), INDEX(Max!$D:$D,MATCH(11885,Max!$A:$A,0)), 0), 0)</f>
        <v>0</v>
      </c>
    </row>
    <row r="1178" spans="1:9" ht="15.75" customHeight="1" x14ac:dyDescent="0.2">
      <c r="A1178" s="1">
        <v>31848</v>
      </c>
      <c r="B1178" s="1" t="s">
        <v>78</v>
      </c>
      <c r="C1178" s="1" t="s">
        <v>2755</v>
      </c>
      <c r="D1178" s="1" t="str">
        <f t="shared" si="4"/>
        <v>2</v>
      </c>
      <c r="E1178" s="1" t="s">
        <v>2756</v>
      </c>
      <c r="G1178" s="1">
        <f t="array" ref="G1178">IF(ISNUMBER(MATCH(31848,Camille!$A:$A,0)), IF(OR(INDEX(Camille!$D:$D,MATCH(31848,Camille!$A:$A,0))=1, INDEX(Camille!$D:$D,MATCH(31848,Camille!$A:$A,0))=2), INDEX(Camille!$D:$D,MATCH(31848,Camille!$A:$A,0)), 0), 0)</f>
        <v>0</v>
      </c>
      <c r="H1178" s="1">
        <f t="array" ref="H1178">IF(ISNUMBER(MATCH(31848,Telmo!$A:$A,0)), IF(OR(INDEX(Telmo!$D:$D,MATCH(31848,Telmo!$A:$A,0))=1, INDEX(Telmo!$D:$D,MATCH(31848,Telmo!$A:$A,0))=2), INDEX(Telmo!$D:$D,MATCH(31848,Telmo!$A:$A,0)), 0), 0)</f>
        <v>2</v>
      </c>
      <c r="I1178" s="1">
        <f t="array" ref="I1178">IF(ISNUMBER(MATCH(31848,Max!$A:$A,0)), IF(OR(INDEX(Max!$D:$D,MATCH(31848,Max!$A:$A,0))=1, INDEX(Max!$D:$D,MATCH(31848,Max!$A:$A,0))=2), INDEX(Max!$D:$D,MATCH(31848,Max!$A:$A,0)), 0), 0)</f>
        <v>0</v>
      </c>
    </row>
    <row r="1179" spans="1:9" ht="15.75" customHeight="1" x14ac:dyDescent="0.2">
      <c r="A1179" s="1">
        <v>26687</v>
      </c>
      <c r="B1179" s="1" t="s">
        <v>326</v>
      </c>
      <c r="C1179" s="1" t="s">
        <v>2757</v>
      </c>
      <c r="D1179" s="1" t="str">
        <f t="shared" si="4"/>
        <v>2</v>
      </c>
      <c r="E1179" s="1" t="s">
        <v>2758</v>
      </c>
      <c r="G1179" s="1">
        <f t="array" ref="G1179">IF(ISNUMBER(MATCH(26687,Camille!$A:$A,0)), IF(OR(INDEX(Camille!$D:$D,MATCH(26687,Camille!$A:$A,0))=1, INDEX(Camille!$D:$D,MATCH(26687,Camille!$A:$A,0))=2), INDEX(Camille!$D:$D,MATCH(26687,Camille!$A:$A,0)), 0), 0)</f>
        <v>0</v>
      </c>
      <c r="H1179" s="1">
        <f t="array" ref="H1179">IF(ISNUMBER(MATCH(26687,Telmo!$A:$A,0)), IF(OR(INDEX(Telmo!$D:$D,MATCH(26687,Telmo!$A:$A,0))=1, INDEX(Telmo!$D:$D,MATCH(26687,Telmo!$A:$A,0))=2), INDEX(Telmo!$D:$D,MATCH(26687,Telmo!$A:$A,0)), 0), 0)</f>
        <v>2</v>
      </c>
      <c r="I1179" s="1">
        <f t="array" ref="I1179">IF(ISNUMBER(MATCH(26687,Max!$A:$A,0)), IF(OR(INDEX(Max!$D:$D,MATCH(26687,Max!$A:$A,0))=1, INDEX(Max!$D:$D,MATCH(26687,Max!$A:$A,0))=2), INDEX(Max!$D:$D,MATCH(26687,Max!$A:$A,0)), 0), 0)</f>
        <v>0</v>
      </c>
    </row>
    <row r="1180" spans="1:9" ht="15.75" customHeight="1" x14ac:dyDescent="0.2">
      <c r="A1180" s="1">
        <v>66420</v>
      </c>
      <c r="B1180" s="1" t="s">
        <v>41</v>
      </c>
      <c r="C1180" s="1" t="s">
        <v>2759</v>
      </c>
      <c r="D1180" s="1" t="str">
        <f t="shared" si="4"/>
        <v>2</v>
      </c>
      <c r="E1180" s="1" t="s">
        <v>2760</v>
      </c>
      <c r="G1180" s="1">
        <f t="array" ref="G1180">IF(ISNUMBER(MATCH(66420,Camille!$A:$A,0)), IF(OR(INDEX(Camille!$D:$D,MATCH(66420,Camille!$A:$A,0))=1, INDEX(Camille!$D:$D,MATCH(66420,Camille!$A:$A,0))=2), INDEX(Camille!$D:$D,MATCH(66420,Camille!$A:$A,0)), 0), 0)</f>
        <v>0</v>
      </c>
      <c r="H1180" s="1">
        <f t="array" ref="H1180">IF(ISNUMBER(MATCH(66420,Telmo!$A:$A,0)), IF(OR(INDEX(Telmo!$D:$D,MATCH(66420,Telmo!$A:$A,0))=1, INDEX(Telmo!$D:$D,MATCH(66420,Telmo!$A:$A,0))=2), INDEX(Telmo!$D:$D,MATCH(66420,Telmo!$A:$A,0)), 0), 0)</f>
        <v>2</v>
      </c>
      <c r="I1180" s="1">
        <f t="array" ref="I1180">IF(ISNUMBER(MATCH(66420,Max!$A:$A,0)), IF(OR(INDEX(Max!$D:$D,MATCH(66420,Max!$A:$A,0))=1, INDEX(Max!$D:$D,MATCH(66420,Max!$A:$A,0))=2), INDEX(Max!$D:$D,MATCH(66420,Max!$A:$A,0)), 0), 0)</f>
        <v>0</v>
      </c>
    </row>
    <row r="1181" spans="1:9" ht="15.75" customHeight="1" x14ac:dyDescent="0.2">
      <c r="A1181" s="1">
        <v>31900</v>
      </c>
      <c r="B1181" s="1" t="s">
        <v>172</v>
      </c>
      <c r="C1181" s="1" t="s">
        <v>2761</v>
      </c>
      <c r="D1181" s="1" t="str">
        <f t="shared" si="4"/>
        <v>2</v>
      </c>
      <c r="E1181" s="1" t="s">
        <v>2762</v>
      </c>
      <c r="G1181" s="1">
        <f t="array" ref="G1181">IF(ISNUMBER(MATCH(31900,Camille!$A:$A,0)), IF(OR(INDEX(Camille!$D:$D,MATCH(31900,Camille!$A:$A,0))=1, INDEX(Camille!$D:$D,MATCH(31900,Camille!$A:$A,0))=2), INDEX(Camille!$D:$D,MATCH(31900,Camille!$A:$A,0)), 0), 0)</f>
        <v>0</v>
      </c>
      <c r="H1181" s="1">
        <f t="array" ref="H1181">IF(ISNUMBER(MATCH(31900,Telmo!$A:$A,0)), IF(OR(INDEX(Telmo!$D:$D,MATCH(31900,Telmo!$A:$A,0))=1, INDEX(Telmo!$D:$D,MATCH(31900,Telmo!$A:$A,0))=2), INDEX(Telmo!$D:$D,MATCH(31900,Telmo!$A:$A,0)), 0), 0)</f>
        <v>2</v>
      </c>
      <c r="I1181" s="1">
        <f t="array" ref="I1181">IF(ISNUMBER(MATCH(31900,Max!$A:$A,0)), IF(OR(INDEX(Max!$D:$D,MATCH(31900,Max!$A:$A,0))=1, INDEX(Max!$D:$D,MATCH(31900,Max!$A:$A,0))=2), INDEX(Max!$D:$D,MATCH(31900,Max!$A:$A,0)), 0), 0)</f>
        <v>0</v>
      </c>
    </row>
    <row r="1182" spans="1:9" ht="15.75" customHeight="1" x14ac:dyDescent="0.2">
      <c r="A1182" s="1">
        <v>46797</v>
      </c>
      <c r="B1182" s="1" t="s">
        <v>490</v>
      </c>
      <c r="C1182" s="1" t="s">
        <v>2763</v>
      </c>
      <c r="D1182" s="1" t="str">
        <f t="shared" si="4"/>
        <v>1</v>
      </c>
      <c r="E1182" s="1" t="s">
        <v>2764</v>
      </c>
      <c r="G1182" s="1">
        <f t="array" ref="G1182">IF(ISNUMBER(MATCH(46797,Camille!$A:$A,0)), IF(OR(INDEX(Camille!$D:$D,MATCH(46797,Camille!$A:$A,0))=1, INDEX(Camille!$D:$D,MATCH(46797,Camille!$A:$A,0))=2), INDEX(Camille!$D:$D,MATCH(46797,Camille!$A:$A,0)), 0), 0)</f>
        <v>0</v>
      </c>
      <c r="H1182" s="1">
        <f t="array" ref="H1182">IF(ISNUMBER(MATCH(46797,Telmo!$A:$A,0)), IF(OR(INDEX(Telmo!$D:$D,MATCH(46797,Telmo!$A:$A,0))=1, INDEX(Telmo!$D:$D,MATCH(46797,Telmo!$A:$A,0))=2), INDEX(Telmo!$D:$D,MATCH(46797,Telmo!$A:$A,0)), 0), 0)</f>
        <v>1</v>
      </c>
      <c r="I1182" s="1">
        <f t="array" ref="I1182">IF(ISNUMBER(MATCH(46797,Max!$A:$A,0)), IF(OR(INDEX(Max!$D:$D,MATCH(46797,Max!$A:$A,0))=1, INDEX(Max!$D:$D,MATCH(46797,Max!$A:$A,0))=2), INDEX(Max!$D:$D,MATCH(46797,Max!$A:$A,0)), 0), 0)</f>
        <v>0</v>
      </c>
    </row>
    <row r="1183" spans="1:9" ht="15.75" customHeight="1" x14ac:dyDescent="0.2">
      <c r="A1183" s="1">
        <v>65945</v>
      </c>
      <c r="B1183" s="1" t="s">
        <v>95</v>
      </c>
      <c r="C1183" s="1" t="s">
        <v>2765</v>
      </c>
      <c r="D1183" s="1" t="str">
        <f t="shared" si="4"/>
        <v>2</v>
      </c>
      <c r="E1183" s="1" t="s">
        <v>2766</v>
      </c>
      <c r="G1183" s="1">
        <f t="array" ref="G1183">IF(ISNUMBER(MATCH(65945,Camille!$A:$A,0)), IF(OR(INDEX(Camille!$D:$D,MATCH(65945,Camille!$A:$A,0))=1, INDEX(Camille!$D:$D,MATCH(65945,Camille!$A:$A,0))=2), INDEX(Camille!$D:$D,MATCH(65945,Camille!$A:$A,0)), 0), 0)</f>
        <v>0</v>
      </c>
      <c r="H1183" s="1">
        <f t="array" ref="H1183">IF(ISNUMBER(MATCH(65945,Telmo!$A:$A,0)), IF(OR(INDEX(Telmo!$D:$D,MATCH(65945,Telmo!$A:$A,0))=1, INDEX(Telmo!$D:$D,MATCH(65945,Telmo!$A:$A,0))=2), INDEX(Telmo!$D:$D,MATCH(65945,Telmo!$A:$A,0)), 0), 0)</f>
        <v>2</v>
      </c>
      <c r="I1183" s="1">
        <f t="array" ref="I1183">IF(ISNUMBER(MATCH(65945,Max!$A:$A,0)), IF(OR(INDEX(Max!$D:$D,MATCH(65945,Max!$A:$A,0))=1, INDEX(Max!$D:$D,MATCH(65945,Max!$A:$A,0))=2), INDEX(Max!$D:$D,MATCH(65945,Max!$A:$A,0)), 0), 0)</f>
        <v>0</v>
      </c>
    </row>
    <row r="1184" spans="1:9" ht="15.75" customHeight="1" x14ac:dyDescent="0.2">
      <c r="A1184" s="1">
        <v>24754</v>
      </c>
      <c r="B1184" s="1" t="s">
        <v>244</v>
      </c>
      <c r="C1184" s="1" t="s">
        <v>2767</v>
      </c>
      <c r="D1184" s="1" t="str">
        <f t="shared" si="4"/>
        <v>2</v>
      </c>
      <c r="E1184" s="1" t="s">
        <v>2768</v>
      </c>
      <c r="G1184" s="1">
        <f t="array" ref="G1184">IF(ISNUMBER(MATCH(24754,Camille!$A:$A,0)), IF(OR(INDEX(Camille!$D:$D,MATCH(24754,Camille!$A:$A,0))=1, INDEX(Camille!$D:$D,MATCH(24754,Camille!$A:$A,0))=2), INDEX(Camille!$D:$D,MATCH(24754,Camille!$A:$A,0)), 0), 0)</f>
        <v>0</v>
      </c>
      <c r="H1184" s="1">
        <f t="array" ref="H1184">IF(ISNUMBER(MATCH(24754,Telmo!$A:$A,0)), IF(OR(INDEX(Telmo!$D:$D,MATCH(24754,Telmo!$A:$A,0))=1, INDEX(Telmo!$D:$D,MATCH(24754,Telmo!$A:$A,0))=2), INDEX(Telmo!$D:$D,MATCH(24754,Telmo!$A:$A,0)), 0), 0)</f>
        <v>2</v>
      </c>
      <c r="I1184" s="1">
        <f t="array" ref="I1184">IF(ISNUMBER(MATCH(24754,Max!$A:$A,0)), IF(OR(INDEX(Max!$D:$D,MATCH(24754,Max!$A:$A,0))=1, INDEX(Max!$D:$D,MATCH(24754,Max!$A:$A,0))=2), INDEX(Max!$D:$D,MATCH(24754,Max!$A:$A,0)), 0), 0)</f>
        <v>0</v>
      </c>
    </row>
    <row r="1185" spans="1:9" ht="15.75" customHeight="1" x14ac:dyDescent="0.2">
      <c r="A1185" s="1">
        <v>61989</v>
      </c>
      <c r="B1185" s="1" t="s">
        <v>38</v>
      </c>
      <c r="C1185" s="1" t="s">
        <v>2769</v>
      </c>
      <c r="D1185" s="1" t="str">
        <f t="shared" si="4"/>
        <v>2</v>
      </c>
      <c r="E1185" s="1" t="s">
        <v>2770</v>
      </c>
      <c r="G1185" s="1">
        <f t="array" ref="G1185">IF(ISNUMBER(MATCH(61989,Camille!$A:$A,0)), IF(OR(INDEX(Camille!$D:$D,MATCH(61989,Camille!$A:$A,0))=1, INDEX(Camille!$D:$D,MATCH(61989,Camille!$A:$A,0))=2), INDEX(Camille!$D:$D,MATCH(61989,Camille!$A:$A,0)), 0), 0)</f>
        <v>0</v>
      </c>
      <c r="H1185" s="1">
        <f t="array" ref="H1185">IF(ISNUMBER(MATCH(61989,Telmo!$A:$A,0)), IF(OR(INDEX(Telmo!$D:$D,MATCH(61989,Telmo!$A:$A,0))=1, INDEX(Telmo!$D:$D,MATCH(61989,Telmo!$A:$A,0))=2), INDEX(Telmo!$D:$D,MATCH(61989,Telmo!$A:$A,0)), 0), 0)</f>
        <v>2</v>
      </c>
      <c r="I1185" s="1">
        <f t="array" ref="I1185">IF(ISNUMBER(MATCH(61989,Max!$A:$A,0)), IF(OR(INDEX(Max!$D:$D,MATCH(61989,Max!$A:$A,0))=1, INDEX(Max!$D:$D,MATCH(61989,Max!$A:$A,0))=2), INDEX(Max!$D:$D,MATCH(61989,Max!$A:$A,0)), 0), 0)</f>
        <v>0</v>
      </c>
    </row>
    <row r="1186" spans="1:9" ht="15.75" customHeight="1" x14ac:dyDescent="0.2">
      <c r="A1186" s="1">
        <v>24755</v>
      </c>
      <c r="B1186" s="1" t="s">
        <v>144</v>
      </c>
      <c r="C1186" s="1" t="s">
        <v>2771</v>
      </c>
      <c r="D1186" s="1" t="str">
        <f t="shared" si="4"/>
        <v>2</v>
      </c>
      <c r="E1186" s="1" t="s">
        <v>2772</v>
      </c>
      <c r="G1186" s="1">
        <f t="array" ref="G1186">IF(ISNUMBER(MATCH(24755,Camille!$A:$A,0)), IF(OR(INDEX(Camille!$D:$D,MATCH(24755,Camille!$A:$A,0))=1, INDEX(Camille!$D:$D,MATCH(24755,Camille!$A:$A,0))=2), INDEX(Camille!$D:$D,MATCH(24755,Camille!$A:$A,0)), 0), 0)</f>
        <v>0</v>
      </c>
      <c r="H1186" s="1">
        <f t="array" ref="H1186">IF(ISNUMBER(MATCH(24755,Telmo!$A:$A,0)), IF(OR(INDEX(Telmo!$D:$D,MATCH(24755,Telmo!$A:$A,0))=1, INDEX(Telmo!$D:$D,MATCH(24755,Telmo!$A:$A,0))=2), INDEX(Telmo!$D:$D,MATCH(24755,Telmo!$A:$A,0)), 0), 0)</f>
        <v>2</v>
      </c>
      <c r="I1186" s="1">
        <f t="array" ref="I1186">IF(ISNUMBER(MATCH(24755,Max!$A:$A,0)), IF(OR(INDEX(Max!$D:$D,MATCH(24755,Max!$A:$A,0))=1, INDEX(Max!$D:$D,MATCH(24755,Max!$A:$A,0))=2), INDEX(Max!$D:$D,MATCH(24755,Max!$A:$A,0)), 0), 0)</f>
        <v>0</v>
      </c>
    </row>
    <row r="1187" spans="1:9" ht="15.75" customHeight="1" x14ac:dyDescent="0.2">
      <c r="A1187" s="1">
        <v>3364</v>
      </c>
      <c r="B1187" s="1" t="s">
        <v>2599</v>
      </c>
      <c r="C1187" s="1" t="s">
        <v>2773</v>
      </c>
      <c r="D1187" s="1" t="str">
        <f t="shared" si="4"/>
        <v>1</v>
      </c>
      <c r="E1187" s="1" t="s">
        <v>2774</v>
      </c>
      <c r="G1187" s="1">
        <f t="array" ref="G1187">IF(ISNUMBER(MATCH(3364,Camille!$A:$A,0)), IF(OR(INDEX(Camille!$D:$D,MATCH(3364,Camille!$A:$A,0))=1, INDEX(Camille!$D:$D,MATCH(3364,Camille!$A:$A,0))=2), INDEX(Camille!$D:$D,MATCH(3364,Camille!$A:$A,0)), 0), 0)</f>
        <v>0</v>
      </c>
      <c r="H1187" s="1">
        <f t="array" ref="H1187">IF(ISNUMBER(MATCH(3364,Telmo!$A:$A,0)), IF(OR(INDEX(Telmo!$D:$D,MATCH(3364,Telmo!$A:$A,0))=1, INDEX(Telmo!$D:$D,MATCH(3364,Telmo!$A:$A,0))=2), INDEX(Telmo!$D:$D,MATCH(3364,Telmo!$A:$A,0)), 0), 0)</f>
        <v>1</v>
      </c>
      <c r="I1187" s="1">
        <f t="array" ref="I1187">IF(ISNUMBER(MATCH(3364,Max!$A:$A,0)), IF(OR(INDEX(Max!$D:$D,MATCH(3364,Max!$A:$A,0))=1, INDEX(Max!$D:$D,MATCH(3364,Max!$A:$A,0))=2), INDEX(Max!$D:$D,MATCH(3364,Max!$A:$A,0)), 0), 0)</f>
        <v>0</v>
      </c>
    </row>
    <row r="1188" spans="1:9" ht="15.75" customHeight="1" x14ac:dyDescent="0.2">
      <c r="A1188" s="1">
        <v>11861</v>
      </c>
      <c r="B1188" s="1" t="s">
        <v>78</v>
      </c>
      <c r="C1188" s="1" t="s">
        <v>2775</v>
      </c>
      <c r="D1188" s="1" t="str">
        <f t="shared" si="4"/>
        <v>2</v>
      </c>
      <c r="E1188" s="1" t="s">
        <v>2776</v>
      </c>
      <c r="G1188" s="1">
        <f t="array" ref="G1188">IF(ISNUMBER(MATCH(11861,Camille!$A:$A,0)), IF(OR(INDEX(Camille!$D:$D,MATCH(11861,Camille!$A:$A,0))=1, INDEX(Camille!$D:$D,MATCH(11861,Camille!$A:$A,0))=2), INDEX(Camille!$D:$D,MATCH(11861,Camille!$A:$A,0)), 0), 0)</f>
        <v>0</v>
      </c>
      <c r="H1188" s="1">
        <f t="array" ref="H1188">IF(ISNUMBER(MATCH(11861,Telmo!$A:$A,0)), IF(OR(INDEX(Telmo!$D:$D,MATCH(11861,Telmo!$A:$A,0))=1, INDEX(Telmo!$D:$D,MATCH(11861,Telmo!$A:$A,0))=2), INDEX(Telmo!$D:$D,MATCH(11861,Telmo!$A:$A,0)), 0), 0)</f>
        <v>2</v>
      </c>
      <c r="I1188" s="1">
        <f t="array" ref="I1188">IF(ISNUMBER(MATCH(11861,Max!$A:$A,0)), IF(OR(INDEX(Max!$D:$D,MATCH(11861,Max!$A:$A,0))=1, INDEX(Max!$D:$D,MATCH(11861,Max!$A:$A,0))=2), INDEX(Max!$D:$D,MATCH(11861,Max!$A:$A,0)), 0), 0)</f>
        <v>0</v>
      </c>
    </row>
    <row r="1189" spans="1:9" ht="15.75" customHeight="1" x14ac:dyDescent="0.2">
      <c r="A1189" s="1">
        <v>39244</v>
      </c>
      <c r="B1189" s="1" t="s">
        <v>2777</v>
      </c>
      <c r="C1189" s="1" t="s">
        <v>2778</v>
      </c>
      <c r="D1189" s="1" t="str">
        <f t="shared" si="4"/>
        <v>1</v>
      </c>
      <c r="E1189" s="1" t="s">
        <v>2779</v>
      </c>
      <c r="G1189" s="1">
        <f t="array" ref="G1189">IF(ISNUMBER(MATCH(39244,Camille!$A:$A,0)), IF(OR(INDEX(Camille!$D:$D,MATCH(39244,Camille!$A:$A,0))=1, INDEX(Camille!$D:$D,MATCH(39244,Camille!$A:$A,0))=2), INDEX(Camille!$D:$D,MATCH(39244,Camille!$A:$A,0)), 0), 0)</f>
        <v>0</v>
      </c>
      <c r="H1189" s="1">
        <f t="array" ref="H1189">IF(ISNUMBER(MATCH(39244,Telmo!$A:$A,0)), IF(OR(INDEX(Telmo!$D:$D,MATCH(39244,Telmo!$A:$A,0))=1, INDEX(Telmo!$D:$D,MATCH(39244,Telmo!$A:$A,0))=2), INDEX(Telmo!$D:$D,MATCH(39244,Telmo!$A:$A,0)), 0), 0)</f>
        <v>1</v>
      </c>
      <c r="I1189" s="1">
        <f t="array" ref="I1189">IF(ISNUMBER(MATCH(39244,Max!$A:$A,0)), IF(OR(INDEX(Max!$D:$D,MATCH(39244,Max!$A:$A,0))=1, INDEX(Max!$D:$D,MATCH(39244,Max!$A:$A,0))=2), INDEX(Max!$D:$D,MATCH(39244,Max!$A:$A,0)), 0), 0)</f>
        <v>0</v>
      </c>
    </row>
    <row r="1190" spans="1:9" ht="15.75" customHeight="1" x14ac:dyDescent="0.2">
      <c r="A1190" s="1">
        <v>65392</v>
      </c>
      <c r="B1190" s="1" t="s">
        <v>2780</v>
      </c>
      <c r="C1190" s="1" t="s">
        <v>2781</v>
      </c>
      <c r="D1190" s="1" t="str">
        <f t="shared" si="4"/>
        <v>1</v>
      </c>
      <c r="E1190" s="1" t="s">
        <v>2782</v>
      </c>
      <c r="G1190" s="1">
        <f t="array" ref="G1190">IF(ISNUMBER(MATCH(65392,Camille!$A:$A,0)), IF(OR(INDEX(Camille!$D:$D,MATCH(65392,Camille!$A:$A,0))=1, INDEX(Camille!$D:$D,MATCH(65392,Camille!$A:$A,0))=2), INDEX(Camille!$D:$D,MATCH(65392,Camille!$A:$A,0)), 0), 0)</f>
        <v>0</v>
      </c>
      <c r="H1190" s="1">
        <f t="array" ref="H1190">IF(ISNUMBER(MATCH(65392,Telmo!$A:$A,0)), IF(OR(INDEX(Telmo!$D:$D,MATCH(65392,Telmo!$A:$A,0))=1, INDEX(Telmo!$D:$D,MATCH(65392,Telmo!$A:$A,0))=2), INDEX(Telmo!$D:$D,MATCH(65392,Telmo!$A:$A,0)), 0), 0)</f>
        <v>1</v>
      </c>
      <c r="I1190" s="1">
        <f t="array" ref="I1190">IF(ISNUMBER(MATCH(65392,Max!$A:$A,0)), IF(OR(INDEX(Max!$D:$D,MATCH(65392,Max!$A:$A,0))=1, INDEX(Max!$D:$D,MATCH(65392,Max!$A:$A,0))=2), INDEX(Max!$D:$D,MATCH(65392,Max!$A:$A,0)), 0), 0)</f>
        <v>0</v>
      </c>
    </row>
    <row r="1191" spans="1:9" ht="15.75" customHeight="1" x14ac:dyDescent="0.2">
      <c r="A1191" s="1">
        <v>48242</v>
      </c>
      <c r="B1191" s="1" t="s">
        <v>1921</v>
      </c>
      <c r="C1191" s="1" t="s">
        <v>2783</v>
      </c>
      <c r="D1191" s="1" t="str">
        <f t="shared" si="4"/>
        <v>2</v>
      </c>
      <c r="E1191" s="1" t="s">
        <v>2784</v>
      </c>
      <c r="G1191" s="1">
        <f t="array" ref="G1191">IF(ISNUMBER(MATCH(48242,Camille!$A:$A,0)), IF(OR(INDEX(Camille!$D:$D,MATCH(48242,Camille!$A:$A,0))=1, INDEX(Camille!$D:$D,MATCH(48242,Camille!$A:$A,0))=2), INDEX(Camille!$D:$D,MATCH(48242,Camille!$A:$A,0)), 0), 0)</f>
        <v>0</v>
      </c>
      <c r="H1191" s="1">
        <f t="array" ref="H1191">IF(ISNUMBER(MATCH(48242,Telmo!$A:$A,0)), IF(OR(INDEX(Telmo!$D:$D,MATCH(48242,Telmo!$A:$A,0))=1, INDEX(Telmo!$D:$D,MATCH(48242,Telmo!$A:$A,0))=2), INDEX(Telmo!$D:$D,MATCH(48242,Telmo!$A:$A,0)), 0), 0)</f>
        <v>2</v>
      </c>
      <c r="I1191" s="1">
        <f t="array" ref="I1191">IF(ISNUMBER(MATCH(48242,Max!$A:$A,0)), IF(OR(INDEX(Max!$D:$D,MATCH(48242,Max!$A:$A,0))=1, INDEX(Max!$D:$D,MATCH(48242,Max!$A:$A,0))=2), INDEX(Max!$D:$D,MATCH(48242,Max!$A:$A,0)), 0), 0)</f>
        <v>0</v>
      </c>
    </row>
    <row r="1192" spans="1:9" ht="15.75" customHeight="1" x14ac:dyDescent="0.2">
      <c r="A1192" s="1">
        <v>9159</v>
      </c>
      <c r="B1192" s="1" t="s">
        <v>2785</v>
      </c>
      <c r="C1192" s="1" t="s">
        <v>2786</v>
      </c>
      <c r="D1192" s="1" t="str">
        <f t="shared" si="4"/>
        <v>2</v>
      </c>
      <c r="E1192" s="1" t="s">
        <v>2787</v>
      </c>
      <c r="G1192" s="1">
        <f t="array" ref="G1192">IF(ISNUMBER(MATCH(9159,Camille!$A:$A,0)), IF(OR(INDEX(Camille!$D:$D,MATCH(9159,Camille!$A:$A,0))=1, INDEX(Camille!$D:$D,MATCH(9159,Camille!$A:$A,0))=2), INDEX(Camille!$D:$D,MATCH(9159,Camille!$A:$A,0)), 0), 0)</f>
        <v>0</v>
      </c>
      <c r="H1192" s="1">
        <f t="array" ref="H1192">IF(ISNUMBER(MATCH(9159,Telmo!$A:$A,0)), IF(OR(INDEX(Telmo!$D:$D,MATCH(9159,Telmo!$A:$A,0))=1, INDEX(Telmo!$D:$D,MATCH(9159,Telmo!$A:$A,0))=2), INDEX(Telmo!$D:$D,MATCH(9159,Telmo!$A:$A,0)), 0), 0)</f>
        <v>2</v>
      </c>
      <c r="I1192" s="1">
        <f t="array" ref="I1192">IF(ISNUMBER(MATCH(9159,Max!$A:$A,0)), IF(OR(INDEX(Max!$D:$D,MATCH(9159,Max!$A:$A,0))=1, INDEX(Max!$D:$D,MATCH(9159,Max!$A:$A,0))=2), INDEX(Max!$D:$D,MATCH(9159,Max!$A:$A,0)), 0), 0)</f>
        <v>0</v>
      </c>
    </row>
    <row r="1193" spans="1:9" ht="15.75" customHeight="1" x14ac:dyDescent="0.2">
      <c r="A1193" s="1">
        <v>25973</v>
      </c>
      <c r="B1193" s="1" t="s">
        <v>78</v>
      </c>
      <c r="C1193" s="1" t="s">
        <v>2788</v>
      </c>
      <c r="D1193" s="1" t="str">
        <f t="shared" si="4"/>
        <v>1</v>
      </c>
      <c r="E1193" s="1" t="s">
        <v>2789</v>
      </c>
      <c r="G1193" s="1">
        <f t="array" ref="G1193">IF(ISNUMBER(MATCH(25973,Camille!$A:$A,0)), IF(OR(INDEX(Camille!$D:$D,MATCH(25973,Camille!$A:$A,0))=1, INDEX(Camille!$D:$D,MATCH(25973,Camille!$A:$A,0))=2), INDEX(Camille!$D:$D,MATCH(25973,Camille!$A:$A,0)), 0), 0)</f>
        <v>0</v>
      </c>
      <c r="H1193" s="1">
        <f t="array" ref="H1193">IF(ISNUMBER(MATCH(25973,Telmo!$A:$A,0)), IF(OR(INDEX(Telmo!$D:$D,MATCH(25973,Telmo!$A:$A,0))=1, INDEX(Telmo!$D:$D,MATCH(25973,Telmo!$A:$A,0))=2), INDEX(Telmo!$D:$D,MATCH(25973,Telmo!$A:$A,0)), 0), 0)</f>
        <v>1</v>
      </c>
      <c r="I1193" s="1">
        <f t="array" ref="I1193">IF(ISNUMBER(MATCH(25973,Max!$A:$A,0)), IF(OR(INDEX(Max!$D:$D,MATCH(25973,Max!$A:$A,0))=1, INDEX(Max!$D:$D,MATCH(25973,Max!$A:$A,0))=2), INDEX(Max!$D:$D,MATCH(25973,Max!$A:$A,0)), 0), 0)</f>
        <v>0</v>
      </c>
    </row>
    <row r="1194" spans="1:9" ht="15.75" customHeight="1" x14ac:dyDescent="0.2">
      <c r="A1194" s="1">
        <v>7029</v>
      </c>
      <c r="B1194" s="1" t="s">
        <v>78</v>
      </c>
      <c r="C1194" s="1" t="s">
        <v>2790</v>
      </c>
      <c r="D1194" s="1" t="str">
        <f t="shared" si="4"/>
        <v>1</v>
      </c>
      <c r="E1194" s="1" t="s">
        <v>2791</v>
      </c>
      <c r="G1194" s="1">
        <f t="array" ref="G1194">IF(ISNUMBER(MATCH(7029,Camille!$A:$A,0)), IF(OR(INDEX(Camille!$D:$D,MATCH(7029,Camille!$A:$A,0))=1, INDEX(Camille!$D:$D,MATCH(7029,Camille!$A:$A,0))=2), INDEX(Camille!$D:$D,MATCH(7029,Camille!$A:$A,0)), 0), 0)</f>
        <v>0</v>
      </c>
      <c r="H1194" s="1">
        <f t="array" ref="H1194">IF(ISNUMBER(MATCH(7029,Telmo!$A:$A,0)), IF(OR(INDEX(Telmo!$D:$D,MATCH(7029,Telmo!$A:$A,0))=1, INDEX(Telmo!$D:$D,MATCH(7029,Telmo!$A:$A,0))=2), INDEX(Telmo!$D:$D,MATCH(7029,Telmo!$A:$A,0)), 0), 0)</f>
        <v>1</v>
      </c>
      <c r="I1194" s="1">
        <f t="array" ref="I1194">IF(ISNUMBER(MATCH(7029,Max!$A:$A,0)), IF(OR(INDEX(Max!$D:$D,MATCH(7029,Max!$A:$A,0))=1, INDEX(Max!$D:$D,MATCH(7029,Max!$A:$A,0))=2), INDEX(Max!$D:$D,MATCH(7029,Max!$A:$A,0)), 0), 0)</f>
        <v>0</v>
      </c>
    </row>
    <row r="1195" spans="1:9" ht="15.75" customHeight="1" x14ac:dyDescent="0.2">
      <c r="A1195" s="1">
        <v>51018</v>
      </c>
      <c r="B1195" s="1" t="s">
        <v>259</v>
      </c>
      <c r="C1195" s="1" t="s">
        <v>2792</v>
      </c>
      <c r="D1195" s="1" t="str">
        <f t="shared" si="4"/>
        <v>1</v>
      </c>
      <c r="E1195" s="1" t="s">
        <v>2793</v>
      </c>
      <c r="G1195" s="1">
        <f t="array" ref="G1195">IF(ISNUMBER(MATCH(51018,Camille!$A:$A,0)), IF(OR(INDEX(Camille!$D:$D,MATCH(51018,Camille!$A:$A,0))=1, INDEX(Camille!$D:$D,MATCH(51018,Camille!$A:$A,0))=2), INDEX(Camille!$D:$D,MATCH(51018,Camille!$A:$A,0)), 0), 0)</f>
        <v>0</v>
      </c>
      <c r="H1195" s="1">
        <f t="array" ref="H1195">IF(ISNUMBER(MATCH(51018,Telmo!$A:$A,0)), IF(OR(INDEX(Telmo!$D:$D,MATCH(51018,Telmo!$A:$A,0))=1, INDEX(Telmo!$D:$D,MATCH(51018,Telmo!$A:$A,0))=2), INDEX(Telmo!$D:$D,MATCH(51018,Telmo!$A:$A,0)), 0), 0)</f>
        <v>1</v>
      </c>
      <c r="I1195" s="1">
        <f t="array" ref="I1195">IF(ISNUMBER(MATCH(51018,Max!$A:$A,0)), IF(OR(INDEX(Max!$D:$D,MATCH(51018,Max!$A:$A,0))=1, INDEX(Max!$D:$D,MATCH(51018,Max!$A:$A,0))=2), INDEX(Max!$D:$D,MATCH(51018,Max!$A:$A,0)), 0), 0)</f>
        <v>0</v>
      </c>
    </row>
    <row r="1196" spans="1:9" ht="15.75" customHeight="1" x14ac:dyDescent="0.2">
      <c r="A1196" s="1">
        <v>25167</v>
      </c>
      <c r="B1196" s="1" t="s">
        <v>2794</v>
      </c>
      <c r="C1196" s="1" t="s">
        <v>2795</v>
      </c>
      <c r="D1196" s="1" t="str">
        <f t="shared" si="4"/>
        <v>2</v>
      </c>
      <c r="E1196" s="1" t="s">
        <v>2796</v>
      </c>
      <c r="G1196" s="1">
        <f t="array" ref="G1196">IF(ISNUMBER(MATCH(25167,Camille!$A:$A,0)), IF(OR(INDEX(Camille!$D:$D,MATCH(25167,Camille!$A:$A,0))=1, INDEX(Camille!$D:$D,MATCH(25167,Camille!$A:$A,0))=2), INDEX(Camille!$D:$D,MATCH(25167,Camille!$A:$A,0)), 0), 0)</f>
        <v>0</v>
      </c>
      <c r="H1196" s="1">
        <f t="array" ref="H1196">IF(ISNUMBER(MATCH(25167,Telmo!$A:$A,0)), IF(OR(INDEX(Telmo!$D:$D,MATCH(25167,Telmo!$A:$A,0))=1, INDEX(Telmo!$D:$D,MATCH(25167,Telmo!$A:$A,0))=2), INDEX(Telmo!$D:$D,MATCH(25167,Telmo!$A:$A,0)), 0), 0)</f>
        <v>2</v>
      </c>
      <c r="I1196" s="1">
        <f t="array" ref="I1196">IF(ISNUMBER(MATCH(25167,Max!$A:$A,0)), IF(OR(INDEX(Max!$D:$D,MATCH(25167,Max!$A:$A,0))=1, INDEX(Max!$D:$D,MATCH(25167,Max!$A:$A,0))=2), INDEX(Max!$D:$D,MATCH(25167,Max!$A:$A,0)), 0), 0)</f>
        <v>0</v>
      </c>
    </row>
    <row r="1197" spans="1:9" ht="15.75" customHeight="1" x14ac:dyDescent="0.2">
      <c r="A1197" s="1">
        <v>28763</v>
      </c>
      <c r="B1197" s="1" t="s">
        <v>2797</v>
      </c>
      <c r="C1197" s="1" t="s">
        <v>2798</v>
      </c>
      <c r="D1197" s="1" t="str">
        <f t="shared" si="4"/>
        <v>2</v>
      </c>
      <c r="E1197" s="1" t="s">
        <v>2799</v>
      </c>
      <c r="G1197" s="1">
        <f t="array" ref="G1197">IF(ISNUMBER(MATCH(28763,Camille!$A:$A,0)), IF(OR(INDEX(Camille!$D:$D,MATCH(28763,Camille!$A:$A,0))=1, INDEX(Camille!$D:$D,MATCH(28763,Camille!$A:$A,0))=2), INDEX(Camille!$D:$D,MATCH(28763,Camille!$A:$A,0)), 0), 0)</f>
        <v>0</v>
      </c>
      <c r="H1197" s="1">
        <f t="array" ref="H1197">IF(ISNUMBER(MATCH(28763,Telmo!$A:$A,0)), IF(OR(INDEX(Telmo!$D:$D,MATCH(28763,Telmo!$A:$A,0))=1, INDEX(Telmo!$D:$D,MATCH(28763,Telmo!$A:$A,0))=2), INDEX(Telmo!$D:$D,MATCH(28763,Telmo!$A:$A,0)), 0), 0)</f>
        <v>2</v>
      </c>
      <c r="I1197" s="1">
        <f t="array" ref="I1197">IF(ISNUMBER(MATCH(28763,Max!$A:$A,0)), IF(OR(INDEX(Max!$D:$D,MATCH(28763,Max!$A:$A,0))=1, INDEX(Max!$D:$D,MATCH(28763,Max!$A:$A,0))=2), INDEX(Max!$D:$D,MATCH(28763,Max!$A:$A,0)), 0), 0)</f>
        <v>0</v>
      </c>
    </row>
    <row r="1198" spans="1:9" ht="15.75" customHeight="1" x14ac:dyDescent="0.2">
      <c r="A1198" s="1">
        <v>71736</v>
      </c>
      <c r="B1198" s="1" t="s">
        <v>276</v>
      </c>
      <c r="C1198" s="1" t="s">
        <v>2800</v>
      </c>
      <c r="D1198" s="1" t="str">
        <f t="shared" si="4"/>
        <v>1</v>
      </c>
      <c r="E1198" s="1" t="s">
        <v>2801</v>
      </c>
      <c r="G1198" s="1">
        <f t="array" ref="G1198">IF(ISNUMBER(MATCH(71736,Camille!$A:$A,0)), IF(OR(INDEX(Camille!$D:$D,MATCH(71736,Camille!$A:$A,0))=1, INDEX(Camille!$D:$D,MATCH(71736,Camille!$A:$A,0))=2), INDEX(Camille!$D:$D,MATCH(71736,Camille!$A:$A,0)), 0), 0)</f>
        <v>0</v>
      </c>
      <c r="H1198" s="1">
        <f t="array" ref="H1198">IF(ISNUMBER(MATCH(71736,Telmo!$A:$A,0)), IF(OR(INDEX(Telmo!$D:$D,MATCH(71736,Telmo!$A:$A,0))=1, INDEX(Telmo!$D:$D,MATCH(71736,Telmo!$A:$A,0))=2), INDEX(Telmo!$D:$D,MATCH(71736,Telmo!$A:$A,0)), 0), 0)</f>
        <v>1</v>
      </c>
      <c r="I1198" s="1">
        <f t="array" ref="I1198">IF(ISNUMBER(MATCH(71736,Max!$A:$A,0)), IF(OR(INDEX(Max!$D:$D,MATCH(71736,Max!$A:$A,0))=1, INDEX(Max!$D:$D,MATCH(71736,Max!$A:$A,0))=2), INDEX(Max!$D:$D,MATCH(71736,Max!$A:$A,0)), 0), 0)</f>
        <v>0</v>
      </c>
    </row>
    <row r="1199" spans="1:9" ht="15.75" customHeight="1" x14ac:dyDescent="0.2">
      <c r="A1199" s="1">
        <v>38668</v>
      </c>
      <c r="B1199" s="1" t="s">
        <v>298</v>
      </c>
      <c r="C1199" s="1" t="s">
        <v>2802</v>
      </c>
      <c r="D1199" s="1" t="str">
        <f t="shared" si="4"/>
        <v>2</v>
      </c>
      <c r="E1199" s="1" t="s">
        <v>2803</v>
      </c>
      <c r="G1199" s="1">
        <f t="array" ref="G1199">IF(ISNUMBER(MATCH(38668,Camille!$A:$A,0)), IF(OR(INDEX(Camille!$D:$D,MATCH(38668,Camille!$A:$A,0))=1, INDEX(Camille!$D:$D,MATCH(38668,Camille!$A:$A,0))=2), INDEX(Camille!$D:$D,MATCH(38668,Camille!$A:$A,0)), 0), 0)</f>
        <v>0</v>
      </c>
      <c r="H1199" s="1">
        <f t="array" ref="H1199">IF(ISNUMBER(MATCH(38668,Telmo!$A:$A,0)), IF(OR(INDEX(Telmo!$D:$D,MATCH(38668,Telmo!$A:$A,0))=1, INDEX(Telmo!$D:$D,MATCH(38668,Telmo!$A:$A,0))=2), INDEX(Telmo!$D:$D,MATCH(38668,Telmo!$A:$A,0)), 0), 0)</f>
        <v>2</v>
      </c>
      <c r="I1199" s="1">
        <f t="array" ref="I1199">IF(ISNUMBER(MATCH(38668,Max!$A:$A,0)), IF(OR(INDEX(Max!$D:$D,MATCH(38668,Max!$A:$A,0))=1, INDEX(Max!$D:$D,MATCH(38668,Max!$A:$A,0))=2), INDEX(Max!$D:$D,MATCH(38668,Max!$A:$A,0)), 0), 0)</f>
        <v>0</v>
      </c>
    </row>
    <row r="1200" spans="1:9" ht="15.75" customHeight="1" x14ac:dyDescent="0.2">
      <c r="A1200" s="1">
        <v>59095</v>
      </c>
      <c r="B1200" s="1" t="s">
        <v>723</v>
      </c>
      <c r="C1200" s="1" t="s">
        <v>2804</v>
      </c>
      <c r="D1200" s="1" t="str">
        <f t="shared" si="4"/>
        <v>2</v>
      </c>
      <c r="E1200" s="1" t="s">
        <v>2805</v>
      </c>
      <c r="G1200" s="1">
        <f t="array" ref="G1200">IF(ISNUMBER(MATCH(59095,Camille!$A:$A,0)), IF(OR(INDEX(Camille!$D:$D,MATCH(59095,Camille!$A:$A,0))=1, INDEX(Camille!$D:$D,MATCH(59095,Camille!$A:$A,0))=2), INDEX(Camille!$D:$D,MATCH(59095,Camille!$A:$A,0)), 0), 0)</f>
        <v>0</v>
      </c>
      <c r="H1200" s="1">
        <f t="array" ref="H1200">IF(ISNUMBER(MATCH(59095,Telmo!$A:$A,0)), IF(OR(INDEX(Telmo!$D:$D,MATCH(59095,Telmo!$A:$A,0))=1, INDEX(Telmo!$D:$D,MATCH(59095,Telmo!$A:$A,0))=2), INDEX(Telmo!$D:$D,MATCH(59095,Telmo!$A:$A,0)), 0), 0)</f>
        <v>2</v>
      </c>
      <c r="I1200" s="1">
        <f t="array" ref="I1200">IF(ISNUMBER(MATCH(59095,Max!$A:$A,0)), IF(OR(INDEX(Max!$D:$D,MATCH(59095,Max!$A:$A,0))=1, INDEX(Max!$D:$D,MATCH(59095,Max!$A:$A,0))=2), INDEX(Max!$D:$D,MATCH(59095,Max!$A:$A,0)), 0), 0)</f>
        <v>0</v>
      </c>
    </row>
    <row r="1201" spans="1:9" ht="15.75" customHeight="1" x14ac:dyDescent="0.2">
      <c r="A1201" s="1">
        <v>54521</v>
      </c>
      <c r="B1201" s="1" t="s">
        <v>185</v>
      </c>
      <c r="C1201" s="1" t="s">
        <v>2806</v>
      </c>
      <c r="D1201" s="1" t="str">
        <f t="shared" si="4"/>
        <v>2</v>
      </c>
      <c r="E1201" s="1" t="s">
        <v>2807</v>
      </c>
      <c r="G1201" s="1">
        <f t="array" ref="G1201">IF(ISNUMBER(MATCH(54521,Camille!$A:$A,0)), IF(OR(INDEX(Camille!$D:$D,MATCH(54521,Camille!$A:$A,0))=1, INDEX(Camille!$D:$D,MATCH(54521,Camille!$A:$A,0))=2), INDEX(Camille!$D:$D,MATCH(54521,Camille!$A:$A,0)), 0), 0)</f>
        <v>0</v>
      </c>
      <c r="H1201" s="1">
        <f t="array" ref="H1201">IF(ISNUMBER(MATCH(54521,Telmo!$A:$A,0)), IF(OR(INDEX(Telmo!$D:$D,MATCH(54521,Telmo!$A:$A,0))=1, INDEX(Telmo!$D:$D,MATCH(54521,Telmo!$A:$A,0))=2), INDEX(Telmo!$D:$D,MATCH(54521,Telmo!$A:$A,0)), 0), 0)</f>
        <v>2</v>
      </c>
      <c r="I1201" s="1">
        <f t="array" ref="I1201">IF(ISNUMBER(MATCH(54521,Max!$A:$A,0)), IF(OR(INDEX(Max!$D:$D,MATCH(54521,Max!$A:$A,0))=1, INDEX(Max!$D:$D,MATCH(54521,Max!$A:$A,0))=2), INDEX(Max!$D:$D,MATCH(54521,Max!$A:$A,0)), 0), 0)</f>
        <v>0</v>
      </c>
    </row>
    <row r="1202" spans="1:9" ht="15.75" customHeight="1" x14ac:dyDescent="0.2">
      <c r="A1202" s="1">
        <v>50932</v>
      </c>
      <c r="B1202" s="1" t="s">
        <v>11</v>
      </c>
      <c r="C1202" s="1" t="s">
        <v>2808</v>
      </c>
      <c r="D1202" s="1" t="str">
        <f t="shared" si="4"/>
        <v>2</v>
      </c>
      <c r="E1202" s="1" t="s">
        <v>2809</v>
      </c>
      <c r="G1202" s="1">
        <f t="array" ref="G1202">IF(ISNUMBER(MATCH(50932,Camille!$A:$A,0)), IF(OR(INDEX(Camille!$D:$D,MATCH(50932,Camille!$A:$A,0))=1, INDEX(Camille!$D:$D,MATCH(50932,Camille!$A:$A,0))=2), INDEX(Camille!$D:$D,MATCH(50932,Camille!$A:$A,0)), 0), 0)</f>
        <v>0</v>
      </c>
      <c r="H1202" s="1">
        <f t="array" ref="H1202">IF(ISNUMBER(MATCH(50932,Telmo!$A:$A,0)), IF(OR(INDEX(Telmo!$D:$D,MATCH(50932,Telmo!$A:$A,0))=1, INDEX(Telmo!$D:$D,MATCH(50932,Telmo!$A:$A,0))=2), INDEX(Telmo!$D:$D,MATCH(50932,Telmo!$A:$A,0)), 0), 0)</f>
        <v>2</v>
      </c>
      <c r="I1202" s="1">
        <f t="array" ref="I1202">IF(ISNUMBER(MATCH(50932,Max!$A:$A,0)), IF(OR(INDEX(Max!$D:$D,MATCH(50932,Max!$A:$A,0))=1, INDEX(Max!$D:$D,MATCH(50932,Max!$A:$A,0))=2), INDEX(Max!$D:$D,MATCH(50932,Max!$A:$A,0)), 0), 0)</f>
        <v>0</v>
      </c>
    </row>
    <row r="1203" spans="1:9" ht="15.75" customHeight="1" x14ac:dyDescent="0.2">
      <c r="A1203" s="1">
        <v>15955</v>
      </c>
      <c r="B1203" s="1" t="s">
        <v>731</v>
      </c>
      <c r="C1203" s="1" t="s">
        <v>2810</v>
      </c>
      <c r="D1203" s="1" t="str">
        <f t="shared" si="4"/>
        <v>2</v>
      </c>
      <c r="E1203" s="1" t="s">
        <v>2811</v>
      </c>
      <c r="G1203" s="1">
        <f t="array" ref="G1203">IF(ISNUMBER(MATCH(15955,Camille!$A:$A,0)), IF(OR(INDEX(Camille!$D:$D,MATCH(15955,Camille!$A:$A,0))=1, INDEX(Camille!$D:$D,MATCH(15955,Camille!$A:$A,0))=2), INDEX(Camille!$D:$D,MATCH(15955,Camille!$A:$A,0)), 0), 0)</f>
        <v>0</v>
      </c>
      <c r="H1203" s="1">
        <f t="array" ref="H1203">IF(ISNUMBER(MATCH(15955,Telmo!$A:$A,0)), IF(OR(INDEX(Telmo!$D:$D,MATCH(15955,Telmo!$A:$A,0))=1, INDEX(Telmo!$D:$D,MATCH(15955,Telmo!$A:$A,0))=2), INDEX(Telmo!$D:$D,MATCH(15955,Telmo!$A:$A,0)), 0), 0)</f>
        <v>2</v>
      </c>
      <c r="I1203" s="1">
        <f t="array" ref="I1203">IF(ISNUMBER(MATCH(15955,Max!$A:$A,0)), IF(OR(INDEX(Max!$D:$D,MATCH(15955,Max!$A:$A,0))=1, INDEX(Max!$D:$D,MATCH(15955,Max!$A:$A,0))=2), INDEX(Max!$D:$D,MATCH(15955,Max!$A:$A,0)), 0), 0)</f>
        <v>0</v>
      </c>
    </row>
    <row r="1204" spans="1:9" ht="15.75" customHeight="1" x14ac:dyDescent="0.2">
      <c r="A1204" s="1">
        <v>41651</v>
      </c>
      <c r="B1204" s="1" t="s">
        <v>422</v>
      </c>
      <c r="C1204" s="1" t="s">
        <v>2812</v>
      </c>
      <c r="D1204" s="1" t="str">
        <f t="shared" si="4"/>
        <v>1</v>
      </c>
      <c r="E1204" s="1" t="s">
        <v>2813</v>
      </c>
      <c r="G1204" s="1">
        <f t="array" ref="G1204">IF(ISNUMBER(MATCH(41651,Camille!$A:$A,0)), IF(OR(INDEX(Camille!$D:$D,MATCH(41651,Camille!$A:$A,0))=1, INDEX(Camille!$D:$D,MATCH(41651,Camille!$A:$A,0))=2), INDEX(Camille!$D:$D,MATCH(41651,Camille!$A:$A,0)), 0), 0)</f>
        <v>0</v>
      </c>
      <c r="H1204" s="1">
        <f t="array" ref="H1204">IF(ISNUMBER(MATCH(41651,Telmo!$A:$A,0)), IF(OR(INDEX(Telmo!$D:$D,MATCH(41651,Telmo!$A:$A,0))=1, INDEX(Telmo!$D:$D,MATCH(41651,Telmo!$A:$A,0))=2), INDEX(Telmo!$D:$D,MATCH(41651,Telmo!$A:$A,0)), 0), 0)</f>
        <v>1</v>
      </c>
      <c r="I1204" s="1">
        <f t="array" ref="I1204">IF(ISNUMBER(MATCH(41651,Max!$A:$A,0)), IF(OR(INDEX(Max!$D:$D,MATCH(41651,Max!$A:$A,0))=1, INDEX(Max!$D:$D,MATCH(41651,Max!$A:$A,0))=2), INDEX(Max!$D:$D,MATCH(41651,Max!$A:$A,0)), 0), 0)</f>
        <v>0</v>
      </c>
    </row>
    <row r="1205" spans="1:9" ht="15.75" customHeight="1" x14ac:dyDescent="0.2">
      <c r="A1205" s="1">
        <v>58727</v>
      </c>
      <c r="B1205" s="1" t="s">
        <v>382</v>
      </c>
      <c r="C1205" s="1" t="s">
        <v>2814</v>
      </c>
      <c r="D1205" s="1" t="str">
        <f t="shared" si="4"/>
        <v>2</v>
      </c>
      <c r="E1205" s="1" t="s">
        <v>2815</v>
      </c>
      <c r="G1205" s="1">
        <f t="array" ref="G1205">IF(ISNUMBER(MATCH(58727,Camille!$A:$A,0)), IF(OR(INDEX(Camille!$D:$D,MATCH(58727,Camille!$A:$A,0))=1, INDEX(Camille!$D:$D,MATCH(58727,Camille!$A:$A,0))=2), INDEX(Camille!$D:$D,MATCH(58727,Camille!$A:$A,0)), 0), 0)</f>
        <v>0</v>
      </c>
      <c r="H1205" s="1">
        <f t="array" ref="H1205">IF(ISNUMBER(MATCH(58727,Telmo!$A:$A,0)), IF(OR(INDEX(Telmo!$D:$D,MATCH(58727,Telmo!$A:$A,0))=1, INDEX(Telmo!$D:$D,MATCH(58727,Telmo!$A:$A,0))=2), INDEX(Telmo!$D:$D,MATCH(58727,Telmo!$A:$A,0)), 0), 0)</f>
        <v>2</v>
      </c>
      <c r="I1205" s="1">
        <f t="array" ref="I1205">IF(ISNUMBER(MATCH(58727,Max!$A:$A,0)), IF(OR(INDEX(Max!$D:$D,MATCH(58727,Max!$A:$A,0))=1, INDEX(Max!$D:$D,MATCH(58727,Max!$A:$A,0))=2), INDEX(Max!$D:$D,MATCH(58727,Max!$A:$A,0)), 0), 0)</f>
        <v>0</v>
      </c>
    </row>
    <row r="1206" spans="1:9" ht="15.75" customHeight="1" x14ac:dyDescent="0.2">
      <c r="A1206" s="1">
        <v>11931</v>
      </c>
      <c r="B1206" s="1" t="s">
        <v>425</v>
      </c>
      <c r="C1206" s="1" t="s">
        <v>2816</v>
      </c>
      <c r="D1206" s="1" t="str">
        <f t="shared" si="4"/>
        <v>2</v>
      </c>
      <c r="E1206" s="1" t="s">
        <v>2817</v>
      </c>
      <c r="G1206" s="1">
        <f t="array" ref="G1206">IF(ISNUMBER(MATCH(11931,Camille!$A:$A,0)), IF(OR(INDEX(Camille!$D:$D,MATCH(11931,Camille!$A:$A,0))=1, INDEX(Camille!$D:$D,MATCH(11931,Camille!$A:$A,0))=2), INDEX(Camille!$D:$D,MATCH(11931,Camille!$A:$A,0)), 0), 0)</f>
        <v>0</v>
      </c>
      <c r="H1206" s="1">
        <f t="array" ref="H1206">IF(ISNUMBER(MATCH(11931,Telmo!$A:$A,0)), IF(OR(INDEX(Telmo!$D:$D,MATCH(11931,Telmo!$A:$A,0))=1, INDEX(Telmo!$D:$D,MATCH(11931,Telmo!$A:$A,0))=2), INDEX(Telmo!$D:$D,MATCH(11931,Telmo!$A:$A,0)), 0), 0)</f>
        <v>2</v>
      </c>
      <c r="I1206" s="1">
        <f t="array" ref="I1206">IF(ISNUMBER(MATCH(11931,Max!$A:$A,0)), IF(OR(INDEX(Max!$D:$D,MATCH(11931,Max!$A:$A,0))=1, INDEX(Max!$D:$D,MATCH(11931,Max!$A:$A,0))=2), INDEX(Max!$D:$D,MATCH(11931,Max!$A:$A,0)), 0), 0)</f>
        <v>0</v>
      </c>
    </row>
    <row r="1207" spans="1:9" ht="15.75" customHeight="1" x14ac:dyDescent="0.2">
      <c r="A1207" s="1">
        <v>65719</v>
      </c>
      <c r="B1207" s="1" t="s">
        <v>394</v>
      </c>
      <c r="C1207" s="1" t="s">
        <v>2818</v>
      </c>
      <c r="D1207" s="1" t="str">
        <f t="shared" si="4"/>
        <v>2</v>
      </c>
      <c r="E1207" s="1" t="s">
        <v>2819</v>
      </c>
      <c r="G1207" s="1">
        <f t="array" ref="G1207">IF(ISNUMBER(MATCH(65719,Camille!$A:$A,0)), IF(OR(INDEX(Camille!$D:$D,MATCH(65719,Camille!$A:$A,0))=1, INDEX(Camille!$D:$D,MATCH(65719,Camille!$A:$A,0))=2), INDEX(Camille!$D:$D,MATCH(65719,Camille!$A:$A,0)), 0), 0)</f>
        <v>0</v>
      </c>
      <c r="H1207" s="1">
        <f t="array" ref="H1207">IF(ISNUMBER(MATCH(65719,Telmo!$A:$A,0)), IF(OR(INDEX(Telmo!$D:$D,MATCH(65719,Telmo!$A:$A,0))=1, INDEX(Telmo!$D:$D,MATCH(65719,Telmo!$A:$A,0))=2), INDEX(Telmo!$D:$D,MATCH(65719,Telmo!$A:$A,0)), 0), 0)</f>
        <v>2</v>
      </c>
      <c r="I1207" s="1">
        <f t="array" ref="I1207">IF(ISNUMBER(MATCH(65719,Max!$A:$A,0)), IF(OR(INDEX(Max!$D:$D,MATCH(65719,Max!$A:$A,0))=1, INDEX(Max!$D:$D,MATCH(65719,Max!$A:$A,0))=2), INDEX(Max!$D:$D,MATCH(65719,Max!$A:$A,0)), 0), 0)</f>
        <v>0</v>
      </c>
    </row>
    <row r="1208" spans="1:9" ht="15.75" customHeight="1" x14ac:dyDescent="0.2">
      <c r="A1208" s="1">
        <v>65824</v>
      </c>
      <c r="B1208" s="1" t="s">
        <v>385</v>
      </c>
      <c r="C1208" s="1" t="s">
        <v>2820</v>
      </c>
      <c r="D1208" s="1" t="str">
        <f t="shared" si="4"/>
        <v>2</v>
      </c>
      <c r="E1208" s="1" t="s">
        <v>2821</v>
      </c>
      <c r="G1208" s="1">
        <f t="array" ref="G1208">IF(ISNUMBER(MATCH(65824,Camille!$A:$A,0)), IF(OR(INDEX(Camille!$D:$D,MATCH(65824,Camille!$A:$A,0))=1, INDEX(Camille!$D:$D,MATCH(65824,Camille!$A:$A,0))=2), INDEX(Camille!$D:$D,MATCH(65824,Camille!$A:$A,0)), 0), 0)</f>
        <v>0</v>
      </c>
      <c r="H1208" s="1">
        <f t="array" ref="H1208">IF(ISNUMBER(MATCH(65824,Telmo!$A:$A,0)), IF(OR(INDEX(Telmo!$D:$D,MATCH(65824,Telmo!$A:$A,0))=1, INDEX(Telmo!$D:$D,MATCH(65824,Telmo!$A:$A,0))=2), INDEX(Telmo!$D:$D,MATCH(65824,Telmo!$A:$A,0)), 0), 0)</f>
        <v>2</v>
      </c>
      <c r="I1208" s="1">
        <f t="array" ref="I1208">IF(ISNUMBER(MATCH(65824,Max!$A:$A,0)), IF(OR(INDEX(Max!$D:$D,MATCH(65824,Max!$A:$A,0))=1, INDEX(Max!$D:$D,MATCH(65824,Max!$A:$A,0))=2), INDEX(Max!$D:$D,MATCH(65824,Max!$A:$A,0)), 0), 0)</f>
        <v>0</v>
      </c>
    </row>
    <row r="1209" spans="1:9" ht="15.75" customHeight="1" x14ac:dyDescent="0.2">
      <c r="A1209" s="1">
        <v>40615</v>
      </c>
      <c r="B1209" s="1" t="s">
        <v>44</v>
      </c>
      <c r="C1209" s="1" t="s">
        <v>2822</v>
      </c>
      <c r="D1209" s="1" t="str">
        <f t="shared" si="4"/>
        <v>1</v>
      </c>
      <c r="E1209" s="1" t="s">
        <v>2823</v>
      </c>
      <c r="G1209" s="1">
        <f t="array" ref="G1209">IF(ISNUMBER(MATCH(40615,Camille!$A:$A,0)), IF(OR(INDEX(Camille!$D:$D,MATCH(40615,Camille!$A:$A,0))=1, INDEX(Camille!$D:$D,MATCH(40615,Camille!$A:$A,0))=2), INDEX(Camille!$D:$D,MATCH(40615,Camille!$A:$A,0)), 0), 0)</f>
        <v>0</v>
      </c>
      <c r="H1209" s="1">
        <f t="array" ref="H1209">IF(ISNUMBER(MATCH(40615,Telmo!$A:$A,0)), IF(OR(INDEX(Telmo!$D:$D,MATCH(40615,Telmo!$A:$A,0))=1, INDEX(Telmo!$D:$D,MATCH(40615,Telmo!$A:$A,0))=2), INDEX(Telmo!$D:$D,MATCH(40615,Telmo!$A:$A,0)), 0), 0)</f>
        <v>1</v>
      </c>
      <c r="I1209" s="1">
        <f t="array" ref="I1209">IF(ISNUMBER(MATCH(40615,Max!$A:$A,0)), IF(OR(INDEX(Max!$D:$D,MATCH(40615,Max!$A:$A,0))=1, INDEX(Max!$D:$D,MATCH(40615,Max!$A:$A,0))=2), INDEX(Max!$D:$D,MATCH(40615,Max!$A:$A,0)), 0), 0)</f>
        <v>0</v>
      </c>
    </row>
    <row r="1210" spans="1:9" ht="15.75" customHeight="1" x14ac:dyDescent="0.2">
      <c r="A1210" s="1">
        <v>3988</v>
      </c>
      <c r="B1210" s="1" t="s">
        <v>2824</v>
      </c>
      <c r="C1210" s="1" t="s">
        <v>2825</v>
      </c>
      <c r="D1210" s="1" t="str">
        <f t="shared" si="4"/>
        <v>2</v>
      </c>
      <c r="E1210" s="1" t="s">
        <v>2826</v>
      </c>
      <c r="G1210" s="1">
        <f t="array" ref="G1210">IF(ISNUMBER(MATCH(3988,Camille!$A:$A,0)), IF(OR(INDEX(Camille!$D:$D,MATCH(3988,Camille!$A:$A,0))=1, INDEX(Camille!$D:$D,MATCH(3988,Camille!$A:$A,0))=2), INDEX(Camille!$D:$D,MATCH(3988,Camille!$A:$A,0)), 0), 0)</f>
        <v>0</v>
      </c>
      <c r="H1210" s="1">
        <f t="array" ref="H1210">IF(ISNUMBER(MATCH(3988,Telmo!$A:$A,0)), IF(OR(INDEX(Telmo!$D:$D,MATCH(3988,Telmo!$A:$A,0))=1, INDEX(Telmo!$D:$D,MATCH(3988,Telmo!$A:$A,0))=2), INDEX(Telmo!$D:$D,MATCH(3988,Telmo!$A:$A,0)), 0), 0)</f>
        <v>2</v>
      </c>
      <c r="I1210" s="1">
        <f t="array" ref="I1210">IF(ISNUMBER(MATCH(3988,Max!$A:$A,0)), IF(OR(INDEX(Max!$D:$D,MATCH(3988,Max!$A:$A,0))=1, INDEX(Max!$D:$D,MATCH(3988,Max!$A:$A,0))=2), INDEX(Max!$D:$D,MATCH(3988,Max!$A:$A,0)), 0), 0)</f>
        <v>0</v>
      </c>
    </row>
    <row r="1211" spans="1:9" ht="15.75" customHeight="1" x14ac:dyDescent="0.2">
      <c r="A1211" s="1">
        <v>63757</v>
      </c>
      <c r="B1211" s="1" t="s">
        <v>819</v>
      </c>
      <c r="C1211" s="1" t="s">
        <v>2827</v>
      </c>
      <c r="D1211" s="1" t="str">
        <f t="shared" si="4"/>
        <v>2</v>
      </c>
      <c r="E1211" s="1" t="s">
        <v>2828</v>
      </c>
      <c r="G1211" s="1">
        <f t="array" ref="G1211">IF(ISNUMBER(MATCH(63757,Camille!$A:$A,0)), IF(OR(INDEX(Camille!$D:$D,MATCH(63757,Camille!$A:$A,0))=1, INDEX(Camille!$D:$D,MATCH(63757,Camille!$A:$A,0))=2), INDEX(Camille!$D:$D,MATCH(63757,Camille!$A:$A,0)), 0), 0)</f>
        <v>0</v>
      </c>
      <c r="H1211" s="1">
        <f t="array" ref="H1211">IF(ISNUMBER(MATCH(63757,Telmo!$A:$A,0)), IF(OR(INDEX(Telmo!$D:$D,MATCH(63757,Telmo!$A:$A,0))=1, INDEX(Telmo!$D:$D,MATCH(63757,Telmo!$A:$A,0))=2), INDEX(Telmo!$D:$D,MATCH(63757,Telmo!$A:$A,0)), 0), 0)</f>
        <v>2</v>
      </c>
      <c r="I1211" s="1">
        <f t="array" ref="I1211">IF(ISNUMBER(MATCH(63757,Max!$A:$A,0)), IF(OR(INDEX(Max!$D:$D,MATCH(63757,Max!$A:$A,0))=1, INDEX(Max!$D:$D,MATCH(63757,Max!$A:$A,0))=2), INDEX(Max!$D:$D,MATCH(63757,Max!$A:$A,0)), 0), 0)</f>
        <v>0</v>
      </c>
    </row>
    <row r="1212" spans="1:9" ht="15.75" customHeight="1" x14ac:dyDescent="0.2">
      <c r="A1212" s="1">
        <v>41420</v>
      </c>
      <c r="B1212" s="1" t="s">
        <v>276</v>
      </c>
      <c r="C1212" s="1" t="s">
        <v>2829</v>
      </c>
      <c r="D1212" s="1" t="str">
        <f t="shared" si="4"/>
        <v>1</v>
      </c>
      <c r="E1212" s="1" t="s">
        <v>2830</v>
      </c>
      <c r="G1212" s="1">
        <f t="array" ref="G1212">IF(ISNUMBER(MATCH(41420,Camille!$A:$A,0)), IF(OR(INDEX(Camille!$D:$D,MATCH(41420,Camille!$A:$A,0))=1, INDEX(Camille!$D:$D,MATCH(41420,Camille!$A:$A,0))=2), INDEX(Camille!$D:$D,MATCH(41420,Camille!$A:$A,0)), 0), 0)</f>
        <v>0</v>
      </c>
      <c r="H1212" s="1">
        <f t="array" ref="H1212">IF(ISNUMBER(MATCH(41420,Telmo!$A:$A,0)), IF(OR(INDEX(Telmo!$D:$D,MATCH(41420,Telmo!$A:$A,0))=1, INDEX(Telmo!$D:$D,MATCH(41420,Telmo!$A:$A,0))=2), INDEX(Telmo!$D:$D,MATCH(41420,Telmo!$A:$A,0)), 0), 0)</f>
        <v>1</v>
      </c>
      <c r="I1212" s="1">
        <f t="array" ref="I1212">IF(ISNUMBER(MATCH(41420,Max!$A:$A,0)), IF(OR(INDEX(Max!$D:$D,MATCH(41420,Max!$A:$A,0))=1, INDEX(Max!$D:$D,MATCH(41420,Max!$A:$A,0))=2), INDEX(Max!$D:$D,MATCH(41420,Max!$A:$A,0)), 0), 0)</f>
        <v>0</v>
      </c>
    </row>
    <row r="1213" spans="1:9" ht="15.75" customHeight="1" x14ac:dyDescent="0.2">
      <c r="A1213" s="1">
        <v>242</v>
      </c>
      <c r="B1213" s="1" t="s">
        <v>2831</v>
      </c>
      <c r="C1213" s="1" t="s">
        <v>2832</v>
      </c>
      <c r="D1213" s="1" t="str">
        <f t="shared" si="4"/>
        <v>2</v>
      </c>
      <c r="E1213" s="1" t="s">
        <v>2833</v>
      </c>
      <c r="G1213" s="1">
        <f t="array" ref="G1213">IF(ISNUMBER(MATCH(242,Camille!$A:$A,0)), IF(OR(INDEX(Camille!$D:$D,MATCH(242,Camille!$A:$A,0))=1, INDEX(Camille!$D:$D,MATCH(242,Camille!$A:$A,0))=2), INDEX(Camille!$D:$D,MATCH(242,Camille!$A:$A,0)), 0), 0)</f>
        <v>0</v>
      </c>
      <c r="H1213" s="1">
        <f t="array" ref="H1213">IF(ISNUMBER(MATCH(242,Telmo!$A:$A,0)), IF(OR(INDEX(Telmo!$D:$D,MATCH(242,Telmo!$A:$A,0))=1, INDEX(Telmo!$D:$D,MATCH(242,Telmo!$A:$A,0))=2), INDEX(Telmo!$D:$D,MATCH(242,Telmo!$A:$A,0)), 0), 0)</f>
        <v>2</v>
      </c>
      <c r="I1213" s="1">
        <f t="array" ref="I1213">IF(ISNUMBER(MATCH(242,Max!$A:$A,0)), IF(OR(INDEX(Max!$D:$D,MATCH(242,Max!$A:$A,0))=1, INDEX(Max!$D:$D,MATCH(242,Max!$A:$A,0))=2), INDEX(Max!$D:$D,MATCH(242,Max!$A:$A,0)), 0), 0)</f>
        <v>0</v>
      </c>
    </row>
    <row r="1214" spans="1:9" ht="15.75" customHeight="1" x14ac:dyDescent="0.2">
      <c r="A1214" s="1">
        <v>64380</v>
      </c>
      <c r="B1214" s="1" t="s">
        <v>986</v>
      </c>
      <c r="C1214" s="1" t="s">
        <v>2834</v>
      </c>
      <c r="D1214" s="1" t="str">
        <f t="shared" si="4"/>
        <v>2</v>
      </c>
      <c r="E1214" s="1" t="s">
        <v>2835</v>
      </c>
      <c r="G1214" s="1">
        <f t="array" ref="G1214">IF(ISNUMBER(MATCH(64380,Camille!$A:$A,0)), IF(OR(INDEX(Camille!$D:$D,MATCH(64380,Camille!$A:$A,0))=1, INDEX(Camille!$D:$D,MATCH(64380,Camille!$A:$A,0))=2), INDEX(Camille!$D:$D,MATCH(64380,Camille!$A:$A,0)), 0), 0)</f>
        <v>0</v>
      </c>
      <c r="H1214" s="1">
        <f t="array" ref="H1214">IF(ISNUMBER(MATCH(64380,Telmo!$A:$A,0)), IF(OR(INDEX(Telmo!$D:$D,MATCH(64380,Telmo!$A:$A,0))=1, INDEX(Telmo!$D:$D,MATCH(64380,Telmo!$A:$A,0))=2), INDEX(Telmo!$D:$D,MATCH(64380,Telmo!$A:$A,0)), 0), 0)</f>
        <v>2</v>
      </c>
      <c r="I1214" s="1">
        <f t="array" ref="I1214">IF(ISNUMBER(MATCH(64380,Max!$A:$A,0)), IF(OR(INDEX(Max!$D:$D,MATCH(64380,Max!$A:$A,0))=1, INDEX(Max!$D:$D,MATCH(64380,Max!$A:$A,0))=2), INDEX(Max!$D:$D,MATCH(64380,Max!$A:$A,0)), 0), 0)</f>
        <v>0</v>
      </c>
    </row>
    <row r="1215" spans="1:9" ht="15.75" customHeight="1" x14ac:dyDescent="0.2">
      <c r="A1215" s="1">
        <v>38249</v>
      </c>
      <c r="B1215" s="1" t="s">
        <v>23</v>
      </c>
      <c r="C1215" s="1" t="s">
        <v>2836</v>
      </c>
      <c r="D1215" s="1" t="str">
        <f t="shared" si="4"/>
        <v>2</v>
      </c>
      <c r="E1215" s="1" t="s">
        <v>2837</v>
      </c>
      <c r="G1215" s="1">
        <f t="array" ref="G1215">IF(ISNUMBER(MATCH(38249,Camille!$A:$A,0)), IF(OR(INDEX(Camille!$D:$D,MATCH(38249,Camille!$A:$A,0))=1, INDEX(Camille!$D:$D,MATCH(38249,Camille!$A:$A,0))=2), INDEX(Camille!$D:$D,MATCH(38249,Camille!$A:$A,0)), 0), 0)</f>
        <v>0</v>
      </c>
      <c r="H1215" s="1">
        <f t="array" ref="H1215">IF(ISNUMBER(MATCH(38249,Telmo!$A:$A,0)), IF(OR(INDEX(Telmo!$D:$D,MATCH(38249,Telmo!$A:$A,0))=1, INDEX(Telmo!$D:$D,MATCH(38249,Telmo!$A:$A,0))=2), INDEX(Telmo!$D:$D,MATCH(38249,Telmo!$A:$A,0)), 0), 0)</f>
        <v>2</v>
      </c>
      <c r="I1215" s="1">
        <f t="array" ref="I1215">IF(ISNUMBER(MATCH(38249,Max!$A:$A,0)), IF(OR(INDEX(Max!$D:$D,MATCH(38249,Max!$A:$A,0))=1, INDEX(Max!$D:$D,MATCH(38249,Max!$A:$A,0))=2), INDEX(Max!$D:$D,MATCH(38249,Max!$A:$A,0)), 0), 0)</f>
        <v>0</v>
      </c>
    </row>
    <row r="1216" spans="1:9" ht="15.75" customHeight="1" x14ac:dyDescent="0.2">
      <c r="A1216" s="1">
        <v>28785</v>
      </c>
      <c r="B1216" s="1" t="s">
        <v>2838</v>
      </c>
      <c r="C1216" s="1" t="s">
        <v>2839</v>
      </c>
      <c r="D1216" s="1" t="str">
        <f t="shared" si="4"/>
        <v>2</v>
      </c>
      <c r="E1216" s="1" t="s">
        <v>2840</v>
      </c>
      <c r="G1216" s="1">
        <f t="array" ref="G1216">IF(ISNUMBER(MATCH(28785,Camille!$A:$A,0)), IF(OR(INDEX(Camille!$D:$D,MATCH(28785,Camille!$A:$A,0))=1, INDEX(Camille!$D:$D,MATCH(28785,Camille!$A:$A,0))=2), INDEX(Camille!$D:$D,MATCH(28785,Camille!$A:$A,0)), 0), 0)</f>
        <v>0</v>
      </c>
      <c r="H1216" s="1">
        <f t="array" ref="H1216">IF(ISNUMBER(MATCH(28785,Telmo!$A:$A,0)), IF(OR(INDEX(Telmo!$D:$D,MATCH(28785,Telmo!$A:$A,0))=1, INDEX(Telmo!$D:$D,MATCH(28785,Telmo!$A:$A,0))=2), INDEX(Telmo!$D:$D,MATCH(28785,Telmo!$A:$A,0)), 0), 0)</f>
        <v>2</v>
      </c>
      <c r="I1216" s="1">
        <f t="array" ref="I1216">IF(ISNUMBER(MATCH(28785,Max!$A:$A,0)), IF(OR(INDEX(Max!$D:$D,MATCH(28785,Max!$A:$A,0))=1, INDEX(Max!$D:$D,MATCH(28785,Max!$A:$A,0))=2), INDEX(Max!$D:$D,MATCH(28785,Max!$A:$A,0)), 0), 0)</f>
        <v>0</v>
      </c>
    </row>
    <row r="1217" spans="1:9" ht="15.75" customHeight="1" x14ac:dyDescent="0.2">
      <c r="A1217" s="1">
        <v>13310</v>
      </c>
      <c r="B1217" s="1" t="s">
        <v>301</v>
      </c>
      <c r="C1217" s="1" t="s">
        <v>2841</v>
      </c>
      <c r="D1217" s="1" t="str">
        <f t="shared" si="4"/>
        <v>2</v>
      </c>
      <c r="E1217" s="1" t="s">
        <v>2842</v>
      </c>
      <c r="G1217" s="1">
        <f t="array" ref="G1217">IF(ISNUMBER(MATCH(13310,Camille!$A:$A,0)), IF(OR(INDEX(Camille!$D:$D,MATCH(13310,Camille!$A:$A,0))=1, INDEX(Camille!$D:$D,MATCH(13310,Camille!$A:$A,0))=2), INDEX(Camille!$D:$D,MATCH(13310,Camille!$A:$A,0)), 0), 0)</f>
        <v>0</v>
      </c>
      <c r="H1217" s="1">
        <f t="array" ref="H1217">IF(ISNUMBER(MATCH(13310,Telmo!$A:$A,0)), IF(OR(INDEX(Telmo!$D:$D,MATCH(13310,Telmo!$A:$A,0))=1, INDEX(Telmo!$D:$D,MATCH(13310,Telmo!$A:$A,0))=2), INDEX(Telmo!$D:$D,MATCH(13310,Telmo!$A:$A,0)), 0), 0)</f>
        <v>2</v>
      </c>
      <c r="I1217" s="1">
        <f t="array" ref="I1217">IF(ISNUMBER(MATCH(13310,Max!$A:$A,0)), IF(OR(INDEX(Max!$D:$D,MATCH(13310,Max!$A:$A,0))=1, INDEX(Max!$D:$D,MATCH(13310,Max!$A:$A,0))=2), INDEX(Max!$D:$D,MATCH(13310,Max!$A:$A,0)), 0), 0)</f>
        <v>0</v>
      </c>
    </row>
    <row r="1218" spans="1:9" ht="15.75" customHeight="1" x14ac:dyDescent="0.2">
      <c r="A1218" s="1">
        <v>11464</v>
      </c>
      <c r="B1218" s="1" t="s">
        <v>1921</v>
      </c>
      <c r="C1218" s="1" t="s">
        <v>2843</v>
      </c>
      <c r="D1218" s="1" t="str">
        <f t="shared" si="4"/>
        <v>2</v>
      </c>
      <c r="E1218" s="1" t="s">
        <v>2844</v>
      </c>
      <c r="G1218" s="1">
        <f t="array" ref="G1218">IF(ISNUMBER(MATCH(11464,Camille!$A:$A,0)), IF(OR(INDEX(Camille!$D:$D,MATCH(11464,Camille!$A:$A,0))=1, INDEX(Camille!$D:$D,MATCH(11464,Camille!$A:$A,0))=2), INDEX(Camille!$D:$D,MATCH(11464,Camille!$A:$A,0)), 0), 0)</f>
        <v>0</v>
      </c>
      <c r="H1218" s="1">
        <f t="array" ref="H1218">IF(ISNUMBER(MATCH(11464,Telmo!$A:$A,0)), IF(OR(INDEX(Telmo!$D:$D,MATCH(11464,Telmo!$A:$A,0))=1, INDEX(Telmo!$D:$D,MATCH(11464,Telmo!$A:$A,0))=2), INDEX(Telmo!$D:$D,MATCH(11464,Telmo!$A:$A,0)), 0), 0)</f>
        <v>2</v>
      </c>
      <c r="I1218" s="1">
        <f t="array" ref="I1218">IF(ISNUMBER(MATCH(11464,Max!$A:$A,0)), IF(OR(INDEX(Max!$D:$D,MATCH(11464,Max!$A:$A,0))=1, INDEX(Max!$D:$D,MATCH(11464,Max!$A:$A,0))=2), INDEX(Max!$D:$D,MATCH(11464,Max!$A:$A,0)), 0), 0)</f>
        <v>0</v>
      </c>
    </row>
    <row r="1219" spans="1:9" ht="15.75" customHeight="1" x14ac:dyDescent="0.2">
      <c r="A1219" s="1">
        <v>32751</v>
      </c>
      <c r="B1219" s="1" t="s">
        <v>524</v>
      </c>
      <c r="C1219" s="1" t="s">
        <v>2845</v>
      </c>
      <c r="D1219" s="1" t="str">
        <f t="shared" si="4"/>
        <v>2</v>
      </c>
      <c r="E1219" s="1" t="s">
        <v>2846</v>
      </c>
      <c r="G1219" s="1">
        <f t="array" ref="G1219">IF(ISNUMBER(MATCH(32751,Camille!$A:$A,0)), IF(OR(INDEX(Camille!$D:$D,MATCH(32751,Camille!$A:$A,0))=1, INDEX(Camille!$D:$D,MATCH(32751,Camille!$A:$A,0))=2), INDEX(Camille!$D:$D,MATCH(32751,Camille!$A:$A,0)), 0), 0)</f>
        <v>0</v>
      </c>
      <c r="H1219" s="1">
        <f t="array" ref="H1219">IF(ISNUMBER(MATCH(32751,Telmo!$A:$A,0)), IF(OR(INDEX(Telmo!$D:$D,MATCH(32751,Telmo!$A:$A,0))=1, INDEX(Telmo!$D:$D,MATCH(32751,Telmo!$A:$A,0))=2), INDEX(Telmo!$D:$D,MATCH(32751,Telmo!$A:$A,0)), 0), 0)</f>
        <v>2</v>
      </c>
      <c r="I1219" s="1">
        <f t="array" ref="I1219">IF(ISNUMBER(MATCH(32751,Max!$A:$A,0)), IF(OR(INDEX(Max!$D:$D,MATCH(32751,Max!$A:$A,0))=1, INDEX(Max!$D:$D,MATCH(32751,Max!$A:$A,0))=2), INDEX(Max!$D:$D,MATCH(32751,Max!$A:$A,0)), 0), 0)</f>
        <v>0</v>
      </c>
    </row>
    <row r="1220" spans="1:9" ht="15.75" customHeight="1" x14ac:dyDescent="0.2">
      <c r="A1220" s="1">
        <v>17407</v>
      </c>
      <c r="B1220" s="1" t="s">
        <v>14</v>
      </c>
      <c r="C1220" s="1" t="s">
        <v>2847</v>
      </c>
      <c r="D1220" s="1" t="str">
        <f t="shared" si="4"/>
        <v>1</v>
      </c>
      <c r="E1220" s="1" t="s">
        <v>2848</v>
      </c>
      <c r="G1220" s="1">
        <f t="array" ref="G1220">IF(ISNUMBER(MATCH(17407,Camille!$A:$A,0)), IF(OR(INDEX(Camille!$D:$D,MATCH(17407,Camille!$A:$A,0))=1, INDEX(Camille!$D:$D,MATCH(17407,Camille!$A:$A,0))=2), INDEX(Camille!$D:$D,MATCH(17407,Camille!$A:$A,0)), 0), 0)</f>
        <v>0</v>
      </c>
      <c r="H1220" s="1">
        <f t="array" ref="H1220">IF(ISNUMBER(MATCH(17407,Telmo!$A:$A,0)), IF(OR(INDEX(Telmo!$D:$D,MATCH(17407,Telmo!$A:$A,0))=1, INDEX(Telmo!$D:$D,MATCH(17407,Telmo!$A:$A,0))=2), INDEX(Telmo!$D:$D,MATCH(17407,Telmo!$A:$A,0)), 0), 0)</f>
        <v>1</v>
      </c>
      <c r="I1220" s="1">
        <f t="array" ref="I1220">IF(ISNUMBER(MATCH(17407,Max!$A:$A,0)), IF(OR(INDEX(Max!$D:$D,MATCH(17407,Max!$A:$A,0))=1, INDEX(Max!$D:$D,MATCH(17407,Max!$A:$A,0))=2), INDEX(Max!$D:$D,MATCH(17407,Max!$A:$A,0)), 0), 0)</f>
        <v>0</v>
      </c>
    </row>
    <row r="1221" spans="1:9" ht="15.75" customHeight="1" x14ac:dyDescent="0.2">
      <c r="A1221" s="1">
        <v>25941</v>
      </c>
      <c r="B1221" s="1" t="s">
        <v>1357</v>
      </c>
      <c r="C1221" s="1" t="s">
        <v>2849</v>
      </c>
      <c r="D1221" s="1" t="str">
        <f t="shared" si="4"/>
        <v>2</v>
      </c>
      <c r="E1221" s="1" t="s">
        <v>2850</v>
      </c>
      <c r="G1221" s="1">
        <f t="array" ref="G1221">IF(ISNUMBER(MATCH(25941,Camille!$A:$A,0)), IF(OR(INDEX(Camille!$D:$D,MATCH(25941,Camille!$A:$A,0))=1, INDEX(Camille!$D:$D,MATCH(25941,Camille!$A:$A,0))=2), INDEX(Camille!$D:$D,MATCH(25941,Camille!$A:$A,0)), 0), 0)</f>
        <v>0</v>
      </c>
      <c r="H1221" s="1">
        <f t="array" ref="H1221">IF(ISNUMBER(MATCH(25941,Telmo!$A:$A,0)), IF(OR(INDEX(Telmo!$D:$D,MATCH(25941,Telmo!$A:$A,0))=1, INDEX(Telmo!$D:$D,MATCH(25941,Telmo!$A:$A,0))=2), INDEX(Telmo!$D:$D,MATCH(25941,Telmo!$A:$A,0)), 0), 0)</f>
        <v>2</v>
      </c>
      <c r="I1221" s="1">
        <f t="array" ref="I1221">IF(ISNUMBER(MATCH(25941,Max!$A:$A,0)), IF(OR(INDEX(Max!$D:$D,MATCH(25941,Max!$A:$A,0))=1, INDEX(Max!$D:$D,MATCH(25941,Max!$A:$A,0))=2), INDEX(Max!$D:$D,MATCH(25941,Max!$A:$A,0)), 0), 0)</f>
        <v>0</v>
      </c>
    </row>
    <row r="1222" spans="1:9" ht="15.75" customHeight="1" x14ac:dyDescent="0.2">
      <c r="A1222" s="1">
        <v>17148</v>
      </c>
      <c r="B1222" s="1" t="s">
        <v>35</v>
      </c>
      <c r="C1222" s="1" t="s">
        <v>2851</v>
      </c>
      <c r="D1222" s="1" t="str">
        <f t="shared" si="4"/>
        <v>1</v>
      </c>
      <c r="E1222" s="1" t="s">
        <v>2852</v>
      </c>
      <c r="G1222" s="1">
        <f t="array" ref="G1222">IF(ISNUMBER(MATCH(17148,Camille!$A:$A,0)), IF(OR(INDEX(Camille!$D:$D,MATCH(17148,Camille!$A:$A,0))=1, INDEX(Camille!$D:$D,MATCH(17148,Camille!$A:$A,0))=2), INDEX(Camille!$D:$D,MATCH(17148,Camille!$A:$A,0)), 0), 0)</f>
        <v>0</v>
      </c>
      <c r="H1222" s="1">
        <f t="array" ref="H1222">IF(ISNUMBER(MATCH(17148,Telmo!$A:$A,0)), IF(OR(INDEX(Telmo!$D:$D,MATCH(17148,Telmo!$A:$A,0))=1, INDEX(Telmo!$D:$D,MATCH(17148,Telmo!$A:$A,0))=2), INDEX(Telmo!$D:$D,MATCH(17148,Telmo!$A:$A,0)), 0), 0)</f>
        <v>1</v>
      </c>
      <c r="I1222" s="1">
        <f t="array" ref="I1222">IF(ISNUMBER(MATCH(17148,Max!$A:$A,0)), IF(OR(INDEX(Max!$D:$D,MATCH(17148,Max!$A:$A,0))=1, INDEX(Max!$D:$D,MATCH(17148,Max!$A:$A,0))=2), INDEX(Max!$D:$D,MATCH(17148,Max!$A:$A,0)), 0), 0)</f>
        <v>0</v>
      </c>
    </row>
    <row r="1223" spans="1:9" ht="15.75" customHeight="1" x14ac:dyDescent="0.2">
      <c r="A1223" s="1">
        <v>34665</v>
      </c>
      <c r="B1223" s="1" t="s">
        <v>466</v>
      </c>
      <c r="C1223" s="1" t="s">
        <v>2853</v>
      </c>
      <c r="D1223" s="1" t="str">
        <f t="shared" si="4"/>
        <v>2</v>
      </c>
      <c r="E1223" s="1" t="s">
        <v>2854</v>
      </c>
      <c r="G1223" s="1">
        <f t="array" ref="G1223">IF(ISNUMBER(MATCH(34665,Camille!$A:$A,0)), IF(OR(INDEX(Camille!$D:$D,MATCH(34665,Camille!$A:$A,0))=1, INDEX(Camille!$D:$D,MATCH(34665,Camille!$A:$A,0))=2), INDEX(Camille!$D:$D,MATCH(34665,Camille!$A:$A,0)), 0), 0)</f>
        <v>0</v>
      </c>
      <c r="H1223" s="1">
        <f t="array" ref="H1223">IF(ISNUMBER(MATCH(34665,Telmo!$A:$A,0)), IF(OR(INDEX(Telmo!$D:$D,MATCH(34665,Telmo!$A:$A,0))=1, INDEX(Telmo!$D:$D,MATCH(34665,Telmo!$A:$A,0))=2), INDEX(Telmo!$D:$D,MATCH(34665,Telmo!$A:$A,0)), 0), 0)</f>
        <v>2</v>
      </c>
      <c r="I1223" s="1">
        <f t="array" ref="I1223">IF(ISNUMBER(MATCH(34665,Max!$A:$A,0)), IF(OR(INDEX(Max!$D:$D,MATCH(34665,Max!$A:$A,0))=1, INDEX(Max!$D:$D,MATCH(34665,Max!$A:$A,0))=2), INDEX(Max!$D:$D,MATCH(34665,Max!$A:$A,0)), 0), 0)</f>
        <v>0</v>
      </c>
    </row>
    <row r="1224" spans="1:9" ht="15.75" customHeight="1" x14ac:dyDescent="0.2">
      <c r="A1224" s="1">
        <v>37553</v>
      </c>
      <c r="B1224" s="1" t="s">
        <v>2855</v>
      </c>
      <c r="C1224" s="1" t="s">
        <v>2856</v>
      </c>
      <c r="D1224" s="1" t="str">
        <f t="shared" si="4"/>
        <v>2</v>
      </c>
      <c r="E1224" s="1" t="s">
        <v>2857</v>
      </c>
      <c r="G1224" s="1">
        <f t="array" ref="G1224">IF(ISNUMBER(MATCH(37553,Camille!$A:$A,0)), IF(OR(INDEX(Camille!$D:$D,MATCH(37553,Camille!$A:$A,0))=1, INDEX(Camille!$D:$D,MATCH(37553,Camille!$A:$A,0))=2), INDEX(Camille!$D:$D,MATCH(37553,Camille!$A:$A,0)), 0), 0)</f>
        <v>0</v>
      </c>
      <c r="H1224" s="1">
        <f t="array" ref="H1224">IF(ISNUMBER(MATCH(37553,Telmo!$A:$A,0)), IF(OR(INDEX(Telmo!$D:$D,MATCH(37553,Telmo!$A:$A,0))=1, INDEX(Telmo!$D:$D,MATCH(37553,Telmo!$A:$A,0))=2), INDEX(Telmo!$D:$D,MATCH(37553,Telmo!$A:$A,0)), 0), 0)</f>
        <v>2</v>
      </c>
      <c r="I1224" s="1">
        <f t="array" ref="I1224">IF(ISNUMBER(MATCH(37553,Max!$A:$A,0)), IF(OR(INDEX(Max!$D:$D,MATCH(37553,Max!$A:$A,0))=1, INDEX(Max!$D:$D,MATCH(37553,Max!$A:$A,0))=2), INDEX(Max!$D:$D,MATCH(37553,Max!$A:$A,0)), 0), 0)</f>
        <v>0</v>
      </c>
    </row>
    <row r="1225" spans="1:9" ht="15.75" customHeight="1" x14ac:dyDescent="0.2">
      <c r="A1225" s="1">
        <v>16218</v>
      </c>
      <c r="B1225" s="1" t="s">
        <v>2858</v>
      </c>
      <c r="C1225" s="1" t="s">
        <v>2859</v>
      </c>
      <c r="D1225" s="1" t="str">
        <f t="shared" si="4"/>
        <v>2</v>
      </c>
      <c r="E1225" s="1" t="s">
        <v>2860</v>
      </c>
      <c r="G1225" s="1">
        <f t="array" ref="G1225">IF(ISNUMBER(MATCH(16218,Camille!$A:$A,0)), IF(OR(INDEX(Camille!$D:$D,MATCH(16218,Camille!$A:$A,0))=1, INDEX(Camille!$D:$D,MATCH(16218,Camille!$A:$A,0))=2), INDEX(Camille!$D:$D,MATCH(16218,Camille!$A:$A,0)), 0), 0)</f>
        <v>0</v>
      </c>
      <c r="H1225" s="1">
        <f t="array" ref="H1225">IF(ISNUMBER(MATCH(16218,Telmo!$A:$A,0)), IF(OR(INDEX(Telmo!$D:$D,MATCH(16218,Telmo!$A:$A,0))=1, INDEX(Telmo!$D:$D,MATCH(16218,Telmo!$A:$A,0))=2), INDEX(Telmo!$D:$D,MATCH(16218,Telmo!$A:$A,0)), 0), 0)</f>
        <v>2</v>
      </c>
      <c r="I1225" s="1">
        <f t="array" ref="I1225">IF(ISNUMBER(MATCH(16218,Max!$A:$A,0)), IF(OR(INDEX(Max!$D:$D,MATCH(16218,Max!$A:$A,0))=1, INDEX(Max!$D:$D,MATCH(16218,Max!$A:$A,0))=2), INDEX(Max!$D:$D,MATCH(16218,Max!$A:$A,0)), 0), 0)</f>
        <v>0</v>
      </c>
    </row>
    <row r="1226" spans="1:9" ht="15.75" customHeight="1" x14ac:dyDescent="0.2">
      <c r="A1226" s="1">
        <v>19355</v>
      </c>
      <c r="B1226" s="1" t="s">
        <v>301</v>
      </c>
      <c r="C1226" s="1" t="s">
        <v>2861</v>
      </c>
      <c r="D1226" s="1" t="str">
        <f t="shared" si="4"/>
        <v>2</v>
      </c>
      <c r="E1226" s="1" t="s">
        <v>2862</v>
      </c>
      <c r="G1226" s="1">
        <f t="array" ref="G1226">IF(ISNUMBER(MATCH(19355,Camille!$A:$A,0)), IF(OR(INDEX(Camille!$D:$D,MATCH(19355,Camille!$A:$A,0))=1, INDEX(Camille!$D:$D,MATCH(19355,Camille!$A:$A,0))=2), INDEX(Camille!$D:$D,MATCH(19355,Camille!$A:$A,0)), 0), 0)</f>
        <v>0</v>
      </c>
      <c r="H1226" s="1">
        <f t="array" ref="H1226">IF(ISNUMBER(MATCH(19355,Telmo!$A:$A,0)), IF(OR(INDEX(Telmo!$D:$D,MATCH(19355,Telmo!$A:$A,0))=1, INDEX(Telmo!$D:$D,MATCH(19355,Telmo!$A:$A,0))=2), INDEX(Telmo!$D:$D,MATCH(19355,Telmo!$A:$A,0)), 0), 0)</f>
        <v>2</v>
      </c>
      <c r="I1226" s="1">
        <f t="array" ref="I1226">IF(ISNUMBER(MATCH(19355,Max!$A:$A,0)), IF(OR(INDEX(Max!$D:$D,MATCH(19355,Max!$A:$A,0))=1, INDEX(Max!$D:$D,MATCH(19355,Max!$A:$A,0))=2), INDEX(Max!$D:$D,MATCH(19355,Max!$A:$A,0)), 0), 0)</f>
        <v>0</v>
      </c>
    </row>
    <row r="1227" spans="1:9" ht="15.75" customHeight="1" x14ac:dyDescent="0.2">
      <c r="A1227" s="1">
        <v>58777</v>
      </c>
      <c r="B1227" s="1" t="s">
        <v>35</v>
      </c>
      <c r="C1227" s="1" t="s">
        <v>2863</v>
      </c>
      <c r="D1227" s="1" t="str">
        <f t="shared" si="4"/>
        <v>2</v>
      </c>
      <c r="E1227" s="1" t="s">
        <v>2864</v>
      </c>
      <c r="G1227" s="1">
        <f t="array" ref="G1227">IF(ISNUMBER(MATCH(58777,Camille!$A:$A,0)), IF(OR(INDEX(Camille!$D:$D,MATCH(58777,Camille!$A:$A,0))=1, INDEX(Camille!$D:$D,MATCH(58777,Camille!$A:$A,0))=2), INDEX(Camille!$D:$D,MATCH(58777,Camille!$A:$A,0)), 0), 0)</f>
        <v>0</v>
      </c>
      <c r="H1227" s="1">
        <f t="array" ref="H1227">IF(ISNUMBER(MATCH(58777,Telmo!$A:$A,0)), IF(OR(INDEX(Telmo!$D:$D,MATCH(58777,Telmo!$A:$A,0))=1, INDEX(Telmo!$D:$D,MATCH(58777,Telmo!$A:$A,0))=2), INDEX(Telmo!$D:$D,MATCH(58777,Telmo!$A:$A,0)), 0), 0)</f>
        <v>2</v>
      </c>
      <c r="I1227" s="1">
        <f t="array" ref="I1227">IF(ISNUMBER(MATCH(58777,Max!$A:$A,0)), IF(OR(INDEX(Max!$D:$D,MATCH(58777,Max!$A:$A,0))=1, INDEX(Max!$D:$D,MATCH(58777,Max!$A:$A,0))=2), INDEX(Max!$D:$D,MATCH(58777,Max!$A:$A,0)), 0), 0)</f>
        <v>0</v>
      </c>
    </row>
    <row r="1228" spans="1:9" ht="15.75" customHeight="1" x14ac:dyDescent="0.2">
      <c r="A1228" s="1">
        <v>595</v>
      </c>
      <c r="B1228" s="1" t="s">
        <v>2865</v>
      </c>
      <c r="C1228" s="1" t="s">
        <v>2866</v>
      </c>
      <c r="D1228" s="1" t="str">
        <f t="shared" si="4"/>
        <v>2</v>
      </c>
      <c r="E1228" s="1" t="s">
        <v>2867</v>
      </c>
      <c r="G1228" s="1">
        <f t="array" ref="G1228">IF(ISNUMBER(MATCH(595,Camille!$A:$A,0)), IF(OR(INDEX(Camille!$D:$D,MATCH(595,Camille!$A:$A,0))=1, INDEX(Camille!$D:$D,MATCH(595,Camille!$A:$A,0))=2), INDEX(Camille!$D:$D,MATCH(595,Camille!$A:$A,0)), 0), 0)</f>
        <v>0</v>
      </c>
      <c r="H1228" s="1">
        <f t="array" ref="H1228">IF(ISNUMBER(MATCH(595,Telmo!$A:$A,0)), IF(OR(INDEX(Telmo!$D:$D,MATCH(595,Telmo!$A:$A,0))=1, INDEX(Telmo!$D:$D,MATCH(595,Telmo!$A:$A,0))=2), INDEX(Telmo!$D:$D,MATCH(595,Telmo!$A:$A,0)), 0), 0)</f>
        <v>2</v>
      </c>
      <c r="I1228" s="1">
        <f t="array" ref="I1228">IF(ISNUMBER(MATCH(595,Max!$A:$A,0)), IF(OR(INDEX(Max!$D:$D,MATCH(595,Max!$A:$A,0))=1, INDEX(Max!$D:$D,MATCH(595,Max!$A:$A,0))=2), INDEX(Max!$D:$D,MATCH(595,Max!$A:$A,0)), 0), 0)</f>
        <v>0</v>
      </c>
    </row>
    <row r="1229" spans="1:9" ht="15.75" customHeight="1" x14ac:dyDescent="0.2">
      <c r="A1229" s="1">
        <v>56056</v>
      </c>
      <c r="B1229" s="1" t="s">
        <v>791</v>
      </c>
      <c r="C1229" s="1" t="s">
        <v>2868</v>
      </c>
      <c r="D1229" s="1" t="str">
        <f t="shared" si="4"/>
        <v>2</v>
      </c>
      <c r="E1229" s="1" t="s">
        <v>2869</v>
      </c>
      <c r="G1229" s="1">
        <f t="array" ref="G1229">IF(ISNUMBER(MATCH(56056,Camille!$A:$A,0)), IF(OR(INDEX(Camille!$D:$D,MATCH(56056,Camille!$A:$A,0))=1, INDEX(Camille!$D:$D,MATCH(56056,Camille!$A:$A,0))=2), INDEX(Camille!$D:$D,MATCH(56056,Camille!$A:$A,0)), 0), 0)</f>
        <v>0</v>
      </c>
      <c r="H1229" s="1">
        <f t="array" ref="H1229">IF(ISNUMBER(MATCH(56056,Telmo!$A:$A,0)), IF(OR(INDEX(Telmo!$D:$D,MATCH(56056,Telmo!$A:$A,0))=1, INDEX(Telmo!$D:$D,MATCH(56056,Telmo!$A:$A,0))=2), INDEX(Telmo!$D:$D,MATCH(56056,Telmo!$A:$A,0)), 0), 0)</f>
        <v>2</v>
      </c>
      <c r="I1229" s="1">
        <f t="array" ref="I1229">IF(ISNUMBER(MATCH(56056,Max!$A:$A,0)), IF(OR(INDEX(Max!$D:$D,MATCH(56056,Max!$A:$A,0))=1, INDEX(Max!$D:$D,MATCH(56056,Max!$A:$A,0))=2), INDEX(Max!$D:$D,MATCH(56056,Max!$A:$A,0)), 0), 0)</f>
        <v>0</v>
      </c>
    </row>
    <row r="1230" spans="1:9" ht="15.75" customHeight="1" x14ac:dyDescent="0.2">
      <c r="A1230" s="1">
        <v>25004</v>
      </c>
      <c r="B1230" s="1" t="s">
        <v>268</v>
      </c>
      <c r="C1230" s="1" t="s">
        <v>2870</v>
      </c>
      <c r="D1230" s="1" t="str">
        <f t="shared" si="4"/>
        <v>1</v>
      </c>
      <c r="E1230" s="1" t="s">
        <v>2871</v>
      </c>
      <c r="G1230" s="1">
        <f t="array" ref="G1230">IF(ISNUMBER(MATCH(25004,Camille!$A:$A,0)), IF(OR(INDEX(Camille!$D:$D,MATCH(25004,Camille!$A:$A,0))=1, INDEX(Camille!$D:$D,MATCH(25004,Camille!$A:$A,0))=2), INDEX(Camille!$D:$D,MATCH(25004,Camille!$A:$A,0)), 0), 0)</f>
        <v>0</v>
      </c>
      <c r="H1230" s="1">
        <f t="array" ref="H1230">IF(ISNUMBER(MATCH(25004,Telmo!$A:$A,0)), IF(OR(INDEX(Telmo!$D:$D,MATCH(25004,Telmo!$A:$A,0))=1, INDEX(Telmo!$D:$D,MATCH(25004,Telmo!$A:$A,0))=2), INDEX(Telmo!$D:$D,MATCH(25004,Telmo!$A:$A,0)), 0), 0)</f>
        <v>1</v>
      </c>
      <c r="I1230" s="1">
        <f t="array" ref="I1230">IF(ISNUMBER(MATCH(25004,Max!$A:$A,0)), IF(OR(INDEX(Max!$D:$D,MATCH(25004,Max!$A:$A,0))=1, INDEX(Max!$D:$D,MATCH(25004,Max!$A:$A,0))=2), INDEX(Max!$D:$D,MATCH(25004,Max!$A:$A,0)), 0), 0)</f>
        <v>0</v>
      </c>
    </row>
    <row r="1231" spans="1:9" ht="15.75" customHeight="1" x14ac:dyDescent="0.2">
      <c r="A1231" s="1">
        <v>64711</v>
      </c>
      <c r="B1231" s="1" t="s">
        <v>2872</v>
      </c>
      <c r="C1231" s="1" t="s">
        <v>2873</v>
      </c>
      <c r="D1231" s="1" t="str">
        <f t="shared" si="4"/>
        <v>1</v>
      </c>
      <c r="E1231" s="1" t="s">
        <v>2874</v>
      </c>
      <c r="G1231" s="1">
        <f t="array" ref="G1231">IF(ISNUMBER(MATCH(64711,Camille!$A:$A,0)), IF(OR(INDEX(Camille!$D:$D,MATCH(64711,Camille!$A:$A,0))=1, INDEX(Camille!$D:$D,MATCH(64711,Camille!$A:$A,0))=2), INDEX(Camille!$D:$D,MATCH(64711,Camille!$A:$A,0)), 0), 0)</f>
        <v>0</v>
      </c>
      <c r="H1231" s="1">
        <f t="array" ref="H1231">IF(ISNUMBER(MATCH(64711,Telmo!$A:$A,0)), IF(OR(INDEX(Telmo!$D:$D,MATCH(64711,Telmo!$A:$A,0))=1, INDEX(Telmo!$D:$D,MATCH(64711,Telmo!$A:$A,0))=2), INDEX(Telmo!$D:$D,MATCH(64711,Telmo!$A:$A,0)), 0), 0)</f>
        <v>1</v>
      </c>
      <c r="I1231" s="1">
        <f t="array" ref="I1231">IF(ISNUMBER(MATCH(64711,Max!$A:$A,0)), IF(OR(INDEX(Max!$D:$D,MATCH(64711,Max!$A:$A,0))=1, INDEX(Max!$D:$D,MATCH(64711,Max!$A:$A,0))=2), INDEX(Max!$D:$D,MATCH(64711,Max!$A:$A,0)), 0), 0)</f>
        <v>0</v>
      </c>
    </row>
    <row r="1232" spans="1:9" ht="15.75" customHeight="1" x14ac:dyDescent="0.2">
      <c r="A1232" s="1">
        <v>39022</v>
      </c>
      <c r="B1232" s="1" t="s">
        <v>2875</v>
      </c>
      <c r="C1232" s="1" t="s">
        <v>2876</v>
      </c>
      <c r="D1232" s="1" t="str">
        <f t="shared" si="4"/>
        <v>2</v>
      </c>
      <c r="E1232" s="1" t="s">
        <v>2877</v>
      </c>
      <c r="G1232" s="1">
        <f t="array" ref="G1232">IF(ISNUMBER(MATCH(39022,Camille!$A:$A,0)), IF(OR(INDEX(Camille!$D:$D,MATCH(39022,Camille!$A:$A,0))=1, INDEX(Camille!$D:$D,MATCH(39022,Camille!$A:$A,0))=2), INDEX(Camille!$D:$D,MATCH(39022,Camille!$A:$A,0)), 0), 0)</f>
        <v>0</v>
      </c>
      <c r="H1232" s="1">
        <f t="array" ref="H1232">IF(ISNUMBER(MATCH(39022,Telmo!$A:$A,0)), IF(OR(INDEX(Telmo!$D:$D,MATCH(39022,Telmo!$A:$A,0))=1, INDEX(Telmo!$D:$D,MATCH(39022,Telmo!$A:$A,0))=2), INDEX(Telmo!$D:$D,MATCH(39022,Telmo!$A:$A,0)), 0), 0)</f>
        <v>2</v>
      </c>
      <c r="I1232" s="1">
        <f t="array" ref="I1232">IF(ISNUMBER(MATCH(39022,Max!$A:$A,0)), IF(OR(INDEX(Max!$D:$D,MATCH(39022,Max!$A:$A,0))=1, INDEX(Max!$D:$D,MATCH(39022,Max!$A:$A,0))=2), INDEX(Max!$D:$D,MATCH(39022,Max!$A:$A,0)), 0), 0)</f>
        <v>0</v>
      </c>
    </row>
    <row r="1233" spans="1:9" ht="15.75" customHeight="1" x14ac:dyDescent="0.2">
      <c r="A1233" s="1">
        <v>54297</v>
      </c>
      <c r="B1233" s="1" t="s">
        <v>1290</v>
      </c>
      <c r="C1233" s="1" t="s">
        <v>2878</v>
      </c>
      <c r="D1233" s="1" t="str">
        <f t="shared" si="4"/>
        <v>2</v>
      </c>
      <c r="E1233" s="1" t="s">
        <v>2879</v>
      </c>
      <c r="G1233" s="1">
        <f t="array" ref="G1233">IF(ISNUMBER(MATCH(54297,Camille!$A:$A,0)), IF(OR(INDEX(Camille!$D:$D,MATCH(54297,Camille!$A:$A,0))=1, INDEX(Camille!$D:$D,MATCH(54297,Camille!$A:$A,0))=2), INDEX(Camille!$D:$D,MATCH(54297,Camille!$A:$A,0)), 0), 0)</f>
        <v>0</v>
      </c>
      <c r="H1233" s="1">
        <f t="array" ref="H1233">IF(ISNUMBER(MATCH(54297,Telmo!$A:$A,0)), IF(OR(INDEX(Telmo!$D:$D,MATCH(54297,Telmo!$A:$A,0))=1, INDEX(Telmo!$D:$D,MATCH(54297,Telmo!$A:$A,0))=2), INDEX(Telmo!$D:$D,MATCH(54297,Telmo!$A:$A,0)), 0), 0)</f>
        <v>2</v>
      </c>
      <c r="I1233" s="1">
        <f t="array" ref="I1233">IF(ISNUMBER(MATCH(54297,Max!$A:$A,0)), IF(OR(INDEX(Max!$D:$D,MATCH(54297,Max!$A:$A,0))=1, INDEX(Max!$D:$D,MATCH(54297,Max!$A:$A,0))=2), INDEX(Max!$D:$D,MATCH(54297,Max!$A:$A,0)), 0), 0)</f>
        <v>0</v>
      </c>
    </row>
    <row r="1234" spans="1:9" ht="15.75" customHeight="1" x14ac:dyDescent="0.2">
      <c r="A1234" s="1">
        <v>42410</v>
      </c>
      <c r="B1234" s="1" t="s">
        <v>466</v>
      </c>
      <c r="C1234" s="1" t="s">
        <v>2880</v>
      </c>
      <c r="D1234" s="1" t="str">
        <f t="shared" si="4"/>
        <v>1</v>
      </c>
      <c r="E1234" s="1" t="s">
        <v>2881</v>
      </c>
      <c r="G1234" s="1">
        <f t="array" ref="G1234">IF(ISNUMBER(MATCH(42410,Camille!$A:$A,0)), IF(OR(INDEX(Camille!$D:$D,MATCH(42410,Camille!$A:$A,0))=1, INDEX(Camille!$D:$D,MATCH(42410,Camille!$A:$A,0))=2), INDEX(Camille!$D:$D,MATCH(42410,Camille!$A:$A,0)), 0), 0)</f>
        <v>0</v>
      </c>
      <c r="H1234" s="1">
        <f t="array" ref="H1234">IF(ISNUMBER(MATCH(42410,Telmo!$A:$A,0)), IF(OR(INDEX(Telmo!$D:$D,MATCH(42410,Telmo!$A:$A,0))=1, INDEX(Telmo!$D:$D,MATCH(42410,Telmo!$A:$A,0))=2), INDEX(Telmo!$D:$D,MATCH(42410,Telmo!$A:$A,0)), 0), 0)</f>
        <v>1</v>
      </c>
      <c r="I1234" s="1">
        <f t="array" ref="I1234">IF(ISNUMBER(MATCH(42410,Max!$A:$A,0)), IF(OR(INDEX(Max!$D:$D,MATCH(42410,Max!$A:$A,0))=1, INDEX(Max!$D:$D,MATCH(42410,Max!$A:$A,0))=2), INDEX(Max!$D:$D,MATCH(42410,Max!$A:$A,0)), 0), 0)</f>
        <v>0</v>
      </c>
    </row>
    <row r="1235" spans="1:9" ht="15.75" customHeight="1" x14ac:dyDescent="0.2">
      <c r="A1235" s="1">
        <v>27481</v>
      </c>
      <c r="B1235" s="1" t="s">
        <v>1307</v>
      </c>
      <c r="C1235" s="1" t="s">
        <v>2882</v>
      </c>
      <c r="D1235" s="1" t="str">
        <f t="shared" si="4"/>
        <v>2</v>
      </c>
      <c r="E1235" s="1" t="s">
        <v>2883</v>
      </c>
      <c r="G1235" s="1">
        <f t="array" ref="G1235">IF(ISNUMBER(MATCH(27481,Camille!$A:$A,0)), IF(OR(INDEX(Camille!$D:$D,MATCH(27481,Camille!$A:$A,0))=1, INDEX(Camille!$D:$D,MATCH(27481,Camille!$A:$A,0))=2), INDEX(Camille!$D:$D,MATCH(27481,Camille!$A:$A,0)), 0), 0)</f>
        <v>0</v>
      </c>
      <c r="H1235" s="1">
        <f t="array" ref="H1235">IF(ISNUMBER(MATCH(27481,Telmo!$A:$A,0)), IF(OR(INDEX(Telmo!$D:$D,MATCH(27481,Telmo!$A:$A,0))=1, INDEX(Telmo!$D:$D,MATCH(27481,Telmo!$A:$A,0))=2), INDEX(Telmo!$D:$D,MATCH(27481,Telmo!$A:$A,0)), 0), 0)</f>
        <v>2</v>
      </c>
      <c r="I1235" s="1">
        <f t="array" ref="I1235">IF(ISNUMBER(MATCH(27481,Max!$A:$A,0)), IF(OR(INDEX(Max!$D:$D,MATCH(27481,Max!$A:$A,0))=1, INDEX(Max!$D:$D,MATCH(27481,Max!$A:$A,0))=2), INDEX(Max!$D:$D,MATCH(27481,Max!$A:$A,0)), 0), 0)</f>
        <v>0</v>
      </c>
    </row>
    <row r="1236" spans="1:9" ht="15.75" customHeight="1" x14ac:dyDescent="0.2">
      <c r="A1236" s="1">
        <v>63623</v>
      </c>
      <c r="B1236" s="1" t="s">
        <v>2884</v>
      </c>
      <c r="C1236" s="1" t="s">
        <v>2885</v>
      </c>
      <c r="D1236" s="1" t="str">
        <f t="shared" si="4"/>
        <v>2</v>
      </c>
      <c r="E1236" s="1" t="s">
        <v>2886</v>
      </c>
      <c r="G1236" s="1">
        <f t="array" ref="G1236">IF(ISNUMBER(MATCH(63623,Camille!$A:$A,0)), IF(OR(INDEX(Camille!$D:$D,MATCH(63623,Camille!$A:$A,0))=1, INDEX(Camille!$D:$D,MATCH(63623,Camille!$A:$A,0))=2), INDEX(Camille!$D:$D,MATCH(63623,Camille!$A:$A,0)), 0), 0)</f>
        <v>0</v>
      </c>
      <c r="H1236" s="1">
        <f t="array" ref="H1236">IF(ISNUMBER(MATCH(63623,Telmo!$A:$A,0)), IF(OR(INDEX(Telmo!$D:$D,MATCH(63623,Telmo!$A:$A,0))=1, INDEX(Telmo!$D:$D,MATCH(63623,Telmo!$A:$A,0))=2), INDEX(Telmo!$D:$D,MATCH(63623,Telmo!$A:$A,0)), 0), 0)</f>
        <v>2</v>
      </c>
      <c r="I1236" s="1">
        <f t="array" ref="I1236">IF(ISNUMBER(MATCH(63623,Max!$A:$A,0)), IF(OR(INDEX(Max!$D:$D,MATCH(63623,Max!$A:$A,0))=1, INDEX(Max!$D:$D,MATCH(63623,Max!$A:$A,0))=2), INDEX(Max!$D:$D,MATCH(63623,Max!$A:$A,0)), 0), 0)</f>
        <v>0</v>
      </c>
    </row>
    <row r="1237" spans="1:9" ht="15.75" customHeight="1" x14ac:dyDescent="0.2">
      <c r="A1237" s="1">
        <v>19707</v>
      </c>
      <c r="B1237" s="1" t="s">
        <v>172</v>
      </c>
      <c r="C1237" s="1" t="s">
        <v>2887</v>
      </c>
      <c r="D1237" s="1" t="str">
        <f t="shared" si="4"/>
        <v>2</v>
      </c>
      <c r="E1237" s="1" t="s">
        <v>2888</v>
      </c>
      <c r="G1237" s="1">
        <f t="array" ref="G1237">IF(ISNUMBER(MATCH(19707,Camille!$A:$A,0)), IF(OR(INDEX(Camille!$D:$D,MATCH(19707,Camille!$A:$A,0))=1, INDEX(Camille!$D:$D,MATCH(19707,Camille!$A:$A,0))=2), INDEX(Camille!$D:$D,MATCH(19707,Camille!$A:$A,0)), 0), 0)</f>
        <v>0</v>
      </c>
      <c r="H1237" s="1">
        <f t="array" ref="H1237">IF(ISNUMBER(MATCH(19707,Telmo!$A:$A,0)), IF(OR(INDEX(Telmo!$D:$D,MATCH(19707,Telmo!$A:$A,0))=1, INDEX(Telmo!$D:$D,MATCH(19707,Telmo!$A:$A,0))=2), INDEX(Telmo!$D:$D,MATCH(19707,Telmo!$A:$A,0)), 0), 0)</f>
        <v>2</v>
      </c>
      <c r="I1237" s="1">
        <f t="array" ref="I1237">IF(ISNUMBER(MATCH(19707,Max!$A:$A,0)), IF(OR(INDEX(Max!$D:$D,MATCH(19707,Max!$A:$A,0))=1, INDEX(Max!$D:$D,MATCH(19707,Max!$A:$A,0))=2), INDEX(Max!$D:$D,MATCH(19707,Max!$A:$A,0)), 0), 0)</f>
        <v>0</v>
      </c>
    </row>
    <row r="1238" spans="1:9" ht="15.75" customHeight="1" x14ac:dyDescent="0.2">
      <c r="A1238" s="1">
        <v>64721</v>
      </c>
      <c r="B1238" s="1" t="s">
        <v>11</v>
      </c>
      <c r="C1238" s="1" t="s">
        <v>2889</v>
      </c>
      <c r="D1238" s="1" t="str">
        <f t="shared" si="4"/>
        <v>2</v>
      </c>
      <c r="E1238" s="1" t="s">
        <v>2890</v>
      </c>
      <c r="G1238" s="1">
        <f t="array" ref="G1238">IF(ISNUMBER(MATCH(64721,Camille!$A:$A,0)), IF(OR(INDEX(Camille!$D:$D,MATCH(64721,Camille!$A:$A,0))=1, INDEX(Camille!$D:$D,MATCH(64721,Camille!$A:$A,0))=2), INDEX(Camille!$D:$D,MATCH(64721,Camille!$A:$A,0)), 0), 0)</f>
        <v>0</v>
      </c>
      <c r="H1238" s="1">
        <f t="array" ref="H1238">IF(ISNUMBER(MATCH(64721,Telmo!$A:$A,0)), IF(OR(INDEX(Telmo!$D:$D,MATCH(64721,Telmo!$A:$A,0))=1, INDEX(Telmo!$D:$D,MATCH(64721,Telmo!$A:$A,0))=2), INDEX(Telmo!$D:$D,MATCH(64721,Telmo!$A:$A,0)), 0), 0)</f>
        <v>2</v>
      </c>
      <c r="I1238" s="1">
        <f t="array" ref="I1238">IF(ISNUMBER(MATCH(64721,Max!$A:$A,0)), IF(OR(INDEX(Max!$D:$D,MATCH(64721,Max!$A:$A,0))=1, INDEX(Max!$D:$D,MATCH(64721,Max!$A:$A,0))=2), INDEX(Max!$D:$D,MATCH(64721,Max!$A:$A,0)), 0), 0)</f>
        <v>0</v>
      </c>
    </row>
    <row r="1239" spans="1:9" ht="15.75" customHeight="1" x14ac:dyDescent="0.2">
      <c r="A1239" s="1">
        <v>31294</v>
      </c>
      <c r="B1239" s="1" t="s">
        <v>41</v>
      </c>
      <c r="C1239" s="1" t="s">
        <v>2891</v>
      </c>
      <c r="D1239" s="1" t="str">
        <f t="shared" si="4"/>
        <v>2</v>
      </c>
      <c r="E1239" s="1" t="s">
        <v>2892</v>
      </c>
      <c r="G1239" s="1">
        <f t="array" ref="G1239">IF(ISNUMBER(MATCH(31294,Camille!$A:$A,0)), IF(OR(INDEX(Camille!$D:$D,MATCH(31294,Camille!$A:$A,0))=1, INDEX(Camille!$D:$D,MATCH(31294,Camille!$A:$A,0))=2), INDEX(Camille!$D:$D,MATCH(31294,Camille!$A:$A,0)), 0), 0)</f>
        <v>0</v>
      </c>
      <c r="H1239" s="1">
        <f t="array" ref="H1239">IF(ISNUMBER(MATCH(31294,Telmo!$A:$A,0)), IF(OR(INDEX(Telmo!$D:$D,MATCH(31294,Telmo!$A:$A,0))=1, INDEX(Telmo!$D:$D,MATCH(31294,Telmo!$A:$A,0))=2), INDEX(Telmo!$D:$D,MATCH(31294,Telmo!$A:$A,0)), 0), 0)</f>
        <v>2</v>
      </c>
      <c r="I1239" s="1">
        <f t="array" ref="I1239">IF(ISNUMBER(MATCH(31294,Max!$A:$A,0)), IF(OR(INDEX(Max!$D:$D,MATCH(31294,Max!$A:$A,0))=1, INDEX(Max!$D:$D,MATCH(31294,Max!$A:$A,0))=2), INDEX(Max!$D:$D,MATCH(31294,Max!$A:$A,0)), 0), 0)</f>
        <v>0</v>
      </c>
    </row>
    <row r="1240" spans="1:9" ht="15.75" customHeight="1" x14ac:dyDescent="0.2">
      <c r="A1240" s="1">
        <v>26309</v>
      </c>
      <c r="B1240" s="1" t="s">
        <v>552</v>
      </c>
      <c r="C1240" s="1" t="s">
        <v>2893</v>
      </c>
      <c r="D1240" s="1" t="str">
        <f t="shared" si="4"/>
        <v>1</v>
      </c>
      <c r="E1240" s="1" t="s">
        <v>2894</v>
      </c>
      <c r="G1240" s="1">
        <f t="array" ref="G1240">IF(ISNUMBER(MATCH(26309,Camille!$A:$A,0)), IF(OR(INDEX(Camille!$D:$D,MATCH(26309,Camille!$A:$A,0))=1, INDEX(Camille!$D:$D,MATCH(26309,Camille!$A:$A,0))=2), INDEX(Camille!$D:$D,MATCH(26309,Camille!$A:$A,0)), 0), 0)</f>
        <v>0</v>
      </c>
      <c r="H1240" s="1">
        <f t="array" ref="H1240">IF(ISNUMBER(MATCH(26309,Telmo!$A:$A,0)), IF(OR(INDEX(Telmo!$D:$D,MATCH(26309,Telmo!$A:$A,0))=1, INDEX(Telmo!$D:$D,MATCH(26309,Telmo!$A:$A,0))=2), INDEX(Telmo!$D:$D,MATCH(26309,Telmo!$A:$A,0)), 0), 0)</f>
        <v>1</v>
      </c>
      <c r="I1240" s="1">
        <f t="array" ref="I1240">IF(ISNUMBER(MATCH(26309,Max!$A:$A,0)), IF(OR(INDEX(Max!$D:$D,MATCH(26309,Max!$A:$A,0))=1, INDEX(Max!$D:$D,MATCH(26309,Max!$A:$A,0))=2), INDEX(Max!$D:$D,MATCH(26309,Max!$A:$A,0)), 0), 0)</f>
        <v>0</v>
      </c>
    </row>
    <row r="1241" spans="1:9" ht="15.75" customHeight="1" x14ac:dyDescent="0.2">
      <c r="A1241" s="1">
        <v>25907</v>
      </c>
      <c r="B1241" s="1" t="s">
        <v>952</v>
      </c>
      <c r="C1241" s="1" t="s">
        <v>2895</v>
      </c>
      <c r="D1241" s="1" t="str">
        <f t="shared" si="4"/>
        <v>2</v>
      </c>
      <c r="E1241" s="1" t="s">
        <v>2896</v>
      </c>
      <c r="G1241" s="1">
        <f t="array" ref="G1241">IF(ISNUMBER(MATCH(25907,Camille!$A:$A,0)), IF(OR(INDEX(Camille!$D:$D,MATCH(25907,Camille!$A:$A,0))=1, INDEX(Camille!$D:$D,MATCH(25907,Camille!$A:$A,0))=2), INDEX(Camille!$D:$D,MATCH(25907,Camille!$A:$A,0)), 0), 0)</f>
        <v>0</v>
      </c>
      <c r="H1241" s="1">
        <f t="array" ref="H1241">IF(ISNUMBER(MATCH(25907,Telmo!$A:$A,0)), IF(OR(INDEX(Telmo!$D:$D,MATCH(25907,Telmo!$A:$A,0))=1, INDEX(Telmo!$D:$D,MATCH(25907,Telmo!$A:$A,0))=2), INDEX(Telmo!$D:$D,MATCH(25907,Telmo!$A:$A,0)), 0), 0)</f>
        <v>2</v>
      </c>
      <c r="I1241" s="1">
        <f t="array" ref="I1241">IF(ISNUMBER(MATCH(25907,Max!$A:$A,0)), IF(OR(INDEX(Max!$D:$D,MATCH(25907,Max!$A:$A,0))=1, INDEX(Max!$D:$D,MATCH(25907,Max!$A:$A,0))=2), INDEX(Max!$D:$D,MATCH(25907,Max!$A:$A,0)), 0), 0)</f>
        <v>0</v>
      </c>
    </row>
    <row r="1242" spans="1:9" ht="15.75" customHeight="1" x14ac:dyDescent="0.2">
      <c r="A1242" s="1">
        <v>12855</v>
      </c>
      <c r="B1242" s="1" t="s">
        <v>38</v>
      </c>
      <c r="C1242" s="1" t="s">
        <v>2897</v>
      </c>
      <c r="D1242" s="1" t="str">
        <f t="shared" si="4"/>
        <v>2</v>
      </c>
      <c r="E1242" s="1" t="s">
        <v>2898</v>
      </c>
      <c r="G1242" s="1">
        <f t="array" ref="G1242">IF(ISNUMBER(MATCH(12855,Camille!$A:$A,0)), IF(OR(INDEX(Camille!$D:$D,MATCH(12855,Camille!$A:$A,0))=1, INDEX(Camille!$D:$D,MATCH(12855,Camille!$A:$A,0))=2), INDEX(Camille!$D:$D,MATCH(12855,Camille!$A:$A,0)), 0), 0)</f>
        <v>0</v>
      </c>
      <c r="H1242" s="1">
        <f t="array" ref="H1242">IF(ISNUMBER(MATCH(12855,Telmo!$A:$A,0)), IF(OR(INDEX(Telmo!$D:$D,MATCH(12855,Telmo!$A:$A,0))=1, INDEX(Telmo!$D:$D,MATCH(12855,Telmo!$A:$A,0))=2), INDEX(Telmo!$D:$D,MATCH(12855,Telmo!$A:$A,0)), 0), 0)</f>
        <v>2</v>
      </c>
      <c r="I1242" s="1">
        <f t="array" ref="I1242">IF(ISNUMBER(MATCH(12855,Max!$A:$A,0)), IF(OR(INDEX(Max!$D:$D,MATCH(12855,Max!$A:$A,0))=1, INDEX(Max!$D:$D,MATCH(12855,Max!$A:$A,0))=2), INDEX(Max!$D:$D,MATCH(12855,Max!$A:$A,0)), 0), 0)</f>
        <v>0</v>
      </c>
    </row>
    <row r="1243" spans="1:9" ht="15.75" customHeight="1" x14ac:dyDescent="0.2">
      <c r="A1243" s="1">
        <v>5209</v>
      </c>
      <c r="B1243" s="1" t="s">
        <v>244</v>
      </c>
      <c r="C1243" s="1" t="s">
        <v>2899</v>
      </c>
      <c r="D1243" s="1" t="str">
        <f t="shared" si="4"/>
        <v>2</v>
      </c>
      <c r="E1243" s="1" t="s">
        <v>2900</v>
      </c>
      <c r="G1243" s="1">
        <f t="array" ref="G1243">IF(ISNUMBER(MATCH(5209,Camille!$A:$A,0)), IF(OR(INDEX(Camille!$D:$D,MATCH(5209,Camille!$A:$A,0))=1, INDEX(Camille!$D:$D,MATCH(5209,Camille!$A:$A,0))=2), INDEX(Camille!$D:$D,MATCH(5209,Camille!$A:$A,0)), 0), 0)</f>
        <v>0</v>
      </c>
      <c r="H1243" s="1">
        <f t="array" ref="H1243">IF(ISNUMBER(MATCH(5209,Telmo!$A:$A,0)), IF(OR(INDEX(Telmo!$D:$D,MATCH(5209,Telmo!$A:$A,0))=1, INDEX(Telmo!$D:$D,MATCH(5209,Telmo!$A:$A,0))=2), INDEX(Telmo!$D:$D,MATCH(5209,Telmo!$A:$A,0)), 0), 0)</f>
        <v>2</v>
      </c>
      <c r="I1243" s="1">
        <f t="array" ref="I1243">IF(ISNUMBER(MATCH(5209,Max!$A:$A,0)), IF(OR(INDEX(Max!$D:$D,MATCH(5209,Max!$A:$A,0))=1, INDEX(Max!$D:$D,MATCH(5209,Max!$A:$A,0))=2), INDEX(Max!$D:$D,MATCH(5209,Max!$A:$A,0)), 0), 0)</f>
        <v>0</v>
      </c>
    </row>
    <row r="1244" spans="1:9" ht="15.75" customHeight="1" x14ac:dyDescent="0.2">
      <c r="A1244" s="1">
        <v>69088</v>
      </c>
      <c r="B1244" s="1" t="s">
        <v>254</v>
      </c>
      <c r="C1244" s="1" t="s">
        <v>2901</v>
      </c>
      <c r="D1244" s="1" t="str">
        <f t="shared" si="4"/>
        <v>1</v>
      </c>
      <c r="E1244" s="1" t="s">
        <v>2902</v>
      </c>
      <c r="G1244" s="1">
        <f t="array" ref="G1244">IF(ISNUMBER(MATCH(69088,Camille!$A:$A,0)), IF(OR(INDEX(Camille!$D:$D,MATCH(69088,Camille!$A:$A,0))=1, INDEX(Camille!$D:$D,MATCH(69088,Camille!$A:$A,0))=2), INDEX(Camille!$D:$D,MATCH(69088,Camille!$A:$A,0)), 0), 0)</f>
        <v>0</v>
      </c>
      <c r="H1244" s="1">
        <f t="array" ref="H1244">IF(ISNUMBER(MATCH(69088,Telmo!$A:$A,0)), IF(OR(INDEX(Telmo!$D:$D,MATCH(69088,Telmo!$A:$A,0))=1, INDEX(Telmo!$D:$D,MATCH(69088,Telmo!$A:$A,0))=2), INDEX(Telmo!$D:$D,MATCH(69088,Telmo!$A:$A,0)), 0), 0)</f>
        <v>1</v>
      </c>
      <c r="I1244" s="1">
        <f t="array" ref="I1244">IF(ISNUMBER(MATCH(69088,Max!$A:$A,0)), IF(OR(INDEX(Max!$D:$D,MATCH(69088,Max!$A:$A,0))=1, INDEX(Max!$D:$D,MATCH(69088,Max!$A:$A,0))=2), INDEX(Max!$D:$D,MATCH(69088,Max!$A:$A,0)), 0), 0)</f>
        <v>0</v>
      </c>
    </row>
    <row r="1245" spans="1:9" ht="15.75" customHeight="1" x14ac:dyDescent="0.2">
      <c r="A1245" s="1">
        <v>50844</v>
      </c>
      <c r="B1245" s="1" t="s">
        <v>2903</v>
      </c>
      <c r="C1245" s="1" t="s">
        <v>2904</v>
      </c>
      <c r="D1245" s="1" t="str">
        <f t="shared" si="4"/>
        <v>2</v>
      </c>
      <c r="E1245" s="1" t="s">
        <v>2905</v>
      </c>
      <c r="G1245" s="1">
        <f t="array" ref="G1245">IF(ISNUMBER(MATCH(50844,Camille!$A:$A,0)), IF(OR(INDEX(Camille!$D:$D,MATCH(50844,Camille!$A:$A,0))=1, INDEX(Camille!$D:$D,MATCH(50844,Camille!$A:$A,0))=2), INDEX(Camille!$D:$D,MATCH(50844,Camille!$A:$A,0)), 0), 0)</f>
        <v>0</v>
      </c>
      <c r="H1245" s="1">
        <f t="array" ref="H1245">IF(ISNUMBER(MATCH(50844,Telmo!$A:$A,0)), IF(OR(INDEX(Telmo!$D:$D,MATCH(50844,Telmo!$A:$A,0))=1, INDEX(Telmo!$D:$D,MATCH(50844,Telmo!$A:$A,0))=2), INDEX(Telmo!$D:$D,MATCH(50844,Telmo!$A:$A,0)), 0), 0)</f>
        <v>2</v>
      </c>
      <c r="I1245" s="1">
        <f t="array" ref="I1245">IF(ISNUMBER(MATCH(50844,Max!$A:$A,0)), IF(OR(INDEX(Max!$D:$D,MATCH(50844,Max!$A:$A,0))=1, INDEX(Max!$D:$D,MATCH(50844,Max!$A:$A,0))=2), INDEX(Max!$D:$D,MATCH(50844,Max!$A:$A,0)), 0), 0)</f>
        <v>0</v>
      </c>
    </row>
    <row r="1246" spans="1:9" ht="15.75" customHeight="1" x14ac:dyDescent="0.2">
      <c r="A1246" s="1">
        <v>63967</v>
      </c>
      <c r="B1246" s="1" t="s">
        <v>354</v>
      </c>
      <c r="C1246" s="1" t="s">
        <v>2906</v>
      </c>
      <c r="D1246" s="1" t="str">
        <f t="shared" si="4"/>
        <v>2</v>
      </c>
      <c r="E1246" s="1" t="s">
        <v>2907</v>
      </c>
      <c r="G1246" s="1">
        <f t="array" ref="G1246">IF(ISNUMBER(MATCH(63967,Camille!$A:$A,0)), IF(OR(INDEX(Camille!$D:$D,MATCH(63967,Camille!$A:$A,0))=1, INDEX(Camille!$D:$D,MATCH(63967,Camille!$A:$A,0))=2), INDEX(Camille!$D:$D,MATCH(63967,Camille!$A:$A,0)), 0), 0)</f>
        <v>0</v>
      </c>
      <c r="H1246" s="1">
        <f t="array" ref="H1246">IF(ISNUMBER(MATCH(63967,Telmo!$A:$A,0)), IF(OR(INDEX(Telmo!$D:$D,MATCH(63967,Telmo!$A:$A,0))=1, INDEX(Telmo!$D:$D,MATCH(63967,Telmo!$A:$A,0))=2), INDEX(Telmo!$D:$D,MATCH(63967,Telmo!$A:$A,0)), 0), 0)</f>
        <v>2</v>
      </c>
      <c r="I1246" s="1">
        <f t="array" ref="I1246">IF(ISNUMBER(MATCH(63967,Max!$A:$A,0)), IF(OR(INDEX(Max!$D:$D,MATCH(63967,Max!$A:$A,0))=1, INDEX(Max!$D:$D,MATCH(63967,Max!$A:$A,0))=2), INDEX(Max!$D:$D,MATCH(63967,Max!$A:$A,0)), 0), 0)</f>
        <v>0</v>
      </c>
    </row>
    <row r="1247" spans="1:9" ht="15.75" customHeight="1" x14ac:dyDescent="0.2">
      <c r="A1247" s="1">
        <v>37677</v>
      </c>
      <c r="B1247" s="1" t="s">
        <v>819</v>
      </c>
      <c r="C1247" s="1" t="s">
        <v>2908</v>
      </c>
      <c r="D1247" s="1" t="str">
        <f t="shared" si="4"/>
        <v>1</v>
      </c>
      <c r="E1247" s="1" t="s">
        <v>2909</v>
      </c>
      <c r="G1247" s="1">
        <f t="array" ref="G1247">IF(ISNUMBER(MATCH(37677,Camille!$A:$A,0)), IF(OR(INDEX(Camille!$D:$D,MATCH(37677,Camille!$A:$A,0))=1, INDEX(Camille!$D:$D,MATCH(37677,Camille!$A:$A,0))=2), INDEX(Camille!$D:$D,MATCH(37677,Camille!$A:$A,0)), 0), 0)</f>
        <v>0</v>
      </c>
      <c r="H1247" s="1">
        <f t="array" ref="H1247">IF(ISNUMBER(MATCH(37677,Telmo!$A:$A,0)), IF(OR(INDEX(Telmo!$D:$D,MATCH(37677,Telmo!$A:$A,0))=1, INDEX(Telmo!$D:$D,MATCH(37677,Telmo!$A:$A,0))=2), INDEX(Telmo!$D:$D,MATCH(37677,Telmo!$A:$A,0)), 0), 0)</f>
        <v>1</v>
      </c>
      <c r="I1247" s="1">
        <f t="array" ref="I1247">IF(ISNUMBER(MATCH(37677,Max!$A:$A,0)), IF(OR(INDEX(Max!$D:$D,MATCH(37677,Max!$A:$A,0))=1, INDEX(Max!$D:$D,MATCH(37677,Max!$A:$A,0))=2), INDEX(Max!$D:$D,MATCH(37677,Max!$A:$A,0)), 0), 0)</f>
        <v>0</v>
      </c>
    </row>
    <row r="1248" spans="1:9" ht="15.75" customHeight="1" x14ac:dyDescent="0.2">
      <c r="A1248" s="1">
        <v>58797</v>
      </c>
      <c r="B1248" s="1" t="s">
        <v>2910</v>
      </c>
      <c r="C1248" s="1" t="s">
        <v>2911</v>
      </c>
      <c r="D1248" s="1" t="str">
        <f t="shared" si="4"/>
        <v>2</v>
      </c>
      <c r="E1248" s="1" t="s">
        <v>2912</v>
      </c>
      <c r="G1248" s="1">
        <f t="array" ref="G1248">IF(ISNUMBER(MATCH(58797,Camille!$A:$A,0)), IF(OR(INDEX(Camille!$D:$D,MATCH(58797,Camille!$A:$A,0))=1, INDEX(Camille!$D:$D,MATCH(58797,Camille!$A:$A,0))=2), INDEX(Camille!$D:$D,MATCH(58797,Camille!$A:$A,0)), 0), 0)</f>
        <v>0</v>
      </c>
      <c r="H1248" s="1">
        <f t="array" ref="H1248">IF(ISNUMBER(MATCH(58797,Telmo!$A:$A,0)), IF(OR(INDEX(Telmo!$D:$D,MATCH(58797,Telmo!$A:$A,0))=1, INDEX(Telmo!$D:$D,MATCH(58797,Telmo!$A:$A,0))=2), INDEX(Telmo!$D:$D,MATCH(58797,Telmo!$A:$A,0)), 0), 0)</f>
        <v>2</v>
      </c>
      <c r="I1248" s="1">
        <f t="array" ref="I1248">IF(ISNUMBER(MATCH(58797,Max!$A:$A,0)), IF(OR(INDEX(Max!$D:$D,MATCH(58797,Max!$A:$A,0))=1, INDEX(Max!$D:$D,MATCH(58797,Max!$A:$A,0))=2), INDEX(Max!$D:$D,MATCH(58797,Max!$A:$A,0)), 0), 0)</f>
        <v>0</v>
      </c>
    </row>
    <row r="1249" spans="1:9" ht="15.75" customHeight="1" x14ac:dyDescent="0.2">
      <c r="A1249" s="1">
        <v>9272</v>
      </c>
      <c r="B1249" s="1" t="s">
        <v>460</v>
      </c>
      <c r="C1249" s="1" t="s">
        <v>2913</v>
      </c>
      <c r="D1249" s="1" t="str">
        <f t="shared" si="4"/>
        <v>2</v>
      </c>
      <c r="E1249" s="1" t="s">
        <v>2914</v>
      </c>
      <c r="G1249" s="1">
        <f t="array" ref="G1249">IF(ISNUMBER(MATCH(9272,Camille!$A:$A,0)), IF(OR(INDEX(Camille!$D:$D,MATCH(9272,Camille!$A:$A,0))=1, INDEX(Camille!$D:$D,MATCH(9272,Camille!$A:$A,0))=2), INDEX(Camille!$D:$D,MATCH(9272,Camille!$A:$A,0)), 0), 0)</f>
        <v>0</v>
      </c>
      <c r="H1249" s="1">
        <f t="array" ref="H1249">IF(ISNUMBER(MATCH(9272,Telmo!$A:$A,0)), IF(OR(INDEX(Telmo!$D:$D,MATCH(9272,Telmo!$A:$A,0))=1, INDEX(Telmo!$D:$D,MATCH(9272,Telmo!$A:$A,0))=2), INDEX(Telmo!$D:$D,MATCH(9272,Telmo!$A:$A,0)), 0), 0)</f>
        <v>2</v>
      </c>
      <c r="I1249" s="1">
        <f t="array" ref="I1249">IF(ISNUMBER(MATCH(9272,Max!$A:$A,0)), IF(OR(INDEX(Max!$D:$D,MATCH(9272,Max!$A:$A,0))=1, INDEX(Max!$D:$D,MATCH(9272,Max!$A:$A,0))=2), INDEX(Max!$D:$D,MATCH(9272,Max!$A:$A,0)), 0), 0)</f>
        <v>0</v>
      </c>
    </row>
    <row r="1250" spans="1:9" ht="15.75" customHeight="1" x14ac:dyDescent="0.2">
      <c r="A1250" s="1">
        <v>55687</v>
      </c>
      <c r="B1250" s="1" t="s">
        <v>32</v>
      </c>
      <c r="C1250" s="1" t="s">
        <v>2915</v>
      </c>
      <c r="D1250" s="1" t="str">
        <f t="shared" si="4"/>
        <v>2</v>
      </c>
      <c r="E1250" s="1" t="s">
        <v>2916</v>
      </c>
      <c r="G1250" s="1">
        <f t="array" ref="G1250">IF(ISNUMBER(MATCH(55687,Camille!$A:$A,0)), IF(OR(INDEX(Camille!$D:$D,MATCH(55687,Camille!$A:$A,0))=1, INDEX(Camille!$D:$D,MATCH(55687,Camille!$A:$A,0))=2), INDEX(Camille!$D:$D,MATCH(55687,Camille!$A:$A,0)), 0), 0)</f>
        <v>0</v>
      </c>
      <c r="H1250" s="1">
        <f t="array" ref="H1250">IF(ISNUMBER(MATCH(55687,Telmo!$A:$A,0)), IF(OR(INDEX(Telmo!$D:$D,MATCH(55687,Telmo!$A:$A,0))=1, INDEX(Telmo!$D:$D,MATCH(55687,Telmo!$A:$A,0))=2), INDEX(Telmo!$D:$D,MATCH(55687,Telmo!$A:$A,0)), 0), 0)</f>
        <v>2</v>
      </c>
      <c r="I1250" s="1">
        <f t="array" ref="I1250">IF(ISNUMBER(MATCH(55687,Max!$A:$A,0)), IF(OR(INDEX(Max!$D:$D,MATCH(55687,Max!$A:$A,0))=1, INDEX(Max!$D:$D,MATCH(55687,Max!$A:$A,0))=2), INDEX(Max!$D:$D,MATCH(55687,Max!$A:$A,0)), 0), 0)</f>
        <v>0</v>
      </c>
    </row>
    <row r="1251" spans="1:9" ht="15.75" customHeight="1" x14ac:dyDescent="0.2">
      <c r="A1251" s="1">
        <v>44027</v>
      </c>
      <c r="B1251" s="1" t="s">
        <v>2917</v>
      </c>
      <c r="C1251" s="1" t="s">
        <v>2918</v>
      </c>
      <c r="D1251" s="1" t="str">
        <f t="shared" si="4"/>
        <v>1</v>
      </c>
      <c r="E1251" s="1" t="s">
        <v>2919</v>
      </c>
      <c r="G1251" s="1">
        <f t="array" ref="G1251">IF(ISNUMBER(MATCH(44027,Camille!$A:$A,0)), IF(OR(INDEX(Camille!$D:$D,MATCH(44027,Camille!$A:$A,0))=1, INDEX(Camille!$D:$D,MATCH(44027,Camille!$A:$A,0))=2), INDEX(Camille!$D:$D,MATCH(44027,Camille!$A:$A,0)), 0), 0)</f>
        <v>0</v>
      </c>
      <c r="H1251" s="1">
        <f t="array" ref="H1251">IF(ISNUMBER(MATCH(44027,Telmo!$A:$A,0)), IF(OR(INDEX(Telmo!$D:$D,MATCH(44027,Telmo!$A:$A,0))=1, INDEX(Telmo!$D:$D,MATCH(44027,Telmo!$A:$A,0))=2), INDEX(Telmo!$D:$D,MATCH(44027,Telmo!$A:$A,0)), 0), 0)</f>
        <v>1</v>
      </c>
      <c r="I1251" s="1">
        <f t="array" ref="I1251">IF(ISNUMBER(MATCH(44027,Max!$A:$A,0)), IF(OR(INDEX(Max!$D:$D,MATCH(44027,Max!$A:$A,0))=1, INDEX(Max!$D:$D,MATCH(44027,Max!$A:$A,0))=2), INDEX(Max!$D:$D,MATCH(44027,Max!$A:$A,0)), 0), 0)</f>
        <v>0</v>
      </c>
    </row>
    <row r="1252" spans="1:9" ht="15.75" customHeight="1" x14ac:dyDescent="0.2">
      <c r="A1252" s="1">
        <v>13017</v>
      </c>
      <c r="B1252" s="1" t="s">
        <v>268</v>
      </c>
      <c r="C1252" s="1" t="s">
        <v>2920</v>
      </c>
      <c r="D1252" s="1" t="str">
        <f t="shared" si="4"/>
        <v>2</v>
      </c>
      <c r="E1252" s="1" t="s">
        <v>2921</v>
      </c>
      <c r="G1252" s="1">
        <f t="array" ref="G1252">IF(ISNUMBER(MATCH(13017,Camille!$A:$A,0)), IF(OR(INDEX(Camille!$D:$D,MATCH(13017,Camille!$A:$A,0))=1, INDEX(Camille!$D:$D,MATCH(13017,Camille!$A:$A,0))=2), INDEX(Camille!$D:$D,MATCH(13017,Camille!$A:$A,0)), 0), 0)</f>
        <v>0</v>
      </c>
      <c r="H1252" s="1">
        <f t="array" ref="H1252">IF(ISNUMBER(MATCH(13017,Telmo!$A:$A,0)), IF(OR(INDEX(Telmo!$D:$D,MATCH(13017,Telmo!$A:$A,0))=1, INDEX(Telmo!$D:$D,MATCH(13017,Telmo!$A:$A,0))=2), INDEX(Telmo!$D:$D,MATCH(13017,Telmo!$A:$A,0)), 0), 0)</f>
        <v>2</v>
      </c>
      <c r="I1252" s="1">
        <f t="array" ref="I1252">IF(ISNUMBER(MATCH(13017,Max!$A:$A,0)), IF(OR(INDEX(Max!$D:$D,MATCH(13017,Max!$A:$A,0))=1, INDEX(Max!$D:$D,MATCH(13017,Max!$A:$A,0))=2), INDEX(Max!$D:$D,MATCH(13017,Max!$A:$A,0)), 0), 0)</f>
        <v>0</v>
      </c>
    </row>
    <row r="1253" spans="1:9" ht="15.75" customHeight="1" x14ac:dyDescent="0.2">
      <c r="A1253" s="1">
        <v>16718</v>
      </c>
      <c r="B1253" s="1" t="s">
        <v>385</v>
      </c>
      <c r="C1253" s="1" t="s">
        <v>2922</v>
      </c>
      <c r="D1253" s="1" t="str">
        <f t="shared" si="4"/>
        <v>2</v>
      </c>
      <c r="E1253" s="1" t="s">
        <v>2923</v>
      </c>
      <c r="G1253" s="1">
        <f t="array" ref="G1253">IF(ISNUMBER(MATCH(16718,Camille!$A:$A,0)), IF(OR(INDEX(Camille!$D:$D,MATCH(16718,Camille!$A:$A,0))=1, INDEX(Camille!$D:$D,MATCH(16718,Camille!$A:$A,0))=2), INDEX(Camille!$D:$D,MATCH(16718,Camille!$A:$A,0)), 0), 0)</f>
        <v>0</v>
      </c>
      <c r="H1253" s="1">
        <f t="array" ref="H1253">IF(ISNUMBER(MATCH(16718,Telmo!$A:$A,0)), IF(OR(INDEX(Telmo!$D:$D,MATCH(16718,Telmo!$A:$A,0))=1, INDEX(Telmo!$D:$D,MATCH(16718,Telmo!$A:$A,0))=2), INDEX(Telmo!$D:$D,MATCH(16718,Telmo!$A:$A,0)), 0), 0)</f>
        <v>2</v>
      </c>
      <c r="I1253" s="1">
        <f t="array" ref="I1253">IF(ISNUMBER(MATCH(16718,Max!$A:$A,0)), IF(OR(INDEX(Max!$D:$D,MATCH(16718,Max!$A:$A,0))=1, INDEX(Max!$D:$D,MATCH(16718,Max!$A:$A,0))=2), INDEX(Max!$D:$D,MATCH(16718,Max!$A:$A,0)), 0), 0)</f>
        <v>0</v>
      </c>
    </row>
    <row r="1254" spans="1:9" ht="15.75" customHeight="1" x14ac:dyDescent="0.2">
      <c r="A1254" s="1">
        <v>66736</v>
      </c>
      <c r="B1254" s="1" t="s">
        <v>597</v>
      </c>
      <c r="C1254" s="1" t="s">
        <v>2924</v>
      </c>
      <c r="D1254" s="1" t="str">
        <f t="shared" si="4"/>
        <v>2</v>
      </c>
      <c r="E1254" s="1" t="s">
        <v>2925</v>
      </c>
      <c r="G1254" s="1">
        <f t="array" ref="G1254">IF(ISNUMBER(MATCH(66736,Camille!$A:$A,0)), IF(OR(INDEX(Camille!$D:$D,MATCH(66736,Camille!$A:$A,0))=1, INDEX(Camille!$D:$D,MATCH(66736,Camille!$A:$A,0))=2), INDEX(Camille!$D:$D,MATCH(66736,Camille!$A:$A,0)), 0), 0)</f>
        <v>0</v>
      </c>
      <c r="H1254" s="1">
        <f t="array" ref="H1254">IF(ISNUMBER(MATCH(66736,Telmo!$A:$A,0)), IF(OR(INDEX(Telmo!$D:$D,MATCH(66736,Telmo!$A:$A,0))=1, INDEX(Telmo!$D:$D,MATCH(66736,Telmo!$A:$A,0))=2), INDEX(Telmo!$D:$D,MATCH(66736,Telmo!$A:$A,0)), 0), 0)</f>
        <v>2</v>
      </c>
      <c r="I1254" s="1">
        <f t="array" ref="I1254">IF(ISNUMBER(MATCH(66736,Max!$A:$A,0)), IF(OR(INDEX(Max!$D:$D,MATCH(66736,Max!$A:$A,0))=1, INDEX(Max!$D:$D,MATCH(66736,Max!$A:$A,0))=2), INDEX(Max!$D:$D,MATCH(66736,Max!$A:$A,0)), 0), 0)</f>
        <v>0</v>
      </c>
    </row>
    <row r="1255" spans="1:9" ht="15.75" customHeight="1" x14ac:dyDescent="0.2">
      <c r="A1255" s="1">
        <v>52138</v>
      </c>
      <c r="B1255" s="1" t="s">
        <v>1788</v>
      </c>
      <c r="C1255" s="1" t="s">
        <v>2926</v>
      </c>
      <c r="D1255" s="1" t="str">
        <f t="shared" si="4"/>
        <v>2</v>
      </c>
      <c r="E1255" s="1" t="s">
        <v>2927</v>
      </c>
      <c r="G1255" s="1">
        <f t="array" ref="G1255">IF(ISNUMBER(MATCH(52138,Camille!$A:$A,0)), IF(OR(INDEX(Camille!$D:$D,MATCH(52138,Camille!$A:$A,0))=1, INDEX(Camille!$D:$D,MATCH(52138,Camille!$A:$A,0))=2), INDEX(Camille!$D:$D,MATCH(52138,Camille!$A:$A,0)), 0), 0)</f>
        <v>0</v>
      </c>
      <c r="H1255" s="1">
        <f t="array" ref="H1255">IF(ISNUMBER(MATCH(52138,Telmo!$A:$A,0)), IF(OR(INDEX(Telmo!$D:$D,MATCH(52138,Telmo!$A:$A,0))=1, INDEX(Telmo!$D:$D,MATCH(52138,Telmo!$A:$A,0))=2), INDEX(Telmo!$D:$D,MATCH(52138,Telmo!$A:$A,0)), 0), 0)</f>
        <v>2</v>
      </c>
      <c r="I1255" s="1">
        <f t="array" ref="I1255">IF(ISNUMBER(MATCH(52138,Max!$A:$A,0)), IF(OR(INDEX(Max!$D:$D,MATCH(52138,Max!$A:$A,0))=1, INDEX(Max!$D:$D,MATCH(52138,Max!$A:$A,0))=2), INDEX(Max!$D:$D,MATCH(52138,Max!$A:$A,0)), 0), 0)</f>
        <v>0</v>
      </c>
    </row>
    <row r="1256" spans="1:9" ht="15.75" customHeight="1" x14ac:dyDescent="0.2">
      <c r="A1256" s="1">
        <v>37915</v>
      </c>
      <c r="B1256" s="1" t="s">
        <v>939</v>
      </c>
      <c r="C1256" s="1" t="s">
        <v>2928</v>
      </c>
      <c r="D1256" s="1" t="str">
        <f t="shared" si="4"/>
        <v>2</v>
      </c>
      <c r="E1256" s="1" t="s">
        <v>2929</v>
      </c>
      <c r="G1256" s="1">
        <f t="array" ref="G1256">IF(ISNUMBER(MATCH(37915,Camille!$A:$A,0)), IF(OR(INDEX(Camille!$D:$D,MATCH(37915,Camille!$A:$A,0))=1, INDEX(Camille!$D:$D,MATCH(37915,Camille!$A:$A,0))=2), INDEX(Camille!$D:$D,MATCH(37915,Camille!$A:$A,0)), 0), 0)</f>
        <v>0</v>
      </c>
      <c r="H1256" s="1">
        <f t="array" ref="H1256">IF(ISNUMBER(MATCH(37915,Telmo!$A:$A,0)), IF(OR(INDEX(Telmo!$D:$D,MATCH(37915,Telmo!$A:$A,0))=1, INDEX(Telmo!$D:$D,MATCH(37915,Telmo!$A:$A,0))=2), INDEX(Telmo!$D:$D,MATCH(37915,Telmo!$A:$A,0)), 0), 0)</f>
        <v>2</v>
      </c>
      <c r="I1256" s="1">
        <f t="array" ref="I1256">IF(ISNUMBER(MATCH(37915,Max!$A:$A,0)), IF(OR(INDEX(Max!$D:$D,MATCH(37915,Max!$A:$A,0))=1, INDEX(Max!$D:$D,MATCH(37915,Max!$A:$A,0))=2), INDEX(Max!$D:$D,MATCH(37915,Max!$A:$A,0)), 0), 0)</f>
        <v>0</v>
      </c>
    </row>
    <row r="1257" spans="1:9" ht="15.75" customHeight="1" x14ac:dyDescent="0.2">
      <c r="A1257" s="1">
        <v>59089</v>
      </c>
      <c r="B1257" s="1" t="s">
        <v>552</v>
      </c>
      <c r="C1257" s="1" t="s">
        <v>2930</v>
      </c>
      <c r="D1257" s="1" t="str">
        <f t="shared" si="4"/>
        <v>1</v>
      </c>
      <c r="E1257" s="1" t="s">
        <v>2931</v>
      </c>
      <c r="G1257" s="1">
        <f t="array" ref="G1257">IF(ISNUMBER(MATCH(59089,Camille!$A:$A,0)), IF(OR(INDEX(Camille!$D:$D,MATCH(59089,Camille!$A:$A,0))=1, INDEX(Camille!$D:$D,MATCH(59089,Camille!$A:$A,0))=2), INDEX(Camille!$D:$D,MATCH(59089,Camille!$A:$A,0)), 0), 0)</f>
        <v>0</v>
      </c>
      <c r="H1257" s="1">
        <f t="array" ref="H1257">IF(ISNUMBER(MATCH(59089,Telmo!$A:$A,0)), IF(OR(INDEX(Telmo!$D:$D,MATCH(59089,Telmo!$A:$A,0))=1, INDEX(Telmo!$D:$D,MATCH(59089,Telmo!$A:$A,0))=2), INDEX(Telmo!$D:$D,MATCH(59089,Telmo!$A:$A,0)), 0), 0)</f>
        <v>1</v>
      </c>
      <c r="I1257" s="1">
        <f t="array" ref="I1257">IF(ISNUMBER(MATCH(59089,Max!$A:$A,0)), IF(OR(INDEX(Max!$D:$D,MATCH(59089,Max!$A:$A,0))=1, INDEX(Max!$D:$D,MATCH(59089,Max!$A:$A,0))=2), INDEX(Max!$D:$D,MATCH(59089,Max!$A:$A,0)), 0), 0)</f>
        <v>0</v>
      </c>
    </row>
    <row r="1258" spans="1:9" ht="15.75" customHeight="1" x14ac:dyDescent="0.2">
      <c r="A1258" s="1">
        <v>18524</v>
      </c>
      <c r="B1258" s="1" t="s">
        <v>906</v>
      </c>
      <c r="C1258" s="1" t="s">
        <v>2932</v>
      </c>
      <c r="D1258" s="1" t="str">
        <f t="shared" si="4"/>
        <v>2</v>
      </c>
      <c r="E1258" s="1" t="s">
        <v>2933</v>
      </c>
      <c r="G1258" s="1">
        <f t="array" ref="G1258">IF(ISNUMBER(MATCH(18524,Camille!$A:$A,0)), IF(OR(INDEX(Camille!$D:$D,MATCH(18524,Camille!$A:$A,0))=1, INDEX(Camille!$D:$D,MATCH(18524,Camille!$A:$A,0))=2), INDEX(Camille!$D:$D,MATCH(18524,Camille!$A:$A,0)), 0), 0)</f>
        <v>0</v>
      </c>
      <c r="H1258" s="1">
        <f t="array" ref="H1258">IF(ISNUMBER(MATCH(18524,Telmo!$A:$A,0)), IF(OR(INDEX(Telmo!$D:$D,MATCH(18524,Telmo!$A:$A,0))=1, INDEX(Telmo!$D:$D,MATCH(18524,Telmo!$A:$A,0))=2), INDEX(Telmo!$D:$D,MATCH(18524,Telmo!$A:$A,0)), 0), 0)</f>
        <v>2</v>
      </c>
      <c r="I1258" s="1">
        <f t="array" ref="I1258">IF(ISNUMBER(MATCH(18524,Max!$A:$A,0)), IF(OR(INDEX(Max!$D:$D,MATCH(18524,Max!$A:$A,0))=1, INDEX(Max!$D:$D,MATCH(18524,Max!$A:$A,0))=2), INDEX(Max!$D:$D,MATCH(18524,Max!$A:$A,0)), 0), 0)</f>
        <v>0</v>
      </c>
    </row>
    <row r="1259" spans="1:9" ht="15.75" customHeight="1" x14ac:dyDescent="0.2">
      <c r="A1259" s="1">
        <v>44494</v>
      </c>
      <c r="B1259" s="1" t="s">
        <v>485</v>
      </c>
      <c r="C1259" s="1" t="s">
        <v>2934</v>
      </c>
      <c r="D1259" s="1" t="str">
        <f t="shared" si="4"/>
        <v>1</v>
      </c>
      <c r="E1259" s="1" t="s">
        <v>2935</v>
      </c>
      <c r="G1259" s="1">
        <f t="array" ref="G1259">IF(ISNUMBER(MATCH(44494,Camille!$A:$A,0)), IF(OR(INDEX(Camille!$D:$D,MATCH(44494,Camille!$A:$A,0))=1, INDEX(Camille!$D:$D,MATCH(44494,Camille!$A:$A,0))=2), INDEX(Camille!$D:$D,MATCH(44494,Camille!$A:$A,0)), 0), 0)</f>
        <v>0</v>
      </c>
      <c r="H1259" s="1">
        <f t="array" ref="H1259">IF(ISNUMBER(MATCH(44494,Telmo!$A:$A,0)), IF(OR(INDEX(Telmo!$D:$D,MATCH(44494,Telmo!$A:$A,0))=1, INDEX(Telmo!$D:$D,MATCH(44494,Telmo!$A:$A,0))=2), INDEX(Telmo!$D:$D,MATCH(44494,Telmo!$A:$A,0)), 0), 0)</f>
        <v>1</v>
      </c>
      <c r="I1259" s="1">
        <f t="array" ref="I1259">IF(ISNUMBER(MATCH(44494,Max!$A:$A,0)), IF(OR(INDEX(Max!$D:$D,MATCH(44494,Max!$A:$A,0))=1, INDEX(Max!$D:$D,MATCH(44494,Max!$A:$A,0))=2), INDEX(Max!$D:$D,MATCH(44494,Max!$A:$A,0)), 0), 0)</f>
        <v>0</v>
      </c>
    </row>
    <row r="1260" spans="1:9" ht="15.75" customHeight="1" x14ac:dyDescent="0.2">
      <c r="A1260" s="1">
        <v>28922</v>
      </c>
      <c r="B1260" s="1" t="s">
        <v>301</v>
      </c>
      <c r="C1260" s="1" t="s">
        <v>2936</v>
      </c>
      <c r="D1260" s="1" t="str">
        <f t="shared" si="4"/>
        <v>2</v>
      </c>
      <c r="E1260" s="1" t="s">
        <v>2937</v>
      </c>
      <c r="G1260" s="1">
        <f t="array" ref="G1260">IF(ISNUMBER(MATCH(28922,Camille!$A:$A,0)), IF(OR(INDEX(Camille!$D:$D,MATCH(28922,Camille!$A:$A,0))=1, INDEX(Camille!$D:$D,MATCH(28922,Camille!$A:$A,0))=2), INDEX(Camille!$D:$D,MATCH(28922,Camille!$A:$A,0)), 0), 0)</f>
        <v>0</v>
      </c>
      <c r="H1260" s="1">
        <f t="array" ref="H1260">IF(ISNUMBER(MATCH(28922,Telmo!$A:$A,0)), IF(OR(INDEX(Telmo!$D:$D,MATCH(28922,Telmo!$A:$A,0))=1, INDEX(Telmo!$D:$D,MATCH(28922,Telmo!$A:$A,0))=2), INDEX(Telmo!$D:$D,MATCH(28922,Telmo!$A:$A,0)), 0), 0)</f>
        <v>2</v>
      </c>
      <c r="I1260" s="1">
        <f t="array" ref="I1260">IF(ISNUMBER(MATCH(28922,Max!$A:$A,0)), IF(OR(INDEX(Max!$D:$D,MATCH(28922,Max!$A:$A,0))=1, INDEX(Max!$D:$D,MATCH(28922,Max!$A:$A,0))=2), INDEX(Max!$D:$D,MATCH(28922,Max!$A:$A,0)), 0), 0)</f>
        <v>0</v>
      </c>
    </row>
    <row r="1261" spans="1:9" ht="15.75" customHeight="1" x14ac:dyDescent="0.2">
      <c r="A1261" s="1">
        <v>22451</v>
      </c>
      <c r="B1261" s="1" t="s">
        <v>150</v>
      </c>
      <c r="C1261" s="1" t="s">
        <v>2938</v>
      </c>
      <c r="D1261" s="1" t="str">
        <f t="shared" si="4"/>
        <v>1</v>
      </c>
      <c r="E1261" s="1" t="s">
        <v>2939</v>
      </c>
      <c r="G1261" s="1">
        <f t="array" ref="G1261">IF(ISNUMBER(MATCH(22451,Camille!$A:$A,0)), IF(OR(INDEX(Camille!$D:$D,MATCH(22451,Camille!$A:$A,0))=1, INDEX(Camille!$D:$D,MATCH(22451,Camille!$A:$A,0))=2), INDEX(Camille!$D:$D,MATCH(22451,Camille!$A:$A,0)), 0), 0)</f>
        <v>0</v>
      </c>
      <c r="H1261" s="1">
        <f t="array" ref="H1261">IF(ISNUMBER(MATCH(22451,Telmo!$A:$A,0)), IF(OR(INDEX(Telmo!$D:$D,MATCH(22451,Telmo!$A:$A,0))=1, INDEX(Telmo!$D:$D,MATCH(22451,Telmo!$A:$A,0))=2), INDEX(Telmo!$D:$D,MATCH(22451,Telmo!$A:$A,0)), 0), 0)</f>
        <v>1</v>
      </c>
      <c r="I1261" s="1">
        <f t="array" ref="I1261">IF(ISNUMBER(MATCH(22451,Max!$A:$A,0)), IF(OR(INDEX(Max!$D:$D,MATCH(22451,Max!$A:$A,0))=1, INDEX(Max!$D:$D,MATCH(22451,Max!$A:$A,0))=2), INDEX(Max!$D:$D,MATCH(22451,Max!$A:$A,0)), 0), 0)</f>
        <v>0</v>
      </c>
    </row>
    <row r="1262" spans="1:9" ht="15.75" customHeight="1" x14ac:dyDescent="0.2">
      <c r="A1262" s="1">
        <v>3949</v>
      </c>
      <c r="B1262" s="1" t="s">
        <v>2940</v>
      </c>
      <c r="C1262" s="1" t="s">
        <v>2941</v>
      </c>
      <c r="D1262" s="1" t="str">
        <f t="shared" si="4"/>
        <v>2</v>
      </c>
      <c r="E1262" s="1" t="s">
        <v>2942</v>
      </c>
      <c r="G1262" s="1">
        <f t="array" ref="G1262">IF(ISNUMBER(MATCH(3949,Camille!$A:$A,0)), IF(OR(INDEX(Camille!$D:$D,MATCH(3949,Camille!$A:$A,0))=1, INDEX(Camille!$D:$D,MATCH(3949,Camille!$A:$A,0))=2), INDEX(Camille!$D:$D,MATCH(3949,Camille!$A:$A,0)), 0), 0)</f>
        <v>0</v>
      </c>
      <c r="H1262" s="1">
        <f t="array" ref="H1262">IF(ISNUMBER(MATCH(3949,Telmo!$A:$A,0)), IF(OR(INDEX(Telmo!$D:$D,MATCH(3949,Telmo!$A:$A,0))=1, INDEX(Telmo!$D:$D,MATCH(3949,Telmo!$A:$A,0))=2), INDEX(Telmo!$D:$D,MATCH(3949,Telmo!$A:$A,0)), 0), 0)</f>
        <v>2</v>
      </c>
      <c r="I1262" s="1">
        <f t="array" ref="I1262">IF(ISNUMBER(MATCH(3949,Max!$A:$A,0)), IF(OR(INDEX(Max!$D:$D,MATCH(3949,Max!$A:$A,0))=1, INDEX(Max!$D:$D,MATCH(3949,Max!$A:$A,0))=2), INDEX(Max!$D:$D,MATCH(3949,Max!$A:$A,0)), 0), 0)</f>
        <v>0</v>
      </c>
    </row>
    <row r="1263" spans="1:9" ht="15.75" customHeight="1" x14ac:dyDescent="0.2">
      <c r="A1263" s="1">
        <v>3277</v>
      </c>
      <c r="B1263" s="1" t="s">
        <v>597</v>
      </c>
      <c r="C1263" s="1" t="s">
        <v>2943</v>
      </c>
      <c r="D1263" s="1" t="str">
        <f t="shared" si="4"/>
        <v>1</v>
      </c>
      <c r="E1263" s="1" t="s">
        <v>2944</v>
      </c>
      <c r="G1263" s="1">
        <f t="array" ref="G1263">IF(ISNUMBER(MATCH(3277,Camille!$A:$A,0)), IF(OR(INDEX(Camille!$D:$D,MATCH(3277,Camille!$A:$A,0))=1, INDEX(Camille!$D:$D,MATCH(3277,Camille!$A:$A,0))=2), INDEX(Camille!$D:$D,MATCH(3277,Camille!$A:$A,0)), 0), 0)</f>
        <v>0</v>
      </c>
      <c r="H1263" s="1">
        <f t="array" ref="H1263">IF(ISNUMBER(MATCH(3277,Telmo!$A:$A,0)), IF(OR(INDEX(Telmo!$D:$D,MATCH(3277,Telmo!$A:$A,0))=1, INDEX(Telmo!$D:$D,MATCH(3277,Telmo!$A:$A,0))=2), INDEX(Telmo!$D:$D,MATCH(3277,Telmo!$A:$A,0)), 0), 0)</f>
        <v>1</v>
      </c>
      <c r="I1263" s="1">
        <f t="array" ref="I1263">IF(ISNUMBER(MATCH(3277,Max!$A:$A,0)), IF(OR(INDEX(Max!$D:$D,MATCH(3277,Max!$A:$A,0))=1, INDEX(Max!$D:$D,MATCH(3277,Max!$A:$A,0))=2), INDEX(Max!$D:$D,MATCH(3277,Max!$A:$A,0)), 0), 0)</f>
        <v>0</v>
      </c>
    </row>
    <row r="1264" spans="1:9" ht="15.75" customHeight="1" x14ac:dyDescent="0.2">
      <c r="A1264" s="1">
        <v>67842</v>
      </c>
      <c r="B1264" s="1" t="s">
        <v>552</v>
      </c>
      <c r="C1264" s="1" t="s">
        <v>2945</v>
      </c>
      <c r="D1264" s="1" t="str">
        <f t="shared" si="4"/>
        <v>1</v>
      </c>
      <c r="E1264" s="1" t="s">
        <v>2946</v>
      </c>
      <c r="G1264" s="1">
        <f t="array" ref="G1264">IF(ISNUMBER(MATCH(67842,Camille!$A:$A,0)), IF(OR(INDEX(Camille!$D:$D,MATCH(67842,Camille!$A:$A,0))=1, INDEX(Camille!$D:$D,MATCH(67842,Camille!$A:$A,0))=2), INDEX(Camille!$D:$D,MATCH(67842,Camille!$A:$A,0)), 0), 0)</f>
        <v>0</v>
      </c>
      <c r="H1264" s="1">
        <f t="array" ref="H1264">IF(ISNUMBER(MATCH(67842,Telmo!$A:$A,0)), IF(OR(INDEX(Telmo!$D:$D,MATCH(67842,Telmo!$A:$A,0))=1, INDEX(Telmo!$D:$D,MATCH(67842,Telmo!$A:$A,0))=2), INDEX(Telmo!$D:$D,MATCH(67842,Telmo!$A:$A,0)), 0), 0)</f>
        <v>1</v>
      </c>
      <c r="I1264" s="1">
        <f t="array" ref="I1264">IF(ISNUMBER(MATCH(67842,Max!$A:$A,0)), IF(OR(INDEX(Max!$D:$D,MATCH(67842,Max!$A:$A,0))=1, INDEX(Max!$D:$D,MATCH(67842,Max!$A:$A,0))=2), INDEX(Max!$D:$D,MATCH(67842,Max!$A:$A,0)), 0), 0)</f>
        <v>0</v>
      </c>
    </row>
    <row r="1265" spans="1:9" ht="15.75" customHeight="1" x14ac:dyDescent="0.2">
      <c r="A1265" s="1">
        <v>48619</v>
      </c>
      <c r="B1265" s="1" t="s">
        <v>233</v>
      </c>
      <c r="C1265" s="1" t="s">
        <v>2947</v>
      </c>
      <c r="D1265" s="1" t="str">
        <f t="shared" si="4"/>
        <v>2</v>
      </c>
      <c r="E1265" s="1" t="s">
        <v>2948</v>
      </c>
      <c r="G1265" s="1">
        <f t="array" ref="G1265">IF(ISNUMBER(MATCH(48619,Camille!$A:$A,0)), IF(OR(INDEX(Camille!$D:$D,MATCH(48619,Camille!$A:$A,0))=1, INDEX(Camille!$D:$D,MATCH(48619,Camille!$A:$A,0))=2), INDEX(Camille!$D:$D,MATCH(48619,Camille!$A:$A,0)), 0), 0)</f>
        <v>0</v>
      </c>
      <c r="H1265" s="1">
        <f t="array" ref="H1265">IF(ISNUMBER(MATCH(48619,Telmo!$A:$A,0)), IF(OR(INDEX(Telmo!$D:$D,MATCH(48619,Telmo!$A:$A,0))=1, INDEX(Telmo!$D:$D,MATCH(48619,Telmo!$A:$A,0))=2), INDEX(Telmo!$D:$D,MATCH(48619,Telmo!$A:$A,0)), 0), 0)</f>
        <v>2</v>
      </c>
      <c r="I1265" s="1">
        <f t="array" ref="I1265">IF(ISNUMBER(MATCH(48619,Max!$A:$A,0)), IF(OR(INDEX(Max!$D:$D,MATCH(48619,Max!$A:$A,0))=1, INDEX(Max!$D:$D,MATCH(48619,Max!$A:$A,0))=2), INDEX(Max!$D:$D,MATCH(48619,Max!$A:$A,0)), 0), 0)</f>
        <v>0</v>
      </c>
    </row>
    <row r="1266" spans="1:9" ht="15.75" customHeight="1" x14ac:dyDescent="0.2">
      <c r="A1266" s="1">
        <v>6237</v>
      </c>
      <c r="B1266" s="1" t="s">
        <v>991</v>
      </c>
      <c r="C1266" s="1" t="s">
        <v>2949</v>
      </c>
      <c r="D1266" s="1" t="str">
        <f t="shared" si="4"/>
        <v>2</v>
      </c>
      <c r="E1266" s="1" t="s">
        <v>2950</v>
      </c>
      <c r="G1266" s="1">
        <f t="array" ref="G1266">IF(ISNUMBER(MATCH(6237,Camille!$A:$A,0)), IF(OR(INDEX(Camille!$D:$D,MATCH(6237,Camille!$A:$A,0))=1, INDEX(Camille!$D:$D,MATCH(6237,Camille!$A:$A,0))=2), INDEX(Camille!$D:$D,MATCH(6237,Camille!$A:$A,0)), 0), 0)</f>
        <v>0</v>
      </c>
      <c r="H1266" s="1">
        <f t="array" ref="H1266">IF(ISNUMBER(MATCH(6237,Telmo!$A:$A,0)), IF(OR(INDEX(Telmo!$D:$D,MATCH(6237,Telmo!$A:$A,0))=1, INDEX(Telmo!$D:$D,MATCH(6237,Telmo!$A:$A,0))=2), INDEX(Telmo!$D:$D,MATCH(6237,Telmo!$A:$A,0)), 0), 0)</f>
        <v>2</v>
      </c>
      <c r="I1266" s="1">
        <f t="array" ref="I1266">IF(ISNUMBER(MATCH(6237,Max!$A:$A,0)), IF(OR(INDEX(Max!$D:$D,MATCH(6237,Max!$A:$A,0))=1, INDEX(Max!$D:$D,MATCH(6237,Max!$A:$A,0))=2), INDEX(Max!$D:$D,MATCH(6237,Max!$A:$A,0)), 0), 0)</f>
        <v>0</v>
      </c>
    </row>
    <row r="1267" spans="1:9" ht="15.75" customHeight="1" x14ac:dyDescent="0.2">
      <c r="A1267" s="1">
        <v>69427</v>
      </c>
      <c r="B1267" s="1" t="s">
        <v>301</v>
      </c>
      <c r="C1267" s="1" t="s">
        <v>2951</v>
      </c>
      <c r="D1267" s="1" t="str">
        <f t="shared" si="4"/>
        <v>1</v>
      </c>
      <c r="E1267" s="1" t="s">
        <v>2952</v>
      </c>
      <c r="G1267" s="1">
        <f t="array" ref="G1267">IF(ISNUMBER(MATCH(69427,Camille!$A:$A,0)), IF(OR(INDEX(Camille!$D:$D,MATCH(69427,Camille!$A:$A,0))=1, INDEX(Camille!$D:$D,MATCH(69427,Camille!$A:$A,0))=2), INDEX(Camille!$D:$D,MATCH(69427,Camille!$A:$A,0)), 0), 0)</f>
        <v>0</v>
      </c>
      <c r="H1267" s="1">
        <f t="array" ref="H1267">IF(ISNUMBER(MATCH(69427,Telmo!$A:$A,0)), IF(OR(INDEX(Telmo!$D:$D,MATCH(69427,Telmo!$A:$A,0))=1, INDEX(Telmo!$D:$D,MATCH(69427,Telmo!$A:$A,0))=2), INDEX(Telmo!$D:$D,MATCH(69427,Telmo!$A:$A,0)), 0), 0)</f>
        <v>1</v>
      </c>
      <c r="I1267" s="1">
        <f t="array" ref="I1267">IF(ISNUMBER(MATCH(69427,Max!$A:$A,0)), IF(OR(INDEX(Max!$D:$D,MATCH(69427,Max!$A:$A,0))=1, INDEX(Max!$D:$D,MATCH(69427,Max!$A:$A,0))=2), INDEX(Max!$D:$D,MATCH(69427,Max!$A:$A,0)), 0), 0)</f>
        <v>0</v>
      </c>
    </row>
    <row r="1268" spans="1:9" ht="15.75" customHeight="1" x14ac:dyDescent="0.2">
      <c r="A1268" s="1">
        <v>31635</v>
      </c>
      <c r="B1268" s="1" t="s">
        <v>345</v>
      </c>
      <c r="C1268" s="1" t="s">
        <v>2953</v>
      </c>
      <c r="D1268" s="1" t="str">
        <f t="shared" si="4"/>
        <v>1</v>
      </c>
      <c r="E1268" s="1" t="s">
        <v>2954</v>
      </c>
      <c r="G1268" s="1">
        <f t="array" ref="G1268">IF(ISNUMBER(MATCH(31635,Camille!$A:$A,0)), IF(OR(INDEX(Camille!$D:$D,MATCH(31635,Camille!$A:$A,0))=1, INDEX(Camille!$D:$D,MATCH(31635,Camille!$A:$A,0))=2), INDEX(Camille!$D:$D,MATCH(31635,Camille!$A:$A,0)), 0), 0)</f>
        <v>0</v>
      </c>
      <c r="H1268" s="1">
        <f t="array" ref="H1268">IF(ISNUMBER(MATCH(31635,Telmo!$A:$A,0)), IF(OR(INDEX(Telmo!$D:$D,MATCH(31635,Telmo!$A:$A,0))=1, INDEX(Telmo!$D:$D,MATCH(31635,Telmo!$A:$A,0))=2), INDEX(Telmo!$D:$D,MATCH(31635,Telmo!$A:$A,0)), 0), 0)</f>
        <v>1</v>
      </c>
      <c r="I1268" s="1">
        <f t="array" ref="I1268">IF(ISNUMBER(MATCH(31635,Max!$A:$A,0)), IF(OR(INDEX(Max!$D:$D,MATCH(31635,Max!$A:$A,0))=1, INDEX(Max!$D:$D,MATCH(31635,Max!$A:$A,0))=2), INDEX(Max!$D:$D,MATCH(31635,Max!$A:$A,0)), 0), 0)</f>
        <v>0</v>
      </c>
    </row>
    <row r="1269" spans="1:9" ht="15.75" customHeight="1" x14ac:dyDescent="0.2">
      <c r="A1269" s="1">
        <v>49236</v>
      </c>
      <c r="B1269" s="1" t="s">
        <v>188</v>
      </c>
      <c r="C1269" s="1" t="s">
        <v>2955</v>
      </c>
      <c r="D1269" s="1" t="str">
        <f t="shared" si="4"/>
        <v>2</v>
      </c>
      <c r="E1269" s="1" t="s">
        <v>2956</v>
      </c>
      <c r="G1269" s="1">
        <f t="array" ref="G1269">IF(ISNUMBER(MATCH(49236,Camille!$A:$A,0)), IF(OR(INDEX(Camille!$D:$D,MATCH(49236,Camille!$A:$A,0))=1, INDEX(Camille!$D:$D,MATCH(49236,Camille!$A:$A,0))=2), INDEX(Camille!$D:$D,MATCH(49236,Camille!$A:$A,0)), 0), 0)</f>
        <v>0</v>
      </c>
      <c r="H1269" s="1">
        <f t="array" ref="H1269">IF(ISNUMBER(MATCH(49236,Telmo!$A:$A,0)), IF(OR(INDEX(Telmo!$D:$D,MATCH(49236,Telmo!$A:$A,0))=1, INDEX(Telmo!$D:$D,MATCH(49236,Telmo!$A:$A,0))=2), INDEX(Telmo!$D:$D,MATCH(49236,Telmo!$A:$A,0)), 0), 0)</f>
        <v>2</v>
      </c>
      <c r="I1269" s="1">
        <f t="array" ref="I1269">IF(ISNUMBER(MATCH(49236,Max!$A:$A,0)), IF(OR(INDEX(Max!$D:$D,MATCH(49236,Max!$A:$A,0))=1, INDEX(Max!$D:$D,MATCH(49236,Max!$A:$A,0))=2), INDEX(Max!$D:$D,MATCH(49236,Max!$A:$A,0)), 0), 0)</f>
        <v>0</v>
      </c>
    </row>
    <row r="1270" spans="1:9" ht="15.75" customHeight="1" x14ac:dyDescent="0.2">
      <c r="A1270" s="1">
        <v>22648</v>
      </c>
      <c r="B1270" s="1" t="s">
        <v>2957</v>
      </c>
      <c r="C1270" s="1" t="s">
        <v>2958</v>
      </c>
      <c r="D1270" s="1" t="str">
        <f t="shared" si="4"/>
        <v>2</v>
      </c>
      <c r="E1270" s="1" t="s">
        <v>2959</v>
      </c>
      <c r="G1270" s="1">
        <f t="array" ref="G1270">IF(ISNUMBER(MATCH(22648,Camille!$A:$A,0)), IF(OR(INDEX(Camille!$D:$D,MATCH(22648,Camille!$A:$A,0))=1, INDEX(Camille!$D:$D,MATCH(22648,Camille!$A:$A,0))=2), INDEX(Camille!$D:$D,MATCH(22648,Camille!$A:$A,0)), 0), 0)</f>
        <v>0</v>
      </c>
      <c r="H1270" s="1">
        <f t="array" ref="H1270">IF(ISNUMBER(MATCH(22648,Telmo!$A:$A,0)), IF(OR(INDEX(Telmo!$D:$D,MATCH(22648,Telmo!$A:$A,0))=1, INDEX(Telmo!$D:$D,MATCH(22648,Telmo!$A:$A,0))=2), INDEX(Telmo!$D:$D,MATCH(22648,Telmo!$A:$A,0)), 0), 0)</f>
        <v>2</v>
      </c>
      <c r="I1270" s="1">
        <f t="array" ref="I1270">IF(ISNUMBER(MATCH(22648,Max!$A:$A,0)), IF(OR(INDEX(Max!$D:$D,MATCH(22648,Max!$A:$A,0))=1, INDEX(Max!$D:$D,MATCH(22648,Max!$A:$A,0))=2), INDEX(Max!$D:$D,MATCH(22648,Max!$A:$A,0)), 0), 0)</f>
        <v>0</v>
      </c>
    </row>
    <row r="1271" spans="1:9" ht="15.75" customHeight="1" x14ac:dyDescent="0.2">
      <c r="A1271" s="1">
        <v>24997</v>
      </c>
      <c r="B1271" s="1" t="s">
        <v>268</v>
      </c>
      <c r="C1271" s="1" t="s">
        <v>2960</v>
      </c>
      <c r="D1271" s="1" t="str">
        <f t="shared" si="4"/>
        <v>1</v>
      </c>
      <c r="E1271" s="1" t="s">
        <v>2961</v>
      </c>
      <c r="G1271" s="1">
        <f t="array" ref="G1271">IF(ISNUMBER(MATCH(24997,Camille!$A:$A,0)), IF(OR(INDEX(Camille!$D:$D,MATCH(24997,Camille!$A:$A,0))=1, INDEX(Camille!$D:$D,MATCH(24997,Camille!$A:$A,0))=2), INDEX(Camille!$D:$D,MATCH(24997,Camille!$A:$A,0)), 0), 0)</f>
        <v>0</v>
      </c>
      <c r="H1271" s="1">
        <f t="array" ref="H1271">IF(ISNUMBER(MATCH(24997,Telmo!$A:$A,0)), IF(OR(INDEX(Telmo!$D:$D,MATCH(24997,Telmo!$A:$A,0))=1, INDEX(Telmo!$D:$D,MATCH(24997,Telmo!$A:$A,0))=2), INDEX(Telmo!$D:$D,MATCH(24997,Telmo!$A:$A,0)), 0), 0)</f>
        <v>1</v>
      </c>
      <c r="I1271" s="1">
        <f t="array" ref="I1271">IF(ISNUMBER(MATCH(24997,Max!$A:$A,0)), IF(OR(INDEX(Max!$D:$D,MATCH(24997,Max!$A:$A,0))=1, INDEX(Max!$D:$D,MATCH(24997,Max!$A:$A,0))=2), INDEX(Max!$D:$D,MATCH(24997,Max!$A:$A,0)), 0), 0)</f>
        <v>0</v>
      </c>
    </row>
    <row r="1272" spans="1:9" ht="15.75" customHeight="1" x14ac:dyDescent="0.2">
      <c r="A1272" s="1">
        <v>67306</v>
      </c>
      <c r="B1272" s="1" t="s">
        <v>2962</v>
      </c>
      <c r="C1272" s="1" t="s">
        <v>2963</v>
      </c>
      <c r="D1272" s="1" t="str">
        <f t="shared" si="4"/>
        <v>2</v>
      </c>
      <c r="E1272" s="1" t="s">
        <v>2964</v>
      </c>
      <c r="G1272" s="1">
        <f t="array" ref="G1272">IF(ISNUMBER(MATCH(67306,Camille!$A:$A,0)), IF(OR(INDEX(Camille!$D:$D,MATCH(67306,Camille!$A:$A,0))=1, INDEX(Camille!$D:$D,MATCH(67306,Camille!$A:$A,0))=2), INDEX(Camille!$D:$D,MATCH(67306,Camille!$A:$A,0)), 0), 0)</f>
        <v>0</v>
      </c>
      <c r="H1272" s="1">
        <f t="array" ref="H1272">IF(ISNUMBER(MATCH(67306,Telmo!$A:$A,0)), IF(OR(INDEX(Telmo!$D:$D,MATCH(67306,Telmo!$A:$A,0))=1, INDEX(Telmo!$D:$D,MATCH(67306,Telmo!$A:$A,0))=2), INDEX(Telmo!$D:$D,MATCH(67306,Telmo!$A:$A,0)), 0), 0)</f>
        <v>2</v>
      </c>
      <c r="I1272" s="1">
        <f t="array" ref="I1272">IF(ISNUMBER(MATCH(67306,Max!$A:$A,0)), IF(OR(INDEX(Max!$D:$D,MATCH(67306,Max!$A:$A,0))=1, INDEX(Max!$D:$D,MATCH(67306,Max!$A:$A,0))=2), INDEX(Max!$D:$D,MATCH(67306,Max!$A:$A,0)), 0), 0)</f>
        <v>0</v>
      </c>
    </row>
    <row r="1273" spans="1:9" ht="15.75" customHeight="1" x14ac:dyDescent="0.2">
      <c r="A1273" s="1">
        <v>63225</v>
      </c>
      <c r="B1273" s="1" t="s">
        <v>2965</v>
      </c>
      <c r="C1273" s="1" t="s">
        <v>2966</v>
      </c>
      <c r="D1273" s="1" t="str">
        <f t="shared" si="4"/>
        <v>1</v>
      </c>
      <c r="E1273" s="1" t="s">
        <v>2967</v>
      </c>
      <c r="G1273" s="1">
        <f t="array" ref="G1273">IF(ISNUMBER(MATCH(63225,Camille!$A:$A,0)), IF(OR(INDEX(Camille!$D:$D,MATCH(63225,Camille!$A:$A,0))=1, INDEX(Camille!$D:$D,MATCH(63225,Camille!$A:$A,0))=2), INDEX(Camille!$D:$D,MATCH(63225,Camille!$A:$A,0)), 0), 0)</f>
        <v>0</v>
      </c>
      <c r="H1273" s="1">
        <f t="array" ref="H1273">IF(ISNUMBER(MATCH(63225,Telmo!$A:$A,0)), IF(OR(INDEX(Telmo!$D:$D,MATCH(63225,Telmo!$A:$A,0))=1, INDEX(Telmo!$D:$D,MATCH(63225,Telmo!$A:$A,0))=2), INDEX(Telmo!$D:$D,MATCH(63225,Telmo!$A:$A,0)), 0), 0)</f>
        <v>1</v>
      </c>
      <c r="I1273" s="1">
        <f t="array" ref="I1273">IF(ISNUMBER(MATCH(63225,Max!$A:$A,0)), IF(OR(INDEX(Max!$D:$D,MATCH(63225,Max!$A:$A,0))=1, INDEX(Max!$D:$D,MATCH(63225,Max!$A:$A,0))=2), INDEX(Max!$D:$D,MATCH(63225,Max!$A:$A,0)), 0), 0)</f>
        <v>0</v>
      </c>
    </row>
    <row r="1274" spans="1:9" ht="15.75" customHeight="1" x14ac:dyDescent="0.2">
      <c r="A1274" s="1">
        <v>40199</v>
      </c>
      <c r="B1274" s="1" t="s">
        <v>2033</v>
      </c>
      <c r="C1274" s="1" t="s">
        <v>2968</v>
      </c>
      <c r="D1274" s="1" t="str">
        <f t="shared" si="4"/>
        <v>2</v>
      </c>
      <c r="E1274" s="1" t="s">
        <v>2969</v>
      </c>
      <c r="G1274" s="1">
        <f t="array" ref="G1274">IF(ISNUMBER(MATCH(40199,Camille!$A:$A,0)), IF(OR(INDEX(Camille!$D:$D,MATCH(40199,Camille!$A:$A,0))=1, INDEX(Camille!$D:$D,MATCH(40199,Camille!$A:$A,0))=2), INDEX(Camille!$D:$D,MATCH(40199,Camille!$A:$A,0)), 0), 0)</f>
        <v>0</v>
      </c>
      <c r="H1274" s="1">
        <f t="array" ref="H1274">IF(ISNUMBER(MATCH(40199,Telmo!$A:$A,0)), IF(OR(INDEX(Telmo!$D:$D,MATCH(40199,Telmo!$A:$A,0))=1, INDEX(Telmo!$D:$D,MATCH(40199,Telmo!$A:$A,0))=2), INDEX(Telmo!$D:$D,MATCH(40199,Telmo!$A:$A,0)), 0), 0)</f>
        <v>2</v>
      </c>
      <c r="I1274" s="1">
        <f t="array" ref="I1274">IF(ISNUMBER(MATCH(40199,Max!$A:$A,0)), IF(OR(INDEX(Max!$D:$D,MATCH(40199,Max!$A:$A,0))=1, INDEX(Max!$D:$D,MATCH(40199,Max!$A:$A,0))=2), INDEX(Max!$D:$D,MATCH(40199,Max!$A:$A,0)), 0), 0)</f>
        <v>0</v>
      </c>
    </row>
    <row r="1275" spans="1:9" ht="15.75" customHeight="1" x14ac:dyDescent="0.2">
      <c r="A1275" s="1">
        <v>64320</v>
      </c>
      <c r="B1275" s="1" t="s">
        <v>167</v>
      </c>
      <c r="C1275" s="1" t="s">
        <v>2970</v>
      </c>
      <c r="D1275" s="1" t="str">
        <f t="shared" si="4"/>
        <v>2</v>
      </c>
      <c r="E1275" s="1" t="s">
        <v>2971</v>
      </c>
      <c r="G1275" s="1">
        <f t="array" ref="G1275">IF(ISNUMBER(MATCH(64320,Camille!$A:$A,0)), IF(OR(INDEX(Camille!$D:$D,MATCH(64320,Camille!$A:$A,0))=1, INDEX(Camille!$D:$D,MATCH(64320,Camille!$A:$A,0))=2), INDEX(Camille!$D:$D,MATCH(64320,Camille!$A:$A,0)), 0), 0)</f>
        <v>0</v>
      </c>
      <c r="H1275" s="1">
        <f t="array" ref="H1275">IF(ISNUMBER(MATCH(64320,Telmo!$A:$A,0)), IF(OR(INDEX(Telmo!$D:$D,MATCH(64320,Telmo!$A:$A,0))=1, INDEX(Telmo!$D:$D,MATCH(64320,Telmo!$A:$A,0))=2), INDEX(Telmo!$D:$D,MATCH(64320,Telmo!$A:$A,0)), 0), 0)</f>
        <v>2</v>
      </c>
      <c r="I1275" s="1">
        <f t="array" ref="I1275">IF(ISNUMBER(MATCH(64320,Max!$A:$A,0)), IF(OR(INDEX(Max!$D:$D,MATCH(64320,Max!$A:$A,0))=1, INDEX(Max!$D:$D,MATCH(64320,Max!$A:$A,0))=2), INDEX(Max!$D:$D,MATCH(64320,Max!$A:$A,0)), 0), 0)</f>
        <v>0</v>
      </c>
    </row>
    <row r="1276" spans="1:9" ht="15.75" customHeight="1" x14ac:dyDescent="0.2">
      <c r="A1276" s="1">
        <v>33514</v>
      </c>
      <c r="B1276" s="1" t="s">
        <v>2972</v>
      </c>
      <c r="C1276" s="1" t="s">
        <v>2973</v>
      </c>
      <c r="D1276" s="1" t="str">
        <f t="shared" si="4"/>
        <v>1</v>
      </c>
      <c r="E1276" s="1" t="s">
        <v>2974</v>
      </c>
      <c r="G1276" s="1">
        <f t="array" ref="G1276">IF(ISNUMBER(MATCH(33514,Camille!$A:$A,0)), IF(OR(INDEX(Camille!$D:$D,MATCH(33514,Camille!$A:$A,0))=1, INDEX(Camille!$D:$D,MATCH(33514,Camille!$A:$A,0))=2), INDEX(Camille!$D:$D,MATCH(33514,Camille!$A:$A,0)), 0), 0)</f>
        <v>0</v>
      </c>
      <c r="H1276" s="1">
        <f t="array" ref="H1276">IF(ISNUMBER(MATCH(33514,Telmo!$A:$A,0)), IF(OR(INDEX(Telmo!$D:$D,MATCH(33514,Telmo!$A:$A,0))=1, INDEX(Telmo!$D:$D,MATCH(33514,Telmo!$A:$A,0))=2), INDEX(Telmo!$D:$D,MATCH(33514,Telmo!$A:$A,0)), 0), 0)</f>
        <v>1</v>
      </c>
      <c r="I1276" s="1">
        <f t="array" ref="I1276">IF(ISNUMBER(MATCH(33514,Max!$A:$A,0)), IF(OR(INDEX(Max!$D:$D,MATCH(33514,Max!$A:$A,0))=1, INDEX(Max!$D:$D,MATCH(33514,Max!$A:$A,0))=2), INDEX(Max!$D:$D,MATCH(33514,Max!$A:$A,0)), 0), 0)</f>
        <v>0</v>
      </c>
    </row>
    <row r="1277" spans="1:9" ht="15.75" customHeight="1" x14ac:dyDescent="0.2">
      <c r="A1277" s="1">
        <v>17571</v>
      </c>
      <c r="B1277" s="1" t="s">
        <v>731</v>
      </c>
      <c r="C1277" s="1" t="s">
        <v>2975</v>
      </c>
      <c r="D1277" s="1" t="str">
        <f t="shared" si="4"/>
        <v>2</v>
      </c>
      <c r="E1277" s="1" t="s">
        <v>2976</v>
      </c>
      <c r="G1277" s="1">
        <f t="array" ref="G1277">IF(ISNUMBER(MATCH(17571,Camille!$A:$A,0)), IF(OR(INDEX(Camille!$D:$D,MATCH(17571,Camille!$A:$A,0))=1, INDEX(Camille!$D:$D,MATCH(17571,Camille!$A:$A,0))=2), INDEX(Camille!$D:$D,MATCH(17571,Camille!$A:$A,0)), 0), 0)</f>
        <v>0</v>
      </c>
      <c r="H1277" s="1">
        <f t="array" ref="H1277">IF(ISNUMBER(MATCH(17571,Telmo!$A:$A,0)), IF(OR(INDEX(Telmo!$D:$D,MATCH(17571,Telmo!$A:$A,0))=1, INDEX(Telmo!$D:$D,MATCH(17571,Telmo!$A:$A,0))=2), INDEX(Telmo!$D:$D,MATCH(17571,Telmo!$A:$A,0)), 0), 0)</f>
        <v>2</v>
      </c>
      <c r="I1277" s="1">
        <f t="array" ref="I1277">IF(ISNUMBER(MATCH(17571,Max!$A:$A,0)), IF(OR(INDEX(Max!$D:$D,MATCH(17571,Max!$A:$A,0))=1, INDEX(Max!$D:$D,MATCH(17571,Max!$A:$A,0))=2), INDEX(Max!$D:$D,MATCH(17571,Max!$A:$A,0)), 0), 0)</f>
        <v>0</v>
      </c>
    </row>
    <row r="1278" spans="1:9" ht="15.75" customHeight="1" x14ac:dyDescent="0.2">
      <c r="A1278" s="1">
        <v>65543</v>
      </c>
      <c r="B1278" s="1" t="s">
        <v>2977</v>
      </c>
      <c r="C1278" s="1" t="s">
        <v>2978</v>
      </c>
      <c r="D1278" s="1" t="str">
        <f t="shared" si="4"/>
        <v>2</v>
      </c>
      <c r="E1278" s="1" t="s">
        <v>2979</v>
      </c>
      <c r="G1278" s="1">
        <f t="array" ref="G1278">IF(ISNUMBER(MATCH(65543,Camille!$A:$A,0)), IF(OR(INDEX(Camille!$D:$D,MATCH(65543,Camille!$A:$A,0))=1, INDEX(Camille!$D:$D,MATCH(65543,Camille!$A:$A,0))=2), INDEX(Camille!$D:$D,MATCH(65543,Camille!$A:$A,0)), 0), 0)</f>
        <v>0</v>
      </c>
      <c r="H1278" s="1">
        <f t="array" ref="H1278">IF(ISNUMBER(MATCH(65543,Telmo!$A:$A,0)), IF(OR(INDEX(Telmo!$D:$D,MATCH(65543,Telmo!$A:$A,0))=1, INDEX(Telmo!$D:$D,MATCH(65543,Telmo!$A:$A,0))=2), INDEX(Telmo!$D:$D,MATCH(65543,Telmo!$A:$A,0)), 0), 0)</f>
        <v>2</v>
      </c>
      <c r="I1278" s="1">
        <f t="array" ref="I1278">IF(ISNUMBER(MATCH(65543,Max!$A:$A,0)), IF(OR(INDEX(Max!$D:$D,MATCH(65543,Max!$A:$A,0))=1, INDEX(Max!$D:$D,MATCH(65543,Max!$A:$A,0))=2), INDEX(Max!$D:$D,MATCH(65543,Max!$A:$A,0)), 0), 0)</f>
        <v>0</v>
      </c>
    </row>
    <row r="1279" spans="1:9" ht="15.75" customHeight="1" x14ac:dyDescent="0.2">
      <c r="A1279" s="1">
        <v>40560</v>
      </c>
      <c r="B1279" s="1" t="s">
        <v>656</v>
      </c>
      <c r="C1279" s="1" t="s">
        <v>2980</v>
      </c>
      <c r="D1279" s="1" t="str">
        <f t="shared" si="4"/>
        <v>2</v>
      </c>
      <c r="E1279" s="1" t="s">
        <v>2981</v>
      </c>
      <c r="G1279" s="1">
        <f t="array" ref="G1279">IF(ISNUMBER(MATCH(40560,Camille!$A:$A,0)), IF(OR(INDEX(Camille!$D:$D,MATCH(40560,Camille!$A:$A,0))=1, INDEX(Camille!$D:$D,MATCH(40560,Camille!$A:$A,0))=2), INDEX(Camille!$D:$D,MATCH(40560,Camille!$A:$A,0)), 0), 0)</f>
        <v>0</v>
      </c>
      <c r="H1279" s="1">
        <f t="array" ref="H1279">IF(ISNUMBER(MATCH(40560,Telmo!$A:$A,0)), IF(OR(INDEX(Telmo!$D:$D,MATCH(40560,Telmo!$A:$A,0))=1, INDEX(Telmo!$D:$D,MATCH(40560,Telmo!$A:$A,0))=2), INDEX(Telmo!$D:$D,MATCH(40560,Telmo!$A:$A,0)), 0), 0)</f>
        <v>2</v>
      </c>
      <c r="I1279" s="1">
        <f t="array" ref="I1279">IF(ISNUMBER(MATCH(40560,Max!$A:$A,0)), IF(OR(INDEX(Max!$D:$D,MATCH(40560,Max!$A:$A,0))=1, INDEX(Max!$D:$D,MATCH(40560,Max!$A:$A,0))=2), INDEX(Max!$D:$D,MATCH(40560,Max!$A:$A,0)), 0), 0)</f>
        <v>0</v>
      </c>
    </row>
    <row r="1280" spans="1:9" ht="15.75" customHeight="1" x14ac:dyDescent="0.2">
      <c r="A1280" s="1">
        <v>51694</v>
      </c>
      <c r="B1280" s="1" t="s">
        <v>153</v>
      </c>
      <c r="C1280" s="1" t="s">
        <v>2982</v>
      </c>
      <c r="D1280" s="1" t="str">
        <f t="shared" ref="D1280:D1534" si="5">IF(SUM(G1280:I1280)=0, "", IF(COUNTIF(G1280:I1280, "1") &gt; 0, IF(COUNTIF(G1280:I1280, "2") &gt; 0, "3", "1"),IF(COUNTIF(G1280:I1280, "2") &gt; 0, "2", "")))</f>
        <v>2</v>
      </c>
      <c r="E1280" s="1" t="s">
        <v>2983</v>
      </c>
      <c r="G1280" s="1">
        <f t="array" ref="G1280">IF(ISNUMBER(MATCH(51694,Camille!$A:$A,0)), IF(OR(INDEX(Camille!$D:$D,MATCH(51694,Camille!$A:$A,0))=1, INDEX(Camille!$D:$D,MATCH(51694,Camille!$A:$A,0))=2), INDEX(Camille!$D:$D,MATCH(51694,Camille!$A:$A,0)), 0), 0)</f>
        <v>0</v>
      </c>
      <c r="H1280" s="1">
        <f t="array" ref="H1280">IF(ISNUMBER(MATCH(51694,Telmo!$A:$A,0)), IF(OR(INDEX(Telmo!$D:$D,MATCH(51694,Telmo!$A:$A,0))=1, INDEX(Telmo!$D:$D,MATCH(51694,Telmo!$A:$A,0))=2), INDEX(Telmo!$D:$D,MATCH(51694,Telmo!$A:$A,0)), 0), 0)</f>
        <v>2</v>
      </c>
      <c r="I1280" s="1">
        <f t="array" ref="I1280">IF(ISNUMBER(MATCH(51694,Max!$A:$A,0)), IF(OR(INDEX(Max!$D:$D,MATCH(51694,Max!$A:$A,0))=1, INDEX(Max!$D:$D,MATCH(51694,Max!$A:$A,0))=2), INDEX(Max!$D:$D,MATCH(51694,Max!$A:$A,0)), 0), 0)</f>
        <v>0</v>
      </c>
    </row>
    <row r="1281" spans="1:9" ht="15.75" customHeight="1" x14ac:dyDescent="0.2">
      <c r="A1281" s="1">
        <v>21147</v>
      </c>
      <c r="B1281" s="1" t="s">
        <v>17</v>
      </c>
      <c r="C1281" s="1" t="s">
        <v>2984</v>
      </c>
      <c r="D1281" s="1" t="str">
        <f t="shared" si="5"/>
        <v>1</v>
      </c>
      <c r="E1281" s="1" t="s">
        <v>2985</v>
      </c>
      <c r="G1281" s="1">
        <f t="array" ref="G1281">IF(ISNUMBER(MATCH(21147,Camille!$A:$A,0)), IF(OR(INDEX(Camille!$D:$D,MATCH(21147,Camille!$A:$A,0))=1, INDEX(Camille!$D:$D,MATCH(21147,Camille!$A:$A,0))=2), INDEX(Camille!$D:$D,MATCH(21147,Camille!$A:$A,0)), 0), 0)</f>
        <v>0</v>
      </c>
      <c r="H1281" s="1">
        <f t="array" ref="H1281">IF(ISNUMBER(MATCH(21147,Telmo!$A:$A,0)), IF(OR(INDEX(Telmo!$D:$D,MATCH(21147,Telmo!$A:$A,0))=1, INDEX(Telmo!$D:$D,MATCH(21147,Telmo!$A:$A,0))=2), INDEX(Telmo!$D:$D,MATCH(21147,Telmo!$A:$A,0)), 0), 0)</f>
        <v>1</v>
      </c>
      <c r="I1281" s="1">
        <f t="array" ref="I1281">IF(ISNUMBER(MATCH(21147,Max!$A:$A,0)), IF(OR(INDEX(Max!$D:$D,MATCH(21147,Max!$A:$A,0))=1, INDEX(Max!$D:$D,MATCH(21147,Max!$A:$A,0))=2), INDEX(Max!$D:$D,MATCH(21147,Max!$A:$A,0)), 0), 0)</f>
        <v>0</v>
      </c>
    </row>
    <row r="1282" spans="1:9" ht="15.75" customHeight="1" x14ac:dyDescent="0.2">
      <c r="A1282" s="1">
        <v>8270</v>
      </c>
      <c r="B1282" s="1" t="s">
        <v>408</v>
      </c>
      <c r="C1282" s="1" t="s">
        <v>2986</v>
      </c>
      <c r="D1282" s="1" t="str">
        <f t="shared" si="5"/>
        <v>2</v>
      </c>
      <c r="E1282" s="1" t="s">
        <v>2987</v>
      </c>
      <c r="G1282" s="1">
        <f t="array" ref="G1282">IF(ISNUMBER(MATCH(8270,Camille!$A:$A,0)), IF(OR(INDEX(Camille!$D:$D,MATCH(8270,Camille!$A:$A,0))=1, INDEX(Camille!$D:$D,MATCH(8270,Camille!$A:$A,0))=2), INDEX(Camille!$D:$D,MATCH(8270,Camille!$A:$A,0)), 0), 0)</f>
        <v>0</v>
      </c>
      <c r="H1282" s="1">
        <f t="array" ref="H1282">IF(ISNUMBER(MATCH(8270,Telmo!$A:$A,0)), IF(OR(INDEX(Telmo!$D:$D,MATCH(8270,Telmo!$A:$A,0))=1, INDEX(Telmo!$D:$D,MATCH(8270,Telmo!$A:$A,0))=2), INDEX(Telmo!$D:$D,MATCH(8270,Telmo!$A:$A,0)), 0), 0)</f>
        <v>2</v>
      </c>
      <c r="I1282" s="1">
        <f t="array" ref="I1282">IF(ISNUMBER(MATCH(8270,Max!$A:$A,0)), IF(OR(INDEX(Max!$D:$D,MATCH(8270,Max!$A:$A,0))=1, INDEX(Max!$D:$D,MATCH(8270,Max!$A:$A,0))=2), INDEX(Max!$D:$D,MATCH(8270,Max!$A:$A,0)), 0), 0)</f>
        <v>0</v>
      </c>
    </row>
    <row r="1283" spans="1:9" ht="15.75" customHeight="1" x14ac:dyDescent="0.2">
      <c r="A1283" s="1">
        <v>4442</v>
      </c>
      <c r="B1283" s="1" t="s">
        <v>1657</v>
      </c>
      <c r="C1283" s="1" t="s">
        <v>2988</v>
      </c>
      <c r="D1283" s="1" t="str">
        <f t="shared" si="5"/>
        <v>1</v>
      </c>
      <c r="E1283" s="1" t="s">
        <v>2989</v>
      </c>
      <c r="G1283" s="1">
        <f t="array" ref="G1283">IF(ISNUMBER(MATCH(4442,Camille!$A:$A,0)), IF(OR(INDEX(Camille!$D:$D,MATCH(4442,Camille!$A:$A,0))=1, INDEX(Camille!$D:$D,MATCH(4442,Camille!$A:$A,0))=2), INDEX(Camille!$D:$D,MATCH(4442,Camille!$A:$A,0)), 0), 0)</f>
        <v>0</v>
      </c>
      <c r="H1283" s="1">
        <f t="array" ref="H1283">IF(ISNUMBER(MATCH(4442,Telmo!$A:$A,0)), IF(OR(INDEX(Telmo!$D:$D,MATCH(4442,Telmo!$A:$A,0))=1, INDEX(Telmo!$D:$D,MATCH(4442,Telmo!$A:$A,0))=2), INDEX(Telmo!$D:$D,MATCH(4442,Telmo!$A:$A,0)), 0), 0)</f>
        <v>1</v>
      </c>
      <c r="I1283" s="1">
        <f t="array" ref="I1283">IF(ISNUMBER(MATCH(4442,Max!$A:$A,0)), IF(OR(INDEX(Max!$D:$D,MATCH(4442,Max!$A:$A,0))=1, INDEX(Max!$D:$D,MATCH(4442,Max!$A:$A,0))=2), INDEX(Max!$D:$D,MATCH(4442,Max!$A:$A,0)), 0), 0)</f>
        <v>0</v>
      </c>
    </row>
    <row r="1284" spans="1:9" ht="15.75" customHeight="1" x14ac:dyDescent="0.2">
      <c r="A1284" s="1">
        <v>61973</v>
      </c>
      <c r="B1284" s="1" t="s">
        <v>276</v>
      </c>
      <c r="C1284" s="1" t="s">
        <v>2990</v>
      </c>
      <c r="D1284" s="1" t="str">
        <f t="shared" si="5"/>
        <v>1</v>
      </c>
      <c r="E1284" s="1" t="s">
        <v>2991</v>
      </c>
      <c r="G1284" s="1">
        <f t="array" ref="G1284">IF(ISNUMBER(MATCH(61973,Camille!$A:$A,0)), IF(OR(INDEX(Camille!$D:$D,MATCH(61973,Camille!$A:$A,0))=1, INDEX(Camille!$D:$D,MATCH(61973,Camille!$A:$A,0))=2), INDEX(Camille!$D:$D,MATCH(61973,Camille!$A:$A,0)), 0), 0)</f>
        <v>0</v>
      </c>
      <c r="H1284" s="1">
        <f t="array" ref="H1284">IF(ISNUMBER(MATCH(61973,Telmo!$A:$A,0)), IF(OR(INDEX(Telmo!$D:$D,MATCH(61973,Telmo!$A:$A,0))=1, INDEX(Telmo!$D:$D,MATCH(61973,Telmo!$A:$A,0))=2), INDEX(Telmo!$D:$D,MATCH(61973,Telmo!$A:$A,0)), 0), 0)</f>
        <v>1</v>
      </c>
      <c r="I1284" s="1">
        <f t="array" ref="I1284">IF(ISNUMBER(MATCH(61973,Max!$A:$A,0)), IF(OR(INDEX(Max!$D:$D,MATCH(61973,Max!$A:$A,0))=1, INDEX(Max!$D:$D,MATCH(61973,Max!$A:$A,0))=2), INDEX(Max!$D:$D,MATCH(61973,Max!$A:$A,0)), 0), 0)</f>
        <v>0</v>
      </c>
    </row>
    <row r="1285" spans="1:9" ht="15.75" customHeight="1" x14ac:dyDescent="0.2">
      <c r="A1285" s="1">
        <v>12034</v>
      </c>
      <c r="B1285" s="1" t="s">
        <v>405</v>
      </c>
      <c r="C1285" s="1" t="s">
        <v>2992</v>
      </c>
      <c r="D1285" s="1" t="str">
        <f t="shared" si="5"/>
        <v>2</v>
      </c>
      <c r="E1285" s="1" t="s">
        <v>2993</v>
      </c>
      <c r="G1285" s="1">
        <f t="array" ref="G1285">IF(ISNUMBER(MATCH(12034,Camille!$A:$A,0)), IF(OR(INDEX(Camille!$D:$D,MATCH(12034,Camille!$A:$A,0))=1, INDEX(Camille!$D:$D,MATCH(12034,Camille!$A:$A,0))=2), INDEX(Camille!$D:$D,MATCH(12034,Camille!$A:$A,0)), 0), 0)</f>
        <v>0</v>
      </c>
      <c r="H1285" s="1">
        <f t="array" ref="H1285">IF(ISNUMBER(MATCH(12034,Telmo!$A:$A,0)), IF(OR(INDEX(Telmo!$D:$D,MATCH(12034,Telmo!$A:$A,0))=1, INDEX(Telmo!$D:$D,MATCH(12034,Telmo!$A:$A,0))=2), INDEX(Telmo!$D:$D,MATCH(12034,Telmo!$A:$A,0)), 0), 0)</f>
        <v>2</v>
      </c>
      <c r="I1285" s="1">
        <f t="array" ref="I1285">IF(ISNUMBER(MATCH(12034,Max!$A:$A,0)), IF(OR(INDEX(Max!$D:$D,MATCH(12034,Max!$A:$A,0))=1, INDEX(Max!$D:$D,MATCH(12034,Max!$A:$A,0))=2), INDEX(Max!$D:$D,MATCH(12034,Max!$A:$A,0)), 0), 0)</f>
        <v>0</v>
      </c>
    </row>
    <row r="1286" spans="1:9" ht="15.75" customHeight="1" x14ac:dyDescent="0.2">
      <c r="A1286" s="1">
        <v>61817</v>
      </c>
      <c r="B1286" s="1" t="s">
        <v>2994</v>
      </c>
      <c r="C1286" s="1" t="s">
        <v>2995</v>
      </c>
      <c r="D1286" s="1" t="str">
        <f t="shared" si="5"/>
        <v>2</v>
      </c>
      <c r="E1286" s="1" t="s">
        <v>2996</v>
      </c>
      <c r="G1286" s="1">
        <f t="array" ref="G1286">IF(ISNUMBER(MATCH(61817,Camille!$A:$A,0)), IF(OR(INDEX(Camille!$D:$D,MATCH(61817,Camille!$A:$A,0))=1, INDEX(Camille!$D:$D,MATCH(61817,Camille!$A:$A,0))=2), INDEX(Camille!$D:$D,MATCH(61817,Camille!$A:$A,0)), 0), 0)</f>
        <v>0</v>
      </c>
      <c r="H1286" s="1">
        <f t="array" ref="H1286">IF(ISNUMBER(MATCH(61817,Telmo!$A:$A,0)), IF(OR(INDEX(Telmo!$D:$D,MATCH(61817,Telmo!$A:$A,0))=1, INDEX(Telmo!$D:$D,MATCH(61817,Telmo!$A:$A,0))=2), INDEX(Telmo!$D:$D,MATCH(61817,Telmo!$A:$A,0)), 0), 0)</f>
        <v>2</v>
      </c>
      <c r="I1286" s="1">
        <f t="array" ref="I1286">IF(ISNUMBER(MATCH(61817,Max!$A:$A,0)), IF(OR(INDEX(Max!$D:$D,MATCH(61817,Max!$A:$A,0))=1, INDEX(Max!$D:$D,MATCH(61817,Max!$A:$A,0))=2), INDEX(Max!$D:$D,MATCH(61817,Max!$A:$A,0)), 0), 0)</f>
        <v>0</v>
      </c>
    </row>
    <row r="1287" spans="1:9" ht="15.75" customHeight="1" x14ac:dyDescent="0.2">
      <c r="A1287" s="1">
        <v>10671</v>
      </c>
      <c r="B1287" s="1" t="s">
        <v>906</v>
      </c>
      <c r="C1287" s="1" t="s">
        <v>2997</v>
      </c>
      <c r="D1287" s="1" t="str">
        <f t="shared" si="5"/>
        <v>2</v>
      </c>
      <c r="E1287" s="1" t="s">
        <v>2998</v>
      </c>
      <c r="G1287" s="1">
        <f t="array" ref="G1287">IF(ISNUMBER(MATCH(10671,Camille!$A:$A,0)), IF(OR(INDEX(Camille!$D:$D,MATCH(10671,Camille!$A:$A,0))=1, INDEX(Camille!$D:$D,MATCH(10671,Camille!$A:$A,0))=2), INDEX(Camille!$D:$D,MATCH(10671,Camille!$A:$A,0)), 0), 0)</f>
        <v>0</v>
      </c>
      <c r="H1287" s="1">
        <f t="array" ref="H1287">IF(ISNUMBER(MATCH(10671,Telmo!$A:$A,0)), IF(OR(INDEX(Telmo!$D:$D,MATCH(10671,Telmo!$A:$A,0))=1, INDEX(Telmo!$D:$D,MATCH(10671,Telmo!$A:$A,0))=2), INDEX(Telmo!$D:$D,MATCH(10671,Telmo!$A:$A,0)), 0), 0)</f>
        <v>2</v>
      </c>
      <c r="I1287" s="1">
        <f t="array" ref="I1287">IF(ISNUMBER(MATCH(10671,Max!$A:$A,0)), IF(OR(INDEX(Max!$D:$D,MATCH(10671,Max!$A:$A,0))=1, INDEX(Max!$D:$D,MATCH(10671,Max!$A:$A,0))=2), INDEX(Max!$D:$D,MATCH(10671,Max!$A:$A,0)), 0), 0)</f>
        <v>0</v>
      </c>
    </row>
    <row r="1288" spans="1:9" ht="15.75" customHeight="1" x14ac:dyDescent="0.2">
      <c r="A1288" s="1">
        <v>37489</v>
      </c>
      <c r="B1288" s="1" t="s">
        <v>138</v>
      </c>
      <c r="C1288" s="1" t="s">
        <v>2999</v>
      </c>
      <c r="D1288" s="1" t="str">
        <f t="shared" si="5"/>
        <v>2</v>
      </c>
      <c r="E1288" s="1" t="s">
        <v>3000</v>
      </c>
      <c r="G1288" s="1">
        <f t="array" ref="G1288">IF(ISNUMBER(MATCH(37489,Camille!$A:$A,0)), IF(OR(INDEX(Camille!$D:$D,MATCH(37489,Camille!$A:$A,0))=1, INDEX(Camille!$D:$D,MATCH(37489,Camille!$A:$A,0))=2), INDEX(Camille!$D:$D,MATCH(37489,Camille!$A:$A,0)), 0), 0)</f>
        <v>0</v>
      </c>
      <c r="H1288" s="1">
        <f t="array" ref="H1288">IF(ISNUMBER(MATCH(37489,Telmo!$A:$A,0)), IF(OR(INDEX(Telmo!$D:$D,MATCH(37489,Telmo!$A:$A,0))=1, INDEX(Telmo!$D:$D,MATCH(37489,Telmo!$A:$A,0))=2), INDEX(Telmo!$D:$D,MATCH(37489,Telmo!$A:$A,0)), 0), 0)</f>
        <v>2</v>
      </c>
      <c r="I1288" s="1">
        <f t="array" ref="I1288">IF(ISNUMBER(MATCH(37489,Max!$A:$A,0)), IF(OR(INDEX(Max!$D:$D,MATCH(37489,Max!$A:$A,0))=1, INDEX(Max!$D:$D,MATCH(37489,Max!$A:$A,0))=2), INDEX(Max!$D:$D,MATCH(37489,Max!$A:$A,0)), 0), 0)</f>
        <v>0</v>
      </c>
    </row>
    <row r="1289" spans="1:9" ht="15.75" customHeight="1" x14ac:dyDescent="0.2">
      <c r="A1289" s="1">
        <v>57160</v>
      </c>
      <c r="B1289" s="1" t="s">
        <v>490</v>
      </c>
      <c r="C1289" s="1" t="s">
        <v>3001</v>
      </c>
      <c r="D1289" s="1" t="str">
        <f t="shared" si="5"/>
        <v>1</v>
      </c>
      <c r="E1289" s="1" t="s">
        <v>3002</v>
      </c>
      <c r="G1289" s="1">
        <f t="array" ref="G1289">IF(ISNUMBER(MATCH(57160,Camille!$A:$A,0)), IF(OR(INDEX(Camille!$D:$D,MATCH(57160,Camille!$A:$A,0))=1, INDEX(Camille!$D:$D,MATCH(57160,Camille!$A:$A,0))=2), INDEX(Camille!$D:$D,MATCH(57160,Camille!$A:$A,0)), 0), 0)</f>
        <v>0</v>
      </c>
      <c r="H1289" s="1">
        <f t="array" ref="H1289">IF(ISNUMBER(MATCH(57160,Telmo!$A:$A,0)), IF(OR(INDEX(Telmo!$D:$D,MATCH(57160,Telmo!$A:$A,0))=1, INDEX(Telmo!$D:$D,MATCH(57160,Telmo!$A:$A,0))=2), INDEX(Telmo!$D:$D,MATCH(57160,Telmo!$A:$A,0)), 0), 0)</f>
        <v>1</v>
      </c>
      <c r="I1289" s="1">
        <f t="array" ref="I1289">IF(ISNUMBER(MATCH(57160,Max!$A:$A,0)), IF(OR(INDEX(Max!$D:$D,MATCH(57160,Max!$A:$A,0))=1, INDEX(Max!$D:$D,MATCH(57160,Max!$A:$A,0))=2), INDEX(Max!$D:$D,MATCH(57160,Max!$A:$A,0)), 0), 0)</f>
        <v>0</v>
      </c>
    </row>
    <row r="1290" spans="1:9" ht="15.75" customHeight="1" x14ac:dyDescent="0.2">
      <c r="A1290" s="1">
        <v>25889</v>
      </c>
      <c r="B1290" s="1" t="s">
        <v>276</v>
      </c>
      <c r="C1290" s="1" t="s">
        <v>3003</v>
      </c>
      <c r="D1290" s="1" t="str">
        <f t="shared" si="5"/>
        <v>1</v>
      </c>
      <c r="E1290" s="1" t="s">
        <v>3004</v>
      </c>
      <c r="G1290" s="1">
        <f t="array" ref="G1290">IF(ISNUMBER(MATCH(25889,Camille!$A:$A,0)), IF(OR(INDEX(Camille!$D:$D,MATCH(25889,Camille!$A:$A,0))=1, INDEX(Camille!$D:$D,MATCH(25889,Camille!$A:$A,0))=2), INDEX(Camille!$D:$D,MATCH(25889,Camille!$A:$A,0)), 0), 0)</f>
        <v>0</v>
      </c>
      <c r="H1290" s="1">
        <f t="array" ref="H1290">IF(ISNUMBER(MATCH(25889,Telmo!$A:$A,0)), IF(OR(INDEX(Telmo!$D:$D,MATCH(25889,Telmo!$A:$A,0))=1, INDEX(Telmo!$D:$D,MATCH(25889,Telmo!$A:$A,0))=2), INDEX(Telmo!$D:$D,MATCH(25889,Telmo!$A:$A,0)), 0), 0)</f>
        <v>1</v>
      </c>
      <c r="I1290" s="1">
        <f t="array" ref="I1290">IF(ISNUMBER(MATCH(25889,Max!$A:$A,0)), IF(OR(INDEX(Max!$D:$D,MATCH(25889,Max!$A:$A,0))=1, INDEX(Max!$D:$D,MATCH(25889,Max!$A:$A,0))=2), INDEX(Max!$D:$D,MATCH(25889,Max!$A:$A,0)), 0), 0)</f>
        <v>0</v>
      </c>
    </row>
    <row r="1291" spans="1:9" ht="15.75" customHeight="1" x14ac:dyDescent="0.2">
      <c r="A1291" s="1">
        <v>45195</v>
      </c>
      <c r="B1291" s="1" t="s">
        <v>268</v>
      </c>
      <c r="C1291" s="1" t="s">
        <v>3005</v>
      </c>
      <c r="D1291" s="1" t="str">
        <f t="shared" si="5"/>
        <v>2</v>
      </c>
      <c r="E1291" s="1" t="s">
        <v>3006</v>
      </c>
      <c r="G1291" s="1">
        <f t="array" ref="G1291">IF(ISNUMBER(MATCH(45195,Camille!$A:$A,0)), IF(OR(INDEX(Camille!$D:$D,MATCH(45195,Camille!$A:$A,0))=1, INDEX(Camille!$D:$D,MATCH(45195,Camille!$A:$A,0))=2), INDEX(Camille!$D:$D,MATCH(45195,Camille!$A:$A,0)), 0), 0)</f>
        <v>0</v>
      </c>
      <c r="H1291" s="1">
        <f t="array" ref="H1291">IF(ISNUMBER(MATCH(45195,Telmo!$A:$A,0)), IF(OR(INDEX(Telmo!$D:$D,MATCH(45195,Telmo!$A:$A,0))=1, INDEX(Telmo!$D:$D,MATCH(45195,Telmo!$A:$A,0))=2), INDEX(Telmo!$D:$D,MATCH(45195,Telmo!$A:$A,0)), 0), 0)</f>
        <v>2</v>
      </c>
      <c r="I1291" s="1">
        <f t="array" ref="I1291">IF(ISNUMBER(MATCH(45195,Max!$A:$A,0)), IF(OR(INDEX(Max!$D:$D,MATCH(45195,Max!$A:$A,0))=1, INDEX(Max!$D:$D,MATCH(45195,Max!$A:$A,0))=2), INDEX(Max!$D:$D,MATCH(45195,Max!$A:$A,0)), 0), 0)</f>
        <v>0</v>
      </c>
    </row>
    <row r="1292" spans="1:9" ht="15.75" customHeight="1" x14ac:dyDescent="0.2">
      <c r="A1292" s="1">
        <v>60390</v>
      </c>
      <c r="B1292" s="1" t="s">
        <v>90</v>
      </c>
      <c r="C1292" s="1" t="s">
        <v>3007</v>
      </c>
      <c r="D1292" s="1" t="str">
        <f t="shared" si="5"/>
        <v>1</v>
      </c>
      <c r="E1292" s="1" t="s">
        <v>3008</v>
      </c>
      <c r="G1292" s="1">
        <f t="array" ref="G1292">IF(ISNUMBER(MATCH(60390,Camille!$A:$A,0)), IF(OR(INDEX(Camille!$D:$D,MATCH(60390,Camille!$A:$A,0))=1, INDEX(Camille!$D:$D,MATCH(60390,Camille!$A:$A,0))=2), INDEX(Camille!$D:$D,MATCH(60390,Camille!$A:$A,0)), 0), 0)</f>
        <v>0</v>
      </c>
      <c r="H1292" s="1">
        <f t="array" ref="H1292">IF(ISNUMBER(MATCH(60390,Telmo!$A:$A,0)), IF(OR(INDEX(Telmo!$D:$D,MATCH(60390,Telmo!$A:$A,0))=1, INDEX(Telmo!$D:$D,MATCH(60390,Telmo!$A:$A,0))=2), INDEX(Telmo!$D:$D,MATCH(60390,Telmo!$A:$A,0)), 0), 0)</f>
        <v>1</v>
      </c>
      <c r="I1292" s="1">
        <f t="array" ref="I1292">IF(ISNUMBER(MATCH(60390,Max!$A:$A,0)), IF(OR(INDEX(Max!$D:$D,MATCH(60390,Max!$A:$A,0))=1, INDEX(Max!$D:$D,MATCH(60390,Max!$A:$A,0))=2), INDEX(Max!$D:$D,MATCH(60390,Max!$A:$A,0)), 0), 0)</f>
        <v>0</v>
      </c>
    </row>
    <row r="1293" spans="1:9" ht="15.75" customHeight="1" x14ac:dyDescent="0.2">
      <c r="A1293" s="1">
        <v>68135</v>
      </c>
      <c r="B1293" s="1" t="s">
        <v>32</v>
      </c>
      <c r="C1293" s="1" t="s">
        <v>3009</v>
      </c>
      <c r="D1293" s="1" t="str">
        <f t="shared" si="5"/>
        <v>2</v>
      </c>
      <c r="E1293" s="1" t="s">
        <v>3010</v>
      </c>
      <c r="G1293" s="1">
        <f t="array" ref="G1293">IF(ISNUMBER(MATCH(68135,Camille!$A:$A,0)), IF(OR(INDEX(Camille!$D:$D,MATCH(68135,Camille!$A:$A,0))=1, INDEX(Camille!$D:$D,MATCH(68135,Camille!$A:$A,0))=2), INDEX(Camille!$D:$D,MATCH(68135,Camille!$A:$A,0)), 0), 0)</f>
        <v>0</v>
      </c>
      <c r="H1293" s="1">
        <f t="array" ref="H1293">IF(ISNUMBER(MATCH(68135,Telmo!$A:$A,0)), IF(OR(INDEX(Telmo!$D:$D,MATCH(68135,Telmo!$A:$A,0))=1, INDEX(Telmo!$D:$D,MATCH(68135,Telmo!$A:$A,0))=2), INDEX(Telmo!$D:$D,MATCH(68135,Telmo!$A:$A,0)), 0), 0)</f>
        <v>2</v>
      </c>
      <c r="I1293" s="1">
        <f t="array" ref="I1293">IF(ISNUMBER(MATCH(68135,Max!$A:$A,0)), IF(OR(INDEX(Max!$D:$D,MATCH(68135,Max!$A:$A,0))=1, INDEX(Max!$D:$D,MATCH(68135,Max!$A:$A,0))=2), INDEX(Max!$D:$D,MATCH(68135,Max!$A:$A,0)), 0), 0)</f>
        <v>0</v>
      </c>
    </row>
    <row r="1294" spans="1:9" ht="15.75" customHeight="1" x14ac:dyDescent="0.2">
      <c r="A1294" s="1">
        <v>219</v>
      </c>
      <c r="B1294" s="1" t="s">
        <v>552</v>
      </c>
      <c r="C1294" s="1" t="s">
        <v>3011</v>
      </c>
      <c r="D1294" s="1" t="str">
        <f t="shared" si="5"/>
        <v>1</v>
      </c>
      <c r="E1294" s="1" t="s">
        <v>3012</v>
      </c>
      <c r="G1294" s="1">
        <f t="array" ref="G1294">IF(ISNUMBER(MATCH(219,Camille!$A:$A,0)), IF(OR(INDEX(Camille!$D:$D,MATCH(219,Camille!$A:$A,0))=1, INDEX(Camille!$D:$D,MATCH(219,Camille!$A:$A,0))=2), INDEX(Camille!$D:$D,MATCH(219,Camille!$A:$A,0)), 0), 0)</f>
        <v>0</v>
      </c>
      <c r="H1294" s="1">
        <f t="array" ref="H1294">IF(ISNUMBER(MATCH(219,Telmo!$A:$A,0)), IF(OR(INDEX(Telmo!$D:$D,MATCH(219,Telmo!$A:$A,0))=1, INDEX(Telmo!$D:$D,MATCH(219,Telmo!$A:$A,0))=2), INDEX(Telmo!$D:$D,MATCH(219,Telmo!$A:$A,0)), 0), 0)</f>
        <v>1</v>
      </c>
      <c r="I1294" s="1">
        <f t="array" ref="I1294">IF(ISNUMBER(MATCH(219,Max!$A:$A,0)), IF(OR(INDEX(Max!$D:$D,MATCH(219,Max!$A:$A,0))=1, INDEX(Max!$D:$D,MATCH(219,Max!$A:$A,0))=2), INDEX(Max!$D:$D,MATCH(219,Max!$A:$A,0)), 0), 0)</f>
        <v>0</v>
      </c>
    </row>
    <row r="1295" spans="1:9" ht="15.75" customHeight="1" x14ac:dyDescent="0.2">
      <c r="A1295" s="1">
        <v>43859</v>
      </c>
      <c r="B1295" s="1" t="s">
        <v>394</v>
      </c>
      <c r="C1295" s="1" t="s">
        <v>3013</v>
      </c>
      <c r="D1295" s="1" t="str">
        <f t="shared" si="5"/>
        <v>2</v>
      </c>
      <c r="E1295" s="1" t="s">
        <v>3014</v>
      </c>
      <c r="G1295" s="1">
        <f t="array" ref="G1295">IF(ISNUMBER(MATCH(43859,Camille!$A:$A,0)), IF(OR(INDEX(Camille!$D:$D,MATCH(43859,Camille!$A:$A,0))=1, INDEX(Camille!$D:$D,MATCH(43859,Camille!$A:$A,0))=2), INDEX(Camille!$D:$D,MATCH(43859,Camille!$A:$A,0)), 0), 0)</f>
        <v>0</v>
      </c>
      <c r="H1295" s="1">
        <f t="array" ref="H1295">IF(ISNUMBER(MATCH(43859,Telmo!$A:$A,0)), IF(OR(INDEX(Telmo!$D:$D,MATCH(43859,Telmo!$A:$A,0))=1, INDEX(Telmo!$D:$D,MATCH(43859,Telmo!$A:$A,0))=2), INDEX(Telmo!$D:$D,MATCH(43859,Telmo!$A:$A,0)), 0), 0)</f>
        <v>2</v>
      </c>
      <c r="I1295" s="1">
        <f t="array" ref="I1295">IF(ISNUMBER(MATCH(43859,Max!$A:$A,0)), IF(OR(INDEX(Max!$D:$D,MATCH(43859,Max!$A:$A,0))=1, INDEX(Max!$D:$D,MATCH(43859,Max!$A:$A,0))=2), INDEX(Max!$D:$D,MATCH(43859,Max!$A:$A,0)), 0), 0)</f>
        <v>0</v>
      </c>
    </row>
    <row r="1296" spans="1:9" ht="15.75" customHeight="1" x14ac:dyDescent="0.2">
      <c r="A1296" s="1">
        <v>39369</v>
      </c>
      <c r="B1296" s="1" t="s">
        <v>11</v>
      </c>
      <c r="C1296" s="1" t="s">
        <v>3015</v>
      </c>
      <c r="D1296" s="1" t="str">
        <f t="shared" si="5"/>
        <v>2</v>
      </c>
      <c r="E1296" s="1" t="s">
        <v>3016</v>
      </c>
      <c r="G1296" s="1">
        <f t="array" ref="G1296">IF(ISNUMBER(MATCH(39369,Camille!$A:$A,0)), IF(OR(INDEX(Camille!$D:$D,MATCH(39369,Camille!$A:$A,0))=1, INDEX(Camille!$D:$D,MATCH(39369,Camille!$A:$A,0))=2), INDEX(Camille!$D:$D,MATCH(39369,Camille!$A:$A,0)), 0), 0)</f>
        <v>0</v>
      </c>
      <c r="H1296" s="1">
        <f t="array" ref="H1296">IF(ISNUMBER(MATCH(39369,Telmo!$A:$A,0)), IF(OR(INDEX(Telmo!$D:$D,MATCH(39369,Telmo!$A:$A,0))=1, INDEX(Telmo!$D:$D,MATCH(39369,Telmo!$A:$A,0))=2), INDEX(Telmo!$D:$D,MATCH(39369,Telmo!$A:$A,0)), 0), 0)</f>
        <v>2</v>
      </c>
      <c r="I1296" s="1">
        <f t="array" ref="I1296">IF(ISNUMBER(MATCH(39369,Max!$A:$A,0)), IF(OR(INDEX(Max!$D:$D,MATCH(39369,Max!$A:$A,0))=1, INDEX(Max!$D:$D,MATCH(39369,Max!$A:$A,0))=2), INDEX(Max!$D:$D,MATCH(39369,Max!$A:$A,0)), 0), 0)</f>
        <v>0</v>
      </c>
    </row>
    <row r="1297" spans="1:9" ht="15.75" customHeight="1" x14ac:dyDescent="0.2">
      <c r="A1297" s="1">
        <v>29298</v>
      </c>
      <c r="B1297" s="1" t="s">
        <v>1021</v>
      </c>
      <c r="C1297" s="1" t="s">
        <v>3017</v>
      </c>
      <c r="D1297" s="1" t="str">
        <f t="shared" si="5"/>
        <v>2</v>
      </c>
      <c r="E1297" s="1" t="s">
        <v>3018</v>
      </c>
      <c r="G1297" s="1">
        <f t="array" ref="G1297">IF(ISNUMBER(MATCH(29298,Camille!$A:$A,0)), IF(OR(INDEX(Camille!$D:$D,MATCH(29298,Camille!$A:$A,0))=1, INDEX(Camille!$D:$D,MATCH(29298,Camille!$A:$A,0))=2), INDEX(Camille!$D:$D,MATCH(29298,Camille!$A:$A,0)), 0), 0)</f>
        <v>0</v>
      </c>
      <c r="H1297" s="1">
        <f t="array" ref="H1297">IF(ISNUMBER(MATCH(29298,Telmo!$A:$A,0)), IF(OR(INDEX(Telmo!$D:$D,MATCH(29298,Telmo!$A:$A,0))=1, INDEX(Telmo!$D:$D,MATCH(29298,Telmo!$A:$A,0))=2), INDEX(Telmo!$D:$D,MATCH(29298,Telmo!$A:$A,0)), 0), 0)</f>
        <v>2</v>
      </c>
      <c r="I1297" s="1">
        <f t="array" ref="I1297">IF(ISNUMBER(MATCH(29298,Max!$A:$A,0)), IF(OR(INDEX(Max!$D:$D,MATCH(29298,Max!$A:$A,0))=1, INDEX(Max!$D:$D,MATCH(29298,Max!$A:$A,0))=2), INDEX(Max!$D:$D,MATCH(29298,Max!$A:$A,0)), 0), 0)</f>
        <v>0</v>
      </c>
    </row>
    <row r="1298" spans="1:9" ht="15.75" customHeight="1" x14ac:dyDescent="0.2">
      <c r="A1298" s="1">
        <v>70608</v>
      </c>
      <c r="B1298" s="1" t="s">
        <v>3019</v>
      </c>
      <c r="C1298" s="1" t="s">
        <v>3020</v>
      </c>
      <c r="D1298" s="1" t="str">
        <f t="shared" si="5"/>
        <v>2</v>
      </c>
      <c r="E1298" s="1" t="s">
        <v>3021</v>
      </c>
      <c r="G1298" s="1">
        <f t="array" ref="G1298">IF(ISNUMBER(MATCH(70608,Camille!$A:$A,0)), IF(OR(INDEX(Camille!$D:$D,MATCH(70608,Camille!$A:$A,0))=1, INDEX(Camille!$D:$D,MATCH(70608,Camille!$A:$A,0))=2), INDEX(Camille!$D:$D,MATCH(70608,Camille!$A:$A,0)), 0), 0)</f>
        <v>0</v>
      </c>
      <c r="H1298" s="1">
        <f t="array" ref="H1298">IF(ISNUMBER(MATCH(70608,Telmo!$A:$A,0)), IF(OR(INDEX(Telmo!$D:$D,MATCH(70608,Telmo!$A:$A,0))=1, INDEX(Telmo!$D:$D,MATCH(70608,Telmo!$A:$A,0))=2), INDEX(Telmo!$D:$D,MATCH(70608,Telmo!$A:$A,0)), 0), 0)</f>
        <v>2</v>
      </c>
      <c r="I1298" s="1">
        <f t="array" ref="I1298">IF(ISNUMBER(MATCH(70608,Max!$A:$A,0)), IF(OR(INDEX(Max!$D:$D,MATCH(70608,Max!$A:$A,0))=1, INDEX(Max!$D:$D,MATCH(70608,Max!$A:$A,0))=2), INDEX(Max!$D:$D,MATCH(70608,Max!$A:$A,0)), 0), 0)</f>
        <v>0</v>
      </c>
    </row>
    <row r="1299" spans="1:9" ht="15.75" customHeight="1" x14ac:dyDescent="0.2">
      <c r="A1299" s="1">
        <v>1261</v>
      </c>
      <c r="B1299" s="1" t="s">
        <v>3022</v>
      </c>
      <c r="C1299" s="1" t="s">
        <v>3023</v>
      </c>
      <c r="D1299" s="1" t="str">
        <f t="shared" si="5"/>
        <v>2</v>
      </c>
      <c r="E1299" s="1" t="s">
        <v>3024</v>
      </c>
      <c r="G1299" s="1">
        <f t="array" ref="G1299">IF(ISNUMBER(MATCH(1261,Camille!$A:$A,0)), IF(OR(INDEX(Camille!$D:$D,MATCH(1261,Camille!$A:$A,0))=1, INDEX(Camille!$D:$D,MATCH(1261,Camille!$A:$A,0))=2), INDEX(Camille!$D:$D,MATCH(1261,Camille!$A:$A,0)), 0), 0)</f>
        <v>0</v>
      </c>
      <c r="H1299" s="1">
        <f t="array" ref="H1299">IF(ISNUMBER(MATCH(1261,Telmo!$A:$A,0)), IF(OR(INDEX(Telmo!$D:$D,MATCH(1261,Telmo!$A:$A,0))=1, INDEX(Telmo!$D:$D,MATCH(1261,Telmo!$A:$A,0))=2), INDEX(Telmo!$D:$D,MATCH(1261,Telmo!$A:$A,0)), 0), 0)</f>
        <v>2</v>
      </c>
      <c r="I1299" s="1">
        <f t="array" ref="I1299">IF(ISNUMBER(MATCH(1261,Max!$A:$A,0)), IF(OR(INDEX(Max!$D:$D,MATCH(1261,Max!$A:$A,0))=1, INDEX(Max!$D:$D,MATCH(1261,Max!$A:$A,0))=2), INDEX(Max!$D:$D,MATCH(1261,Max!$A:$A,0)), 0), 0)</f>
        <v>0</v>
      </c>
    </row>
    <row r="1300" spans="1:9" ht="15.75" customHeight="1" x14ac:dyDescent="0.2">
      <c r="A1300" s="1">
        <v>35730</v>
      </c>
      <c r="B1300" s="1" t="s">
        <v>1189</v>
      </c>
      <c r="C1300" s="1" t="s">
        <v>3025</v>
      </c>
      <c r="D1300" s="1" t="str">
        <f t="shared" si="5"/>
        <v>2</v>
      </c>
      <c r="E1300" s="1" t="s">
        <v>3026</v>
      </c>
      <c r="G1300" s="1">
        <f t="array" ref="G1300">IF(ISNUMBER(MATCH(35730,Camille!$A:$A,0)), IF(OR(INDEX(Camille!$D:$D,MATCH(35730,Camille!$A:$A,0))=1, INDEX(Camille!$D:$D,MATCH(35730,Camille!$A:$A,0))=2), INDEX(Camille!$D:$D,MATCH(35730,Camille!$A:$A,0)), 0), 0)</f>
        <v>0</v>
      </c>
      <c r="H1300" s="1">
        <f t="array" ref="H1300">IF(ISNUMBER(MATCH(35730,Telmo!$A:$A,0)), IF(OR(INDEX(Telmo!$D:$D,MATCH(35730,Telmo!$A:$A,0))=1, INDEX(Telmo!$D:$D,MATCH(35730,Telmo!$A:$A,0))=2), INDEX(Telmo!$D:$D,MATCH(35730,Telmo!$A:$A,0)), 0), 0)</f>
        <v>2</v>
      </c>
      <c r="I1300" s="1">
        <f t="array" ref="I1300">IF(ISNUMBER(MATCH(35730,Max!$A:$A,0)), IF(OR(INDEX(Max!$D:$D,MATCH(35730,Max!$A:$A,0))=1, INDEX(Max!$D:$D,MATCH(35730,Max!$A:$A,0))=2), INDEX(Max!$D:$D,MATCH(35730,Max!$A:$A,0)), 0), 0)</f>
        <v>0</v>
      </c>
    </row>
    <row r="1301" spans="1:9" ht="15.75" customHeight="1" x14ac:dyDescent="0.2">
      <c r="A1301" s="1">
        <v>52528</v>
      </c>
      <c r="B1301" s="1" t="s">
        <v>244</v>
      </c>
      <c r="C1301" s="1" t="s">
        <v>3027</v>
      </c>
      <c r="D1301" s="1" t="str">
        <f t="shared" si="5"/>
        <v>2</v>
      </c>
      <c r="E1301" s="1" t="s">
        <v>3028</v>
      </c>
      <c r="G1301" s="1">
        <f t="array" ref="G1301">IF(ISNUMBER(MATCH(52528,Camille!$A:$A,0)), IF(OR(INDEX(Camille!$D:$D,MATCH(52528,Camille!$A:$A,0))=1, INDEX(Camille!$D:$D,MATCH(52528,Camille!$A:$A,0))=2), INDEX(Camille!$D:$D,MATCH(52528,Camille!$A:$A,0)), 0), 0)</f>
        <v>0</v>
      </c>
      <c r="H1301" s="1">
        <f t="array" ref="H1301">IF(ISNUMBER(MATCH(52528,Telmo!$A:$A,0)), IF(OR(INDEX(Telmo!$D:$D,MATCH(52528,Telmo!$A:$A,0))=1, INDEX(Telmo!$D:$D,MATCH(52528,Telmo!$A:$A,0))=2), INDEX(Telmo!$D:$D,MATCH(52528,Telmo!$A:$A,0)), 0), 0)</f>
        <v>2</v>
      </c>
      <c r="I1301" s="1">
        <f t="array" ref="I1301">IF(ISNUMBER(MATCH(52528,Max!$A:$A,0)), IF(OR(INDEX(Max!$D:$D,MATCH(52528,Max!$A:$A,0))=1, INDEX(Max!$D:$D,MATCH(52528,Max!$A:$A,0))=2), INDEX(Max!$D:$D,MATCH(52528,Max!$A:$A,0)), 0), 0)</f>
        <v>0</v>
      </c>
    </row>
    <row r="1302" spans="1:9" ht="15.75" customHeight="1" x14ac:dyDescent="0.2">
      <c r="A1302" s="1">
        <v>801</v>
      </c>
      <c r="B1302" s="1" t="s">
        <v>723</v>
      </c>
      <c r="C1302" s="1" t="s">
        <v>3029</v>
      </c>
      <c r="D1302" s="1" t="str">
        <f t="shared" si="5"/>
        <v>1</v>
      </c>
      <c r="E1302" s="1" t="s">
        <v>3030</v>
      </c>
      <c r="G1302" s="1">
        <f t="array" ref="G1302">IF(ISNUMBER(MATCH(801,Camille!$A:$A,0)), IF(OR(INDEX(Camille!$D:$D,MATCH(801,Camille!$A:$A,0))=1, INDEX(Camille!$D:$D,MATCH(801,Camille!$A:$A,0))=2), INDEX(Camille!$D:$D,MATCH(801,Camille!$A:$A,0)), 0), 0)</f>
        <v>0</v>
      </c>
      <c r="H1302" s="1">
        <f t="array" ref="H1302">IF(ISNUMBER(MATCH(801,Telmo!$A:$A,0)), IF(OR(INDEX(Telmo!$D:$D,MATCH(801,Telmo!$A:$A,0))=1, INDEX(Telmo!$D:$D,MATCH(801,Telmo!$A:$A,0))=2), INDEX(Telmo!$D:$D,MATCH(801,Telmo!$A:$A,0)), 0), 0)</f>
        <v>1</v>
      </c>
      <c r="I1302" s="1">
        <f t="array" ref="I1302">IF(ISNUMBER(MATCH(801,Max!$A:$A,0)), IF(OR(INDEX(Max!$D:$D,MATCH(801,Max!$A:$A,0))=1, INDEX(Max!$D:$D,MATCH(801,Max!$A:$A,0))=2), INDEX(Max!$D:$D,MATCH(801,Max!$A:$A,0)), 0), 0)</f>
        <v>0</v>
      </c>
    </row>
    <row r="1303" spans="1:9" ht="15.75" customHeight="1" x14ac:dyDescent="0.2">
      <c r="A1303" s="1">
        <v>27543</v>
      </c>
      <c r="B1303" s="1" t="s">
        <v>23</v>
      </c>
      <c r="C1303" s="1" t="s">
        <v>3031</v>
      </c>
      <c r="D1303" s="1" t="str">
        <f t="shared" si="5"/>
        <v>1</v>
      </c>
      <c r="E1303" s="1" t="s">
        <v>3032</v>
      </c>
      <c r="G1303" s="1">
        <f t="array" ref="G1303">IF(ISNUMBER(MATCH(27543,Camille!$A:$A,0)), IF(OR(INDEX(Camille!$D:$D,MATCH(27543,Camille!$A:$A,0))=1, INDEX(Camille!$D:$D,MATCH(27543,Camille!$A:$A,0))=2), INDEX(Camille!$D:$D,MATCH(27543,Camille!$A:$A,0)), 0), 0)</f>
        <v>0</v>
      </c>
      <c r="H1303" s="1">
        <f t="array" ref="H1303">IF(ISNUMBER(MATCH(27543,Telmo!$A:$A,0)), IF(OR(INDEX(Telmo!$D:$D,MATCH(27543,Telmo!$A:$A,0))=1, INDEX(Telmo!$D:$D,MATCH(27543,Telmo!$A:$A,0))=2), INDEX(Telmo!$D:$D,MATCH(27543,Telmo!$A:$A,0)), 0), 0)</f>
        <v>1</v>
      </c>
      <c r="I1303" s="1">
        <f t="array" ref="I1303">IF(ISNUMBER(MATCH(27543,Max!$A:$A,0)), IF(OR(INDEX(Max!$D:$D,MATCH(27543,Max!$A:$A,0))=1, INDEX(Max!$D:$D,MATCH(27543,Max!$A:$A,0))=2), INDEX(Max!$D:$D,MATCH(27543,Max!$A:$A,0)), 0), 0)</f>
        <v>0</v>
      </c>
    </row>
    <row r="1304" spans="1:9" ht="15.75" customHeight="1" x14ac:dyDescent="0.2">
      <c r="A1304" s="1">
        <v>24510</v>
      </c>
      <c r="B1304" s="1" t="s">
        <v>244</v>
      </c>
      <c r="C1304" s="1" t="s">
        <v>3033</v>
      </c>
      <c r="D1304" s="1" t="str">
        <f t="shared" si="5"/>
        <v>2</v>
      </c>
      <c r="E1304" s="1" t="s">
        <v>3034</v>
      </c>
      <c r="G1304" s="1">
        <f t="array" ref="G1304">IF(ISNUMBER(MATCH(24510,Camille!$A:$A,0)), IF(OR(INDEX(Camille!$D:$D,MATCH(24510,Camille!$A:$A,0))=1, INDEX(Camille!$D:$D,MATCH(24510,Camille!$A:$A,0))=2), INDEX(Camille!$D:$D,MATCH(24510,Camille!$A:$A,0)), 0), 0)</f>
        <v>0</v>
      </c>
      <c r="H1304" s="1">
        <f t="array" ref="H1304">IF(ISNUMBER(MATCH(24510,Telmo!$A:$A,0)), IF(OR(INDEX(Telmo!$D:$D,MATCH(24510,Telmo!$A:$A,0))=1, INDEX(Telmo!$D:$D,MATCH(24510,Telmo!$A:$A,0))=2), INDEX(Telmo!$D:$D,MATCH(24510,Telmo!$A:$A,0)), 0), 0)</f>
        <v>2</v>
      </c>
      <c r="I1304" s="1">
        <f t="array" ref="I1304">IF(ISNUMBER(MATCH(24510,Max!$A:$A,0)), IF(OR(INDEX(Max!$D:$D,MATCH(24510,Max!$A:$A,0))=1, INDEX(Max!$D:$D,MATCH(24510,Max!$A:$A,0))=2), INDEX(Max!$D:$D,MATCH(24510,Max!$A:$A,0)), 0), 0)</f>
        <v>0</v>
      </c>
    </row>
    <row r="1305" spans="1:9" ht="15.75" customHeight="1" x14ac:dyDescent="0.2">
      <c r="A1305" s="1">
        <v>63120</v>
      </c>
      <c r="B1305" s="1" t="s">
        <v>32</v>
      </c>
      <c r="C1305" s="1" t="s">
        <v>3035</v>
      </c>
      <c r="D1305" s="1" t="str">
        <f t="shared" si="5"/>
        <v>2</v>
      </c>
      <c r="E1305" s="1" t="s">
        <v>3036</v>
      </c>
      <c r="G1305" s="1">
        <f t="array" ref="G1305">IF(ISNUMBER(MATCH(63120,Camille!$A:$A,0)), IF(OR(INDEX(Camille!$D:$D,MATCH(63120,Camille!$A:$A,0))=1, INDEX(Camille!$D:$D,MATCH(63120,Camille!$A:$A,0))=2), INDEX(Camille!$D:$D,MATCH(63120,Camille!$A:$A,0)), 0), 0)</f>
        <v>0</v>
      </c>
      <c r="H1305" s="1">
        <f t="array" ref="H1305">IF(ISNUMBER(MATCH(63120,Telmo!$A:$A,0)), IF(OR(INDEX(Telmo!$D:$D,MATCH(63120,Telmo!$A:$A,0))=1, INDEX(Telmo!$D:$D,MATCH(63120,Telmo!$A:$A,0))=2), INDEX(Telmo!$D:$D,MATCH(63120,Telmo!$A:$A,0)), 0), 0)</f>
        <v>2</v>
      </c>
      <c r="I1305" s="1">
        <f t="array" ref="I1305">IF(ISNUMBER(MATCH(63120,Max!$A:$A,0)), IF(OR(INDEX(Max!$D:$D,MATCH(63120,Max!$A:$A,0))=1, INDEX(Max!$D:$D,MATCH(63120,Max!$A:$A,0))=2), INDEX(Max!$D:$D,MATCH(63120,Max!$A:$A,0)), 0), 0)</f>
        <v>0</v>
      </c>
    </row>
    <row r="1306" spans="1:9" ht="15.75" customHeight="1" x14ac:dyDescent="0.2">
      <c r="A1306" s="1">
        <v>16272</v>
      </c>
      <c r="B1306" s="1" t="s">
        <v>32</v>
      </c>
      <c r="C1306" s="1" t="s">
        <v>3037</v>
      </c>
      <c r="D1306" s="1" t="str">
        <f t="shared" si="5"/>
        <v>2</v>
      </c>
      <c r="E1306" s="1" t="s">
        <v>3038</v>
      </c>
      <c r="G1306" s="1">
        <f t="array" ref="G1306">IF(ISNUMBER(MATCH(16272,Camille!$A:$A,0)), IF(OR(INDEX(Camille!$D:$D,MATCH(16272,Camille!$A:$A,0))=1, INDEX(Camille!$D:$D,MATCH(16272,Camille!$A:$A,0))=2), INDEX(Camille!$D:$D,MATCH(16272,Camille!$A:$A,0)), 0), 0)</f>
        <v>0</v>
      </c>
      <c r="H1306" s="1">
        <f t="array" ref="H1306">IF(ISNUMBER(MATCH(16272,Telmo!$A:$A,0)), IF(OR(INDEX(Telmo!$D:$D,MATCH(16272,Telmo!$A:$A,0))=1, INDEX(Telmo!$D:$D,MATCH(16272,Telmo!$A:$A,0))=2), INDEX(Telmo!$D:$D,MATCH(16272,Telmo!$A:$A,0)), 0), 0)</f>
        <v>2</v>
      </c>
      <c r="I1306" s="1">
        <f t="array" ref="I1306">IF(ISNUMBER(MATCH(16272,Max!$A:$A,0)), IF(OR(INDEX(Max!$D:$D,MATCH(16272,Max!$A:$A,0))=1, INDEX(Max!$D:$D,MATCH(16272,Max!$A:$A,0))=2), INDEX(Max!$D:$D,MATCH(16272,Max!$A:$A,0)), 0), 0)</f>
        <v>0</v>
      </c>
    </row>
    <row r="1307" spans="1:9" ht="15.75" customHeight="1" x14ac:dyDescent="0.2">
      <c r="A1307" s="1">
        <v>69249</v>
      </c>
      <c r="B1307" s="1" t="s">
        <v>1037</v>
      </c>
      <c r="C1307" s="1" t="s">
        <v>3039</v>
      </c>
      <c r="D1307" s="1" t="str">
        <f t="shared" si="5"/>
        <v>1</v>
      </c>
      <c r="E1307" s="1" t="s">
        <v>3040</v>
      </c>
      <c r="G1307" s="1">
        <f t="array" ref="G1307">IF(ISNUMBER(MATCH(69249,Camille!$A:$A,0)), IF(OR(INDEX(Camille!$D:$D,MATCH(69249,Camille!$A:$A,0))=1, INDEX(Camille!$D:$D,MATCH(69249,Camille!$A:$A,0))=2), INDEX(Camille!$D:$D,MATCH(69249,Camille!$A:$A,0)), 0), 0)</f>
        <v>0</v>
      </c>
      <c r="H1307" s="1">
        <f t="array" ref="H1307">IF(ISNUMBER(MATCH(69249,Telmo!$A:$A,0)), IF(OR(INDEX(Telmo!$D:$D,MATCH(69249,Telmo!$A:$A,0))=1, INDEX(Telmo!$D:$D,MATCH(69249,Telmo!$A:$A,0))=2), INDEX(Telmo!$D:$D,MATCH(69249,Telmo!$A:$A,0)), 0), 0)</f>
        <v>1</v>
      </c>
      <c r="I1307" s="1">
        <f t="array" ref="I1307">IF(ISNUMBER(MATCH(69249,Max!$A:$A,0)), IF(OR(INDEX(Max!$D:$D,MATCH(69249,Max!$A:$A,0))=1, INDEX(Max!$D:$D,MATCH(69249,Max!$A:$A,0))=2), INDEX(Max!$D:$D,MATCH(69249,Max!$A:$A,0)), 0), 0)</f>
        <v>0</v>
      </c>
    </row>
    <row r="1308" spans="1:9" ht="15.75" customHeight="1" x14ac:dyDescent="0.2">
      <c r="A1308" s="1">
        <v>17996</v>
      </c>
      <c r="B1308" s="1" t="s">
        <v>866</v>
      </c>
      <c r="C1308" s="1" t="s">
        <v>3041</v>
      </c>
      <c r="D1308" s="1" t="str">
        <f t="shared" si="5"/>
        <v>2</v>
      </c>
      <c r="E1308" s="1" t="s">
        <v>3042</v>
      </c>
      <c r="G1308" s="1">
        <f t="array" ref="G1308">IF(ISNUMBER(MATCH(17996,Camille!$A:$A,0)), IF(OR(INDEX(Camille!$D:$D,MATCH(17996,Camille!$A:$A,0))=1, INDEX(Camille!$D:$D,MATCH(17996,Camille!$A:$A,0))=2), INDEX(Camille!$D:$D,MATCH(17996,Camille!$A:$A,0)), 0), 0)</f>
        <v>0</v>
      </c>
      <c r="H1308" s="1">
        <f t="array" ref="H1308">IF(ISNUMBER(MATCH(17996,Telmo!$A:$A,0)), IF(OR(INDEX(Telmo!$D:$D,MATCH(17996,Telmo!$A:$A,0))=1, INDEX(Telmo!$D:$D,MATCH(17996,Telmo!$A:$A,0))=2), INDEX(Telmo!$D:$D,MATCH(17996,Telmo!$A:$A,0)), 0), 0)</f>
        <v>2</v>
      </c>
      <c r="I1308" s="1">
        <f t="array" ref="I1308">IF(ISNUMBER(MATCH(17996,Max!$A:$A,0)), IF(OR(INDEX(Max!$D:$D,MATCH(17996,Max!$A:$A,0))=1, INDEX(Max!$D:$D,MATCH(17996,Max!$A:$A,0))=2), INDEX(Max!$D:$D,MATCH(17996,Max!$A:$A,0)), 0), 0)</f>
        <v>0</v>
      </c>
    </row>
    <row r="1309" spans="1:9" ht="15.75" customHeight="1" x14ac:dyDescent="0.2">
      <c r="A1309" s="1">
        <v>54725</v>
      </c>
      <c r="B1309" s="1" t="s">
        <v>3043</v>
      </c>
      <c r="C1309" s="1" t="s">
        <v>3044</v>
      </c>
      <c r="D1309" s="1" t="str">
        <f t="shared" si="5"/>
        <v>2</v>
      </c>
      <c r="E1309" s="1" t="s">
        <v>3045</v>
      </c>
      <c r="G1309" s="1">
        <f t="array" ref="G1309">IF(ISNUMBER(MATCH(54725,Camille!$A:$A,0)), IF(OR(INDEX(Camille!$D:$D,MATCH(54725,Camille!$A:$A,0))=1, INDEX(Camille!$D:$D,MATCH(54725,Camille!$A:$A,0))=2), INDEX(Camille!$D:$D,MATCH(54725,Camille!$A:$A,0)), 0), 0)</f>
        <v>0</v>
      </c>
      <c r="H1309" s="1">
        <f t="array" ref="H1309">IF(ISNUMBER(MATCH(54725,Telmo!$A:$A,0)), IF(OR(INDEX(Telmo!$D:$D,MATCH(54725,Telmo!$A:$A,0))=1, INDEX(Telmo!$D:$D,MATCH(54725,Telmo!$A:$A,0))=2), INDEX(Telmo!$D:$D,MATCH(54725,Telmo!$A:$A,0)), 0), 0)</f>
        <v>2</v>
      </c>
      <c r="I1309" s="1">
        <f t="array" ref="I1309">IF(ISNUMBER(MATCH(54725,Max!$A:$A,0)), IF(OR(INDEX(Max!$D:$D,MATCH(54725,Max!$A:$A,0))=1, INDEX(Max!$D:$D,MATCH(54725,Max!$A:$A,0))=2), INDEX(Max!$D:$D,MATCH(54725,Max!$A:$A,0)), 0), 0)</f>
        <v>0</v>
      </c>
    </row>
    <row r="1310" spans="1:9" ht="15.75" customHeight="1" x14ac:dyDescent="0.2">
      <c r="A1310" s="1">
        <v>46241</v>
      </c>
      <c r="B1310" s="1" t="s">
        <v>32</v>
      </c>
      <c r="C1310" s="1" t="s">
        <v>3046</v>
      </c>
      <c r="D1310" s="1" t="str">
        <f t="shared" si="5"/>
        <v>2</v>
      </c>
      <c r="E1310" s="1" t="s">
        <v>3047</v>
      </c>
      <c r="G1310" s="1">
        <f t="array" ref="G1310">IF(ISNUMBER(MATCH(46241,Camille!$A:$A,0)), IF(OR(INDEX(Camille!$D:$D,MATCH(46241,Camille!$A:$A,0))=1, INDEX(Camille!$D:$D,MATCH(46241,Camille!$A:$A,0))=2), INDEX(Camille!$D:$D,MATCH(46241,Camille!$A:$A,0)), 0), 0)</f>
        <v>0</v>
      </c>
      <c r="H1310" s="1">
        <f t="array" ref="H1310">IF(ISNUMBER(MATCH(46241,Telmo!$A:$A,0)), IF(OR(INDEX(Telmo!$D:$D,MATCH(46241,Telmo!$A:$A,0))=1, INDEX(Telmo!$D:$D,MATCH(46241,Telmo!$A:$A,0))=2), INDEX(Telmo!$D:$D,MATCH(46241,Telmo!$A:$A,0)), 0), 0)</f>
        <v>2</v>
      </c>
      <c r="I1310" s="1">
        <f t="array" ref="I1310">IF(ISNUMBER(MATCH(46241,Max!$A:$A,0)), IF(OR(INDEX(Max!$D:$D,MATCH(46241,Max!$A:$A,0))=1, INDEX(Max!$D:$D,MATCH(46241,Max!$A:$A,0))=2), INDEX(Max!$D:$D,MATCH(46241,Max!$A:$A,0)), 0), 0)</f>
        <v>0</v>
      </c>
    </row>
    <row r="1311" spans="1:9" ht="15.75" customHeight="1" x14ac:dyDescent="0.2">
      <c r="A1311" s="1">
        <v>23520</v>
      </c>
      <c r="B1311" s="1" t="s">
        <v>639</v>
      </c>
      <c r="C1311" s="1" t="s">
        <v>3048</v>
      </c>
      <c r="D1311" s="1" t="str">
        <f t="shared" si="5"/>
        <v>2</v>
      </c>
      <c r="E1311" s="1" t="s">
        <v>3049</v>
      </c>
      <c r="G1311" s="1">
        <f t="array" ref="G1311">IF(ISNUMBER(MATCH(23520,Camille!$A:$A,0)), IF(OR(INDEX(Camille!$D:$D,MATCH(23520,Camille!$A:$A,0))=1, INDEX(Camille!$D:$D,MATCH(23520,Camille!$A:$A,0))=2), INDEX(Camille!$D:$D,MATCH(23520,Camille!$A:$A,0)), 0), 0)</f>
        <v>0</v>
      </c>
      <c r="H1311" s="1">
        <f t="array" ref="H1311">IF(ISNUMBER(MATCH(23520,Telmo!$A:$A,0)), IF(OR(INDEX(Telmo!$D:$D,MATCH(23520,Telmo!$A:$A,0))=1, INDEX(Telmo!$D:$D,MATCH(23520,Telmo!$A:$A,0))=2), INDEX(Telmo!$D:$D,MATCH(23520,Telmo!$A:$A,0)), 0), 0)</f>
        <v>2</v>
      </c>
      <c r="I1311" s="1">
        <f t="array" ref="I1311">IF(ISNUMBER(MATCH(23520,Max!$A:$A,0)), IF(OR(INDEX(Max!$D:$D,MATCH(23520,Max!$A:$A,0))=1, INDEX(Max!$D:$D,MATCH(23520,Max!$A:$A,0))=2), INDEX(Max!$D:$D,MATCH(23520,Max!$A:$A,0)), 0), 0)</f>
        <v>0</v>
      </c>
    </row>
    <row r="1312" spans="1:9" ht="15.75" customHeight="1" x14ac:dyDescent="0.2">
      <c r="A1312" s="1">
        <v>52208</v>
      </c>
      <c r="B1312" s="1" t="s">
        <v>38</v>
      </c>
      <c r="C1312" s="1" t="s">
        <v>3050</v>
      </c>
      <c r="D1312" s="1" t="str">
        <f t="shared" si="5"/>
        <v>2</v>
      </c>
      <c r="E1312" s="1" t="s">
        <v>3051</v>
      </c>
      <c r="G1312" s="1">
        <f t="array" ref="G1312">IF(ISNUMBER(MATCH(52208,Camille!$A:$A,0)), IF(OR(INDEX(Camille!$D:$D,MATCH(52208,Camille!$A:$A,0))=1, INDEX(Camille!$D:$D,MATCH(52208,Camille!$A:$A,0))=2), INDEX(Camille!$D:$D,MATCH(52208,Camille!$A:$A,0)), 0), 0)</f>
        <v>0</v>
      </c>
      <c r="H1312" s="1">
        <f t="array" ref="H1312">IF(ISNUMBER(MATCH(52208,Telmo!$A:$A,0)), IF(OR(INDEX(Telmo!$D:$D,MATCH(52208,Telmo!$A:$A,0))=1, INDEX(Telmo!$D:$D,MATCH(52208,Telmo!$A:$A,0))=2), INDEX(Telmo!$D:$D,MATCH(52208,Telmo!$A:$A,0)), 0), 0)</f>
        <v>2</v>
      </c>
      <c r="I1312" s="1">
        <f t="array" ref="I1312">IF(ISNUMBER(MATCH(52208,Max!$A:$A,0)), IF(OR(INDEX(Max!$D:$D,MATCH(52208,Max!$A:$A,0))=1, INDEX(Max!$D:$D,MATCH(52208,Max!$A:$A,0))=2), INDEX(Max!$D:$D,MATCH(52208,Max!$A:$A,0)), 0), 0)</f>
        <v>0</v>
      </c>
    </row>
    <row r="1313" spans="1:9" ht="15.75" customHeight="1" x14ac:dyDescent="0.2">
      <c r="A1313" s="1">
        <v>6108</v>
      </c>
      <c r="B1313" s="1" t="s">
        <v>307</v>
      </c>
      <c r="C1313" s="1" t="s">
        <v>3052</v>
      </c>
      <c r="D1313" s="1" t="str">
        <f t="shared" si="5"/>
        <v>2</v>
      </c>
      <c r="E1313" s="1" t="s">
        <v>3053</v>
      </c>
      <c r="G1313" s="1">
        <f t="array" ref="G1313">IF(ISNUMBER(MATCH(6108,Camille!$A:$A,0)), IF(OR(INDEX(Camille!$D:$D,MATCH(6108,Camille!$A:$A,0))=1, INDEX(Camille!$D:$D,MATCH(6108,Camille!$A:$A,0))=2), INDEX(Camille!$D:$D,MATCH(6108,Camille!$A:$A,0)), 0), 0)</f>
        <v>0</v>
      </c>
      <c r="H1313" s="1">
        <f t="array" ref="H1313">IF(ISNUMBER(MATCH(6108,Telmo!$A:$A,0)), IF(OR(INDEX(Telmo!$D:$D,MATCH(6108,Telmo!$A:$A,0))=1, INDEX(Telmo!$D:$D,MATCH(6108,Telmo!$A:$A,0))=2), INDEX(Telmo!$D:$D,MATCH(6108,Telmo!$A:$A,0)), 0), 0)</f>
        <v>2</v>
      </c>
      <c r="I1313" s="1">
        <f t="array" ref="I1313">IF(ISNUMBER(MATCH(6108,Max!$A:$A,0)), IF(OR(INDEX(Max!$D:$D,MATCH(6108,Max!$A:$A,0))=1, INDEX(Max!$D:$D,MATCH(6108,Max!$A:$A,0))=2), INDEX(Max!$D:$D,MATCH(6108,Max!$A:$A,0)), 0), 0)</f>
        <v>0</v>
      </c>
    </row>
    <row r="1314" spans="1:9" ht="15.75" customHeight="1" x14ac:dyDescent="0.2">
      <c r="A1314" s="1">
        <v>63571</v>
      </c>
      <c r="B1314" s="1" t="s">
        <v>3054</v>
      </c>
      <c r="C1314" s="1" t="s">
        <v>3055</v>
      </c>
      <c r="D1314" s="1" t="str">
        <f t="shared" si="5"/>
        <v>2</v>
      </c>
      <c r="E1314" s="1" t="s">
        <v>3056</v>
      </c>
      <c r="G1314" s="1">
        <f t="array" ref="G1314">IF(ISNUMBER(MATCH(63571,Camille!$A:$A,0)), IF(OR(INDEX(Camille!$D:$D,MATCH(63571,Camille!$A:$A,0))=1, INDEX(Camille!$D:$D,MATCH(63571,Camille!$A:$A,0))=2), INDEX(Camille!$D:$D,MATCH(63571,Camille!$A:$A,0)), 0), 0)</f>
        <v>0</v>
      </c>
      <c r="H1314" s="1">
        <f t="array" ref="H1314">IF(ISNUMBER(MATCH(63571,Telmo!$A:$A,0)), IF(OR(INDEX(Telmo!$D:$D,MATCH(63571,Telmo!$A:$A,0))=1, INDEX(Telmo!$D:$D,MATCH(63571,Telmo!$A:$A,0))=2), INDEX(Telmo!$D:$D,MATCH(63571,Telmo!$A:$A,0)), 0), 0)</f>
        <v>2</v>
      </c>
      <c r="I1314" s="1">
        <f t="array" ref="I1314">IF(ISNUMBER(MATCH(63571,Max!$A:$A,0)), IF(OR(INDEX(Max!$D:$D,MATCH(63571,Max!$A:$A,0))=1, INDEX(Max!$D:$D,MATCH(63571,Max!$A:$A,0))=2), INDEX(Max!$D:$D,MATCH(63571,Max!$A:$A,0)), 0), 0)</f>
        <v>0</v>
      </c>
    </row>
    <row r="1315" spans="1:9" ht="15.75" customHeight="1" x14ac:dyDescent="0.2">
      <c r="A1315" s="1">
        <v>9902</v>
      </c>
      <c r="B1315" s="1" t="s">
        <v>254</v>
      </c>
      <c r="C1315" s="1" t="s">
        <v>3057</v>
      </c>
      <c r="D1315" s="1" t="str">
        <f t="shared" si="5"/>
        <v>2</v>
      </c>
      <c r="E1315" s="1" t="s">
        <v>3058</v>
      </c>
      <c r="G1315" s="1">
        <f t="array" ref="G1315">IF(ISNUMBER(MATCH(9902,Camille!$A:$A,0)), IF(OR(INDEX(Camille!$D:$D,MATCH(9902,Camille!$A:$A,0))=1, INDEX(Camille!$D:$D,MATCH(9902,Camille!$A:$A,0))=2), INDEX(Camille!$D:$D,MATCH(9902,Camille!$A:$A,0)), 0), 0)</f>
        <v>0</v>
      </c>
      <c r="H1315" s="1">
        <f t="array" ref="H1315">IF(ISNUMBER(MATCH(9902,Telmo!$A:$A,0)), IF(OR(INDEX(Telmo!$D:$D,MATCH(9902,Telmo!$A:$A,0))=1, INDEX(Telmo!$D:$D,MATCH(9902,Telmo!$A:$A,0))=2), INDEX(Telmo!$D:$D,MATCH(9902,Telmo!$A:$A,0)), 0), 0)</f>
        <v>2</v>
      </c>
      <c r="I1315" s="1">
        <f t="array" ref="I1315">IF(ISNUMBER(MATCH(9902,Max!$A:$A,0)), IF(OR(INDEX(Max!$D:$D,MATCH(9902,Max!$A:$A,0))=1, INDEX(Max!$D:$D,MATCH(9902,Max!$A:$A,0))=2), INDEX(Max!$D:$D,MATCH(9902,Max!$A:$A,0)), 0), 0)</f>
        <v>0</v>
      </c>
    </row>
    <row r="1316" spans="1:9" ht="15.75" customHeight="1" x14ac:dyDescent="0.2">
      <c r="A1316" s="1">
        <v>20770</v>
      </c>
      <c r="B1316" s="1" t="s">
        <v>3059</v>
      </c>
      <c r="C1316" s="1" t="s">
        <v>3060</v>
      </c>
      <c r="D1316" s="1" t="str">
        <f t="shared" si="5"/>
        <v>2</v>
      </c>
      <c r="E1316" s="1" t="s">
        <v>3061</v>
      </c>
      <c r="G1316" s="1">
        <f t="array" ref="G1316">IF(ISNUMBER(MATCH(20770,Camille!$A:$A,0)), IF(OR(INDEX(Camille!$D:$D,MATCH(20770,Camille!$A:$A,0))=1, INDEX(Camille!$D:$D,MATCH(20770,Camille!$A:$A,0))=2), INDEX(Camille!$D:$D,MATCH(20770,Camille!$A:$A,0)), 0), 0)</f>
        <v>0</v>
      </c>
      <c r="H1316" s="1">
        <f t="array" ref="H1316">IF(ISNUMBER(MATCH(20770,Telmo!$A:$A,0)), IF(OR(INDEX(Telmo!$D:$D,MATCH(20770,Telmo!$A:$A,0))=1, INDEX(Telmo!$D:$D,MATCH(20770,Telmo!$A:$A,0))=2), INDEX(Telmo!$D:$D,MATCH(20770,Telmo!$A:$A,0)), 0), 0)</f>
        <v>2</v>
      </c>
      <c r="I1316" s="1">
        <f t="array" ref="I1316">IF(ISNUMBER(MATCH(20770,Max!$A:$A,0)), IF(OR(INDEX(Max!$D:$D,MATCH(20770,Max!$A:$A,0))=1, INDEX(Max!$D:$D,MATCH(20770,Max!$A:$A,0))=2), INDEX(Max!$D:$D,MATCH(20770,Max!$A:$A,0)), 0), 0)</f>
        <v>0</v>
      </c>
    </row>
    <row r="1317" spans="1:9" ht="15.75" customHeight="1" x14ac:dyDescent="0.2">
      <c r="A1317" s="1">
        <v>3219</v>
      </c>
      <c r="B1317" s="1" t="s">
        <v>307</v>
      </c>
      <c r="C1317" s="1" t="s">
        <v>3062</v>
      </c>
      <c r="D1317" s="1" t="str">
        <f t="shared" si="5"/>
        <v>2</v>
      </c>
      <c r="E1317" s="1" t="s">
        <v>3063</v>
      </c>
      <c r="G1317" s="1">
        <f t="array" ref="G1317">IF(ISNUMBER(MATCH(3219,Camille!$A:$A,0)), IF(OR(INDEX(Camille!$D:$D,MATCH(3219,Camille!$A:$A,0))=1, INDEX(Camille!$D:$D,MATCH(3219,Camille!$A:$A,0))=2), INDEX(Camille!$D:$D,MATCH(3219,Camille!$A:$A,0)), 0), 0)</f>
        <v>0</v>
      </c>
      <c r="H1317" s="1">
        <f t="array" ref="H1317">IF(ISNUMBER(MATCH(3219,Telmo!$A:$A,0)), IF(OR(INDEX(Telmo!$D:$D,MATCH(3219,Telmo!$A:$A,0))=1, INDEX(Telmo!$D:$D,MATCH(3219,Telmo!$A:$A,0))=2), INDEX(Telmo!$D:$D,MATCH(3219,Telmo!$A:$A,0)), 0), 0)</f>
        <v>2</v>
      </c>
      <c r="I1317" s="1">
        <f t="array" ref="I1317">IF(ISNUMBER(MATCH(3219,Max!$A:$A,0)), IF(OR(INDEX(Max!$D:$D,MATCH(3219,Max!$A:$A,0))=1, INDEX(Max!$D:$D,MATCH(3219,Max!$A:$A,0))=2), INDEX(Max!$D:$D,MATCH(3219,Max!$A:$A,0)), 0), 0)</f>
        <v>0</v>
      </c>
    </row>
    <row r="1318" spans="1:9" ht="15.75" customHeight="1" x14ac:dyDescent="0.2">
      <c r="A1318" s="1">
        <v>58045</v>
      </c>
      <c r="B1318" s="1" t="s">
        <v>103</v>
      </c>
      <c r="C1318" s="1" t="s">
        <v>3064</v>
      </c>
      <c r="D1318" s="1" t="str">
        <f t="shared" si="5"/>
        <v>2</v>
      </c>
      <c r="E1318" s="1" t="s">
        <v>3065</v>
      </c>
      <c r="G1318" s="1">
        <f t="array" ref="G1318">IF(ISNUMBER(MATCH(58045,Camille!$A:$A,0)), IF(OR(INDEX(Camille!$D:$D,MATCH(58045,Camille!$A:$A,0))=1, INDEX(Camille!$D:$D,MATCH(58045,Camille!$A:$A,0))=2), INDEX(Camille!$D:$D,MATCH(58045,Camille!$A:$A,0)), 0), 0)</f>
        <v>0</v>
      </c>
      <c r="H1318" s="1">
        <f t="array" ref="H1318">IF(ISNUMBER(MATCH(58045,Telmo!$A:$A,0)), IF(OR(INDEX(Telmo!$D:$D,MATCH(58045,Telmo!$A:$A,0))=1, INDEX(Telmo!$D:$D,MATCH(58045,Telmo!$A:$A,0))=2), INDEX(Telmo!$D:$D,MATCH(58045,Telmo!$A:$A,0)), 0), 0)</f>
        <v>2</v>
      </c>
      <c r="I1318" s="1">
        <f t="array" ref="I1318">IF(ISNUMBER(MATCH(58045,Max!$A:$A,0)), IF(OR(INDEX(Max!$D:$D,MATCH(58045,Max!$A:$A,0))=1, INDEX(Max!$D:$D,MATCH(58045,Max!$A:$A,0))=2), INDEX(Max!$D:$D,MATCH(58045,Max!$A:$A,0)), 0), 0)</f>
        <v>0</v>
      </c>
    </row>
    <row r="1319" spans="1:9" ht="15.75" customHeight="1" x14ac:dyDescent="0.2">
      <c r="A1319" s="1">
        <v>30122</v>
      </c>
      <c r="B1319" s="1" t="s">
        <v>485</v>
      </c>
      <c r="C1319" s="1" t="s">
        <v>3066</v>
      </c>
      <c r="D1319" s="1" t="str">
        <f t="shared" si="5"/>
        <v>1</v>
      </c>
      <c r="E1319" s="1" t="s">
        <v>3067</v>
      </c>
      <c r="G1319" s="1">
        <f t="array" ref="G1319">IF(ISNUMBER(MATCH(30122,Camille!$A:$A,0)), IF(OR(INDEX(Camille!$D:$D,MATCH(30122,Camille!$A:$A,0))=1, INDEX(Camille!$D:$D,MATCH(30122,Camille!$A:$A,0))=2), INDEX(Camille!$D:$D,MATCH(30122,Camille!$A:$A,0)), 0), 0)</f>
        <v>0</v>
      </c>
      <c r="H1319" s="1">
        <f t="array" ref="H1319">IF(ISNUMBER(MATCH(30122,Telmo!$A:$A,0)), IF(OR(INDEX(Telmo!$D:$D,MATCH(30122,Telmo!$A:$A,0))=1, INDEX(Telmo!$D:$D,MATCH(30122,Telmo!$A:$A,0))=2), INDEX(Telmo!$D:$D,MATCH(30122,Telmo!$A:$A,0)), 0), 0)</f>
        <v>1</v>
      </c>
      <c r="I1319" s="1">
        <f t="array" ref="I1319">IF(ISNUMBER(MATCH(30122,Max!$A:$A,0)), IF(OR(INDEX(Max!$D:$D,MATCH(30122,Max!$A:$A,0))=1, INDEX(Max!$D:$D,MATCH(30122,Max!$A:$A,0))=2), INDEX(Max!$D:$D,MATCH(30122,Max!$A:$A,0)), 0), 0)</f>
        <v>0</v>
      </c>
    </row>
    <row r="1320" spans="1:9" ht="15.75" customHeight="1" x14ac:dyDescent="0.2">
      <c r="A1320" s="1">
        <v>56590</v>
      </c>
      <c r="B1320" s="1" t="s">
        <v>135</v>
      </c>
      <c r="C1320" s="1" t="s">
        <v>3068</v>
      </c>
      <c r="D1320" s="1" t="str">
        <f t="shared" si="5"/>
        <v>1</v>
      </c>
      <c r="E1320" s="1" t="s">
        <v>3069</v>
      </c>
      <c r="G1320" s="1">
        <f t="array" ref="G1320">IF(ISNUMBER(MATCH(56590,Camille!$A:$A,0)), IF(OR(INDEX(Camille!$D:$D,MATCH(56590,Camille!$A:$A,0))=1, INDEX(Camille!$D:$D,MATCH(56590,Camille!$A:$A,0))=2), INDEX(Camille!$D:$D,MATCH(56590,Camille!$A:$A,0)), 0), 0)</f>
        <v>0</v>
      </c>
      <c r="H1320" s="1">
        <f t="array" ref="H1320">IF(ISNUMBER(MATCH(56590,Telmo!$A:$A,0)), IF(OR(INDEX(Telmo!$D:$D,MATCH(56590,Telmo!$A:$A,0))=1, INDEX(Telmo!$D:$D,MATCH(56590,Telmo!$A:$A,0))=2), INDEX(Telmo!$D:$D,MATCH(56590,Telmo!$A:$A,0)), 0), 0)</f>
        <v>1</v>
      </c>
      <c r="I1320" s="1">
        <f t="array" ref="I1320">IF(ISNUMBER(MATCH(56590,Max!$A:$A,0)), IF(OR(INDEX(Max!$D:$D,MATCH(56590,Max!$A:$A,0))=1, INDEX(Max!$D:$D,MATCH(56590,Max!$A:$A,0))=2), INDEX(Max!$D:$D,MATCH(56590,Max!$A:$A,0)), 0), 0)</f>
        <v>0</v>
      </c>
    </row>
    <row r="1321" spans="1:9" ht="15.75" customHeight="1" x14ac:dyDescent="0.2">
      <c r="A1321" s="1">
        <v>49736</v>
      </c>
      <c r="B1321" s="1" t="s">
        <v>3070</v>
      </c>
      <c r="C1321" s="1" t="s">
        <v>3071</v>
      </c>
      <c r="D1321" s="1" t="str">
        <f t="shared" si="5"/>
        <v>2</v>
      </c>
      <c r="E1321" s="1" t="s">
        <v>3072</v>
      </c>
      <c r="G1321" s="1">
        <f t="array" ref="G1321">IF(ISNUMBER(MATCH(49736,Camille!$A:$A,0)), IF(OR(INDEX(Camille!$D:$D,MATCH(49736,Camille!$A:$A,0))=1, INDEX(Camille!$D:$D,MATCH(49736,Camille!$A:$A,0))=2), INDEX(Camille!$D:$D,MATCH(49736,Camille!$A:$A,0)), 0), 0)</f>
        <v>0</v>
      </c>
      <c r="H1321" s="1">
        <f t="array" ref="H1321">IF(ISNUMBER(MATCH(49736,Telmo!$A:$A,0)), IF(OR(INDEX(Telmo!$D:$D,MATCH(49736,Telmo!$A:$A,0))=1, INDEX(Telmo!$D:$D,MATCH(49736,Telmo!$A:$A,0))=2), INDEX(Telmo!$D:$D,MATCH(49736,Telmo!$A:$A,0)), 0), 0)</f>
        <v>2</v>
      </c>
      <c r="I1321" s="1">
        <f t="array" ref="I1321">IF(ISNUMBER(MATCH(49736,Max!$A:$A,0)), IF(OR(INDEX(Max!$D:$D,MATCH(49736,Max!$A:$A,0))=1, INDEX(Max!$D:$D,MATCH(49736,Max!$A:$A,0))=2), INDEX(Max!$D:$D,MATCH(49736,Max!$A:$A,0)), 0), 0)</f>
        <v>0</v>
      </c>
    </row>
    <row r="1322" spans="1:9" ht="15.75" customHeight="1" x14ac:dyDescent="0.2">
      <c r="A1322" s="1">
        <v>15030</v>
      </c>
      <c r="B1322" s="1" t="s">
        <v>1458</v>
      </c>
      <c r="C1322" s="1" t="s">
        <v>3073</v>
      </c>
      <c r="D1322" s="1" t="str">
        <f t="shared" si="5"/>
        <v>2</v>
      </c>
      <c r="E1322" s="1" t="s">
        <v>3074</v>
      </c>
      <c r="G1322" s="1">
        <f t="array" ref="G1322">IF(ISNUMBER(MATCH(15030,Camille!$A:$A,0)), IF(OR(INDEX(Camille!$D:$D,MATCH(15030,Camille!$A:$A,0))=1, INDEX(Camille!$D:$D,MATCH(15030,Camille!$A:$A,0))=2), INDEX(Camille!$D:$D,MATCH(15030,Camille!$A:$A,0)), 0), 0)</f>
        <v>0</v>
      </c>
      <c r="H1322" s="1">
        <f t="array" ref="H1322">IF(ISNUMBER(MATCH(15030,Telmo!$A:$A,0)), IF(OR(INDEX(Telmo!$D:$D,MATCH(15030,Telmo!$A:$A,0))=1, INDEX(Telmo!$D:$D,MATCH(15030,Telmo!$A:$A,0))=2), INDEX(Telmo!$D:$D,MATCH(15030,Telmo!$A:$A,0)), 0), 0)</f>
        <v>2</v>
      </c>
      <c r="I1322" s="1">
        <f t="array" ref="I1322">IF(ISNUMBER(MATCH(15030,Max!$A:$A,0)), IF(OR(INDEX(Max!$D:$D,MATCH(15030,Max!$A:$A,0))=1, INDEX(Max!$D:$D,MATCH(15030,Max!$A:$A,0))=2), INDEX(Max!$D:$D,MATCH(15030,Max!$A:$A,0)), 0), 0)</f>
        <v>0</v>
      </c>
    </row>
    <row r="1323" spans="1:9" ht="15.75" customHeight="1" x14ac:dyDescent="0.2">
      <c r="A1323" s="1">
        <v>18283</v>
      </c>
      <c r="B1323" s="1" t="s">
        <v>3075</v>
      </c>
      <c r="C1323" s="1" t="s">
        <v>3076</v>
      </c>
      <c r="D1323" s="1" t="str">
        <f t="shared" si="5"/>
        <v>2</v>
      </c>
      <c r="E1323" s="1" t="s">
        <v>3077</v>
      </c>
      <c r="G1323" s="1">
        <f t="array" ref="G1323">IF(ISNUMBER(MATCH(18283,Camille!$A:$A,0)), IF(OR(INDEX(Camille!$D:$D,MATCH(18283,Camille!$A:$A,0))=1, INDEX(Camille!$D:$D,MATCH(18283,Camille!$A:$A,0))=2), INDEX(Camille!$D:$D,MATCH(18283,Camille!$A:$A,0)), 0), 0)</f>
        <v>0</v>
      </c>
      <c r="H1323" s="1">
        <f t="array" ref="H1323">IF(ISNUMBER(MATCH(18283,Telmo!$A:$A,0)), IF(OR(INDEX(Telmo!$D:$D,MATCH(18283,Telmo!$A:$A,0))=1, INDEX(Telmo!$D:$D,MATCH(18283,Telmo!$A:$A,0))=2), INDEX(Telmo!$D:$D,MATCH(18283,Telmo!$A:$A,0)), 0), 0)</f>
        <v>2</v>
      </c>
      <c r="I1323" s="1">
        <f t="array" ref="I1323">IF(ISNUMBER(MATCH(18283,Max!$A:$A,0)), IF(OR(INDEX(Max!$D:$D,MATCH(18283,Max!$A:$A,0))=1, INDEX(Max!$D:$D,MATCH(18283,Max!$A:$A,0))=2), INDEX(Max!$D:$D,MATCH(18283,Max!$A:$A,0)), 0), 0)</f>
        <v>0</v>
      </c>
    </row>
    <row r="1324" spans="1:9" ht="15.75" customHeight="1" x14ac:dyDescent="0.2">
      <c r="A1324" s="1">
        <v>31390</v>
      </c>
      <c r="B1324" s="1" t="s">
        <v>2574</v>
      </c>
      <c r="C1324" s="1" t="s">
        <v>3078</v>
      </c>
      <c r="D1324" s="1" t="str">
        <f t="shared" si="5"/>
        <v>1</v>
      </c>
      <c r="E1324" s="1" t="s">
        <v>3079</v>
      </c>
      <c r="G1324" s="1">
        <f t="array" ref="G1324">IF(ISNUMBER(MATCH(31390,Camille!$A:$A,0)), IF(OR(INDEX(Camille!$D:$D,MATCH(31390,Camille!$A:$A,0))=1, INDEX(Camille!$D:$D,MATCH(31390,Camille!$A:$A,0))=2), INDEX(Camille!$D:$D,MATCH(31390,Camille!$A:$A,0)), 0), 0)</f>
        <v>0</v>
      </c>
      <c r="H1324" s="1">
        <f t="array" ref="H1324">IF(ISNUMBER(MATCH(31390,Telmo!$A:$A,0)), IF(OR(INDEX(Telmo!$D:$D,MATCH(31390,Telmo!$A:$A,0))=1, INDEX(Telmo!$D:$D,MATCH(31390,Telmo!$A:$A,0))=2), INDEX(Telmo!$D:$D,MATCH(31390,Telmo!$A:$A,0)), 0), 0)</f>
        <v>1</v>
      </c>
      <c r="I1324" s="1">
        <f t="array" ref="I1324">IF(ISNUMBER(MATCH(31390,Max!$A:$A,0)), IF(OR(INDEX(Max!$D:$D,MATCH(31390,Max!$A:$A,0))=1, INDEX(Max!$D:$D,MATCH(31390,Max!$A:$A,0))=2), INDEX(Max!$D:$D,MATCH(31390,Max!$A:$A,0)), 0), 0)</f>
        <v>0</v>
      </c>
    </row>
    <row r="1325" spans="1:9" ht="15.75" customHeight="1" x14ac:dyDescent="0.2">
      <c r="A1325" s="1">
        <v>44879</v>
      </c>
      <c r="B1325" s="1" t="s">
        <v>87</v>
      </c>
      <c r="C1325" s="1" t="s">
        <v>3080</v>
      </c>
      <c r="D1325" s="1" t="str">
        <f t="shared" si="5"/>
        <v>1</v>
      </c>
      <c r="E1325" s="1" t="s">
        <v>3081</v>
      </c>
      <c r="G1325" s="1">
        <f t="array" ref="G1325">IF(ISNUMBER(MATCH(44879,Camille!$A:$A,0)), IF(OR(INDEX(Camille!$D:$D,MATCH(44879,Camille!$A:$A,0))=1, INDEX(Camille!$D:$D,MATCH(44879,Camille!$A:$A,0))=2), INDEX(Camille!$D:$D,MATCH(44879,Camille!$A:$A,0)), 0), 0)</f>
        <v>0</v>
      </c>
      <c r="H1325" s="1">
        <f t="array" ref="H1325">IF(ISNUMBER(MATCH(44879,Telmo!$A:$A,0)), IF(OR(INDEX(Telmo!$D:$D,MATCH(44879,Telmo!$A:$A,0))=1, INDEX(Telmo!$D:$D,MATCH(44879,Telmo!$A:$A,0))=2), INDEX(Telmo!$D:$D,MATCH(44879,Telmo!$A:$A,0)), 0), 0)</f>
        <v>1</v>
      </c>
      <c r="I1325" s="1">
        <f t="array" ref="I1325">IF(ISNUMBER(MATCH(44879,Max!$A:$A,0)), IF(OR(INDEX(Max!$D:$D,MATCH(44879,Max!$A:$A,0))=1, INDEX(Max!$D:$D,MATCH(44879,Max!$A:$A,0))=2), INDEX(Max!$D:$D,MATCH(44879,Max!$A:$A,0)), 0), 0)</f>
        <v>0</v>
      </c>
    </row>
    <row r="1326" spans="1:9" ht="15.75" customHeight="1" x14ac:dyDescent="0.2">
      <c r="A1326" s="1">
        <v>17685</v>
      </c>
      <c r="B1326" s="1" t="s">
        <v>11</v>
      </c>
      <c r="C1326" s="1" t="s">
        <v>3082</v>
      </c>
      <c r="D1326" s="1" t="str">
        <f t="shared" si="5"/>
        <v>2</v>
      </c>
      <c r="E1326" s="1" t="s">
        <v>3083</v>
      </c>
      <c r="G1326" s="1">
        <f t="array" ref="G1326">IF(ISNUMBER(MATCH(17685,Camille!$A:$A,0)), IF(OR(INDEX(Camille!$D:$D,MATCH(17685,Camille!$A:$A,0))=1, INDEX(Camille!$D:$D,MATCH(17685,Camille!$A:$A,0))=2), INDEX(Camille!$D:$D,MATCH(17685,Camille!$A:$A,0)), 0), 0)</f>
        <v>0</v>
      </c>
      <c r="H1326" s="1">
        <f t="array" ref="H1326">IF(ISNUMBER(MATCH(17685,Telmo!$A:$A,0)), IF(OR(INDEX(Telmo!$D:$D,MATCH(17685,Telmo!$A:$A,0))=1, INDEX(Telmo!$D:$D,MATCH(17685,Telmo!$A:$A,0))=2), INDEX(Telmo!$D:$D,MATCH(17685,Telmo!$A:$A,0)), 0), 0)</f>
        <v>2</v>
      </c>
      <c r="I1326" s="1">
        <f t="array" ref="I1326">IF(ISNUMBER(MATCH(17685,Max!$A:$A,0)), IF(OR(INDEX(Max!$D:$D,MATCH(17685,Max!$A:$A,0))=1, INDEX(Max!$D:$D,MATCH(17685,Max!$A:$A,0))=2), INDEX(Max!$D:$D,MATCH(17685,Max!$A:$A,0)), 0), 0)</f>
        <v>0</v>
      </c>
    </row>
    <row r="1327" spans="1:9" ht="15.75" customHeight="1" x14ac:dyDescent="0.2">
      <c r="A1327" s="1">
        <v>41037</v>
      </c>
      <c r="B1327" s="1" t="s">
        <v>233</v>
      </c>
      <c r="C1327" s="1" t="s">
        <v>3084</v>
      </c>
      <c r="D1327" s="1" t="str">
        <f t="shared" si="5"/>
        <v>2</v>
      </c>
      <c r="E1327" s="1" t="s">
        <v>3085</v>
      </c>
      <c r="G1327" s="1">
        <f t="array" ref="G1327">IF(ISNUMBER(MATCH(41037,Camille!$A:$A,0)), IF(OR(INDEX(Camille!$D:$D,MATCH(41037,Camille!$A:$A,0))=1, INDEX(Camille!$D:$D,MATCH(41037,Camille!$A:$A,0))=2), INDEX(Camille!$D:$D,MATCH(41037,Camille!$A:$A,0)), 0), 0)</f>
        <v>0</v>
      </c>
      <c r="H1327" s="1">
        <f t="array" ref="H1327">IF(ISNUMBER(MATCH(41037,Telmo!$A:$A,0)), IF(OR(INDEX(Telmo!$D:$D,MATCH(41037,Telmo!$A:$A,0))=1, INDEX(Telmo!$D:$D,MATCH(41037,Telmo!$A:$A,0))=2), INDEX(Telmo!$D:$D,MATCH(41037,Telmo!$A:$A,0)), 0), 0)</f>
        <v>2</v>
      </c>
      <c r="I1327" s="1">
        <f t="array" ref="I1327">IF(ISNUMBER(MATCH(41037,Max!$A:$A,0)), IF(OR(INDEX(Max!$D:$D,MATCH(41037,Max!$A:$A,0))=1, INDEX(Max!$D:$D,MATCH(41037,Max!$A:$A,0))=2), INDEX(Max!$D:$D,MATCH(41037,Max!$A:$A,0)), 0), 0)</f>
        <v>0</v>
      </c>
    </row>
    <row r="1328" spans="1:9" ht="15.75" customHeight="1" x14ac:dyDescent="0.2">
      <c r="A1328" s="1">
        <v>39012</v>
      </c>
      <c r="B1328" s="1" t="s">
        <v>797</v>
      </c>
      <c r="C1328" s="1" t="s">
        <v>3086</v>
      </c>
      <c r="D1328" s="1" t="str">
        <f t="shared" si="5"/>
        <v>2</v>
      </c>
      <c r="E1328" s="1" t="s">
        <v>3087</v>
      </c>
      <c r="G1328" s="1">
        <f t="array" ref="G1328">IF(ISNUMBER(MATCH(39012,Camille!$A:$A,0)), IF(OR(INDEX(Camille!$D:$D,MATCH(39012,Camille!$A:$A,0))=1, INDEX(Camille!$D:$D,MATCH(39012,Camille!$A:$A,0))=2), INDEX(Camille!$D:$D,MATCH(39012,Camille!$A:$A,0)), 0), 0)</f>
        <v>0</v>
      </c>
      <c r="H1328" s="1">
        <f t="array" ref="H1328">IF(ISNUMBER(MATCH(39012,Telmo!$A:$A,0)), IF(OR(INDEX(Telmo!$D:$D,MATCH(39012,Telmo!$A:$A,0))=1, INDEX(Telmo!$D:$D,MATCH(39012,Telmo!$A:$A,0))=2), INDEX(Telmo!$D:$D,MATCH(39012,Telmo!$A:$A,0)), 0), 0)</f>
        <v>2</v>
      </c>
      <c r="I1328" s="1">
        <f t="array" ref="I1328">IF(ISNUMBER(MATCH(39012,Max!$A:$A,0)), IF(OR(INDEX(Max!$D:$D,MATCH(39012,Max!$A:$A,0))=1, INDEX(Max!$D:$D,MATCH(39012,Max!$A:$A,0))=2), INDEX(Max!$D:$D,MATCH(39012,Max!$A:$A,0)), 0), 0)</f>
        <v>0</v>
      </c>
    </row>
    <row r="1329" spans="1:9" ht="15.75" customHeight="1" x14ac:dyDescent="0.2">
      <c r="A1329" s="1">
        <v>8810</v>
      </c>
      <c r="B1329" s="1" t="s">
        <v>3088</v>
      </c>
      <c r="C1329" s="1" t="s">
        <v>3089</v>
      </c>
      <c r="D1329" s="1" t="str">
        <f t="shared" si="5"/>
        <v>2</v>
      </c>
      <c r="E1329" s="1" t="s">
        <v>3090</v>
      </c>
      <c r="G1329" s="1">
        <f t="array" ref="G1329">IF(ISNUMBER(MATCH(8810,Camille!$A:$A,0)), IF(OR(INDEX(Camille!$D:$D,MATCH(8810,Camille!$A:$A,0))=1, INDEX(Camille!$D:$D,MATCH(8810,Camille!$A:$A,0))=2), INDEX(Camille!$D:$D,MATCH(8810,Camille!$A:$A,0)), 0), 0)</f>
        <v>0</v>
      </c>
      <c r="H1329" s="1">
        <f t="array" ref="H1329">IF(ISNUMBER(MATCH(8810,Telmo!$A:$A,0)), IF(OR(INDEX(Telmo!$D:$D,MATCH(8810,Telmo!$A:$A,0))=1, INDEX(Telmo!$D:$D,MATCH(8810,Telmo!$A:$A,0))=2), INDEX(Telmo!$D:$D,MATCH(8810,Telmo!$A:$A,0)), 0), 0)</f>
        <v>2</v>
      </c>
      <c r="I1329" s="1">
        <f t="array" ref="I1329">IF(ISNUMBER(MATCH(8810,Max!$A:$A,0)), IF(OR(INDEX(Max!$D:$D,MATCH(8810,Max!$A:$A,0))=1, INDEX(Max!$D:$D,MATCH(8810,Max!$A:$A,0))=2), INDEX(Max!$D:$D,MATCH(8810,Max!$A:$A,0)), 0), 0)</f>
        <v>0</v>
      </c>
    </row>
    <row r="1330" spans="1:9" ht="15.75" customHeight="1" x14ac:dyDescent="0.2">
      <c r="A1330" s="1">
        <v>47855</v>
      </c>
      <c r="B1330" s="1" t="s">
        <v>701</v>
      </c>
      <c r="C1330" s="1" t="s">
        <v>3091</v>
      </c>
      <c r="D1330" s="1" t="str">
        <f t="shared" si="5"/>
        <v>2</v>
      </c>
      <c r="E1330" s="1" t="s">
        <v>3092</v>
      </c>
      <c r="G1330" s="1">
        <f t="array" ref="G1330">IF(ISNUMBER(MATCH(47855,Camille!$A:$A,0)), IF(OR(INDEX(Camille!$D:$D,MATCH(47855,Camille!$A:$A,0))=1, INDEX(Camille!$D:$D,MATCH(47855,Camille!$A:$A,0))=2), INDEX(Camille!$D:$D,MATCH(47855,Camille!$A:$A,0)), 0), 0)</f>
        <v>0</v>
      </c>
      <c r="H1330" s="1">
        <f t="array" ref="H1330">IF(ISNUMBER(MATCH(47855,Telmo!$A:$A,0)), IF(OR(INDEX(Telmo!$D:$D,MATCH(47855,Telmo!$A:$A,0))=1, INDEX(Telmo!$D:$D,MATCH(47855,Telmo!$A:$A,0))=2), INDEX(Telmo!$D:$D,MATCH(47855,Telmo!$A:$A,0)), 0), 0)</f>
        <v>2</v>
      </c>
      <c r="I1330" s="1">
        <f t="array" ref="I1330">IF(ISNUMBER(MATCH(47855,Max!$A:$A,0)), IF(OR(INDEX(Max!$D:$D,MATCH(47855,Max!$A:$A,0))=1, INDEX(Max!$D:$D,MATCH(47855,Max!$A:$A,0))=2), INDEX(Max!$D:$D,MATCH(47855,Max!$A:$A,0)), 0), 0)</f>
        <v>0</v>
      </c>
    </row>
    <row r="1331" spans="1:9" ht="15.75" customHeight="1" x14ac:dyDescent="0.2">
      <c r="A1331" s="1">
        <v>42981</v>
      </c>
      <c r="B1331" s="1" t="s">
        <v>2366</v>
      </c>
      <c r="C1331" s="1" t="s">
        <v>3093</v>
      </c>
      <c r="D1331" s="1" t="str">
        <f t="shared" si="5"/>
        <v>2</v>
      </c>
      <c r="E1331" s="1" t="s">
        <v>3094</v>
      </c>
      <c r="G1331" s="1">
        <f t="array" ref="G1331">IF(ISNUMBER(MATCH(42981,Camille!$A:$A,0)), IF(OR(INDEX(Camille!$D:$D,MATCH(42981,Camille!$A:$A,0))=1, INDEX(Camille!$D:$D,MATCH(42981,Camille!$A:$A,0))=2), INDEX(Camille!$D:$D,MATCH(42981,Camille!$A:$A,0)), 0), 0)</f>
        <v>0</v>
      </c>
      <c r="H1331" s="1">
        <f t="array" ref="H1331">IF(ISNUMBER(MATCH(42981,Telmo!$A:$A,0)), IF(OR(INDEX(Telmo!$D:$D,MATCH(42981,Telmo!$A:$A,0))=1, INDEX(Telmo!$D:$D,MATCH(42981,Telmo!$A:$A,0))=2), INDEX(Telmo!$D:$D,MATCH(42981,Telmo!$A:$A,0)), 0), 0)</f>
        <v>2</v>
      </c>
      <c r="I1331" s="1">
        <f t="array" ref="I1331">IF(ISNUMBER(MATCH(42981,Max!$A:$A,0)), IF(OR(INDEX(Max!$D:$D,MATCH(42981,Max!$A:$A,0))=1, INDEX(Max!$D:$D,MATCH(42981,Max!$A:$A,0))=2), INDEX(Max!$D:$D,MATCH(42981,Max!$A:$A,0)), 0), 0)</f>
        <v>0</v>
      </c>
    </row>
    <row r="1332" spans="1:9" ht="15.75" customHeight="1" x14ac:dyDescent="0.2">
      <c r="A1332" s="1">
        <v>32878</v>
      </c>
      <c r="B1332" s="1" t="s">
        <v>552</v>
      </c>
      <c r="C1332" s="1" t="s">
        <v>3095</v>
      </c>
      <c r="D1332" s="1" t="str">
        <f t="shared" si="5"/>
        <v>1</v>
      </c>
      <c r="E1332" s="1" t="s">
        <v>3096</v>
      </c>
      <c r="G1332" s="1">
        <f t="array" ref="G1332">IF(ISNUMBER(MATCH(32878,Camille!$A:$A,0)), IF(OR(INDEX(Camille!$D:$D,MATCH(32878,Camille!$A:$A,0))=1, INDEX(Camille!$D:$D,MATCH(32878,Camille!$A:$A,0))=2), INDEX(Camille!$D:$D,MATCH(32878,Camille!$A:$A,0)), 0), 0)</f>
        <v>0</v>
      </c>
      <c r="H1332" s="1">
        <f t="array" ref="H1332">IF(ISNUMBER(MATCH(32878,Telmo!$A:$A,0)), IF(OR(INDEX(Telmo!$D:$D,MATCH(32878,Telmo!$A:$A,0))=1, INDEX(Telmo!$D:$D,MATCH(32878,Telmo!$A:$A,0))=2), INDEX(Telmo!$D:$D,MATCH(32878,Telmo!$A:$A,0)), 0), 0)</f>
        <v>1</v>
      </c>
      <c r="I1332" s="1">
        <f t="array" ref="I1332">IF(ISNUMBER(MATCH(32878,Max!$A:$A,0)), IF(OR(INDEX(Max!$D:$D,MATCH(32878,Max!$A:$A,0))=1, INDEX(Max!$D:$D,MATCH(32878,Max!$A:$A,0))=2), INDEX(Max!$D:$D,MATCH(32878,Max!$A:$A,0)), 0), 0)</f>
        <v>0</v>
      </c>
    </row>
    <row r="1333" spans="1:9" ht="15.75" customHeight="1" x14ac:dyDescent="0.2">
      <c r="A1333" s="1">
        <v>68834</v>
      </c>
      <c r="B1333" s="1" t="s">
        <v>3097</v>
      </c>
      <c r="C1333" s="1" t="s">
        <v>3098</v>
      </c>
      <c r="D1333" s="1" t="str">
        <f t="shared" si="5"/>
        <v>2</v>
      </c>
      <c r="E1333" s="1" t="s">
        <v>3099</v>
      </c>
      <c r="G1333" s="1">
        <f t="array" ref="G1333">IF(ISNUMBER(MATCH(68834,Camille!$A:$A,0)), IF(OR(INDEX(Camille!$D:$D,MATCH(68834,Camille!$A:$A,0))=1, INDEX(Camille!$D:$D,MATCH(68834,Camille!$A:$A,0))=2), INDEX(Camille!$D:$D,MATCH(68834,Camille!$A:$A,0)), 0), 0)</f>
        <v>0</v>
      </c>
      <c r="H1333" s="1">
        <f t="array" ref="H1333">IF(ISNUMBER(MATCH(68834,Telmo!$A:$A,0)), IF(OR(INDEX(Telmo!$D:$D,MATCH(68834,Telmo!$A:$A,0))=1, INDEX(Telmo!$D:$D,MATCH(68834,Telmo!$A:$A,0))=2), INDEX(Telmo!$D:$D,MATCH(68834,Telmo!$A:$A,0)), 0), 0)</f>
        <v>2</v>
      </c>
      <c r="I1333" s="1">
        <f t="array" ref="I1333">IF(ISNUMBER(MATCH(68834,Max!$A:$A,0)), IF(OR(INDEX(Max!$D:$D,MATCH(68834,Max!$A:$A,0))=1, INDEX(Max!$D:$D,MATCH(68834,Max!$A:$A,0))=2), INDEX(Max!$D:$D,MATCH(68834,Max!$A:$A,0)), 0), 0)</f>
        <v>0</v>
      </c>
    </row>
    <row r="1334" spans="1:9" ht="15.75" customHeight="1" x14ac:dyDescent="0.2">
      <c r="A1334" s="1">
        <v>18562</v>
      </c>
      <c r="B1334" s="1" t="s">
        <v>167</v>
      </c>
      <c r="C1334" s="1" t="s">
        <v>3100</v>
      </c>
      <c r="D1334" s="1" t="str">
        <f t="shared" si="5"/>
        <v>2</v>
      </c>
      <c r="E1334" s="1" t="s">
        <v>3101</v>
      </c>
      <c r="G1334" s="1">
        <f t="array" ref="G1334">IF(ISNUMBER(MATCH(18562,Camille!$A:$A,0)), IF(OR(INDEX(Camille!$D:$D,MATCH(18562,Camille!$A:$A,0))=1, INDEX(Camille!$D:$D,MATCH(18562,Camille!$A:$A,0))=2), INDEX(Camille!$D:$D,MATCH(18562,Camille!$A:$A,0)), 0), 0)</f>
        <v>0</v>
      </c>
      <c r="H1334" s="1">
        <f t="array" ref="H1334">IF(ISNUMBER(MATCH(18562,Telmo!$A:$A,0)), IF(OR(INDEX(Telmo!$D:$D,MATCH(18562,Telmo!$A:$A,0))=1, INDEX(Telmo!$D:$D,MATCH(18562,Telmo!$A:$A,0))=2), INDEX(Telmo!$D:$D,MATCH(18562,Telmo!$A:$A,0)), 0), 0)</f>
        <v>2</v>
      </c>
      <c r="I1334" s="1">
        <f t="array" ref="I1334">IF(ISNUMBER(MATCH(18562,Max!$A:$A,0)), IF(OR(INDEX(Max!$D:$D,MATCH(18562,Max!$A:$A,0))=1, INDEX(Max!$D:$D,MATCH(18562,Max!$A:$A,0))=2), INDEX(Max!$D:$D,MATCH(18562,Max!$A:$A,0)), 0), 0)</f>
        <v>0</v>
      </c>
    </row>
    <row r="1335" spans="1:9" ht="15.75" customHeight="1" x14ac:dyDescent="0.2">
      <c r="A1335" s="1">
        <v>34676</v>
      </c>
      <c r="B1335" s="1" t="s">
        <v>3102</v>
      </c>
      <c r="C1335" s="1" t="s">
        <v>3103</v>
      </c>
      <c r="D1335" s="1" t="str">
        <f t="shared" si="5"/>
        <v>2</v>
      </c>
      <c r="E1335" s="1" t="s">
        <v>3104</v>
      </c>
      <c r="G1335" s="1">
        <f t="array" ref="G1335">IF(ISNUMBER(MATCH(34676,Camille!$A:$A,0)), IF(OR(INDEX(Camille!$D:$D,MATCH(34676,Camille!$A:$A,0))=1, INDEX(Camille!$D:$D,MATCH(34676,Camille!$A:$A,0))=2), INDEX(Camille!$D:$D,MATCH(34676,Camille!$A:$A,0)), 0), 0)</f>
        <v>0</v>
      </c>
      <c r="H1335" s="1">
        <f t="array" ref="H1335">IF(ISNUMBER(MATCH(34676,Telmo!$A:$A,0)), IF(OR(INDEX(Telmo!$D:$D,MATCH(34676,Telmo!$A:$A,0))=1, INDEX(Telmo!$D:$D,MATCH(34676,Telmo!$A:$A,0))=2), INDEX(Telmo!$D:$D,MATCH(34676,Telmo!$A:$A,0)), 0), 0)</f>
        <v>2</v>
      </c>
      <c r="I1335" s="1">
        <f t="array" ref="I1335">IF(ISNUMBER(MATCH(34676,Max!$A:$A,0)), IF(OR(INDEX(Max!$D:$D,MATCH(34676,Max!$A:$A,0))=1, INDEX(Max!$D:$D,MATCH(34676,Max!$A:$A,0))=2), INDEX(Max!$D:$D,MATCH(34676,Max!$A:$A,0)), 0), 0)</f>
        <v>0</v>
      </c>
    </row>
    <row r="1336" spans="1:9" ht="15.75" customHeight="1" x14ac:dyDescent="0.2">
      <c r="A1336" s="1">
        <v>13228</v>
      </c>
      <c r="B1336" s="1" t="s">
        <v>485</v>
      </c>
      <c r="C1336" s="1" t="s">
        <v>3105</v>
      </c>
      <c r="D1336" s="1" t="str">
        <f t="shared" si="5"/>
        <v>1</v>
      </c>
      <c r="E1336" s="1" t="s">
        <v>3106</v>
      </c>
      <c r="G1336" s="1">
        <f t="array" ref="G1336">IF(ISNUMBER(MATCH(13228,Camille!$A:$A,0)), IF(OR(INDEX(Camille!$D:$D,MATCH(13228,Camille!$A:$A,0))=1, INDEX(Camille!$D:$D,MATCH(13228,Camille!$A:$A,0))=2), INDEX(Camille!$D:$D,MATCH(13228,Camille!$A:$A,0)), 0), 0)</f>
        <v>0</v>
      </c>
      <c r="H1336" s="1">
        <f t="array" ref="H1336">IF(ISNUMBER(MATCH(13228,Telmo!$A:$A,0)), IF(OR(INDEX(Telmo!$D:$D,MATCH(13228,Telmo!$A:$A,0))=1, INDEX(Telmo!$D:$D,MATCH(13228,Telmo!$A:$A,0))=2), INDEX(Telmo!$D:$D,MATCH(13228,Telmo!$A:$A,0)), 0), 0)</f>
        <v>1</v>
      </c>
      <c r="I1336" s="1">
        <f t="array" ref="I1336">IF(ISNUMBER(MATCH(13228,Max!$A:$A,0)), IF(OR(INDEX(Max!$D:$D,MATCH(13228,Max!$A:$A,0))=1, INDEX(Max!$D:$D,MATCH(13228,Max!$A:$A,0))=2), INDEX(Max!$D:$D,MATCH(13228,Max!$A:$A,0)), 0), 0)</f>
        <v>0</v>
      </c>
    </row>
    <row r="1337" spans="1:9" ht="15.75" customHeight="1" x14ac:dyDescent="0.2">
      <c r="A1337" s="1">
        <v>53476</v>
      </c>
      <c r="B1337" s="1" t="s">
        <v>1028</v>
      </c>
      <c r="C1337" s="1" t="s">
        <v>3107</v>
      </c>
      <c r="D1337" s="1" t="str">
        <f t="shared" si="5"/>
        <v>1</v>
      </c>
      <c r="E1337" s="1" t="s">
        <v>3108</v>
      </c>
      <c r="G1337" s="1">
        <f t="array" ref="G1337">IF(ISNUMBER(MATCH(53476,Camille!$A:$A,0)), IF(OR(INDEX(Camille!$D:$D,MATCH(53476,Camille!$A:$A,0))=1, INDEX(Camille!$D:$D,MATCH(53476,Camille!$A:$A,0))=2), INDEX(Camille!$D:$D,MATCH(53476,Camille!$A:$A,0)), 0), 0)</f>
        <v>0</v>
      </c>
      <c r="H1337" s="1">
        <f t="array" ref="H1337">IF(ISNUMBER(MATCH(53476,Telmo!$A:$A,0)), IF(OR(INDEX(Telmo!$D:$D,MATCH(53476,Telmo!$A:$A,0))=1, INDEX(Telmo!$D:$D,MATCH(53476,Telmo!$A:$A,0))=2), INDEX(Telmo!$D:$D,MATCH(53476,Telmo!$A:$A,0)), 0), 0)</f>
        <v>1</v>
      </c>
      <c r="I1337" s="1">
        <f t="array" ref="I1337">IF(ISNUMBER(MATCH(53476,Max!$A:$A,0)), IF(OR(INDEX(Max!$D:$D,MATCH(53476,Max!$A:$A,0))=1, INDEX(Max!$D:$D,MATCH(53476,Max!$A:$A,0))=2), INDEX(Max!$D:$D,MATCH(53476,Max!$A:$A,0)), 0), 0)</f>
        <v>0</v>
      </c>
    </row>
    <row r="1338" spans="1:9" ht="15.75" customHeight="1" x14ac:dyDescent="0.2">
      <c r="A1338" s="1">
        <v>48000</v>
      </c>
      <c r="B1338" s="1" t="s">
        <v>527</v>
      </c>
      <c r="C1338" s="1" t="s">
        <v>3109</v>
      </c>
      <c r="D1338" s="1" t="str">
        <f t="shared" si="5"/>
        <v>1</v>
      </c>
      <c r="E1338" s="1" t="s">
        <v>3110</v>
      </c>
      <c r="G1338" s="1">
        <f t="array" ref="G1338">IF(ISNUMBER(MATCH(48000,Camille!$A:$A,0)), IF(OR(INDEX(Camille!$D:$D,MATCH(48000,Camille!$A:$A,0))=1, INDEX(Camille!$D:$D,MATCH(48000,Camille!$A:$A,0))=2), INDEX(Camille!$D:$D,MATCH(48000,Camille!$A:$A,0)), 0), 0)</f>
        <v>0</v>
      </c>
      <c r="H1338" s="1">
        <f t="array" ref="H1338">IF(ISNUMBER(MATCH(48000,Telmo!$A:$A,0)), IF(OR(INDEX(Telmo!$D:$D,MATCH(48000,Telmo!$A:$A,0))=1, INDEX(Telmo!$D:$D,MATCH(48000,Telmo!$A:$A,0))=2), INDEX(Telmo!$D:$D,MATCH(48000,Telmo!$A:$A,0)), 0), 0)</f>
        <v>1</v>
      </c>
      <c r="I1338" s="1">
        <f t="array" ref="I1338">IF(ISNUMBER(MATCH(48000,Max!$A:$A,0)), IF(OR(INDEX(Max!$D:$D,MATCH(48000,Max!$A:$A,0))=1, INDEX(Max!$D:$D,MATCH(48000,Max!$A:$A,0))=2), INDEX(Max!$D:$D,MATCH(48000,Max!$A:$A,0)), 0), 0)</f>
        <v>0</v>
      </c>
    </row>
    <row r="1339" spans="1:9" ht="15.75" customHeight="1" x14ac:dyDescent="0.2">
      <c r="A1339" s="1">
        <v>18819</v>
      </c>
      <c r="B1339" s="1" t="s">
        <v>394</v>
      </c>
      <c r="C1339" s="1" t="s">
        <v>3111</v>
      </c>
      <c r="D1339" s="1" t="str">
        <f t="shared" si="5"/>
        <v>1</v>
      </c>
      <c r="E1339" s="1" t="s">
        <v>3112</v>
      </c>
      <c r="G1339" s="1">
        <f t="array" ref="G1339">IF(ISNUMBER(MATCH(18819,Camille!$A:$A,0)), IF(OR(INDEX(Camille!$D:$D,MATCH(18819,Camille!$A:$A,0))=1, INDEX(Camille!$D:$D,MATCH(18819,Camille!$A:$A,0))=2), INDEX(Camille!$D:$D,MATCH(18819,Camille!$A:$A,0)), 0), 0)</f>
        <v>0</v>
      </c>
      <c r="H1339" s="1">
        <f t="array" ref="H1339">IF(ISNUMBER(MATCH(18819,Telmo!$A:$A,0)), IF(OR(INDEX(Telmo!$D:$D,MATCH(18819,Telmo!$A:$A,0))=1, INDEX(Telmo!$D:$D,MATCH(18819,Telmo!$A:$A,0))=2), INDEX(Telmo!$D:$D,MATCH(18819,Telmo!$A:$A,0)), 0), 0)</f>
        <v>0</v>
      </c>
      <c r="I1339" s="1">
        <f t="array" ref="I1339">IF(ISNUMBER(MATCH(18819,Max!$A:$A,0)), IF(OR(INDEX(Max!$D:$D,MATCH(18819,Max!$A:$A,0))=1, INDEX(Max!$D:$D,MATCH(18819,Max!$A:$A,0))=2), INDEX(Max!$D:$D,MATCH(18819,Max!$A:$A,0)), 0), 0)</f>
        <v>1</v>
      </c>
    </row>
    <row r="1340" spans="1:9" ht="15.75" customHeight="1" x14ac:dyDescent="0.2">
      <c r="A1340" s="1">
        <v>52555</v>
      </c>
      <c r="B1340" s="1" t="s">
        <v>377</v>
      </c>
      <c r="C1340" s="1" t="s">
        <v>3113</v>
      </c>
      <c r="D1340" s="1" t="str">
        <f t="shared" si="5"/>
        <v>2</v>
      </c>
      <c r="E1340" s="1" t="s">
        <v>3114</v>
      </c>
      <c r="G1340" s="1">
        <f t="array" ref="G1340">IF(ISNUMBER(MATCH(52555,Camille!$A:$A,0)), IF(OR(INDEX(Camille!$D:$D,MATCH(52555,Camille!$A:$A,0))=1, INDEX(Camille!$D:$D,MATCH(52555,Camille!$A:$A,0))=2), INDEX(Camille!$D:$D,MATCH(52555,Camille!$A:$A,0)), 0), 0)</f>
        <v>0</v>
      </c>
      <c r="H1340" s="1">
        <f t="array" ref="H1340">IF(ISNUMBER(MATCH(52555,Telmo!$A:$A,0)), IF(OR(INDEX(Telmo!$D:$D,MATCH(52555,Telmo!$A:$A,0))=1, INDEX(Telmo!$D:$D,MATCH(52555,Telmo!$A:$A,0))=2), INDEX(Telmo!$D:$D,MATCH(52555,Telmo!$A:$A,0)), 0), 0)</f>
        <v>0</v>
      </c>
      <c r="I1340" s="1">
        <f t="array" ref="I1340">IF(ISNUMBER(MATCH(52555,Max!$A:$A,0)), IF(OR(INDEX(Max!$D:$D,MATCH(52555,Max!$A:$A,0))=1, INDEX(Max!$D:$D,MATCH(52555,Max!$A:$A,0))=2), INDEX(Max!$D:$D,MATCH(52555,Max!$A:$A,0)), 0), 0)</f>
        <v>2</v>
      </c>
    </row>
    <row r="1341" spans="1:9" ht="15.75" customHeight="1" x14ac:dyDescent="0.2">
      <c r="A1341" s="1">
        <v>6800</v>
      </c>
      <c r="B1341" s="1" t="s">
        <v>1501</v>
      </c>
      <c r="C1341" s="1" t="s">
        <v>3115</v>
      </c>
      <c r="D1341" s="1" t="str">
        <f t="shared" si="5"/>
        <v>2</v>
      </c>
      <c r="E1341" s="1" t="s">
        <v>3116</v>
      </c>
      <c r="G1341" s="1">
        <f t="array" ref="G1341">IF(ISNUMBER(MATCH(6800,Camille!$A:$A,0)), IF(OR(INDEX(Camille!$D:$D,MATCH(6800,Camille!$A:$A,0))=1, INDEX(Camille!$D:$D,MATCH(6800,Camille!$A:$A,0))=2), INDEX(Camille!$D:$D,MATCH(6800,Camille!$A:$A,0)), 0), 0)</f>
        <v>0</v>
      </c>
      <c r="H1341" s="1">
        <f t="array" ref="H1341">IF(ISNUMBER(MATCH(6800,Telmo!$A:$A,0)), IF(OR(INDEX(Telmo!$D:$D,MATCH(6800,Telmo!$A:$A,0))=1, INDEX(Telmo!$D:$D,MATCH(6800,Telmo!$A:$A,0))=2), INDEX(Telmo!$D:$D,MATCH(6800,Telmo!$A:$A,0)), 0), 0)</f>
        <v>0</v>
      </c>
      <c r="I1341" s="1">
        <f t="array" ref="I1341">IF(ISNUMBER(MATCH(6800,Max!$A:$A,0)), IF(OR(INDEX(Max!$D:$D,MATCH(6800,Max!$A:$A,0))=1, INDEX(Max!$D:$D,MATCH(6800,Max!$A:$A,0))=2), INDEX(Max!$D:$D,MATCH(6800,Max!$A:$A,0)), 0), 0)</f>
        <v>2</v>
      </c>
    </row>
    <row r="1342" spans="1:9" ht="15.75" customHeight="1" x14ac:dyDescent="0.2">
      <c r="A1342" s="1">
        <v>49628</v>
      </c>
      <c r="B1342" s="1" t="s">
        <v>167</v>
      </c>
      <c r="C1342" s="1" t="s">
        <v>3117</v>
      </c>
      <c r="D1342" s="1" t="str">
        <f t="shared" si="5"/>
        <v>1</v>
      </c>
      <c r="E1342" s="1" t="s">
        <v>3118</v>
      </c>
      <c r="G1342" s="1">
        <f t="array" ref="G1342">IF(ISNUMBER(MATCH(49628,Camille!$A:$A,0)), IF(OR(INDEX(Camille!$D:$D,MATCH(49628,Camille!$A:$A,0))=1, INDEX(Camille!$D:$D,MATCH(49628,Camille!$A:$A,0))=2), INDEX(Camille!$D:$D,MATCH(49628,Camille!$A:$A,0)), 0), 0)</f>
        <v>0</v>
      </c>
      <c r="H1342" s="1">
        <f t="array" ref="H1342">IF(ISNUMBER(MATCH(49628,Telmo!$A:$A,0)), IF(OR(INDEX(Telmo!$D:$D,MATCH(49628,Telmo!$A:$A,0))=1, INDEX(Telmo!$D:$D,MATCH(49628,Telmo!$A:$A,0))=2), INDEX(Telmo!$D:$D,MATCH(49628,Telmo!$A:$A,0)), 0), 0)</f>
        <v>0</v>
      </c>
      <c r="I1342" s="1">
        <f t="array" ref="I1342">IF(ISNUMBER(MATCH(49628,Max!$A:$A,0)), IF(OR(INDEX(Max!$D:$D,MATCH(49628,Max!$A:$A,0))=1, INDEX(Max!$D:$D,MATCH(49628,Max!$A:$A,0))=2), INDEX(Max!$D:$D,MATCH(49628,Max!$A:$A,0)), 0), 0)</f>
        <v>1</v>
      </c>
    </row>
    <row r="1343" spans="1:9" ht="15.75" customHeight="1" x14ac:dyDescent="0.2">
      <c r="A1343" s="1">
        <v>11084</v>
      </c>
      <c r="B1343" s="1" t="s">
        <v>244</v>
      </c>
      <c r="C1343" s="1" t="s">
        <v>3119</v>
      </c>
      <c r="D1343" s="1" t="str">
        <f t="shared" si="5"/>
        <v>1</v>
      </c>
      <c r="E1343" s="1" t="s">
        <v>3120</v>
      </c>
      <c r="G1343" s="1">
        <f t="array" ref="G1343">IF(ISNUMBER(MATCH(11084,Camille!$A:$A,0)), IF(OR(INDEX(Camille!$D:$D,MATCH(11084,Camille!$A:$A,0))=1, INDEX(Camille!$D:$D,MATCH(11084,Camille!$A:$A,0))=2), INDEX(Camille!$D:$D,MATCH(11084,Camille!$A:$A,0)), 0), 0)</f>
        <v>0</v>
      </c>
      <c r="H1343" s="1">
        <f t="array" ref="H1343">IF(ISNUMBER(MATCH(11084,Telmo!$A:$A,0)), IF(OR(INDEX(Telmo!$D:$D,MATCH(11084,Telmo!$A:$A,0))=1, INDEX(Telmo!$D:$D,MATCH(11084,Telmo!$A:$A,0))=2), INDEX(Telmo!$D:$D,MATCH(11084,Telmo!$A:$A,0)), 0), 0)</f>
        <v>0</v>
      </c>
      <c r="I1343" s="1">
        <f t="array" ref="I1343">IF(ISNUMBER(MATCH(11084,Max!$A:$A,0)), IF(OR(INDEX(Max!$D:$D,MATCH(11084,Max!$A:$A,0))=1, INDEX(Max!$D:$D,MATCH(11084,Max!$A:$A,0))=2), INDEX(Max!$D:$D,MATCH(11084,Max!$A:$A,0)), 0), 0)</f>
        <v>1</v>
      </c>
    </row>
    <row r="1344" spans="1:9" ht="15.75" customHeight="1" x14ac:dyDescent="0.2">
      <c r="A1344" s="1">
        <v>10092</v>
      </c>
      <c r="B1344" s="1" t="s">
        <v>1841</v>
      </c>
      <c r="C1344" s="1" t="s">
        <v>3121</v>
      </c>
      <c r="D1344" s="1" t="str">
        <f t="shared" si="5"/>
        <v>2</v>
      </c>
      <c r="E1344" s="1" t="s">
        <v>3122</v>
      </c>
      <c r="G1344" s="1">
        <f t="array" ref="G1344">IF(ISNUMBER(MATCH(10092,Camille!$A:$A,0)), IF(OR(INDEX(Camille!$D:$D,MATCH(10092,Camille!$A:$A,0))=1, INDEX(Camille!$D:$D,MATCH(10092,Camille!$A:$A,0))=2), INDEX(Camille!$D:$D,MATCH(10092,Camille!$A:$A,0)), 0), 0)</f>
        <v>0</v>
      </c>
      <c r="H1344" s="1">
        <f t="array" ref="H1344">IF(ISNUMBER(MATCH(10092,Telmo!$A:$A,0)), IF(OR(INDEX(Telmo!$D:$D,MATCH(10092,Telmo!$A:$A,0))=1, INDEX(Telmo!$D:$D,MATCH(10092,Telmo!$A:$A,0))=2), INDEX(Telmo!$D:$D,MATCH(10092,Telmo!$A:$A,0)), 0), 0)</f>
        <v>0</v>
      </c>
      <c r="I1344" s="1">
        <f t="array" ref="I1344">IF(ISNUMBER(MATCH(10092,Max!$A:$A,0)), IF(OR(INDEX(Max!$D:$D,MATCH(10092,Max!$A:$A,0))=1, INDEX(Max!$D:$D,MATCH(10092,Max!$A:$A,0))=2), INDEX(Max!$D:$D,MATCH(10092,Max!$A:$A,0)), 0), 0)</f>
        <v>2</v>
      </c>
    </row>
    <row r="1345" spans="1:9" ht="15.75" customHeight="1" x14ac:dyDescent="0.2">
      <c r="A1345" s="1">
        <v>53052</v>
      </c>
      <c r="B1345" s="1" t="s">
        <v>1929</v>
      </c>
      <c r="C1345" s="1" t="s">
        <v>3123</v>
      </c>
      <c r="D1345" s="1" t="str">
        <f t="shared" si="5"/>
        <v>2</v>
      </c>
      <c r="E1345" s="1" t="s">
        <v>3124</v>
      </c>
      <c r="G1345" s="1">
        <f t="array" ref="G1345">IF(ISNUMBER(MATCH(53052,Camille!$A:$A,0)), IF(OR(INDEX(Camille!$D:$D,MATCH(53052,Camille!$A:$A,0))=1, INDEX(Camille!$D:$D,MATCH(53052,Camille!$A:$A,0))=2), INDEX(Camille!$D:$D,MATCH(53052,Camille!$A:$A,0)), 0), 0)</f>
        <v>0</v>
      </c>
      <c r="H1345" s="1">
        <f t="array" ref="H1345">IF(ISNUMBER(MATCH(53052,Telmo!$A:$A,0)), IF(OR(INDEX(Telmo!$D:$D,MATCH(53052,Telmo!$A:$A,0))=1, INDEX(Telmo!$D:$D,MATCH(53052,Telmo!$A:$A,0))=2), INDEX(Telmo!$D:$D,MATCH(53052,Telmo!$A:$A,0)), 0), 0)</f>
        <v>0</v>
      </c>
      <c r="I1345" s="1">
        <f t="array" ref="I1345">IF(ISNUMBER(MATCH(53052,Max!$A:$A,0)), IF(OR(INDEX(Max!$D:$D,MATCH(53052,Max!$A:$A,0))=1, INDEX(Max!$D:$D,MATCH(53052,Max!$A:$A,0))=2), INDEX(Max!$D:$D,MATCH(53052,Max!$A:$A,0)), 0), 0)</f>
        <v>2</v>
      </c>
    </row>
    <row r="1346" spans="1:9" ht="15.75" customHeight="1" x14ac:dyDescent="0.2">
      <c r="A1346" s="1">
        <v>56205</v>
      </c>
      <c r="B1346" s="1" t="s">
        <v>172</v>
      </c>
      <c r="C1346" s="1" t="s">
        <v>3125</v>
      </c>
      <c r="D1346" s="1" t="str">
        <f t="shared" si="5"/>
        <v>2</v>
      </c>
      <c r="E1346" s="1" t="s">
        <v>3126</v>
      </c>
      <c r="G1346" s="1">
        <f t="array" ref="G1346">IF(ISNUMBER(MATCH(56205,Camille!$A:$A,0)), IF(OR(INDEX(Camille!$D:$D,MATCH(56205,Camille!$A:$A,0))=1, INDEX(Camille!$D:$D,MATCH(56205,Camille!$A:$A,0))=2), INDEX(Camille!$D:$D,MATCH(56205,Camille!$A:$A,0)), 0), 0)</f>
        <v>0</v>
      </c>
      <c r="H1346" s="1">
        <f t="array" ref="H1346">IF(ISNUMBER(MATCH(56205,Telmo!$A:$A,0)), IF(OR(INDEX(Telmo!$D:$D,MATCH(56205,Telmo!$A:$A,0))=1, INDEX(Telmo!$D:$D,MATCH(56205,Telmo!$A:$A,0))=2), INDEX(Telmo!$D:$D,MATCH(56205,Telmo!$A:$A,0)), 0), 0)</f>
        <v>0</v>
      </c>
      <c r="I1346" s="1">
        <f t="array" ref="I1346">IF(ISNUMBER(MATCH(56205,Max!$A:$A,0)), IF(OR(INDEX(Max!$D:$D,MATCH(56205,Max!$A:$A,0))=1, INDEX(Max!$D:$D,MATCH(56205,Max!$A:$A,0))=2), INDEX(Max!$D:$D,MATCH(56205,Max!$A:$A,0)), 0), 0)</f>
        <v>2</v>
      </c>
    </row>
    <row r="1347" spans="1:9" ht="15.75" customHeight="1" x14ac:dyDescent="0.2">
      <c r="A1347" s="1">
        <v>21988</v>
      </c>
      <c r="B1347" s="1" t="s">
        <v>38</v>
      </c>
      <c r="C1347" s="1" t="s">
        <v>3127</v>
      </c>
      <c r="D1347" s="1" t="str">
        <f t="shared" si="5"/>
        <v>2</v>
      </c>
      <c r="E1347" s="1" t="s">
        <v>3128</v>
      </c>
      <c r="G1347" s="1">
        <f t="array" ref="G1347">IF(ISNUMBER(MATCH(21988,Camille!$A:$A,0)), IF(OR(INDEX(Camille!$D:$D,MATCH(21988,Camille!$A:$A,0))=1, INDEX(Camille!$D:$D,MATCH(21988,Camille!$A:$A,0))=2), INDEX(Camille!$D:$D,MATCH(21988,Camille!$A:$A,0)), 0), 0)</f>
        <v>0</v>
      </c>
      <c r="H1347" s="1">
        <f t="array" ref="H1347">IF(ISNUMBER(MATCH(21988,Telmo!$A:$A,0)), IF(OR(INDEX(Telmo!$D:$D,MATCH(21988,Telmo!$A:$A,0))=1, INDEX(Telmo!$D:$D,MATCH(21988,Telmo!$A:$A,0))=2), INDEX(Telmo!$D:$D,MATCH(21988,Telmo!$A:$A,0)), 0), 0)</f>
        <v>0</v>
      </c>
      <c r="I1347" s="1">
        <f t="array" ref="I1347">IF(ISNUMBER(MATCH(21988,Max!$A:$A,0)), IF(OR(INDEX(Max!$D:$D,MATCH(21988,Max!$A:$A,0))=1, INDEX(Max!$D:$D,MATCH(21988,Max!$A:$A,0))=2), INDEX(Max!$D:$D,MATCH(21988,Max!$A:$A,0)), 0), 0)</f>
        <v>2</v>
      </c>
    </row>
    <row r="1348" spans="1:9" ht="15.75" customHeight="1" x14ac:dyDescent="0.2">
      <c r="A1348" s="1">
        <v>6902</v>
      </c>
      <c r="B1348" s="1" t="s">
        <v>2276</v>
      </c>
      <c r="C1348" s="1" t="s">
        <v>3129</v>
      </c>
      <c r="D1348" s="1" t="str">
        <f t="shared" si="5"/>
        <v>1</v>
      </c>
      <c r="E1348" s="1" t="s">
        <v>3130</v>
      </c>
      <c r="G1348" s="1">
        <f t="array" ref="G1348">IF(ISNUMBER(MATCH(6902,Camille!$A:$A,0)), IF(OR(INDEX(Camille!$D:$D,MATCH(6902,Camille!$A:$A,0))=1, INDEX(Camille!$D:$D,MATCH(6902,Camille!$A:$A,0))=2), INDEX(Camille!$D:$D,MATCH(6902,Camille!$A:$A,0)), 0), 0)</f>
        <v>0</v>
      </c>
      <c r="H1348" s="1">
        <f t="array" ref="H1348">IF(ISNUMBER(MATCH(6902,Telmo!$A:$A,0)), IF(OR(INDEX(Telmo!$D:$D,MATCH(6902,Telmo!$A:$A,0))=1, INDEX(Telmo!$D:$D,MATCH(6902,Telmo!$A:$A,0))=2), INDEX(Telmo!$D:$D,MATCH(6902,Telmo!$A:$A,0)), 0), 0)</f>
        <v>0</v>
      </c>
      <c r="I1348" s="1">
        <f t="array" ref="I1348">IF(ISNUMBER(MATCH(6902,Max!$A:$A,0)), IF(OR(INDEX(Max!$D:$D,MATCH(6902,Max!$A:$A,0))=1, INDEX(Max!$D:$D,MATCH(6902,Max!$A:$A,0))=2), INDEX(Max!$D:$D,MATCH(6902,Max!$A:$A,0)), 0), 0)</f>
        <v>1</v>
      </c>
    </row>
    <row r="1349" spans="1:9" ht="15.75" customHeight="1" x14ac:dyDescent="0.2">
      <c r="A1349" s="1">
        <v>34899</v>
      </c>
      <c r="B1349" s="1" t="s">
        <v>167</v>
      </c>
      <c r="C1349" s="1" t="s">
        <v>3131</v>
      </c>
      <c r="D1349" s="1" t="str">
        <f t="shared" si="5"/>
        <v>1</v>
      </c>
      <c r="E1349" s="1" t="s">
        <v>3132</v>
      </c>
      <c r="G1349" s="1">
        <f t="array" ref="G1349">IF(ISNUMBER(MATCH(34899,Camille!$A:$A,0)), IF(OR(INDEX(Camille!$D:$D,MATCH(34899,Camille!$A:$A,0))=1, INDEX(Camille!$D:$D,MATCH(34899,Camille!$A:$A,0))=2), INDEX(Camille!$D:$D,MATCH(34899,Camille!$A:$A,0)), 0), 0)</f>
        <v>0</v>
      </c>
      <c r="H1349" s="1">
        <f t="array" ref="H1349">IF(ISNUMBER(MATCH(34899,Telmo!$A:$A,0)), IF(OR(INDEX(Telmo!$D:$D,MATCH(34899,Telmo!$A:$A,0))=1, INDEX(Telmo!$D:$D,MATCH(34899,Telmo!$A:$A,0))=2), INDEX(Telmo!$D:$D,MATCH(34899,Telmo!$A:$A,0)), 0), 0)</f>
        <v>0</v>
      </c>
      <c r="I1349" s="1">
        <f t="array" ref="I1349">IF(ISNUMBER(MATCH(34899,Max!$A:$A,0)), IF(OR(INDEX(Max!$D:$D,MATCH(34899,Max!$A:$A,0))=1, INDEX(Max!$D:$D,MATCH(34899,Max!$A:$A,0))=2), INDEX(Max!$D:$D,MATCH(34899,Max!$A:$A,0)), 0), 0)</f>
        <v>1</v>
      </c>
    </row>
    <row r="1350" spans="1:9" ht="15.75" customHeight="1" x14ac:dyDescent="0.2">
      <c r="A1350" s="1">
        <v>52222</v>
      </c>
      <c r="B1350" s="1" t="s">
        <v>282</v>
      </c>
      <c r="C1350" s="1" t="s">
        <v>3133</v>
      </c>
      <c r="D1350" s="1" t="str">
        <f t="shared" si="5"/>
        <v>2</v>
      </c>
      <c r="E1350" s="1" t="s">
        <v>3134</v>
      </c>
      <c r="G1350" s="1">
        <f t="array" ref="G1350">IF(ISNUMBER(MATCH(52222,Camille!$A:$A,0)), IF(OR(INDEX(Camille!$D:$D,MATCH(52222,Camille!$A:$A,0))=1, INDEX(Camille!$D:$D,MATCH(52222,Camille!$A:$A,0))=2), INDEX(Camille!$D:$D,MATCH(52222,Camille!$A:$A,0)), 0), 0)</f>
        <v>0</v>
      </c>
      <c r="H1350" s="1">
        <f t="array" ref="H1350">IF(ISNUMBER(MATCH(52222,Telmo!$A:$A,0)), IF(OR(INDEX(Telmo!$D:$D,MATCH(52222,Telmo!$A:$A,0))=1, INDEX(Telmo!$D:$D,MATCH(52222,Telmo!$A:$A,0))=2), INDEX(Telmo!$D:$D,MATCH(52222,Telmo!$A:$A,0)), 0), 0)</f>
        <v>0</v>
      </c>
      <c r="I1350" s="1">
        <f t="array" ref="I1350">IF(ISNUMBER(MATCH(52222,Max!$A:$A,0)), IF(OR(INDEX(Max!$D:$D,MATCH(52222,Max!$A:$A,0))=1, INDEX(Max!$D:$D,MATCH(52222,Max!$A:$A,0))=2), INDEX(Max!$D:$D,MATCH(52222,Max!$A:$A,0)), 0), 0)</f>
        <v>2</v>
      </c>
    </row>
    <row r="1351" spans="1:9" ht="15.75" customHeight="1" x14ac:dyDescent="0.2">
      <c r="A1351" s="1">
        <v>24821</v>
      </c>
      <c r="B1351" s="1" t="s">
        <v>422</v>
      </c>
      <c r="C1351" s="1" t="s">
        <v>3135</v>
      </c>
      <c r="D1351" s="1" t="str">
        <f t="shared" si="5"/>
        <v>1</v>
      </c>
      <c r="E1351" s="1" t="s">
        <v>3136</v>
      </c>
      <c r="G1351" s="1">
        <f t="array" ref="G1351">IF(ISNUMBER(MATCH(24821,Camille!$A:$A,0)), IF(OR(INDEX(Camille!$D:$D,MATCH(24821,Camille!$A:$A,0))=1, INDEX(Camille!$D:$D,MATCH(24821,Camille!$A:$A,0))=2), INDEX(Camille!$D:$D,MATCH(24821,Camille!$A:$A,0)), 0), 0)</f>
        <v>0</v>
      </c>
      <c r="H1351" s="1">
        <f t="array" ref="H1351">IF(ISNUMBER(MATCH(24821,Telmo!$A:$A,0)), IF(OR(INDEX(Telmo!$D:$D,MATCH(24821,Telmo!$A:$A,0))=1, INDEX(Telmo!$D:$D,MATCH(24821,Telmo!$A:$A,0))=2), INDEX(Telmo!$D:$D,MATCH(24821,Telmo!$A:$A,0)), 0), 0)</f>
        <v>0</v>
      </c>
      <c r="I1351" s="1">
        <f t="array" ref="I1351">IF(ISNUMBER(MATCH(24821,Max!$A:$A,0)), IF(OR(INDEX(Max!$D:$D,MATCH(24821,Max!$A:$A,0))=1, INDEX(Max!$D:$D,MATCH(24821,Max!$A:$A,0))=2), INDEX(Max!$D:$D,MATCH(24821,Max!$A:$A,0)), 0), 0)</f>
        <v>1</v>
      </c>
    </row>
    <row r="1352" spans="1:9" ht="15.75" customHeight="1" x14ac:dyDescent="0.2">
      <c r="A1352" s="1">
        <v>66791</v>
      </c>
      <c r="B1352" s="1" t="s">
        <v>188</v>
      </c>
      <c r="C1352" s="1" t="s">
        <v>3137</v>
      </c>
      <c r="D1352" s="1" t="str">
        <f t="shared" si="5"/>
        <v>1</v>
      </c>
      <c r="E1352" s="1" t="s">
        <v>3138</v>
      </c>
      <c r="G1352" s="1">
        <f t="array" ref="G1352">IF(ISNUMBER(MATCH(66791,Camille!$A:$A,0)), IF(OR(INDEX(Camille!$D:$D,MATCH(66791,Camille!$A:$A,0))=1, INDEX(Camille!$D:$D,MATCH(66791,Camille!$A:$A,0))=2), INDEX(Camille!$D:$D,MATCH(66791,Camille!$A:$A,0)), 0), 0)</f>
        <v>0</v>
      </c>
      <c r="H1352" s="1">
        <f t="array" ref="H1352">IF(ISNUMBER(MATCH(66791,Telmo!$A:$A,0)), IF(OR(INDEX(Telmo!$D:$D,MATCH(66791,Telmo!$A:$A,0))=1, INDEX(Telmo!$D:$D,MATCH(66791,Telmo!$A:$A,0))=2), INDEX(Telmo!$D:$D,MATCH(66791,Telmo!$A:$A,0)), 0), 0)</f>
        <v>0</v>
      </c>
      <c r="I1352" s="1">
        <f t="array" ref="I1352">IF(ISNUMBER(MATCH(66791,Max!$A:$A,0)), IF(OR(INDEX(Max!$D:$D,MATCH(66791,Max!$A:$A,0))=1, INDEX(Max!$D:$D,MATCH(66791,Max!$A:$A,0))=2), INDEX(Max!$D:$D,MATCH(66791,Max!$A:$A,0)), 0), 0)</f>
        <v>1</v>
      </c>
    </row>
    <row r="1353" spans="1:9" ht="15.75" customHeight="1" x14ac:dyDescent="0.2">
      <c r="A1353" s="1">
        <v>31935</v>
      </c>
      <c r="B1353" s="1" t="s">
        <v>32</v>
      </c>
      <c r="C1353" s="1" t="s">
        <v>3139</v>
      </c>
      <c r="D1353" s="1" t="str">
        <f t="shared" si="5"/>
        <v>1</v>
      </c>
      <c r="E1353" s="1" t="s">
        <v>3140</v>
      </c>
      <c r="G1353" s="1">
        <f t="array" ref="G1353">IF(ISNUMBER(MATCH(31935,Camille!$A:$A,0)), IF(OR(INDEX(Camille!$D:$D,MATCH(31935,Camille!$A:$A,0))=1, INDEX(Camille!$D:$D,MATCH(31935,Camille!$A:$A,0))=2), INDEX(Camille!$D:$D,MATCH(31935,Camille!$A:$A,0)), 0), 0)</f>
        <v>0</v>
      </c>
      <c r="H1353" s="1">
        <f t="array" ref="H1353">IF(ISNUMBER(MATCH(31935,Telmo!$A:$A,0)), IF(OR(INDEX(Telmo!$D:$D,MATCH(31935,Telmo!$A:$A,0))=1, INDEX(Telmo!$D:$D,MATCH(31935,Telmo!$A:$A,0))=2), INDEX(Telmo!$D:$D,MATCH(31935,Telmo!$A:$A,0)), 0), 0)</f>
        <v>0</v>
      </c>
      <c r="I1353" s="1">
        <f t="array" ref="I1353">IF(ISNUMBER(MATCH(31935,Max!$A:$A,0)), IF(OR(INDEX(Max!$D:$D,MATCH(31935,Max!$A:$A,0))=1, INDEX(Max!$D:$D,MATCH(31935,Max!$A:$A,0))=2), INDEX(Max!$D:$D,MATCH(31935,Max!$A:$A,0)), 0), 0)</f>
        <v>1</v>
      </c>
    </row>
    <row r="1354" spans="1:9" ht="15.75" customHeight="1" x14ac:dyDescent="0.2">
      <c r="A1354" s="1">
        <v>22420</v>
      </c>
      <c r="B1354" s="1" t="s">
        <v>276</v>
      </c>
      <c r="C1354" s="1" t="s">
        <v>3141</v>
      </c>
      <c r="D1354" s="1" t="str">
        <f t="shared" si="5"/>
        <v>1</v>
      </c>
      <c r="E1354" s="1" t="s">
        <v>3142</v>
      </c>
      <c r="G1354" s="1">
        <f t="array" ref="G1354">IF(ISNUMBER(MATCH(22420,Camille!$A:$A,0)), IF(OR(INDEX(Camille!$D:$D,MATCH(22420,Camille!$A:$A,0))=1, INDEX(Camille!$D:$D,MATCH(22420,Camille!$A:$A,0))=2), INDEX(Camille!$D:$D,MATCH(22420,Camille!$A:$A,0)), 0), 0)</f>
        <v>0</v>
      </c>
      <c r="H1354" s="1">
        <f t="array" ref="H1354">IF(ISNUMBER(MATCH(22420,Telmo!$A:$A,0)), IF(OR(INDEX(Telmo!$D:$D,MATCH(22420,Telmo!$A:$A,0))=1, INDEX(Telmo!$D:$D,MATCH(22420,Telmo!$A:$A,0))=2), INDEX(Telmo!$D:$D,MATCH(22420,Telmo!$A:$A,0)), 0), 0)</f>
        <v>0</v>
      </c>
      <c r="I1354" s="1">
        <f t="array" ref="I1354">IF(ISNUMBER(MATCH(22420,Max!$A:$A,0)), IF(OR(INDEX(Max!$D:$D,MATCH(22420,Max!$A:$A,0))=1, INDEX(Max!$D:$D,MATCH(22420,Max!$A:$A,0))=2), INDEX(Max!$D:$D,MATCH(22420,Max!$A:$A,0)), 0), 0)</f>
        <v>1</v>
      </c>
    </row>
    <row r="1355" spans="1:9" ht="15.75" customHeight="1" x14ac:dyDescent="0.2">
      <c r="A1355" s="1">
        <v>18990</v>
      </c>
      <c r="B1355" s="1" t="s">
        <v>408</v>
      </c>
      <c r="C1355" s="1" t="s">
        <v>3143</v>
      </c>
      <c r="D1355" s="1" t="str">
        <f t="shared" si="5"/>
        <v>2</v>
      </c>
      <c r="E1355" s="1" t="s">
        <v>3144</v>
      </c>
      <c r="G1355" s="1">
        <f t="array" ref="G1355">IF(ISNUMBER(MATCH(18990,Camille!$A:$A,0)), IF(OR(INDEX(Camille!$D:$D,MATCH(18990,Camille!$A:$A,0))=1, INDEX(Camille!$D:$D,MATCH(18990,Camille!$A:$A,0))=2), INDEX(Camille!$D:$D,MATCH(18990,Camille!$A:$A,0)), 0), 0)</f>
        <v>0</v>
      </c>
      <c r="H1355" s="1">
        <f t="array" ref="H1355">IF(ISNUMBER(MATCH(18990,Telmo!$A:$A,0)), IF(OR(INDEX(Telmo!$D:$D,MATCH(18990,Telmo!$A:$A,0))=1, INDEX(Telmo!$D:$D,MATCH(18990,Telmo!$A:$A,0))=2), INDEX(Telmo!$D:$D,MATCH(18990,Telmo!$A:$A,0)), 0), 0)</f>
        <v>0</v>
      </c>
      <c r="I1355" s="1">
        <f t="array" ref="I1355">IF(ISNUMBER(MATCH(18990,Max!$A:$A,0)), IF(OR(INDEX(Max!$D:$D,MATCH(18990,Max!$A:$A,0))=1, INDEX(Max!$D:$D,MATCH(18990,Max!$A:$A,0))=2), INDEX(Max!$D:$D,MATCH(18990,Max!$A:$A,0)), 0), 0)</f>
        <v>2</v>
      </c>
    </row>
    <row r="1356" spans="1:9" ht="15.75" customHeight="1" x14ac:dyDescent="0.2">
      <c r="A1356" s="1">
        <v>25465</v>
      </c>
      <c r="B1356" s="1" t="s">
        <v>1102</v>
      </c>
      <c r="C1356" s="1" t="s">
        <v>3145</v>
      </c>
      <c r="D1356" s="1" t="str">
        <f t="shared" si="5"/>
        <v>1</v>
      </c>
      <c r="E1356" s="1" t="s">
        <v>3146</v>
      </c>
      <c r="G1356" s="1">
        <f t="array" ref="G1356">IF(ISNUMBER(MATCH(25465,Camille!$A:$A,0)), IF(OR(INDEX(Camille!$D:$D,MATCH(25465,Camille!$A:$A,0))=1, INDEX(Camille!$D:$D,MATCH(25465,Camille!$A:$A,0))=2), INDEX(Camille!$D:$D,MATCH(25465,Camille!$A:$A,0)), 0), 0)</f>
        <v>0</v>
      </c>
      <c r="H1356" s="1">
        <f t="array" ref="H1356">IF(ISNUMBER(MATCH(25465,Telmo!$A:$A,0)), IF(OR(INDEX(Telmo!$D:$D,MATCH(25465,Telmo!$A:$A,0))=1, INDEX(Telmo!$D:$D,MATCH(25465,Telmo!$A:$A,0))=2), INDEX(Telmo!$D:$D,MATCH(25465,Telmo!$A:$A,0)), 0), 0)</f>
        <v>0</v>
      </c>
      <c r="I1356" s="1">
        <f t="array" ref="I1356">IF(ISNUMBER(MATCH(25465,Max!$A:$A,0)), IF(OR(INDEX(Max!$D:$D,MATCH(25465,Max!$A:$A,0))=1, INDEX(Max!$D:$D,MATCH(25465,Max!$A:$A,0))=2), INDEX(Max!$D:$D,MATCH(25465,Max!$A:$A,0)), 0), 0)</f>
        <v>1</v>
      </c>
    </row>
    <row r="1357" spans="1:9" ht="15.75" customHeight="1" x14ac:dyDescent="0.2">
      <c r="A1357" s="1">
        <v>65927</v>
      </c>
      <c r="B1357" s="1" t="s">
        <v>969</v>
      </c>
      <c r="C1357" s="1" t="s">
        <v>3147</v>
      </c>
      <c r="D1357" s="1" t="str">
        <f t="shared" si="5"/>
        <v>2</v>
      </c>
      <c r="E1357" s="1" t="s">
        <v>3148</v>
      </c>
      <c r="G1357" s="1">
        <f t="array" ref="G1357">IF(ISNUMBER(MATCH(65927,Camille!$A:$A,0)), IF(OR(INDEX(Camille!$D:$D,MATCH(65927,Camille!$A:$A,0))=1, INDEX(Camille!$D:$D,MATCH(65927,Camille!$A:$A,0))=2), INDEX(Camille!$D:$D,MATCH(65927,Camille!$A:$A,0)), 0), 0)</f>
        <v>0</v>
      </c>
      <c r="H1357" s="1">
        <f t="array" ref="H1357">IF(ISNUMBER(MATCH(65927,Telmo!$A:$A,0)), IF(OR(INDEX(Telmo!$D:$D,MATCH(65927,Telmo!$A:$A,0))=1, INDEX(Telmo!$D:$D,MATCH(65927,Telmo!$A:$A,0))=2), INDEX(Telmo!$D:$D,MATCH(65927,Telmo!$A:$A,0)), 0), 0)</f>
        <v>0</v>
      </c>
      <c r="I1357" s="1">
        <f t="array" ref="I1357">IF(ISNUMBER(MATCH(65927,Max!$A:$A,0)), IF(OR(INDEX(Max!$D:$D,MATCH(65927,Max!$A:$A,0))=1, INDEX(Max!$D:$D,MATCH(65927,Max!$A:$A,0))=2), INDEX(Max!$D:$D,MATCH(65927,Max!$A:$A,0)), 0), 0)</f>
        <v>2</v>
      </c>
    </row>
    <row r="1358" spans="1:9" ht="15.75" customHeight="1" x14ac:dyDescent="0.2">
      <c r="A1358" s="1">
        <v>40156</v>
      </c>
      <c r="B1358" s="1" t="s">
        <v>848</v>
      </c>
      <c r="C1358" s="1" t="s">
        <v>3149</v>
      </c>
      <c r="D1358" s="1" t="str">
        <f t="shared" si="5"/>
        <v>2</v>
      </c>
      <c r="E1358" s="1" t="s">
        <v>3150</v>
      </c>
      <c r="G1358" s="1">
        <f t="array" ref="G1358">IF(ISNUMBER(MATCH(40156,Camille!$A:$A,0)), IF(OR(INDEX(Camille!$D:$D,MATCH(40156,Camille!$A:$A,0))=1, INDEX(Camille!$D:$D,MATCH(40156,Camille!$A:$A,0))=2), INDEX(Camille!$D:$D,MATCH(40156,Camille!$A:$A,0)), 0), 0)</f>
        <v>0</v>
      </c>
      <c r="H1358" s="1">
        <f t="array" ref="H1358">IF(ISNUMBER(MATCH(40156,Telmo!$A:$A,0)), IF(OR(INDEX(Telmo!$D:$D,MATCH(40156,Telmo!$A:$A,0))=1, INDEX(Telmo!$D:$D,MATCH(40156,Telmo!$A:$A,0))=2), INDEX(Telmo!$D:$D,MATCH(40156,Telmo!$A:$A,0)), 0), 0)</f>
        <v>0</v>
      </c>
      <c r="I1358" s="1">
        <f t="array" ref="I1358">IF(ISNUMBER(MATCH(40156,Max!$A:$A,0)), IF(OR(INDEX(Max!$D:$D,MATCH(40156,Max!$A:$A,0))=1, INDEX(Max!$D:$D,MATCH(40156,Max!$A:$A,0))=2), INDEX(Max!$D:$D,MATCH(40156,Max!$A:$A,0)), 0), 0)</f>
        <v>2</v>
      </c>
    </row>
    <row r="1359" spans="1:9" ht="15.75" customHeight="1" x14ac:dyDescent="0.2">
      <c r="A1359" s="1">
        <v>18207</v>
      </c>
      <c r="B1359" s="1" t="s">
        <v>723</v>
      </c>
      <c r="C1359" s="1" t="s">
        <v>3151</v>
      </c>
      <c r="D1359" s="1" t="str">
        <f t="shared" si="5"/>
        <v>2</v>
      </c>
      <c r="E1359" s="1" t="s">
        <v>3152</v>
      </c>
      <c r="G1359" s="1">
        <f t="array" ref="G1359">IF(ISNUMBER(MATCH(18207,Camille!$A:$A,0)), IF(OR(INDEX(Camille!$D:$D,MATCH(18207,Camille!$A:$A,0))=1, INDEX(Camille!$D:$D,MATCH(18207,Camille!$A:$A,0))=2), INDEX(Camille!$D:$D,MATCH(18207,Camille!$A:$A,0)), 0), 0)</f>
        <v>0</v>
      </c>
      <c r="H1359" s="1">
        <f t="array" ref="H1359">IF(ISNUMBER(MATCH(18207,Telmo!$A:$A,0)), IF(OR(INDEX(Telmo!$D:$D,MATCH(18207,Telmo!$A:$A,0))=1, INDEX(Telmo!$D:$D,MATCH(18207,Telmo!$A:$A,0))=2), INDEX(Telmo!$D:$D,MATCH(18207,Telmo!$A:$A,0)), 0), 0)</f>
        <v>0</v>
      </c>
      <c r="I1359" s="1">
        <f t="array" ref="I1359">IF(ISNUMBER(MATCH(18207,Max!$A:$A,0)), IF(OR(INDEX(Max!$D:$D,MATCH(18207,Max!$A:$A,0))=1, INDEX(Max!$D:$D,MATCH(18207,Max!$A:$A,0))=2), INDEX(Max!$D:$D,MATCH(18207,Max!$A:$A,0)), 0), 0)</f>
        <v>2</v>
      </c>
    </row>
    <row r="1360" spans="1:9" ht="15.75" customHeight="1" x14ac:dyDescent="0.2">
      <c r="A1360" s="1">
        <v>55148</v>
      </c>
      <c r="B1360" s="1" t="s">
        <v>159</v>
      </c>
      <c r="C1360" s="1" t="s">
        <v>3153</v>
      </c>
      <c r="D1360" s="1" t="str">
        <f t="shared" si="5"/>
        <v>2</v>
      </c>
      <c r="E1360" s="1" t="s">
        <v>3154</v>
      </c>
      <c r="G1360" s="1">
        <f t="array" ref="G1360">IF(ISNUMBER(MATCH(55148,Camille!$A:$A,0)), IF(OR(INDEX(Camille!$D:$D,MATCH(55148,Camille!$A:$A,0))=1, INDEX(Camille!$D:$D,MATCH(55148,Camille!$A:$A,0))=2), INDEX(Camille!$D:$D,MATCH(55148,Camille!$A:$A,0)), 0), 0)</f>
        <v>0</v>
      </c>
      <c r="H1360" s="1">
        <f t="array" ref="H1360">IF(ISNUMBER(MATCH(55148,Telmo!$A:$A,0)), IF(OR(INDEX(Telmo!$D:$D,MATCH(55148,Telmo!$A:$A,0))=1, INDEX(Telmo!$D:$D,MATCH(55148,Telmo!$A:$A,0))=2), INDEX(Telmo!$D:$D,MATCH(55148,Telmo!$A:$A,0)), 0), 0)</f>
        <v>0</v>
      </c>
      <c r="I1360" s="1">
        <f t="array" ref="I1360">IF(ISNUMBER(MATCH(55148,Max!$A:$A,0)), IF(OR(INDEX(Max!$D:$D,MATCH(55148,Max!$A:$A,0))=1, INDEX(Max!$D:$D,MATCH(55148,Max!$A:$A,0))=2), INDEX(Max!$D:$D,MATCH(55148,Max!$A:$A,0)), 0), 0)</f>
        <v>2</v>
      </c>
    </row>
    <row r="1361" spans="1:9" ht="15.75" customHeight="1" x14ac:dyDescent="0.2">
      <c r="A1361" s="1">
        <v>69371</v>
      </c>
      <c r="B1361" s="1" t="s">
        <v>144</v>
      </c>
      <c r="C1361" s="1" t="s">
        <v>3155</v>
      </c>
      <c r="D1361" s="1" t="str">
        <f t="shared" si="5"/>
        <v>1</v>
      </c>
      <c r="E1361" s="1" t="s">
        <v>3156</v>
      </c>
      <c r="G1361" s="1">
        <f t="array" ref="G1361">IF(ISNUMBER(MATCH(69371,Camille!$A:$A,0)), IF(OR(INDEX(Camille!$D:$D,MATCH(69371,Camille!$A:$A,0))=1, INDEX(Camille!$D:$D,MATCH(69371,Camille!$A:$A,0))=2), INDEX(Camille!$D:$D,MATCH(69371,Camille!$A:$A,0)), 0), 0)</f>
        <v>0</v>
      </c>
      <c r="H1361" s="1">
        <f t="array" ref="H1361">IF(ISNUMBER(MATCH(69371,Telmo!$A:$A,0)), IF(OR(INDEX(Telmo!$D:$D,MATCH(69371,Telmo!$A:$A,0))=1, INDEX(Telmo!$D:$D,MATCH(69371,Telmo!$A:$A,0))=2), INDEX(Telmo!$D:$D,MATCH(69371,Telmo!$A:$A,0)), 0), 0)</f>
        <v>0</v>
      </c>
      <c r="I1361" s="1">
        <f t="array" ref="I1361">IF(ISNUMBER(MATCH(69371,Max!$A:$A,0)), IF(OR(INDEX(Max!$D:$D,MATCH(69371,Max!$A:$A,0))=1, INDEX(Max!$D:$D,MATCH(69371,Max!$A:$A,0))=2), INDEX(Max!$D:$D,MATCH(69371,Max!$A:$A,0)), 0), 0)</f>
        <v>1</v>
      </c>
    </row>
    <row r="1362" spans="1:9" ht="15.75" customHeight="1" x14ac:dyDescent="0.2">
      <c r="A1362" s="1">
        <v>48532</v>
      </c>
      <c r="B1362" s="1" t="s">
        <v>969</v>
      </c>
      <c r="C1362" s="1" t="s">
        <v>3157</v>
      </c>
      <c r="D1362" s="1" t="str">
        <f t="shared" si="5"/>
        <v>2</v>
      </c>
      <c r="E1362" s="1" t="s">
        <v>3158</v>
      </c>
      <c r="G1362" s="1">
        <f t="array" ref="G1362">IF(ISNUMBER(MATCH(48532,Camille!$A:$A,0)), IF(OR(INDEX(Camille!$D:$D,MATCH(48532,Camille!$A:$A,0))=1, INDEX(Camille!$D:$D,MATCH(48532,Camille!$A:$A,0))=2), INDEX(Camille!$D:$D,MATCH(48532,Camille!$A:$A,0)), 0), 0)</f>
        <v>0</v>
      </c>
      <c r="H1362" s="1">
        <f t="array" ref="H1362">IF(ISNUMBER(MATCH(48532,Telmo!$A:$A,0)), IF(OR(INDEX(Telmo!$D:$D,MATCH(48532,Telmo!$A:$A,0))=1, INDEX(Telmo!$D:$D,MATCH(48532,Telmo!$A:$A,0))=2), INDEX(Telmo!$D:$D,MATCH(48532,Telmo!$A:$A,0)), 0), 0)</f>
        <v>0</v>
      </c>
      <c r="I1362" s="1">
        <f t="array" ref="I1362">IF(ISNUMBER(MATCH(48532,Max!$A:$A,0)), IF(OR(INDEX(Max!$D:$D,MATCH(48532,Max!$A:$A,0))=1, INDEX(Max!$D:$D,MATCH(48532,Max!$A:$A,0))=2), INDEX(Max!$D:$D,MATCH(48532,Max!$A:$A,0)), 0), 0)</f>
        <v>2</v>
      </c>
    </row>
    <row r="1363" spans="1:9" ht="15.75" customHeight="1" x14ac:dyDescent="0.2">
      <c r="A1363" s="1">
        <v>50239</v>
      </c>
      <c r="B1363" s="1" t="s">
        <v>3159</v>
      </c>
      <c r="C1363" s="1" t="s">
        <v>3160</v>
      </c>
      <c r="D1363" s="1" t="str">
        <f t="shared" si="5"/>
        <v>2</v>
      </c>
      <c r="E1363" s="1" t="s">
        <v>3161</v>
      </c>
      <c r="G1363" s="1">
        <f t="array" ref="G1363">IF(ISNUMBER(MATCH(50239,Camille!$A:$A,0)), IF(OR(INDEX(Camille!$D:$D,MATCH(50239,Camille!$A:$A,0))=1, INDEX(Camille!$D:$D,MATCH(50239,Camille!$A:$A,0))=2), INDEX(Camille!$D:$D,MATCH(50239,Camille!$A:$A,0)), 0), 0)</f>
        <v>0</v>
      </c>
      <c r="H1363" s="1">
        <f t="array" ref="H1363">IF(ISNUMBER(MATCH(50239,Telmo!$A:$A,0)), IF(OR(INDEX(Telmo!$D:$D,MATCH(50239,Telmo!$A:$A,0))=1, INDEX(Telmo!$D:$D,MATCH(50239,Telmo!$A:$A,0))=2), INDEX(Telmo!$D:$D,MATCH(50239,Telmo!$A:$A,0)), 0), 0)</f>
        <v>0</v>
      </c>
      <c r="I1363" s="1">
        <f t="array" ref="I1363">IF(ISNUMBER(MATCH(50239,Max!$A:$A,0)), IF(OR(INDEX(Max!$D:$D,MATCH(50239,Max!$A:$A,0))=1, INDEX(Max!$D:$D,MATCH(50239,Max!$A:$A,0))=2), INDEX(Max!$D:$D,MATCH(50239,Max!$A:$A,0)), 0), 0)</f>
        <v>2</v>
      </c>
    </row>
    <row r="1364" spans="1:9" ht="15.75" customHeight="1" x14ac:dyDescent="0.2">
      <c r="A1364" s="1">
        <v>39990</v>
      </c>
      <c r="B1364" s="1" t="s">
        <v>805</v>
      </c>
      <c r="C1364" s="1" t="s">
        <v>3162</v>
      </c>
      <c r="D1364" s="1" t="str">
        <f t="shared" si="5"/>
        <v>1</v>
      </c>
      <c r="E1364" s="1" t="s">
        <v>3163</v>
      </c>
      <c r="G1364" s="1">
        <f t="array" ref="G1364">IF(ISNUMBER(MATCH(39990,Camille!$A:$A,0)), IF(OR(INDEX(Camille!$D:$D,MATCH(39990,Camille!$A:$A,0))=1, INDEX(Camille!$D:$D,MATCH(39990,Camille!$A:$A,0))=2), INDEX(Camille!$D:$D,MATCH(39990,Camille!$A:$A,0)), 0), 0)</f>
        <v>0</v>
      </c>
      <c r="H1364" s="1">
        <f t="array" ref="H1364">IF(ISNUMBER(MATCH(39990,Telmo!$A:$A,0)), IF(OR(INDEX(Telmo!$D:$D,MATCH(39990,Telmo!$A:$A,0))=1, INDEX(Telmo!$D:$D,MATCH(39990,Telmo!$A:$A,0))=2), INDEX(Telmo!$D:$D,MATCH(39990,Telmo!$A:$A,0)), 0), 0)</f>
        <v>0</v>
      </c>
      <c r="I1364" s="1">
        <f t="array" ref="I1364">IF(ISNUMBER(MATCH(39990,Max!$A:$A,0)), IF(OR(INDEX(Max!$D:$D,MATCH(39990,Max!$A:$A,0))=1, INDEX(Max!$D:$D,MATCH(39990,Max!$A:$A,0))=2), INDEX(Max!$D:$D,MATCH(39990,Max!$A:$A,0)), 0), 0)</f>
        <v>1</v>
      </c>
    </row>
    <row r="1365" spans="1:9" ht="15.75" customHeight="1" x14ac:dyDescent="0.2">
      <c r="A1365" s="1">
        <v>20449</v>
      </c>
      <c r="B1365" s="1" t="s">
        <v>2797</v>
      </c>
      <c r="C1365" s="1" t="s">
        <v>3164</v>
      </c>
      <c r="D1365" s="1" t="str">
        <f t="shared" si="5"/>
        <v>1</v>
      </c>
      <c r="E1365" s="1" t="s">
        <v>3165</v>
      </c>
      <c r="G1365" s="1">
        <f t="array" ref="G1365">IF(ISNUMBER(MATCH(20449,Camille!$A:$A,0)), IF(OR(INDEX(Camille!$D:$D,MATCH(20449,Camille!$A:$A,0))=1, INDEX(Camille!$D:$D,MATCH(20449,Camille!$A:$A,0))=2), INDEX(Camille!$D:$D,MATCH(20449,Camille!$A:$A,0)), 0), 0)</f>
        <v>0</v>
      </c>
      <c r="H1365" s="1">
        <f t="array" ref="H1365">IF(ISNUMBER(MATCH(20449,Telmo!$A:$A,0)), IF(OR(INDEX(Telmo!$D:$D,MATCH(20449,Telmo!$A:$A,0))=1, INDEX(Telmo!$D:$D,MATCH(20449,Telmo!$A:$A,0))=2), INDEX(Telmo!$D:$D,MATCH(20449,Telmo!$A:$A,0)), 0), 0)</f>
        <v>0</v>
      </c>
      <c r="I1365" s="1">
        <f t="array" ref="I1365">IF(ISNUMBER(MATCH(20449,Max!$A:$A,0)), IF(OR(INDEX(Max!$D:$D,MATCH(20449,Max!$A:$A,0))=1, INDEX(Max!$D:$D,MATCH(20449,Max!$A:$A,0))=2), INDEX(Max!$D:$D,MATCH(20449,Max!$A:$A,0)), 0), 0)</f>
        <v>1</v>
      </c>
    </row>
    <row r="1366" spans="1:9" ht="15.75" customHeight="1" x14ac:dyDescent="0.2">
      <c r="A1366" s="1">
        <v>47576</v>
      </c>
      <c r="B1366" s="1" t="s">
        <v>336</v>
      </c>
      <c r="C1366" s="1" t="s">
        <v>3166</v>
      </c>
      <c r="D1366" s="1" t="str">
        <f t="shared" si="5"/>
        <v>2</v>
      </c>
      <c r="E1366" s="1" t="s">
        <v>3167</v>
      </c>
      <c r="G1366" s="1">
        <f t="array" ref="G1366">IF(ISNUMBER(MATCH(47576,Camille!$A:$A,0)), IF(OR(INDEX(Camille!$D:$D,MATCH(47576,Camille!$A:$A,0))=1, INDEX(Camille!$D:$D,MATCH(47576,Camille!$A:$A,0))=2), INDEX(Camille!$D:$D,MATCH(47576,Camille!$A:$A,0)), 0), 0)</f>
        <v>0</v>
      </c>
      <c r="H1366" s="1">
        <f t="array" ref="H1366">IF(ISNUMBER(MATCH(47576,Telmo!$A:$A,0)), IF(OR(INDEX(Telmo!$D:$D,MATCH(47576,Telmo!$A:$A,0))=1, INDEX(Telmo!$D:$D,MATCH(47576,Telmo!$A:$A,0))=2), INDEX(Telmo!$D:$D,MATCH(47576,Telmo!$A:$A,0)), 0), 0)</f>
        <v>0</v>
      </c>
      <c r="I1366" s="1">
        <f t="array" ref="I1366">IF(ISNUMBER(MATCH(47576,Max!$A:$A,0)), IF(OR(INDEX(Max!$D:$D,MATCH(47576,Max!$A:$A,0))=1, INDEX(Max!$D:$D,MATCH(47576,Max!$A:$A,0))=2), INDEX(Max!$D:$D,MATCH(47576,Max!$A:$A,0)), 0), 0)</f>
        <v>2</v>
      </c>
    </row>
    <row r="1367" spans="1:9" ht="15.75" customHeight="1" x14ac:dyDescent="0.2">
      <c r="A1367" s="1">
        <v>68902</v>
      </c>
      <c r="B1367" s="1" t="s">
        <v>3168</v>
      </c>
      <c r="C1367" s="1" t="s">
        <v>3169</v>
      </c>
      <c r="D1367" s="1" t="str">
        <f t="shared" si="5"/>
        <v>1</v>
      </c>
      <c r="E1367" s="1" t="s">
        <v>3170</v>
      </c>
      <c r="G1367" s="1">
        <f t="array" ref="G1367">IF(ISNUMBER(MATCH(68902,Camille!$A:$A,0)), IF(OR(INDEX(Camille!$D:$D,MATCH(68902,Camille!$A:$A,0))=1, INDEX(Camille!$D:$D,MATCH(68902,Camille!$A:$A,0))=2), INDEX(Camille!$D:$D,MATCH(68902,Camille!$A:$A,0)), 0), 0)</f>
        <v>0</v>
      </c>
      <c r="H1367" s="1">
        <f t="array" ref="H1367">IF(ISNUMBER(MATCH(68902,Telmo!$A:$A,0)), IF(OR(INDEX(Telmo!$D:$D,MATCH(68902,Telmo!$A:$A,0))=1, INDEX(Telmo!$D:$D,MATCH(68902,Telmo!$A:$A,0))=2), INDEX(Telmo!$D:$D,MATCH(68902,Telmo!$A:$A,0)), 0), 0)</f>
        <v>0</v>
      </c>
      <c r="I1367" s="1">
        <f t="array" ref="I1367">IF(ISNUMBER(MATCH(68902,Max!$A:$A,0)), IF(OR(INDEX(Max!$D:$D,MATCH(68902,Max!$A:$A,0))=1, INDEX(Max!$D:$D,MATCH(68902,Max!$A:$A,0))=2), INDEX(Max!$D:$D,MATCH(68902,Max!$A:$A,0)), 0), 0)</f>
        <v>1</v>
      </c>
    </row>
    <row r="1368" spans="1:9" ht="15.75" customHeight="1" x14ac:dyDescent="0.2">
      <c r="A1368" s="1">
        <v>36093</v>
      </c>
      <c r="B1368" s="1" t="s">
        <v>797</v>
      </c>
      <c r="C1368" s="1" t="s">
        <v>3171</v>
      </c>
      <c r="D1368" s="1" t="str">
        <f t="shared" si="5"/>
        <v>2</v>
      </c>
      <c r="E1368" s="1" t="s">
        <v>3172</v>
      </c>
      <c r="G1368" s="1">
        <f t="array" ref="G1368">IF(ISNUMBER(MATCH(36093,Camille!$A:$A,0)), IF(OR(INDEX(Camille!$D:$D,MATCH(36093,Camille!$A:$A,0))=1, INDEX(Camille!$D:$D,MATCH(36093,Camille!$A:$A,0))=2), INDEX(Camille!$D:$D,MATCH(36093,Camille!$A:$A,0)), 0), 0)</f>
        <v>0</v>
      </c>
      <c r="H1368" s="1">
        <f t="array" ref="H1368">IF(ISNUMBER(MATCH(36093,Telmo!$A:$A,0)), IF(OR(INDEX(Telmo!$D:$D,MATCH(36093,Telmo!$A:$A,0))=1, INDEX(Telmo!$D:$D,MATCH(36093,Telmo!$A:$A,0))=2), INDEX(Telmo!$D:$D,MATCH(36093,Telmo!$A:$A,0)), 0), 0)</f>
        <v>0</v>
      </c>
      <c r="I1368" s="1">
        <f t="array" ref="I1368">IF(ISNUMBER(MATCH(36093,Max!$A:$A,0)), IF(OR(INDEX(Max!$D:$D,MATCH(36093,Max!$A:$A,0))=1, INDEX(Max!$D:$D,MATCH(36093,Max!$A:$A,0))=2), INDEX(Max!$D:$D,MATCH(36093,Max!$A:$A,0)), 0), 0)</f>
        <v>2</v>
      </c>
    </row>
    <row r="1369" spans="1:9" ht="15.75" customHeight="1" x14ac:dyDescent="0.2">
      <c r="A1369" s="1">
        <v>56130</v>
      </c>
      <c r="B1369" s="1" t="s">
        <v>11</v>
      </c>
      <c r="C1369" s="1" t="s">
        <v>3173</v>
      </c>
      <c r="D1369" s="1" t="str">
        <f t="shared" si="5"/>
        <v>1</v>
      </c>
      <c r="E1369" s="1" t="s">
        <v>3174</v>
      </c>
      <c r="G1369" s="1">
        <f t="array" ref="G1369">IF(ISNUMBER(MATCH(56130,Camille!$A:$A,0)), IF(OR(INDEX(Camille!$D:$D,MATCH(56130,Camille!$A:$A,0))=1, INDEX(Camille!$D:$D,MATCH(56130,Camille!$A:$A,0))=2), INDEX(Camille!$D:$D,MATCH(56130,Camille!$A:$A,0)), 0), 0)</f>
        <v>0</v>
      </c>
      <c r="H1369" s="1">
        <f t="array" ref="H1369">IF(ISNUMBER(MATCH(56130,Telmo!$A:$A,0)), IF(OR(INDEX(Telmo!$D:$D,MATCH(56130,Telmo!$A:$A,0))=1, INDEX(Telmo!$D:$D,MATCH(56130,Telmo!$A:$A,0))=2), INDEX(Telmo!$D:$D,MATCH(56130,Telmo!$A:$A,0)), 0), 0)</f>
        <v>0</v>
      </c>
      <c r="I1369" s="1">
        <f t="array" ref="I1369">IF(ISNUMBER(MATCH(56130,Max!$A:$A,0)), IF(OR(INDEX(Max!$D:$D,MATCH(56130,Max!$A:$A,0))=1, INDEX(Max!$D:$D,MATCH(56130,Max!$A:$A,0))=2), INDEX(Max!$D:$D,MATCH(56130,Max!$A:$A,0)), 0), 0)</f>
        <v>1</v>
      </c>
    </row>
    <row r="1370" spans="1:9" ht="15.75" customHeight="1" x14ac:dyDescent="0.2">
      <c r="A1370" s="1">
        <v>13575</v>
      </c>
      <c r="B1370" s="1" t="s">
        <v>11</v>
      </c>
      <c r="C1370" s="1" t="s">
        <v>3175</v>
      </c>
      <c r="D1370" s="1" t="str">
        <f t="shared" si="5"/>
        <v>1</v>
      </c>
      <c r="E1370" s="1" t="s">
        <v>3176</v>
      </c>
      <c r="G1370" s="1">
        <f t="array" ref="G1370">IF(ISNUMBER(MATCH(13575,Camille!$A:$A,0)), IF(OR(INDEX(Camille!$D:$D,MATCH(13575,Camille!$A:$A,0))=1, INDEX(Camille!$D:$D,MATCH(13575,Camille!$A:$A,0))=2), INDEX(Camille!$D:$D,MATCH(13575,Camille!$A:$A,0)), 0), 0)</f>
        <v>0</v>
      </c>
      <c r="H1370" s="1">
        <f t="array" ref="H1370">IF(ISNUMBER(MATCH(13575,Telmo!$A:$A,0)), IF(OR(INDEX(Telmo!$D:$D,MATCH(13575,Telmo!$A:$A,0))=1, INDEX(Telmo!$D:$D,MATCH(13575,Telmo!$A:$A,0))=2), INDEX(Telmo!$D:$D,MATCH(13575,Telmo!$A:$A,0)), 0), 0)</f>
        <v>0</v>
      </c>
      <c r="I1370" s="1">
        <f t="array" ref="I1370">IF(ISNUMBER(MATCH(13575,Max!$A:$A,0)), IF(OR(INDEX(Max!$D:$D,MATCH(13575,Max!$A:$A,0))=1, INDEX(Max!$D:$D,MATCH(13575,Max!$A:$A,0))=2), INDEX(Max!$D:$D,MATCH(13575,Max!$A:$A,0)), 0), 0)</f>
        <v>1</v>
      </c>
    </row>
    <row r="1371" spans="1:9" ht="15.75" customHeight="1" x14ac:dyDescent="0.2">
      <c r="A1371" s="1">
        <v>21321</v>
      </c>
      <c r="B1371" s="1" t="s">
        <v>1075</v>
      </c>
      <c r="C1371" s="1" t="s">
        <v>3177</v>
      </c>
      <c r="D1371" s="1" t="str">
        <f t="shared" si="5"/>
        <v>1</v>
      </c>
      <c r="E1371" s="1" t="s">
        <v>3178</v>
      </c>
      <c r="G1371" s="1">
        <f t="array" ref="G1371">IF(ISNUMBER(MATCH(21321,Camille!$A:$A,0)), IF(OR(INDEX(Camille!$D:$D,MATCH(21321,Camille!$A:$A,0))=1, INDEX(Camille!$D:$D,MATCH(21321,Camille!$A:$A,0))=2), INDEX(Camille!$D:$D,MATCH(21321,Camille!$A:$A,0)), 0), 0)</f>
        <v>0</v>
      </c>
      <c r="H1371" s="1">
        <f t="array" ref="H1371">IF(ISNUMBER(MATCH(21321,Telmo!$A:$A,0)), IF(OR(INDEX(Telmo!$D:$D,MATCH(21321,Telmo!$A:$A,0))=1, INDEX(Telmo!$D:$D,MATCH(21321,Telmo!$A:$A,0))=2), INDEX(Telmo!$D:$D,MATCH(21321,Telmo!$A:$A,0)), 0), 0)</f>
        <v>0</v>
      </c>
      <c r="I1371" s="1">
        <f t="array" ref="I1371">IF(ISNUMBER(MATCH(21321,Max!$A:$A,0)), IF(OR(INDEX(Max!$D:$D,MATCH(21321,Max!$A:$A,0))=1, INDEX(Max!$D:$D,MATCH(21321,Max!$A:$A,0))=2), INDEX(Max!$D:$D,MATCH(21321,Max!$A:$A,0)), 0), 0)</f>
        <v>1</v>
      </c>
    </row>
    <row r="1372" spans="1:9" ht="15.75" customHeight="1" x14ac:dyDescent="0.2">
      <c r="A1372" s="1">
        <v>12303</v>
      </c>
      <c r="B1372" s="1" t="s">
        <v>32</v>
      </c>
      <c r="C1372" s="1" t="s">
        <v>3179</v>
      </c>
      <c r="D1372" s="1" t="str">
        <f t="shared" si="5"/>
        <v>1</v>
      </c>
      <c r="E1372" s="1" t="s">
        <v>3180</v>
      </c>
      <c r="G1372" s="1">
        <f t="array" ref="G1372">IF(ISNUMBER(MATCH(12303,Camille!$A:$A,0)), IF(OR(INDEX(Camille!$D:$D,MATCH(12303,Camille!$A:$A,0))=1, INDEX(Camille!$D:$D,MATCH(12303,Camille!$A:$A,0))=2), INDEX(Camille!$D:$D,MATCH(12303,Camille!$A:$A,0)), 0), 0)</f>
        <v>0</v>
      </c>
      <c r="H1372" s="1">
        <f t="array" ref="H1372">IF(ISNUMBER(MATCH(12303,Telmo!$A:$A,0)), IF(OR(INDEX(Telmo!$D:$D,MATCH(12303,Telmo!$A:$A,0))=1, INDEX(Telmo!$D:$D,MATCH(12303,Telmo!$A:$A,0))=2), INDEX(Telmo!$D:$D,MATCH(12303,Telmo!$A:$A,0)), 0), 0)</f>
        <v>0</v>
      </c>
      <c r="I1372" s="1">
        <f t="array" ref="I1372">IF(ISNUMBER(MATCH(12303,Max!$A:$A,0)), IF(OR(INDEX(Max!$D:$D,MATCH(12303,Max!$A:$A,0))=1, INDEX(Max!$D:$D,MATCH(12303,Max!$A:$A,0))=2), INDEX(Max!$D:$D,MATCH(12303,Max!$A:$A,0)), 0), 0)</f>
        <v>1</v>
      </c>
    </row>
    <row r="1373" spans="1:9" ht="15.75" customHeight="1" x14ac:dyDescent="0.2">
      <c r="A1373" s="1">
        <v>8549</v>
      </c>
      <c r="B1373" s="1" t="s">
        <v>191</v>
      </c>
      <c r="C1373" s="1" t="s">
        <v>3181</v>
      </c>
      <c r="D1373" s="1" t="str">
        <f t="shared" si="5"/>
        <v>2</v>
      </c>
      <c r="E1373" s="1" t="s">
        <v>3182</v>
      </c>
      <c r="G1373" s="1">
        <f t="array" ref="G1373">IF(ISNUMBER(MATCH(8549,Camille!$A:$A,0)), IF(OR(INDEX(Camille!$D:$D,MATCH(8549,Camille!$A:$A,0))=1, INDEX(Camille!$D:$D,MATCH(8549,Camille!$A:$A,0))=2), INDEX(Camille!$D:$D,MATCH(8549,Camille!$A:$A,0)), 0), 0)</f>
        <v>0</v>
      </c>
      <c r="H1373" s="1">
        <f t="array" ref="H1373">IF(ISNUMBER(MATCH(8549,Telmo!$A:$A,0)), IF(OR(INDEX(Telmo!$D:$D,MATCH(8549,Telmo!$A:$A,0))=1, INDEX(Telmo!$D:$D,MATCH(8549,Telmo!$A:$A,0))=2), INDEX(Telmo!$D:$D,MATCH(8549,Telmo!$A:$A,0)), 0), 0)</f>
        <v>0</v>
      </c>
      <c r="I1373" s="1">
        <f t="array" ref="I1373">IF(ISNUMBER(MATCH(8549,Max!$A:$A,0)), IF(OR(INDEX(Max!$D:$D,MATCH(8549,Max!$A:$A,0))=1, INDEX(Max!$D:$D,MATCH(8549,Max!$A:$A,0))=2), INDEX(Max!$D:$D,MATCH(8549,Max!$A:$A,0)), 0), 0)</f>
        <v>2</v>
      </c>
    </row>
    <row r="1374" spans="1:9" ht="15.75" customHeight="1" x14ac:dyDescent="0.2">
      <c r="A1374" s="1">
        <v>9194</v>
      </c>
      <c r="B1374" s="1" t="s">
        <v>490</v>
      </c>
      <c r="C1374" s="1" t="s">
        <v>3183</v>
      </c>
      <c r="D1374" s="1" t="str">
        <f t="shared" si="5"/>
        <v>2</v>
      </c>
      <c r="E1374" s="1" t="s">
        <v>3184</v>
      </c>
      <c r="G1374" s="1">
        <f t="array" ref="G1374">IF(ISNUMBER(MATCH(9194,Camille!$A:$A,0)), IF(OR(INDEX(Camille!$D:$D,MATCH(9194,Camille!$A:$A,0))=1, INDEX(Camille!$D:$D,MATCH(9194,Camille!$A:$A,0))=2), INDEX(Camille!$D:$D,MATCH(9194,Camille!$A:$A,0)), 0), 0)</f>
        <v>0</v>
      </c>
      <c r="H1374" s="1">
        <f t="array" ref="H1374">IF(ISNUMBER(MATCH(9194,Telmo!$A:$A,0)), IF(OR(INDEX(Telmo!$D:$D,MATCH(9194,Telmo!$A:$A,0))=1, INDEX(Telmo!$D:$D,MATCH(9194,Telmo!$A:$A,0))=2), INDEX(Telmo!$D:$D,MATCH(9194,Telmo!$A:$A,0)), 0), 0)</f>
        <v>0</v>
      </c>
      <c r="I1374" s="1">
        <f t="array" ref="I1374">IF(ISNUMBER(MATCH(9194,Max!$A:$A,0)), IF(OR(INDEX(Max!$D:$D,MATCH(9194,Max!$A:$A,0))=1, INDEX(Max!$D:$D,MATCH(9194,Max!$A:$A,0))=2), INDEX(Max!$D:$D,MATCH(9194,Max!$A:$A,0)), 0), 0)</f>
        <v>2</v>
      </c>
    </row>
    <row r="1375" spans="1:9" ht="15.75" customHeight="1" x14ac:dyDescent="0.2">
      <c r="A1375" s="1">
        <v>54703</v>
      </c>
      <c r="B1375" s="1" t="s">
        <v>969</v>
      </c>
      <c r="C1375" s="1" t="s">
        <v>3185</v>
      </c>
      <c r="D1375" s="1" t="str">
        <f t="shared" si="5"/>
        <v>2</v>
      </c>
      <c r="E1375" s="1" t="s">
        <v>3186</v>
      </c>
      <c r="G1375" s="1">
        <f t="array" ref="G1375">IF(ISNUMBER(MATCH(54703,Camille!$A:$A,0)), IF(OR(INDEX(Camille!$D:$D,MATCH(54703,Camille!$A:$A,0))=1, INDEX(Camille!$D:$D,MATCH(54703,Camille!$A:$A,0))=2), INDEX(Camille!$D:$D,MATCH(54703,Camille!$A:$A,0)), 0), 0)</f>
        <v>0</v>
      </c>
      <c r="H1375" s="1">
        <f t="array" ref="H1375">IF(ISNUMBER(MATCH(54703,Telmo!$A:$A,0)), IF(OR(INDEX(Telmo!$D:$D,MATCH(54703,Telmo!$A:$A,0))=1, INDEX(Telmo!$D:$D,MATCH(54703,Telmo!$A:$A,0))=2), INDEX(Telmo!$D:$D,MATCH(54703,Telmo!$A:$A,0)), 0), 0)</f>
        <v>0</v>
      </c>
      <c r="I1375" s="1">
        <f t="array" ref="I1375">IF(ISNUMBER(MATCH(54703,Max!$A:$A,0)), IF(OR(INDEX(Max!$D:$D,MATCH(54703,Max!$A:$A,0))=1, INDEX(Max!$D:$D,MATCH(54703,Max!$A:$A,0))=2), INDEX(Max!$D:$D,MATCH(54703,Max!$A:$A,0)), 0), 0)</f>
        <v>2</v>
      </c>
    </row>
    <row r="1376" spans="1:9" ht="15.75" customHeight="1" x14ac:dyDescent="0.2">
      <c r="A1376" s="1">
        <v>34754</v>
      </c>
      <c r="B1376" s="1" t="s">
        <v>35</v>
      </c>
      <c r="C1376" s="1" t="s">
        <v>3187</v>
      </c>
      <c r="D1376" s="1" t="str">
        <f t="shared" si="5"/>
        <v>2</v>
      </c>
      <c r="E1376" s="1" t="s">
        <v>3188</v>
      </c>
      <c r="G1376" s="1">
        <f t="array" ref="G1376">IF(ISNUMBER(MATCH(34754,Camille!$A:$A,0)), IF(OR(INDEX(Camille!$D:$D,MATCH(34754,Camille!$A:$A,0))=1, INDEX(Camille!$D:$D,MATCH(34754,Camille!$A:$A,0))=2), INDEX(Camille!$D:$D,MATCH(34754,Camille!$A:$A,0)), 0), 0)</f>
        <v>0</v>
      </c>
      <c r="H1376" s="1">
        <f t="array" ref="H1376">IF(ISNUMBER(MATCH(34754,Telmo!$A:$A,0)), IF(OR(INDEX(Telmo!$D:$D,MATCH(34754,Telmo!$A:$A,0))=1, INDEX(Telmo!$D:$D,MATCH(34754,Telmo!$A:$A,0))=2), INDEX(Telmo!$D:$D,MATCH(34754,Telmo!$A:$A,0)), 0), 0)</f>
        <v>0</v>
      </c>
      <c r="I1376" s="1">
        <f t="array" ref="I1376">IF(ISNUMBER(MATCH(34754,Max!$A:$A,0)), IF(OR(INDEX(Max!$D:$D,MATCH(34754,Max!$A:$A,0))=1, INDEX(Max!$D:$D,MATCH(34754,Max!$A:$A,0))=2), INDEX(Max!$D:$D,MATCH(34754,Max!$A:$A,0)), 0), 0)</f>
        <v>2</v>
      </c>
    </row>
    <row r="1377" spans="1:9" ht="15.75" customHeight="1" x14ac:dyDescent="0.2">
      <c r="A1377" s="1">
        <v>36293</v>
      </c>
      <c r="B1377" s="1" t="s">
        <v>3189</v>
      </c>
      <c r="C1377" s="1" t="s">
        <v>3190</v>
      </c>
      <c r="D1377" s="1" t="str">
        <f t="shared" si="5"/>
        <v>1</v>
      </c>
      <c r="E1377" s="1" t="s">
        <v>3191</v>
      </c>
      <c r="G1377" s="1">
        <f t="array" ref="G1377">IF(ISNUMBER(MATCH(36293,Camille!$A:$A,0)), IF(OR(INDEX(Camille!$D:$D,MATCH(36293,Camille!$A:$A,0))=1, INDEX(Camille!$D:$D,MATCH(36293,Camille!$A:$A,0))=2), INDEX(Camille!$D:$D,MATCH(36293,Camille!$A:$A,0)), 0), 0)</f>
        <v>0</v>
      </c>
      <c r="H1377" s="1">
        <f t="array" ref="H1377">IF(ISNUMBER(MATCH(36293,Telmo!$A:$A,0)), IF(OR(INDEX(Telmo!$D:$D,MATCH(36293,Telmo!$A:$A,0))=1, INDEX(Telmo!$D:$D,MATCH(36293,Telmo!$A:$A,0))=2), INDEX(Telmo!$D:$D,MATCH(36293,Telmo!$A:$A,0)), 0), 0)</f>
        <v>0</v>
      </c>
      <c r="I1377" s="1">
        <f t="array" ref="I1377">IF(ISNUMBER(MATCH(36293,Max!$A:$A,0)), IF(OR(INDEX(Max!$D:$D,MATCH(36293,Max!$A:$A,0))=1, INDEX(Max!$D:$D,MATCH(36293,Max!$A:$A,0))=2), INDEX(Max!$D:$D,MATCH(36293,Max!$A:$A,0)), 0), 0)</f>
        <v>1</v>
      </c>
    </row>
    <row r="1378" spans="1:9" ht="15.75" customHeight="1" x14ac:dyDescent="0.2">
      <c r="A1378" s="1">
        <v>4756</v>
      </c>
      <c r="B1378" s="1" t="s">
        <v>3192</v>
      </c>
      <c r="C1378" s="1" t="s">
        <v>3193</v>
      </c>
      <c r="D1378" s="1" t="str">
        <f t="shared" si="5"/>
        <v>1</v>
      </c>
      <c r="E1378" s="1" t="s">
        <v>3194</v>
      </c>
      <c r="G1378" s="1">
        <f t="array" ref="G1378">IF(ISNUMBER(MATCH(4756,Camille!$A:$A,0)), IF(OR(INDEX(Camille!$D:$D,MATCH(4756,Camille!$A:$A,0))=1, INDEX(Camille!$D:$D,MATCH(4756,Camille!$A:$A,0))=2), INDEX(Camille!$D:$D,MATCH(4756,Camille!$A:$A,0)), 0), 0)</f>
        <v>0</v>
      </c>
      <c r="H1378" s="1">
        <f t="array" ref="H1378">IF(ISNUMBER(MATCH(4756,Telmo!$A:$A,0)), IF(OR(INDEX(Telmo!$D:$D,MATCH(4756,Telmo!$A:$A,0))=1, INDEX(Telmo!$D:$D,MATCH(4756,Telmo!$A:$A,0))=2), INDEX(Telmo!$D:$D,MATCH(4756,Telmo!$A:$A,0)), 0), 0)</f>
        <v>0</v>
      </c>
      <c r="I1378" s="1">
        <f t="array" ref="I1378">IF(ISNUMBER(MATCH(4756,Max!$A:$A,0)), IF(OR(INDEX(Max!$D:$D,MATCH(4756,Max!$A:$A,0))=1, INDEX(Max!$D:$D,MATCH(4756,Max!$A:$A,0))=2), INDEX(Max!$D:$D,MATCH(4756,Max!$A:$A,0)), 0), 0)</f>
        <v>1</v>
      </c>
    </row>
    <row r="1379" spans="1:9" ht="15.75" customHeight="1" x14ac:dyDescent="0.2">
      <c r="A1379" s="1">
        <v>27129</v>
      </c>
      <c r="B1379" s="1" t="s">
        <v>14</v>
      </c>
      <c r="C1379" s="1" t="s">
        <v>3195</v>
      </c>
      <c r="D1379" s="1" t="str">
        <f t="shared" si="5"/>
        <v>2</v>
      </c>
      <c r="E1379" s="1" t="s">
        <v>3196</v>
      </c>
      <c r="G1379" s="1">
        <f t="array" ref="G1379">IF(ISNUMBER(MATCH(27129,Camille!$A:$A,0)), IF(OR(INDEX(Camille!$D:$D,MATCH(27129,Camille!$A:$A,0))=1, INDEX(Camille!$D:$D,MATCH(27129,Camille!$A:$A,0))=2), INDEX(Camille!$D:$D,MATCH(27129,Camille!$A:$A,0)), 0), 0)</f>
        <v>0</v>
      </c>
      <c r="H1379" s="1">
        <f t="array" ref="H1379">IF(ISNUMBER(MATCH(27129,Telmo!$A:$A,0)), IF(OR(INDEX(Telmo!$D:$D,MATCH(27129,Telmo!$A:$A,0))=1, INDEX(Telmo!$D:$D,MATCH(27129,Telmo!$A:$A,0))=2), INDEX(Telmo!$D:$D,MATCH(27129,Telmo!$A:$A,0)), 0), 0)</f>
        <v>0</v>
      </c>
      <c r="I1379" s="1">
        <f t="array" ref="I1379">IF(ISNUMBER(MATCH(27129,Max!$A:$A,0)), IF(OR(INDEX(Max!$D:$D,MATCH(27129,Max!$A:$A,0))=1, INDEX(Max!$D:$D,MATCH(27129,Max!$A:$A,0))=2), INDEX(Max!$D:$D,MATCH(27129,Max!$A:$A,0)), 0), 0)</f>
        <v>2</v>
      </c>
    </row>
    <row r="1380" spans="1:9" ht="15.75" customHeight="1" x14ac:dyDescent="0.2">
      <c r="A1380" s="1">
        <v>19761</v>
      </c>
      <c r="B1380" s="1" t="s">
        <v>268</v>
      </c>
      <c r="C1380" s="1" t="s">
        <v>3197</v>
      </c>
      <c r="D1380" s="1" t="str">
        <f t="shared" si="5"/>
        <v>2</v>
      </c>
      <c r="E1380" s="1" t="s">
        <v>3198</v>
      </c>
      <c r="G1380" s="1">
        <f t="array" ref="G1380">IF(ISNUMBER(MATCH(19761,Camille!$A:$A,0)), IF(OR(INDEX(Camille!$D:$D,MATCH(19761,Camille!$A:$A,0))=1, INDEX(Camille!$D:$D,MATCH(19761,Camille!$A:$A,0))=2), INDEX(Camille!$D:$D,MATCH(19761,Camille!$A:$A,0)), 0), 0)</f>
        <v>0</v>
      </c>
      <c r="H1380" s="1">
        <f t="array" ref="H1380">IF(ISNUMBER(MATCH(19761,Telmo!$A:$A,0)), IF(OR(INDEX(Telmo!$D:$D,MATCH(19761,Telmo!$A:$A,0))=1, INDEX(Telmo!$D:$D,MATCH(19761,Telmo!$A:$A,0))=2), INDEX(Telmo!$D:$D,MATCH(19761,Telmo!$A:$A,0)), 0), 0)</f>
        <v>0</v>
      </c>
      <c r="I1380" s="1">
        <f t="array" ref="I1380">IF(ISNUMBER(MATCH(19761,Max!$A:$A,0)), IF(OR(INDEX(Max!$D:$D,MATCH(19761,Max!$A:$A,0))=1, INDEX(Max!$D:$D,MATCH(19761,Max!$A:$A,0))=2), INDEX(Max!$D:$D,MATCH(19761,Max!$A:$A,0)), 0), 0)</f>
        <v>2</v>
      </c>
    </row>
    <row r="1381" spans="1:9" ht="15.75" customHeight="1" x14ac:dyDescent="0.2">
      <c r="A1381" s="1">
        <v>38527</v>
      </c>
      <c r="B1381" s="1" t="s">
        <v>23</v>
      </c>
      <c r="C1381" s="1" t="s">
        <v>3199</v>
      </c>
      <c r="D1381" s="1" t="str">
        <f t="shared" si="5"/>
        <v>2</v>
      </c>
      <c r="E1381" s="1" t="s">
        <v>3200</v>
      </c>
      <c r="G1381" s="1">
        <f t="array" ref="G1381">IF(ISNUMBER(MATCH(38527,Camille!$A:$A,0)), IF(OR(INDEX(Camille!$D:$D,MATCH(38527,Camille!$A:$A,0))=1, INDEX(Camille!$D:$D,MATCH(38527,Camille!$A:$A,0))=2), INDEX(Camille!$D:$D,MATCH(38527,Camille!$A:$A,0)), 0), 0)</f>
        <v>0</v>
      </c>
      <c r="H1381" s="1">
        <f t="array" ref="H1381">IF(ISNUMBER(MATCH(38527,Telmo!$A:$A,0)), IF(OR(INDEX(Telmo!$D:$D,MATCH(38527,Telmo!$A:$A,0))=1, INDEX(Telmo!$D:$D,MATCH(38527,Telmo!$A:$A,0))=2), INDEX(Telmo!$D:$D,MATCH(38527,Telmo!$A:$A,0)), 0), 0)</f>
        <v>0</v>
      </c>
      <c r="I1381" s="1">
        <f t="array" ref="I1381">IF(ISNUMBER(MATCH(38527,Max!$A:$A,0)), IF(OR(INDEX(Max!$D:$D,MATCH(38527,Max!$A:$A,0))=1, INDEX(Max!$D:$D,MATCH(38527,Max!$A:$A,0))=2), INDEX(Max!$D:$D,MATCH(38527,Max!$A:$A,0)), 0), 0)</f>
        <v>2</v>
      </c>
    </row>
    <row r="1382" spans="1:9" ht="15.75" customHeight="1" x14ac:dyDescent="0.2">
      <c r="A1382" s="1">
        <v>45497</v>
      </c>
      <c r="B1382" s="1" t="s">
        <v>3201</v>
      </c>
      <c r="C1382" s="1" t="s">
        <v>3202</v>
      </c>
      <c r="D1382" s="1" t="str">
        <f t="shared" si="5"/>
        <v>2</v>
      </c>
      <c r="E1382" s="1" t="s">
        <v>3203</v>
      </c>
      <c r="G1382" s="1">
        <f t="array" ref="G1382">IF(ISNUMBER(MATCH(45497,Camille!$A:$A,0)), IF(OR(INDEX(Camille!$D:$D,MATCH(45497,Camille!$A:$A,0))=1, INDEX(Camille!$D:$D,MATCH(45497,Camille!$A:$A,0))=2), INDEX(Camille!$D:$D,MATCH(45497,Camille!$A:$A,0)), 0), 0)</f>
        <v>0</v>
      </c>
      <c r="H1382" s="1">
        <f t="array" ref="H1382">IF(ISNUMBER(MATCH(45497,Telmo!$A:$A,0)), IF(OR(INDEX(Telmo!$D:$D,MATCH(45497,Telmo!$A:$A,0))=1, INDEX(Telmo!$D:$D,MATCH(45497,Telmo!$A:$A,0))=2), INDEX(Telmo!$D:$D,MATCH(45497,Telmo!$A:$A,0)), 0), 0)</f>
        <v>0</v>
      </c>
      <c r="I1382" s="1">
        <f t="array" ref="I1382">IF(ISNUMBER(MATCH(45497,Max!$A:$A,0)), IF(OR(INDEX(Max!$D:$D,MATCH(45497,Max!$A:$A,0))=1, INDEX(Max!$D:$D,MATCH(45497,Max!$A:$A,0))=2), INDEX(Max!$D:$D,MATCH(45497,Max!$A:$A,0)), 0), 0)</f>
        <v>2</v>
      </c>
    </row>
    <row r="1383" spans="1:9" ht="15.75" customHeight="1" x14ac:dyDescent="0.2">
      <c r="A1383" s="1">
        <v>1259</v>
      </c>
      <c r="B1383" s="1" t="s">
        <v>194</v>
      </c>
      <c r="C1383" s="1" t="s">
        <v>3204</v>
      </c>
      <c r="D1383" s="1" t="str">
        <f t="shared" si="5"/>
        <v>2</v>
      </c>
      <c r="E1383" s="1" t="s">
        <v>3205</v>
      </c>
      <c r="G1383" s="1">
        <f t="array" ref="G1383">IF(ISNUMBER(MATCH(1259,Camille!$A:$A,0)), IF(OR(INDEX(Camille!$D:$D,MATCH(1259,Camille!$A:$A,0))=1, INDEX(Camille!$D:$D,MATCH(1259,Camille!$A:$A,0))=2), INDEX(Camille!$D:$D,MATCH(1259,Camille!$A:$A,0)), 0), 0)</f>
        <v>0</v>
      </c>
      <c r="H1383" s="1">
        <f t="array" ref="H1383">IF(ISNUMBER(MATCH(1259,Telmo!$A:$A,0)), IF(OR(INDEX(Telmo!$D:$D,MATCH(1259,Telmo!$A:$A,0))=1, INDEX(Telmo!$D:$D,MATCH(1259,Telmo!$A:$A,0))=2), INDEX(Telmo!$D:$D,MATCH(1259,Telmo!$A:$A,0)), 0), 0)</f>
        <v>0</v>
      </c>
      <c r="I1383" s="1">
        <f t="array" ref="I1383">IF(ISNUMBER(MATCH(1259,Max!$A:$A,0)), IF(OR(INDEX(Max!$D:$D,MATCH(1259,Max!$A:$A,0))=1, INDEX(Max!$D:$D,MATCH(1259,Max!$A:$A,0))=2), INDEX(Max!$D:$D,MATCH(1259,Max!$A:$A,0)), 0), 0)</f>
        <v>2</v>
      </c>
    </row>
    <row r="1384" spans="1:9" ht="15.75" customHeight="1" x14ac:dyDescent="0.2">
      <c r="A1384" s="1">
        <v>49970</v>
      </c>
      <c r="B1384" s="1" t="s">
        <v>838</v>
      </c>
      <c r="C1384" s="1" t="s">
        <v>3206</v>
      </c>
      <c r="D1384" s="1" t="str">
        <f t="shared" si="5"/>
        <v>1</v>
      </c>
      <c r="E1384" s="1" t="s">
        <v>3207</v>
      </c>
      <c r="G1384" s="1">
        <f t="array" ref="G1384">IF(ISNUMBER(MATCH(49970,Camille!$A:$A,0)), IF(OR(INDEX(Camille!$D:$D,MATCH(49970,Camille!$A:$A,0))=1, INDEX(Camille!$D:$D,MATCH(49970,Camille!$A:$A,0))=2), INDEX(Camille!$D:$D,MATCH(49970,Camille!$A:$A,0)), 0), 0)</f>
        <v>0</v>
      </c>
      <c r="H1384" s="1">
        <f t="array" ref="H1384">IF(ISNUMBER(MATCH(49970,Telmo!$A:$A,0)), IF(OR(INDEX(Telmo!$D:$D,MATCH(49970,Telmo!$A:$A,0))=1, INDEX(Telmo!$D:$D,MATCH(49970,Telmo!$A:$A,0))=2), INDEX(Telmo!$D:$D,MATCH(49970,Telmo!$A:$A,0)), 0), 0)</f>
        <v>0</v>
      </c>
      <c r="I1384" s="1">
        <f t="array" ref="I1384">IF(ISNUMBER(MATCH(49970,Max!$A:$A,0)), IF(OR(INDEX(Max!$D:$D,MATCH(49970,Max!$A:$A,0))=1, INDEX(Max!$D:$D,MATCH(49970,Max!$A:$A,0))=2), INDEX(Max!$D:$D,MATCH(49970,Max!$A:$A,0)), 0), 0)</f>
        <v>1</v>
      </c>
    </row>
    <row r="1385" spans="1:9" ht="15.75" customHeight="1" x14ac:dyDescent="0.2">
      <c r="A1385" s="1">
        <v>10588</v>
      </c>
      <c r="B1385" s="1" t="s">
        <v>701</v>
      </c>
      <c r="C1385" s="1" t="s">
        <v>3208</v>
      </c>
      <c r="D1385" s="1" t="str">
        <f t="shared" si="5"/>
        <v>2</v>
      </c>
      <c r="E1385" s="1" t="s">
        <v>3209</v>
      </c>
      <c r="G1385" s="1">
        <f t="array" ref="G1385">IF(ISNUMBER(MATCH(10588,Camille!$A:$A,0)), IF(OR(INDEX(Camille!$D:$D,MATCH(10588,Camille!$A:$A,0))=1, INDEX(Camille!$D:$D,MATCH(10588,Camille!$A:$A,0))=2), INDEX(Camille!$D:$D,MATCH(10588,Camille!$A:$A,0)), 0), 0)</f>
        <v>0</v>
      </c>
      <c r="H1385" s="1">
        <f t="array" ref="H1385">IF(ISNUMBER(MATCH(10588,Telmo!$A:$A,0)), IF(OR(INDEX(Telmo!$D:$D,MATCH(10588,Telmo!$A:$A,0))=1, INDEX(Telmo!$D:$D,MATCH(10588,Telmo!$A:$A,0))=2), INDEX(Telmo!$D:$D,MATCH(10588,Telmo!$A:$A,0)), 0), 0)</f>
        <v>0</v>
      </c>
      <c r="I1385" s="1">
        <f t="array" ref="I1385">IF(ISNUMBER(MATCH(10588,Max!$A:$A,0)), IF(OR(INDEX(Max!$D:$D,MATCH(10588,Max!$A:$A,0))=1, INDEX(Max!$D:$D,MATCH(10588,Max!$A:$A,0))=2), INDEX(Max!$D:$D,MATCH(10588,Max!$A:$A,0)), 0), 0)</f>
        <v>2</v>
      </c>
    </row>
    <row r="1386" spans="1:9" ht="15.75" customHeight="1" x14ac:dyDescent="0.2">
      <c r="A1386" s="1">
        <v>68540</v>
      </c>
      <c r="B1386" s="1" t="s">
        <v>32</v>
      </c>
      <c r="C1386" s="1" t="s">
        <v>3210</v>
      </c>
      <c r="D1386" s="1" t="str">
        <f t="shared" si="5"/>
        <v>1</v>
      </c>
      <c r="E1386" s="1" t="s">
        <v>3211</v>
      </c>
      <c r="G1386" s="1">
        <f t="array" ref="G1386">IF(ISNUMBER(MATCH(68540,Camille!$A:$A,0)), IF(OR(INDEX(Camille!$D:$D,MATCH(68540,Camille!$A:$A,0))=1, INDEX(Camille!$D:$D,MATCH(68540,Camille!$A:$A,0))=2), INDEX(Camille!$D:$D,MATCH(68540,Camille!$A:$A,0)), 0), 0)</f>
        <v>0</v>
      </c>
      <c r="H1386" s="1">
        <f t="array" ref="H1386">IF(ISNUMBER(MATCH(68540,Telmo!$A:$A,0)), IF(OR(INDEX(Telmo!$D:$D,MATCH(68540,Telmo!$A:$A,0))=1, INDEX(Telmo!$D:$D,MATCH(68540,Telmo!$A:$A,0))=2), INDEX(Telmo!$D:$D,MATCH(68540,Telmo!$A:$A,0)), 0), 0)</f>
        <v>0</v>
      </c>
      <c r="I1386" s="1">
        <f t="array" ref="I1386">IF(ISNUMBER(MATCH(68540,Max!$A:$A,0)), IF(OR(INDEX(Max!$D:$D,MATCH(68540,Max!$A:$A,0))=1, INDEX(Max!$D:$D,MATCH(68540,Max!$A:$A,0))=2), INDEX(Max!$D:$D,MATCH(68540,Max!$A:$A,0)), 0), 0)</f>
        <v>1</v>
      </c>
    </row>
    <row r="1387" spans="1:9" ht="15.75" customHeight="1" x14ac:dyDescent="0.2">
      <c r="A1387" s="1">
        <v>55486</v>
      </c>
      <c r="B1387" s="1" t="s">
        <v>3212</v>
      </c>
      <c r="C1387" s="1" t="s">
        <v>3213</v>
      </c>
      <c r="D1387" s="1" t="str">
        <f t="shared" si="5"/>
        <v>2</v>
      </c>
      <c r="E1387" s="1" t="s">
        <v>3214</v>
      </c>
      <c r="G1387" s="1">
        <f t="array" ref="G1387">IF(ISNUMBER(MATCH(55486,Camille!$A:$A,0)), IF(OR(INDEX(Camille!$D:$D,MATCH(55486,Camille!$A:$A,0))=1, INDEX(Camille!$D:$D,MATCH(55486,Camille!$A:$A,0))=2), INDEX(Camille!$D:$D,MATCH(55486,Camille!$A:$A,0)), 0), 0)</f>
        <v>0</v>
      </c>
      <c r="H1387" s="1">
        <f t="array" ref="H1387">IF(ISNUMBER(MATCH(55486,Telmo!$A:$A,0)), IF(OR(INDEX(Telmo!$D:$D,MATCH(55486,Telmo!$A:$A,0))=1, INDEX(Telmo!$D:$D,MATCH(55486,Telmo!$A:$A,0))=2), INDEX(Telmo!$D:$D,MATCH(55486,Telmo!$A:$A,0)), 0), 0)</f>
        <v>0</v>
      </c>
      <c r="I1387" s="1">
        <f t="array" ref="I1387">IF(ISNUMBER(MATCH(55486,Max!$A:$A,0)), IF(OR(INDEX(Max!$D:$D,MATCH(55486,Max!$A:$A,0))=1, INDEX(Max!$D:$D,MATCH(55486,Max!$A:$A,0))=2), INDEX(Max!$D:$D,MATCH(55486,Max!$A:$A,0)), 0), 0)</f>
        <v>2</v>
      </c>
    </row>
    <row r="1388" spans="1:9" ht="15.75" customHeight="1" x14ac:dyDescent="0.2">
      <c r="A1388" s="1">
        <v>18031</v>
      </c>
      <c r="B1388" s="1" t="s">
        <v>863</v>
      </c>
      <c r="C1388" s="1" t="s">
        <v>3215</v>
      </c>
      <c r="D1388" s="1" t="str">
        <f t="shared" si="5"/>
        <v>1</v>
      </c>
      <c r="E1388" s="1" t="s">
        <v>3216</v>
      </c>
      <c r="G1388" s="1">
        <f t="array" ref="G1388">IF(ISNUMBER(MATCH(18031,Camille!$A:$A,0)), IF(OR(INDEX(Camille!$D:$D,MATCH(18031,Camille!$A:$A,0))=1, INDEX(Camille!$D:$D,MATCH(18031,Camille!$A:$A,0))=2), INDEX(Camille!$D:$D,MATCH(18031,Camille!$A:$A,0)), 0), 0)</f>
        <v>0</v>
      </c>
      <c r="H1388" s="1">
        <f t="array" ref="H1388">IF(ISNUMBER(MATCH(18031,Telmo!$A:$A,0)), IF(OR(INDEX(Telmo!$D:$D,MATCH(18031,Telmo!$A:$A,0))=1, INDEX(Telmo!$D:$D,MATCH(18031,Telmo!$A:$A,0))=2), INDEX(Telmo!$D:$D,MATCH(18031,Telmo!$A:$A,0)), 0), 0)</f>
        <v>0</v>
      </c>
      <c r="I1388" s="1">
        <f t="array" ref="I1388">IF(ISNUMBER(MATCH(18031,Max!$A:$A,0)), IF(OR(INDEX(Max!$D:$D,MATCH(18031,Max!$A:$A,0))=1, INDEX(Max!$D:$D,MATCH(18031,Max!$A:$A,0))=2), INDEX(Max!$D:$D,MATCH(18031,Max!$A:$A,0)), 0), 0)</f>
        <v>1</v>
      </c>
    </row>
    <row r="1389" spans="1:9" ht="15.75" customHeight="1" x14ac:dyDescent="0.2">
      <c r="A1389" s="1">
        <v>15234</v>
      </c>
      <c r="B1389" s="1" t="s">
        <v>552</v>
      </c>
      <c r="C1389" s="1" t="s">
        <v>3217</v>
      </c>
      <c r="D1389" s="1" t="str">
        <f t="shared" si="5"/>
        <v>1</v>
      </c>
      <c r="E1389" s="1" t="s">
        <v>3218</v>
      </c>
      <c r="G1389" s="1">
        <f t="array" ref="G1389">IF(ISNUMBER(MATCH(15234,Camille!$A:$A,0)), IF(OR(INDEX(Camille!$D:$D,MATCH(15234,Camille!$A:$A,0))=1, INDEX(Camille!$D:$D,MATCH(15234,Camille!$A:$A,0))=2), INDEX(Camille!$D:$D,MATCH(15234,Camille!$A:$A,0)), 0), 0)</f>
        <v>0</v>
      </c>
      <c r="H1389" s="1">
        <f t="array" ref="H1389">IF(ISNUMBER(MATCH(15234,Telmo!$A:$A,0)), IF(OR(INDEX(Telmo!$D:$D,MATCH(15234,Telmo!$A:$A,0))=1, INDEX(Telmo!$D:$D,MATCH(15234,Telmo!$A:$A,0))=2), INDEX(Telmo!$D:$D,MATCH(15234,Telmo!$A:$A,0)), 0), 0)</f>
        <v>0</v>
      </c>
      <c r="I1389" s="1">
        <f t="array" ref="I1389">IF(ISNUMBER(MATCH(15234,Max!$A:$A,0)), IF(OR(INDEX(Max!$D:$D,MATCH(15234,Max!$A:$A,0))=1, INDEX(Max!$D:$D,MATCH(15234,Max!$A:$A,0))=2), INDEX(Max!$D:$D,MATCH(15234,Max!$A:$A,0)), 0), 0)</f>
        <v>1</v>
      </c>
    </row>
    <row r="1390" spans="1:9" ht="15.75" customHeight="1" x14ac:dyDescent="0.2">
      <c r="A1390" s="1">
        <v>53920</v>
      </c>
      <c r="B1390" s="1" t="s">
        <v>1175</v>
      </c>
      <c r="C1390" s="1" t="s">
        <v>3219</v>
      </c>
      <c r="D1390" s="1" t="str">
        <f t="shared" si="5"/>
        <v>2</v>
      </c>
      <c r="E1390" s="1" t="s">
        <v>3220</v>
      </c>
      <c r="G1390" s="1">
        <f t="array" ref="G1390">IF(ISNUMBER(MATCH(53920,Camille!$A:$A,0)), IF(OR(INDEX(Camille!$D:$D,MATCH(53920,Camille!$A:$A,0))=1, INDEX(Camille!$D:$D,MATCH(53920,Camille!$A:$A,0))=2), INDEX(Camille!$D:$D,MATCH(53920,Camille!$A:$A,0)), 0), 0)</f>
        <v>0</v>
      </c>
      <c r="H1390" s="1">
        <f t="array" ref="H1390">IF(ISNUMBER(MATCH(53920,Telmo!$A:$A,0)), IF(OR(INDEX(Telmo!$D:$D,MATCH(53920,Telmo!$A:$A,0))=1, INDEX(Telmo!$D:$D,MATCH(53920,Telmo!$A:$A,0))=2), INDEX(Telmo!$D:$D,MATCH(53920,Telmo!$A:$A,0)), 0), 0)</f>
        <v>0</v>
      </c>
      <c r="I1390" s="1">
        <f t="array" ref="I1390">IF(ISNUMBER(MATCH(53920,Max!$A:$A,0)), IF(OR(INDEX(Max!$D:$D,MATCH(53920,Max!$A:$A,0))=1, INDEX(Max!$D:$D,MATCH(53920,Max!$A:$A,0))=2), INDEX(Max!$D:$D,MATCH(53920,Max!$A:$A,0)), 0), 0)</f>
        <v>2</v>
      </c>
    </row>
    <row r="1391" spans="1:9" ht="15.75" customHeight="1" x14ac:dyDescent="0.2">
      <c r="A1391" s="1">
        <v>17329</v>
      </c>
      <c r="B1391" s="1" t="s">
        <v>35</v>
      </c>
      <c r="C1391" s="1" t="s">
        <v>3221</v>
      </c>
      <c r="D1391" s="1" t="str">
        <f t="shared" si="5"/>
        <v>2</v>
      </c>
      <c r="E1391" s="1" t="s">
        <v>3222</v>
      </c>
      <c r="G1391" s="1">
        <f t="array" ref="G1391">IF(ISNUMBER(MATCH(17329,Camille!$A:$A,0)), IF(OR(INDEX(Camille!$D:$D,MATCH(17329,Camille!$A:$A,0))=1, INDEX(Camille!$D:$D,MATCH(17329,Camille!$A:$A,0))=2), INDEX(Camille!$D:$D,MATCH(17329,Camille!$A:$A,0)), 0), 0)</f>
        <v>0</v>
      </c>
      <c r="H1391" s="1">
        <f t="array" ref="H1391">IF(ISNUMBER(MATCH(17329,Telmo!$A:$A,0)), IF(OR(INDEX(Telmo!$D:$D,MATCH(17329,Telmo!$A:$A,0))=1, INDEX(Telmo!$D:$D,MATCH(17329,Telmo!$A:$A,0))=2), INDEX(Telmo!$D:$D,MATCH(17329,Telmo!$A:$A,0)), 0), 0)</f>
        <v>0</v>
      </c>
      <c r="I1391" s="1">
        <f t="array" ref="I1391">IF(ISNUMBER(MATCH(17329,Max!$A:$A,0)), IF(OR(INDEX(Max!$D:$D,MATCH(17329,Max!$A:$A,0))=1, INDEX(Max!$D:$D,MATCH(17329,Max!$A:$A,0))=2), INDEX(Max!$D:$D,MATCH(17329,Max!$A:$A,0)), 0), 0)</f>
        <v>2</v>
      </c>
    </row>
    <row r="1392" spans="1:9" ht="15.75" customHeight="1" x14ac:dyDescent="0.2">
      <c r="A1392" s="1">
        <v>18996</v>
      </c>
      <c r="B1392" s="1" t="s">
        <v>2957</v>
      </c>
      <c r="C1392" s="1" t="s">
        <v>3223</v>
      </c>
      <c r="D1392" s="1" t="str">
        <f t="shared" si="5"/>
        <v>1</v>
      </c>
      <c r="E1392" s="1" t="s">
        <v>3224</v>
      </c>
      <c r="G1392" s="1">
        <f t="array" ref="G1392">IF(ISNUMBER(MATCH(18996,Camille!$A:$A,0)), IF(OR(INDEX(Camille!$D:$D,MATCH(18996,Camille!$A:$A,0))=1, INDEX(Camille!$D:$D,MATCH(18996,Camille!$A:$A,0))=2), INDEX(Camille!$D:$D,MATCH(18996,Camille!$A:$A,0)), 0), 0)</f>
        <v>0</v>
      </c>
      <c r="H1392" s="1">
        <f t="array" ref="H1392">IF(ISNUMBER(MATCH(18996,Telmo!$A:$A,0)), IF(OR(INDEX(Telmo!$D:$D,MATCH(18996,Telmo!$A:$A,0))=1, INDEX(Telmo!$D:$D,MATCH(18996,Telmo!$A:$A,0))=2), INDEX(Telmo!$D:$D,MATCH(18996,Telmo!$A:$A,0)), 0), 0)</f>
        <v>0</v>
      </c>
      <c r="I1392" s="1">
        <f t="array" ref="I1392">IF(ISNUMBER(MATCH(18996,Max!$A:$A,0)), IF(OR(INDEX(Max!$D:$D,MATCH(18996,Max!$A:$A,0))=1, INDEX(Max!$D:$D,MATCH(18996,Max!$A:$A,0))=2), INDEX(Max!$D:$D,MATCH(18996,Max!$A:$A,0)), 0), 0)</f>
        <v>1</v>
      </c>
    </row>
    <row r="1393" spans="1:9" ht="15.75" customHeight="1" x14ac:dyDescent="0.2">
      <c r="A1393" s="1">
        <v>70823</v>
      </c>
      <c r="B1393" s="1" t="s">
        <v>3225</v>
      </c>
      <c r="C1393" s="1" t="s">
        <v>3226</v>
      </c>
      <c r="D1393" s="1" t="str">
        <f t="shared" si="5"/>
        <v>2</v>
      </c>
      <c r="E1393" s="1" t="s">
        <v>3227</v>
      </c>
      <c r="G1393" s="1">
        <f t="array" ref="G1393">IF(ISNUMBER(MATCH(70823,Camille!$A:$A,0)), IF(OR(INDEX(Camille!$D:$D,MATCH(70823,Camille!$A:$A,0))=1, INDEX(Camille!$D:$D,MATCH(70823,Camille!$A:$A,0))=2), INDEX(Camille!$D:$D,MATCH(70823,Camille!$A:$A,0)), 0), 0)</f>
        <v>0</v>
      </c>
      <c r="H1393" s="1">
        <f t="array" ref="H1393">IF(ISNUMBER(MATCH(70823,Telmo!$A:$A,0)), IF(OR(INDEX(Telmo!$D:$D,MATCH(70823,Telmo!$A:$A,0))=1, INDEX(Telmo!$D:$D,MATCH(70823,Telmo!$A:$A,0))=2), INDEX(Telmo!$D:$D,MATCH(70823,Telmo!$A:$A,0)), 0), 0)</f>
        <v>0</v>
      </c>
      <c r="I1393" s="1">
        <f t="array" ref="I1393">IF(ISNUMBER(MATCH(70823,Max!$A:$A,0)), IF(OR(INDEX(Max!$D:$D,MATCH(70823,Max!$A:$A,0))=1, INDEX(Max!$D:$D,MATCH(70823,Max!$A:$A,0))=2), INDEX(Max!$D:$D,MATCH(70823,Max!$A:$A,0)), 0), 0)</f>
        <v>2</v>
      </c>
    </row>
    <row r="1394" spans="1:9" ht="15.75" customHeight="1" x14ac:dyDescent="0.2">
      <c r="A1394" s="1">
        <v>46918</v>
      </c>
      <c r="B1394" s="1" t="s">
        <v>3228</v>
      </c>
      <c r="C1394" s="1" t="s">
        <v>3229</v>
      </c>
      <c r="D1394" s="1" t="str">
        <f t="shared" si="5"/>
        <v>2</v>
      </c>
      <c r="E1394" s="1" t="s">
        <v>3230</v>
      </c>
      <c r="G1394" s="1">
        <f t="array" ref="G1394">IF(ISNUMBER(MATCH(46918,Camille!$A:$A,0)), IF(OR(INDEX(Camille!$D:$D,MATCH(46918,Camille!$A:$A,0))=1, INDEX(Camille!$D:$D,MATCH(46918,Camille!$A:$A,0))=2), INDEX(Camille!$D:$D,MATCH(46918,Camille!$A:$A,0)), 0), 0)</f>
        <v>0</v>
      </c>
      <c r="H1394" s="1">
        <f t="array" ref="H1394">IF(ISNUMBER(MATCH(46918,Telmo!$A:$A,0)), IF(OR(INDEX(Telmo!$D:$D,MATCH(46918,Telmo!$A:$A,0))=1, INDEX(Telmo!$D:$D,MATCH(46918,Telmo!$A:$A,0))=2), INDEX(Telmo!$D:$D,MATCH(46918,Telmo!$A:$A,0)), 0), 0)</f>
        <v>0</v>
      </c>
      <c r="I1394" s="1">
        <f t="array" ref="I1394">IF(ISNUMBER(MATCH(46918,Max!$A:$A,0)), IF(OR(INDEX(Max!$D:$D,MATCH(46918,Max!$A:$A,0))=1, INDEX(Max!$D:$D,MATCH(46918,Max!$A:$A,0))=2), INDEX(Max!$D:$D,MATCH(46918,Max!$A:$A,0)), 0), 0)</f>
        <v>2</v>
      </c>
    </row>
    <row r="1395" spans="1:9" ht="15.75" customHeight="1" x14ac:dyDescent="0.2">
      <c r="A1395" s="1">
        <v>48158</v>
      </c>
      <c r="B1395" s="1" t="s">
        <v>533</v>
      </c>
      <c r="C1395" s="1" t="s">
        <v>3231</v>
      </c>
      <c r="D1395" s="1" t="str">
        <f t="shared" si="5"/>
        <v>2</v>
      </c>
      <c r="E1395" s="1" t="s">
        <v>3232</v>
      </c>
      <c r="G1395" s="1">
        <f t="array" ref="G1395">IF(ISNUMBER(MATCH(48158,Camille!$A:$A,0)), IF(OR(INDEX(Camille!$D:$D,MATCH(48158,Camille!$A:$A,0))=1, INDEX(Camille!$D:$D,MATCH(48158,Camille!$A:$A,0))=2), INDEX(Camille!$D:$D,MATCH(48158,Camille!$A:$A,0)), 0), 0)</f>
        <v>0</v>
      </c>
      <c r="H1395" s="1">
        <f t="array" ref="H1395">IF(ISNUMBER(MATCH(48158,Telmo!$A:$A,0)), IF(OR(INDEX(Telmo!$D:$D,MATCH(48158,Telmo!$A:$A,0))=1, INDEX(Telmo!$D:$D,MATCH(48158,Telmo!$A:$A,0))=2), INDEX(Telmo!$D:$D,MATCH(48158,Telmo!$A:$A,0)), 0), 0)</f>
        <v>0</v>
      </c>
      <c r="I1395" s="1">
        <f t="array" ref="I1395">IF(ISNUMBER(MATCH(48158,Max!$A:$A,0)), IF(OR(INDEX(Max!$D:$D,MATCH(48158,Max!$A:$A,0))=1, INDEX(Max!$D:$D,MATCH(48158,Max!$A:$A,0))=2), INDEX(Max!$D:$D,MATCH(48158,Max!$A:$A,0)), 0), 0)</f>
        <v>2</v>
      </c>
    </row>
    <row r="1396" spans="1:9" ht="15.75" customHeight="1" x14ac:dyDescent="0.2">
      <c r="A1396" s="1">
        <v>22323</v>
      </c>
      <c r="B1396" s="1" t="s">
        <v>1921</v>
      </c>
      <c r="C1396" s="1" t="s">
        <v>3233</v>
      </c>
      <c r="D1396" s="1" t="str">
        <f t="shared" si="5"/>
        <v>2</v>
      </c>
      <c r="E1396" s="1" t="s">
        <v>3234</v>
      </c>
      <c r="G1396" s="1">
        <f t="array" ref="G1396">IF(ISNUMBER(MATCH(22323,Camille!$A:$A,0)), IF(OR(INDEX(Camille!$D:$D,MATCH(22323,Camille!$A:$A,0))=1, INDEX(Camille!$D:$D,MATCH(22323,Camille!$A:$A,0))=2), INDEX(Camille!$D:$D,MATCH(22323,Camille!$A:$A,0)), 0), 0)</f>
        <v>0</v>
      </c>
      <c r="H1396" s="1">
        <f t="array" ref="H1396">IF(ISNUMBER(MATCH(22323,Telmo!$A:$A,0)), IF(OR(INDEX(Telmo!$D:$D,MATCH(22323,Telmo!$A:$A,0))=1, INDEX(Telmo!$D:$D,MATCH(22323,Telmo!$A:$A,0))=2), INDEX(Telmo!$D:$D,MATCH(22323,Telmo!$A:$A,0)), 0), 0)</f>
        <v>0</v>
      </c>
      <c r="I1396" s="1">
        <f t="array" ref="I1396">IF(ISNUMBER(MATCH(22323,Max!$A:$A,0)), IF(OR(INDEX(Max!$D:$D,MATCH(22323,Max!$A:$A,0))=1, INDEX(Max!$D:$D,MATCH(22323,Max!$A:$A,0))=2), INDEX(Max!$D:$D,MATCH(22323,Max!$A:$A,0)), 0), 0)</f>
        <v>2</v>
      </c>
    </row>
    <row r="1397" spans="1:9" ht="15.75" customHeight="1" x14ac:dyDescent="0.2">
      <c r="A1397" s="1">
        <v>18940</v>
      </c>
      <c r="B1397" s="1" t="s">
        <v>3235</v>
      </c>
      <c r="C1397" s="1" t="s">
        <v>3236</v>
      </c>
      <c r="D1397" s="1" t="str">
        <f t="shared" si="5"/>
        <v>2</v>
      </c>
      <c r="E1397" s="1" t="s">
        <v>3237</v>
      </c>
      <c r="G1397" s="1">
        <f t="array" ref="G1397">IF(ISNUMBER(MATCH(18940,Camille!$A:$A,0)), IF(OR(INDEX(Camille!$D:$D,MATCH(18940,Camille!$A:$A,0))=1, INDEX(Camille!$D:$D,MATCH(18940,Camille!$A:$A,0))=2), INDEX(Camille!$D:$D,MATCH(18940,Camille!$A:$A,0)), 0), 0)</f>
        <v>0</v>
      </c>
      <c r="H1397" s="1">
        <f t="array" ref="H1397">IF(ISNUMBER(MATCH(18940,Telmo!$A:$A,0)), IF(OR(INDEX(Telmo!$D:$D,MATCH(18940,Telmo!$A:$A,0))=1, INDEX(Telmo!$D:$D,MATCH(18940,Telmo!$A:$A,0))=2), INDEX(Telmo!$D:$D,MATCH(18940,Telmo!$A:$A,0)), 0), 0)</f>
        <v>0</v>
      </c>
      <c r="I1397" s="1">
        <f t="array" ref="I1397">IF(ISNUMBER(MATCH(18940,Max!$A:$A,0)), IF(OR(INDEX(Max!$D:$D,MATCH(18940,Max!$A:$A,0))=1, INDEX(Max!$D:$D,MATCH(18940,Max!$A:$A,0))=2), INDEX(Max!$D:$D,MATCH(18940,Max!$A:$A,0)), 0), 0)</f>
        <v>2</v>
      </c>
    </row>
    <row r="1398" spans="1:9" ht="15.75" customHeight="1" x14ac:dyDescent="0.2">
      <c r="A1398" s="1">
        <v>59434</v>
      </c>
      <c r="B1398" s="1" t="s">
        <v>11</v>
      </c>
      <c r="C1398" s="1" t="s">
        <v>3238</v>
      </c>
      <c r="D1398" s="1" t="str">
        <f t="shared" si="5"/>
        <v>2</v>
      </c>
      <c r="E1398" s="1" t="s">
        <v>3239</v>
      </c>
      <c r="G1398" s="1">
        <f t="array" ref="G1398">IF(ISNUMBER(MATCH(59434,Camille!$A:$A,0)), IF(OR(INDEX(Camille!$D:$D,MATCH(59434,Camille!$A:$A,0))=1, INDEX(Camille!$D:$D,MATCH(59434,Camille!$A:$A,0))=2), INDEX(Camille!$D:$D,MATCH(59434,Camille!$A:$A,0)), 0), 0)</f>
        <v>0</v>
      </c>
      <c r="H1398" s="1">
        <f t="array" ref="H1398">IF(ISNUMBER(MATCH(59434,Telmo!$A:$A,0)), IF(OR(INDEX(Telmo!$D:$D,MATCH(59434,Telmo!$A:$A,0))=1, INDEX(Telmo!$D:$D,MATCH(59434,Telmo!$A:$A,0))=2), INDEX(Telmo!$D:$D,MATCH(59434,Telmo!$A:$A,0)), 0), 0)</f>
        <v>0</v>
      </c>
      <c r="I1398" s="1">
        <f t="array" ref="I1398">IF(ISNUMBER(MATCH(59434,Max!$A:$A,0)), IF(OR(INDEX(Max!$D:$D,MATCH(59434,Max!$A:$A,0))=1, INDEX(Max!$D:$D,MATCH(59434,Max!$A:$A,0))=2), INDEX(Max!$D:$D,MATCH(59434,Max!$A:$A,0)), 0), 0)</f>
        <v>2</v>
      </c>
    </row>
    <row r="1399" spans="1:9" ht="15.75" customHeight="1" x14ac:dyDescent="0.2">
      <c r="A1399" s="1">
        <v>57105</v>
      </c>
      <c r="B1399" s="1" t="s">
        <v>3240</v>
      </c>
      <c r="C1399" s="1" t="s">
        <v>3241</v>
      </c>
      <c r="D1399" s="1" t="str">
        <f t="shared" si="5"/>
        <v>2</v>
      </c>
      <c r="E1399" s="1" t="s">
        <v>3242</v>
      </c>
      <c r="G1399" s="1">
        <f t="array" ref="G1399">IF(ISNUMBER(MATCH(57105,Camille!$A:$A,0)), IF(OR(INDEX(Camille!$D:$D,MATCH(57105,Camille!$A:$A,0))=1, INDEX(Camille!$D:$D,MATCH(57105,Camille!$A:$A,0))=2), INDEX(Camille!$D:$D,MATCH(57105,Camille!$A:$A,0)), 0), 0)</f>
        <v>0</v>
      </c>
      <c r="H1399" s="1">
        <f t="array" ref="H1399">IF(ISNUMBER(MATCH(57105,Telmo!$A:$A,0)), IF(OR(INDEX(Telmo!$D:$D,MATCH(57105,Telmo!$A:$A,0))=1, INDEX(Telmo!$D:$D,MATCH(57105,Telmo!$A:$A,0))=2), INDEX(Telmo!$D:$D,MATCH(57105,Telmo!$A:$A,0)), 0), 0)</f>
        <v>0</v>
      </c>
      <c r="I1399" s="1">
        <f t="array" ref="I1399">IF(ISNUMBER(MATCH(57105,Max!$A:$A,0)), IF(OR(INDEX(Max!$D:$D,MATCH(57105,Max!$A:$A,0))=1, INDEX(Max!$D:$D,MATCH(57105,Max!$A:$A,0))=2), INDEX(Max!$D:$D,MATCH(57105,Max!$A:$A,0)), 0), 0)</f>
        <v>2</v>
      </c>
    </row>
    <row r="1400" spans="1:9" ht="15.75" customHeight="1" x14ac:dyDescent="0.2">
      <c r="A1400" s="1">
        <v>6480</v>
      </c>
      <c r="B1400" s="1" t="s">
        <v>336</v>
      </c>
      <c r="C1400" s="1" t="s">
        <v>3243</v>
      </c>
      <c r="D1400" s="1" t="str">
        <f t="shared" si="5"/>
        <v>1</v>
      </c>
      <c r="E1400" s="1" t="s">
        <v>3244</v>
      </c>
      <c r="G1400" s="1">
        <f t="array" ref="G1400">IF(ISNUMBER(MATCH(6480,Camille!$A:$A,0)), IF(OR(INDEX(Camille!$D:$D,MATCH(6480,Camille!$A:$A,0))=1, INDEX(Camille!$D:$D,MATCH(6480,Camille!$A:$A,0))=2), INDEX(Camille!$D:$D,MATCH(6480,Camille!$A:$A,0)), 0), 0)</f>
        <v>0</v>
      </c>
      <c r="H1400" s="1">
        <f t="array" ref="H1400">IF(ISNUMBER(MATCH(6480,Telmo!$A:$A,0)), IF(OR(INDEX(Telmo!$D:$D,MATCH(6480,Telmo!$A:$A,0))=1, INDEX(Telmo!$D:$D,MATCH(6480,Telmo!$A:$A,0))=2), INDEX(Telmo!$D:$D,MATCH(6480,Telmo!$A:$A,0)), 0), 0)</f>
        <v>0</v>
      </c>
      <c r="I1400" s="1">
        <f t="array" ref="I1400">IF(ISNUMBER(MATCH(6480,Max!$A:$A,0)), IF(OR(INDEX(Max!$D:$D,MATCH(6480,Max!$A:$A,0))=1, INDEX(Max!$D:$D,MATCH(6480,Max!$A:$A,0))=2), INDEX(Max!$D:$D,MATCH(6480,Max!$A:$A,0)), 0), 0)</f>
        <v>1</v>
      </c>
    </row>
    <row r="1401" spans="1:9" ht="15.75" customHeight="1" x14ac:dyDescent="0.2">
      <c r="A1401" s="1">
        <v>46079</v>
      </c>
      <c r="B1401" s="1" t="s">
        <v>1347</v>
      </c>
      <c r="C1401" s="1" t="s">
        <v>3245</v>
      </c>
      <c r="D1401" s="1" t="str">
        <f t="shared" si="5"/>
        <v>1</v>
      </c>
      <c r="E1401" s="1" t="s">
        <v>3246</v>
      </c>
      <c r="G1401" s="1">
        <f t="array" ref="G1401">IF(ISNUMBER(MATCH(46079,Camille!$A:$A,0)), IF(OR(INDEX(Camille!$D:$D,MATCH(46079,Camille!$A:$A,0))=1, INDEX(Camille!$D:$D,MATCH(46079,Camille!$A:$A,0))=2), INDEX(Camille!$D:$D,MATCH(46079,Camille!$A:$A,0)), 0), 0)</f>
        <v>0</v>
      </c>
      <c r="H1401" s="1">
        <f t="array" ref="H1401">IF(ISNUMBER(MATCH(46079,Telmo!$A:$A,0)), IF(OR(INDEX(Telmo!$D:$D,MATCH(46079,Telmo!$A:$A,0))=1, INDEX(Telmo!$D:$D,MATCH(46079,Telmo!$A:$A,0))=2), INDEX(Telmo!$D:$D,MATCH(46079,Telmo!$A:$A,0)), 0), 0)</f>
        <v>0</v>
      </c>
      <c r="I1401" s="1">
        <f t="array" ref="I1401">IF(ISNUMBER(MATCH(46079,Max!$A:$A,0)), IF(OR(INDEX(Max!$D:$D,MATCH(46079,Max!$A:$A,0))=1, INDEX(Max!$D:$D,MATCH(46079,Max!$A:$A,0))=2), INDEX(Max!$D:$D,MATCH(46079,Max!$A:$A,0)), 0), 0)</f>
        <v>1</v>
      </c>
    </row>
    <row r="1402" spans="1:9" ht="15.75" customHeight="1" x14ac:dyDescent="0.2">
      <c r="A1402" s="1">
        <v>21347</v>
      </c>
      <c r="B1402" s="1" t="s">
        <v>32</v>
      </c>
      <c r="C1402" s="1" t="s">
        <v>3247</v>
      </c>
      <c r="D1402" s="1" t="str">
        <f t="shared" si="5"/>
        <v>1</v>
      </c>
      <c r="E1402" s="1" t="s">
        <v>3248</v>
      </c>
      <c r="G1402" s="1">
        <f t="array" ref="G1402">IF(ISNUMBER(MATCH(21347,Camille!$A:$A,0)), IF(OR(INDEX(Camille!$D:$D,MATCH(21347,Camille!$A:$A,0))=1, INDEX(Camille!$D:$D,MATCH(21347,Camille!$A:$A,0))=2), INDEX(Camille!$D:$D,MATCH(21347,Camille!$A:$A,0)), 0), 0)</f>
        <v>0</v>
      </c>
      <c r="H1402" s="1">
        <f t="array" ref="H1402">IF(ISNUMBER(MATCH(21347,Telmo!$A:$A,0)), IF(OR(INDEX(Telmo!$D:$D,MATCH(21347,Telmo!$A:$A,0))=1, INDEX(Telmo!$D:$D,MATCH(21347,Telmo!$A:$A,0))=2), INDEX(Telmo!$D:$D,MATCH(21347,Telmo!$A:$A,0)), 0), 0)</f>
        <v>0</v>
      </c>
      <c r="I1402" s="1">
        <f t="array" ref="I1402">IF(ISNUMBER(MATCH(21347,Max!$A:$A,0)), IF(OR(INDEX(Max!$D:$D,MATCH(21347,Max!$A:$A,0))=1, INDEX(Max!$D:$D,MATCH(21347,Max!$A:$A,0))=2), INDEX(Max!$D:$D,MATCH(21347,Max!$A:$A,0)), 0), 0)</f>
        <v>1</v>
      </c>
    </row>
    <row r="1403" spans="1:9" ht="15.75" customHeight="1" x14ac:dyDescent="0.2">
      <c r="A1403" s="1">
        <v>21122</v>
      </c>
      <c r="B1403" s="1" t="s">
        <v>32</v>
      </c>
      <c r="C1403" s="1" t="s">
        <v>3249</v>
      </c>
      <c r="D1403" s="1" t="str">
        <f t="shared" si="5"/>
        <v>2</v>
      </c>
      <c r="E1403" s="1" t="s">
        <v>3250</v>
      </c>
      <c r="G1403" s="1">
        <f t="array" ref="G1403">IF(ISNUMBER(MATCH(21122,Camille!$A:$A,0)), IF(OR(INDEX(Camille!$D:$D,MATCH(21122,Camille!$A:$A,0))=1, INDEX(Camille!$D:$D,MATCH(21122,Camille!$A:$A,0))=2), INDEX(Camille!$D:$D,MATCH(21122,Camille!$A:$A,0)), 0), 0)</f>
        <v>0</v>
      </c>
      <c r="H1403" s="1">
        <f t="array" ref="H1403">IF(ISNUMBER(MATCH(21122,Telmo!$A:$A,0)), IF(OR(INDEX(Telmo!$D:$D,MATCH(21122,Telmo!$A:$A,0))=1, INDEX(Telmo!$D:$D,MATCH(21122,Telmo!$A:$A,0))=2), INDEX(Telmo!$D:$D,MATCH(21122,Telmo!$A:$A,0)), 0), 0)</f>
        <v>0</v>
      </c>
      <c r="I1403" s="1">
        <f t="array" ref="I1403">IF(ISNUMBER(MATCH(21122,Max!$A:$A,0)), IF(OR(INDEX(Max!$D:$D,MATCH(21122,Max!$A:$A,0))=1, INDEX(Max!$D:$D,MATCH(21122,Max!$A:$A,0))=2), INDEX(Max!$D:$D,MATCH(21122,Max!$A:$A,0)), 0), 0)</f>
        <v>2</v>
      </c>
    </row>
    <row r="1404" spans="1:9" ht="15.75" customHeight="1" x14ac:dyDescent="0.2">
      <c r="A1404" s="1">
        <v>58286</v>
      </c>
      <c r="B1404" s="1" t="s">
        <v>1814</v>
      </c>
      <c r="C1404" s="1" t="s">
        <v>3251</v>
      </c>
      <c r="D1404" s="1" t="str">
        <f t="shared" si="5"/>
        <v>2</v>
      </c>
      <c r="E1404" s="1" t="s">
        <v>3252</v>
      </c>
      <c r="G1404" s="1">
        <f t="array" ref="G1404">IF(ISNUMBER(MATCH(58286,Camille!$A:$A,0)), IF(OR(INDEX(Camille!$D:$D,MATCH(58286,Camille!$A:$A,0))=1, INDEX(Camille!$D:$D,MATCH(58286,Camille!$A:$A,0))=2), INDEX(Camille!$D:$D,MATCH(58286,Camille!$A:$A,0)), 0), 0)</f>
        <v>0</v>
      </c>
      <c r="H1404" s="1">
        <f t="array" ref="H1404">IF(ISNUMBER(MATCH(58286,Telmo!$A:$A,0)), IF(OR(INDEX(Telmo!$D:$D,MATCH(58286,Telmo!$A:$A,0))=1, INDEX(Telmo!$D:$D,MATCH(58286,Telmo!$A:$A,0))=2), INDEX(Telmo!$D:$D,MATCH(58286,Telmo!$A:$A,0)), 0), 0)</f>
        <v>0</v>
      </c>
      <c r="I1404" s="1">
        <f t="array" ref="I1404">IF(ISNUMBER(MATCH(58286,Max!$A:$A,0)), IF(OR(INDEX(Max!$D:$D,MATCH(58286,Max!$A:$A,0))=1, INDEX(Max!$D:$D,MATCH(58286,Max!$A:$A,0))=2), INDEX(Max!$D:$D,MATCH(58286,Max!$A:$A,0)), 0), 0)</f>
        <v>2</v>
      </c>
    </row>
    <row r="1405" spans="1:9" ht="15.75" customHeight="1" x14ac:dyDescent="0.2">
      <c r="A1405" s="1">
        <v>49647</v>
      </c>
      <c r="B1405" s="1" t="s">
        <v>11</v>
      </c>
      <c r="C1405" s="1" t="s">
        <v>3253</v>
      </c>
      <c r="D1405" s="1" t="str">
        <f t="shared" si="5"/>
        <v>2</v>
      </c>
      <c r="E1405" s="1" t="s">
        <v>3254</v>
      </c>
      <c r="G1405" s="1">
        <f t="array" ref="G1405">IF(ISNUMBER(MATCH(49647,Camille!$A:$A,0)), IF(OR(INDEX(Camille!$D:$D,MATCH(49647,Camille!$A:$A,0))=1, INDEX(Camille!$D:$D,MATCH(49647,Camille!$A:$A,0))=2), INDEX(Camille!$D:$D,MATCH(49647,Camille!$A:$A,0)), 0), 0)</f>
        <v>0</v>
      </c>
      <c r="H1405" s="1">
        <f t="array" ref="H1405">IF(ISNUMBER(MATCH(49647,Telmo!$A:$A,0)), IF(OR(INDEX(Telmo!$D:$D,MATCH(49647,Telmo!$A:$A,0))=1, INDEX(Telmo!$D:$D,MATCH(49647,Telmo!$A:$A,0))=2), INDEX(Telmo!$D:$D,MATCH(49647,Telmo!$A:$A,0)), 0), 0)</f>
        <v>0</v>
      </c>
      <c r="I1405" s="1">
        <f t="array" ref="I1405">IF(ISNUMBER(MATCH(49647,Max!$A:$A,0)), IF(OR(INDEX(Max!$D:$D,MATCH(49647,Max!$A:$A,0))=1, INDEX(Max!$D:$D,MATCH(49647,Max!$A:$A,0))=2), INDEX(Max!$D:$D,MATCH(49647,Max!$A:$A,0)), 0), 0)</f>
        <v>2</v>
      </c>
    </row>
    <row r="1406" spans="1:9" ht="15.75" customHeight="1" x14ac:dyDescent="0.2">
      <c r="A1406" s="1">
        <v>3797</v>
      </c>
      <c r="B1406" s="1" t="s">
        <v>713</v>
      </c>
      <c r="C1406" s="1" t="s">
        <v>3255</v>
      </c>
      <c r="D1406" s="1" t="str">
        <f t="shared" si="5"/>
        <v>2</v>
      </c>
      <c r="E1406" s="1" t="s">
        <v>3256</v>
      </c>
      <c r="G1406" s="1">
        <f t="array" ref="G1406">IF(ISNUMBER(MATCH(3797,Camille!$A:$A,0)), IF(OR(INDEX(Camille!$D:$D,MATCH(3797,Camille!$A:$A,0))=1, INDEX(Camille!$D:$D,MATCH(3797,Camille!$A:$A,0))=2), INDEX(Camille!$D:$D,MATCH(3797,Camille!$A:$A,0)), 0), 0)</f>
        <v>0</v>
      </c>
      <c r="H1406" s="1">
        <f t="array" ref="H1406">IF(ISNUMBER(MATCH(3797,Telmo!$A:$A,0)), IF(OR(INDEX(Telmo!$D:$D,MATCH(3797,Telmo!$A:$A,0))=1, INDEX(Telmo!$D:$D,MATCH(3797,Telmo!$A:$A,0))=2), INDEX(Telmo!$D:$D,MATCH(3797,Telmo!$A:$A,0)), 0), 0)</f>
        <v>0</v>
      </c>
      <c r="I1406" s="1">
        <f t="array" ref="I1406">IF(ISNUMBER(MATCH(3797,Max!$A:$A,0)), IF(OR(INDEX(Max!$D:$D,MATCH(3797,Max!$A:$A,0))=1, INDEX(Max!$D:$D,MATCH(3797,Max!$A:$A,0))=2), INDEX(Max!$D:$D,MATCH(3797,Max!$A:$A,0)), 0), 0)</f>
        <v>2</v>
      </c>
    </row>
    <row r="1407" spans="1:9" ht="15.75" customHeight="1" x14ac:dyDescent="0.2">
      <c r="A1407" s="1">
        <v>48079</v>
      </c>
      <c r="B1407" s="1" t="s">
        <v>336</v>
      </c>
      <c r="C1407" s="1" t="s">
        <v>3257</v>
      </c>
      <c r="D1407" s="1" t="str">
        <f t="shared" si="5"/>
        <v>1</v>
      </c>
      <c r="E1407" s="1" t="s">
        <v>3258</v>
      </c>
      <c r="G1407" s="1">
        <f t="array" ref="G1407">IF(ISNUMBER(MATCH(48079,Camille!$A:$A,0)), IF(OR(INDEX(Camille!$D:$D,MATCH(48079,Camille!$A:$A,0))=1, INDEX(Camille!$D:$D,MATCH(48079,Camille!$A:$A,0))=2), INDEX(Camille!$D:$D,MATCH(48079,Camille!$A:$A,0)), 0), 0)</f>
        <v>0</v>
      </c>
      <c r="H1407" s="1">
        <f t="array" ref="H1407">IF(ISNUMBER(MATCH(48079,Telmo!$A:$A,0)), IF(OR(INDEX(Telmo!$D:$D,MATCH(48079,Telmo!$A:$A,0))=1, INDEX(Telmo!$D:$D,MATCH(48079,Telmo!$A:$A,0))=2), INDEX(Telmo!$D:$D,MATCH(48079,Telmo!$A:$A,0)), 0), 0)</f>
        <v>0</v>
      </c>
      <c r="I1407" s="1">
        <f t="array" ref="I1407">IF(ISNUMBER(MATCH(48079,Max!$A:$A,0)), IF(OR(INDEX(Max!$D:$D,MATCH(48079,Max!$A:$A,0))=1, INDEX(Max!$D:$D,MATCH(48079,Max!$A:$A,0))=2), INDEX(Max!$D:$D,MATCH(48079,Max!$A:$A,0)), 0), 0)</f>
        <v>1</v>
      </c>
    </row>
    <row r="1408" spans="1:9" ht="15.75" customHeight="1" x14ac:dyDescent="0.2">
      <c r="A1408" s="1">
        <v>7190</v>
      </c>
      <c r="B1408" s="1" t="s">
        <v>103</v>
      </c>
      <c r="C1408" s="1" t="s">
        <v>3259</v>
      </c>
      <c r="D1408" s="1" t="str">
        <f t="shared" si="5"/>
        <v>1</v>
      </c>
      <c r="E1408" s="1" t="s">
        <v>3260</v>
      </c>
      <c r="G1408" s="1">
        <f t="array" ref="G1408">IF(ISNUMBER(MATCH(7190,Camille!$A:$A,0)), IF(OR(INDEX(Camille!$D:$D,MATCH(7190,Camille!$A:$A,0))=1, INDEX(Camille!$D:$D,MATCH(7190,Camille!$A:$A,0))=2), INDEX(Camille!$D:$D,MATCH(7190,Camille!$A:$A,0)), 0), 0)</f>
        <v>0</v>
      </c>
      <c r="H1408" s="1">
        <f t="array" ref="H1408">IF(ISNUMBER(MATCH(7190,Telmo!$A:$A,0)), IF(OR(INDEX(Telmo!$D:$D,MATCH(7190,Telmo!$A:$A,0))=1, INDEX(Telmo!$D:$D,MATCH(7190,Telmo!$A:$A,0))=2), INDEX(Telmo!$D:$D,MATCH(7190,Telmo!$A:$A,0)), 0), 0)</f>
        <v>0</v>
      </c>
      <c r="I1408" s="1">
        <f t="array" ref="I1408">IF(ISNUMBER(MATCH(7190,Max!$A:$A,0)), IF(OR(INDEX(Max!$D:$D,MATCH(7190,Max!$A:$A,0))=1, INDEX(Max!$D:$D,MATCH(7190,Max!$A:$A,0))=2), INDEX(Max!$D:$D,MATCH(7190,Max!$A:$A,0)), 0), 0)</f>
        <v>1</v>
      </c>
    </row>
    <row r="1409" spans="1:9" ht="15.75" customHeight="1" x14ac:dyDescent="0.2">
      <c r="A1409" s="1">
        <v>25367</v>
      </c>
      <c r="B1409" s="1" t="s">
        <v>336</v>
      </c>
      <c r="C1409" s="1" t="s">
        <v>3261</v>
      </c>
      <c r="D1409" s="1" t="str">
        <f t="shared" si="5"/>
        <v>1</v>
      </c>
      <c r="E1409" s="1" t="s">
        <v>3262</v>
      </c>
      <c r="G1409" s="1">
        <f t="array" ref="G1409">IF(ISNUMBER(MATCH(25367,Camille!$A:$A,0)), IF(OR(INDEX(Camille!$D:$D,MATCH(25367,Camille!$A:$A,0))=1, INDEX(Camille!$D:$D,MATCH(25367,Camille!$A:$A,0))=2), INDEX(Camille!$D:$D,MATCH(25367,Camille!$A:$A,0)), 0), 0)</f>
        <v>0</v>
      </c>
      <c r="H1409" s="1">
        <f t="array" ref="H1409">IF(ISNUMBER(MATCH(25367,Telmo!$A:$A,0)), IF(OR(INDEX(Telmo!$D:$D,MATCH(25367,Telmo!$A:$A,0))=1, INDEX(Telmo!$D:$D,MATCH(25367,Telmo!$A:$A,0))=2), INDEX(Telmo!$D:$D,MATCH(25367,Telmo!$A:$A,0)), 0), 0)</f>
        <v>0</v>
      </c>
      <c r="I1409" s="1">
        <f t="array" ref="I1409">IF(ISNUMBER(MATCH(25367,Max!$A:$A,0)), IF(OR(INDEX(Max!$D:$D,MATCH(25367,Max!$A:$A,0))=1, INDEX(Max!$D:$D,MATCH(25367,Max!$A:$A,0))=2), INDEX(Max!$D:$D,MATCH(25367,Max!$A:$A,0)), 0), 0)</f>
        <v>1</v>
      </c>
    </row>
    <row r="1410" spans="1:9" ht="15.75" customHeight="1" x14ac:dyDescent="0.2">
      <c r="A1410" s="1">
        <v>20769</v>
      </c>
      <c r="B1410" s="1" t="s">
        <v>106</v>
      </c>
      <c r="C1410" s="1" t="s">
        <v>3263</v>
      </c>
      <c r="D1410" s="1" t="str">
        <f t="shared" si="5"/>
        <v>1</v>
      </c>
      <c r="E1410" s="1" t="s">
        <v>3264</v>
      </c>
      <c r="G1410" s="1">
        <f t="array" ref="G1410">IF(ISNUMBER(MATCH(20769,Camille!$A:$A,0)), IF(OR(INDEX(Camille!$D:$D,MATCH(20769,Camille!$A:$A,0))=1, INDEX(Camille!$D:$D,MATCH(20769,Camille!$A:$A,0))=2), INDEX(Camille!$D:$D,MATCH(20769,Camille!$A:$A,0)), 0), 0)</f>
        <v>0</v>
      </c>
      <c r="H1410" s="1">
        <f t="array" ref="H1410">IF(ISNUMBER(MATCH(20769,Telmo!$A:$A,0)), IF(OR(INDEX(Telmo!$D:$D,MATCH(20769,Telmo!$A:$A,0))=1, INDEX(Telmo!$D:$D,MATCH(20769,Telmo!$A:$A,0))=2), INDEX(Telmo!$D:$D,MATCH(20769,Telmo!$A:$A,0)), 0), 0)</f>
        <v>0</v>
      </c>
      <c r="I1410" s="1">
        <f t="array" ref="I1410">IF(ISNUMBER(MATCH(20769,Max!$A:$A,0)), IF(OR(INDEX(Max!$D:$D,MATCH(20769,Max!$A:$A,0))=1, INDEX(Max!$D:$D,MATCH(20769,Max!$A:$A,0))=2), INDEX(Max!$D:$D,MATCH(20769,Max!$A:$A,0)), 0), 0)</f>
        <v>1</v>
      </c>
    </row>
    <row r="1411" spans="1:9" ht="15.75" customHeight="1" x14ac:dyDescent="0.2">
      <c r="A1411" s="1">
        <v>40128</v>
      </c>
      <c r="B1411" s="1" t="s">
        <v>3059</v>
      </c>
      <c r="C1411" s="1" t="s">
        <v>3265</v>
      </c>
      <c r="D1411" s="1" t="str">
        <f t="shared" si="5"/>
        <v>1</v>
      </c>
      <c r="E1411" s="1" t="s">
        <v>3266</v>
      </c>
      <c r="G1411" s="1">
        <f t="array" ref="G1411">IF(ISNUMBER(MATCH(40128,Camille!$A:$A,0)), IF(OR(INDEX(Camille!$D:$D,MATCH(40128,Camille!$A:$A,0))=1, INDEX(Camille!$D:$D,MATCH(40128,Camille!$A:$A,0))=2), INDEX(Camille!$D:$D,MATCH(40128,Camille!$A:$A,0)), 0), 0)</f>
        <v>0</v>
      </c>
      <c r="H1411" s="1">
        <f t="array" ref="H1411">IF(ISNUMBER(MATCH(40128,Telmo!$A:$A,0)), IF(OR(INDEX(Telmo!$D:$D,MATCH(40128,Telmo!$A:$A,0))=1, INDEX(Telmo!$D:$D,MATCH(40128,Telmo!$A:$A,0))=2), INDEX(Telmo!$D:$D,MATCH(40128,Telmo!$A:$A,0)), 0), 0)</f>
        <v>0</v>
      </c>
      <c r="I1411" s="1">
        <f t="array" ref="I1411">IF(ISNUMBER(MATCH(40128,Max!$A:$A,0)), IF(OR(INDEX(Max!$D:$D,MATCH(40128,Max!$A:$A,0))=1, INDEX(Max!$D:$D,MATCH(40128,Max!$A:$A,0))=2), INDEX(Max!$D:$D,MATCH(40128,Max!$A:$A,0)), 0), 0)</f>
        <v>1</v>
      </c>
    </row>
    <row r="1412" spans="1:9" ht="15.75" customHeight="1" x14ac:dyDescent="0.2">
      <c r="A1412" s="1">
        <v>42584</v>
      </c>
      <c r="B1412" s="1" t="s">
        <v>90</v>
      </c>
      <c r="C1412" s="1" t="s">
        <v>3267</v>
      </c>
      <c r="D1412" s="1" t="str">
        <f t="shared" si="5"/>
        <v>2</v>
      </c>
      <c r="E1412" s="1" t="s">
        <v>3268</v>
      </c>
      <c r="G1412" s="1">
        <f t="array" ref="G1412">IF(ISNUMBER(MATCH(42584,Camille!$A:$A,0)), IF(OR(INDEX(Camille!$D:$D,MATCH(42584,Camille!$A:$A,0))=1, INDEX(Camille!$D:$D,MATCH(42584,Camille!$A:$A,0))=2), INDEX(Camille!$D:$D,MATCH(42584,Camille!$A:$A,0)), 0), 0)</f>
        <v>0</v>
      </c>
      <c r="H1412" s="1">
        <f t="array" ref="H1412">IF(ISNUMBER(MATCH(42584,Telmo!$A:$A,0)), IF(OR(INDEX(Telmo!$D:$D,MATCH(42584,Telmo!$A:$A,0))=1, INDEX(Telmo!$D:$D,MATCH(42584,Telmo!$A:$A,0))=2), INDEX(Telmo!$D:$D,MATCH(42584,Telmo!$A:$A,0)), 0), 0)</f>
        <v>0</v>
      </c>
      <c r="I1412" s="1">
        <f t="array" ref="I1412">IF(ISNUMBER(MATCH(42584,Max!$A:$A,0)), IF(OR(INDEX(Max!$D:$D,MATCH(42584,Max!$A:$A,0))=1, INDEX(Max!$D:$D,MATCH(42584,Max!$A:$A,0))=2), INDEX(Max!$D:$D,MATCH(42584,Max!$A:$A,0)), 0), 0)</f>
        <v>2</v>
      </c>
    </row>
    <row r="1413" spans="1:9" ht="15.75" customHeight="1" x14ac:dyDescent="0.2">
      <c r="A1413" s="1">
        <v>34953</v>
      </c>
      <c r="B1413" s="1" t="s">
        <v>1946</v>
      </c>
      <c r="C1413" s="1" t="s">
        <v>3269</v>
      </c>
      <c r="D1413" s="1" t="str">
        <f t="shared" si="5"/>
        <v>2</v>
      </c>
      <c r="E1413" s="1" t="s">
        <v>3270</v>
      </c>
      <c r="G1413" s="1">
        <f t="array" ref="G1413">IF(ISNUMBER(MATCH(34953,Camille!$A:$A,0)), IF(OR(INDEX(Camille!$D:$D,MATCH(34953,Camille!$A:$A,0))=1, INDEX(Camille!$D:$D,MATCH(34953,Camille!$A:$A,0))=2), INDEX(Camille!$D:$D,MATCH(34953,Camille!$A:$A,0)), 0), 0)</f>
        <v>0</v>
      </c>
      <c r="H1413" s="1">
        <f t="array" ref="H1413">IF(ISNUMBER(MATCH(34953,Telmo!$A:$A,0)), IF(OR(INDEX(Telmo!$D:$D,MATCH(34953,Telmo!$A:$A,0))=1, INDEX(Telmo!$D:$D,MATCH(34953,Telmo!$A:$A,0))=2), INDEX(Telmo!$D:$D,MATCH(34953,Telmo!$A:$A,0)), 0), 0)</f>
        <v>0</v>
      </c>
      <c r="I1413" s="1">
        <f t="array" ref="I1413">IF(ISNUMBER(MATCH(34953,Max!$A:$A,0)), IF(OR(INDEX(Max!$D:$D,MATCH(34953,Max!$A:$A,0))=1, INDEX(Max!$D:$D,MATCH(34953,Max!$A:$A,0))=2), INDEX(Max!$D:$D,MATCH(34953,Max!$A:$A,0)), 0), 0)</f>
        <v>2</v>
      </c>
    </row>
    <row r="1414" spans="1:9" ht="15.75" customHeight="1" x14ac:dyDescent="0.2">
      <c r="A1414" s="1">
        <v>34686</v>
      </c>
      <c r="B1414" s="1" t="s">
        <v>1755</v>
      </c>
      <c r="C1414" s="1" t="s">
        <v>3271</v>
      </c>
      <c r="D1414" s="1" t="str">
        <f t="shared" si="5"/>
        <v>2</v>
      </c>
      <c r="E1414" s="1" t="s">
        <v>3272</v>
      </c>
      <c r="G1414" s="1">
        <f t="array" ref="G1414">IF(ISNUMBER(MATCH(34686,Camille!$A:$A,0)), IF(OR(INDEX(Camille!$D:$D,MATCH(34686,Camille!$A:$A,0))=1, INDEX(Camille!$D:$D,MATCH(34686,Camille!$A:$A,0))=2), INDEX(Camille!$D:$D,MATCH(34686,Camille!$A:$A,0)), 0), 0)</f>
        <v>0</v>
      </c>
      <c r="H1414" s="1">
        <f t="array" ref="H1414">IF(ISNUMBER(MATCH(34686,Telmo!$A:$A,0)), IF(OR(INDEX(Telmo!$D:$D,MATCH(34686,Telmo!$A:$A,0))=1, INDEX(Telmo!$D:$D,MATCH(34686,Telmo!$A:$A,0))=2), INDEX(Telmo!$D:$D,MATCH(34686,Telmo!$A:$A,0)), 0), 0)</f>
        <v>0</v>
      </c>
      <c r="I1414" s="1">
        <f t="array" ref="I1414">IF(ISNUMBER(MATCH(34686,Max!$A:$A,0)), IF(OR(INDEX(Max!$D:$D,MATCH(34686,Max!$A:$A,0))=1, INDEX(Max!$D:$D,MATCH(34686,Max!$A:$A,0))=2), INDEX(Max!$D:$D,MATCH(34686,Max!$A:$A,0)), 0), 0)</f>
        <v>2</v>
      </c>
    </row>
    <row r="1415" spans="1:9" ht="15.75" customHeight="1" x14ac:dyDescent="0.2">
      <c r="A1415" s="1">
        <v>35733</v>
      </c>
      <c r="B1415" s="1" t="s">
        <v>991</v>
      </c>
      <c r="C1415" s="1" t="s">
        <v>3273</v>
      </c>
      <c r="D1415" s="1" t="str">
        <f t="shared" si="5"/>
        <v>2</v>
      </c>
      <c r="E1415" s="1" t="s">
        <v>3274</v>
      </c>
      <c r="G1415" s="1">
        <f t="array" ref="G1415">IF(ISNUMBER(MATCH(35733,Camille!$A:$A,0)), IF(OR(INDEX(Camille!$D:$D,MATCH(35733,Camille!$A:$A,0))=1, INDEX(Camille!$D:$D,MATCH(35733,Camille!$A:$A,0))=2), INDEX(Camille!$D:$D,MATCH(35733,Camille!$A:$A,0)), 0), 0)</f>
        <v>0</v>
      </c>
      <c r="H1415" s="1">
        <f t="array" ref="H1415">IF(ISNUMBER(MATCH(35733,Telmo!$A:$A,0)), IF(OR(INDEX(Telmo!$D:$D,MATCH(35733,Telmo!$A:$A,0))=1, INDEX(Telmo!$D:$D,MATCH(35733,Telmo!$A:$A,0))=2), INDEX(Telmo!$D:$D,MATCH(35733,Telmo!$A:$A,0)), 0), 0)</f>
        <v>0</v>
      </c>
      <c r="I1415" s="1">
        <f t="array" ref="I1415">IF(ISNUMBER(MATCH(35733,Max!$A:$A,0)), IF(OR(INDEX(Max!$D:$D,MATCH(35733,Max!$A:$A,0))=1, INDEX(Max!$D:$D,MATCH(35733,Max!$A:$A,0))=2), INDEX(Max!$D:$D,MATCH(35733,Max!$A:$A,0)), 0), 0)</f>
        <v>2</v>
      </c>
    </row>
    <row r="1416" spans="1:9" ht="15.75" customHeight="1" x14ac:dyDescent="0.2">
      <c r="A1416" s="1">
        <v>34635</v>
      </c>
      <c r="B1416" s="1" t="s">
        <v>167</v>
      </c>
      <c r="C1416" s="1" t="s">
        <v>3275</v>
      </c>
      <c r="D1416" s="1" t="str">
        <f t="shared" si="5"/>
        <v>2</v>
      </c>
      <c r="E1416" s="1" t="s">
        <v>3276</v>
      </c>
      <c r="G1416" s="1">
        <f t="array" ref="G1416">IF(ISNUMBER(MATCH(34635,Camille!$A:$A,0)), IF(OR(INDEX(Camille!$D:$D,MATCH(34635,Camille!$A:$A,0))=1, INDEX(Camille!$D:$D,MATCH(34635,Camille!$A:$A,0))=2), INDEX(Camille!$D:$D,MATCH(34635,Camille!$A:$A,0)), 0), 0)</f>
        <v>0</v>
      </c>
      <c r="H1416" s="1">
        <f t="array" ref="H1416">IF(ISNUMBER(MATCH(34635,Telmo!$A:$A,0)), IF(OR(INDEX(Telmo!$D:$D,MATCH(34635,Telmo!$A:$A,0))=1, INDEX(Telmo!$D:$D,MATCH(34635,Telmo!$A:$A,0))=2), INDEX(Telmo!$D:$D,MATCH(34635,Telmo!$A:$A,0)), 0), 0)</f>
        <v>0</v>
      </c>
      <c r="I1416" s="1">
        <f t="array" ref="I1416">IF(ISNUMBER(MATCH(34635,Max!$A:$A,0)), IF(OR(INDEX(Max!$D:$D,MATCH(34635,Max!$A:$A,0))=1, INDEX(Max!$D:$D,MATCH(34635,Max!$A:$A,0))=2), INDEX(Max!$D:$D,MATCH(34635,Max!$A:$A,0)), 0), 0)</f>
        <v>2</v>
      </c>
    </row>
    <row r="1417" spans="1:9" ht="15.75" customHeight="1" x14ac:dyDescent="0.2">
      <c r="A1417" s="1">
        <v>70537</v>
      </c>
      <c r="B1417" s="1" t="s">
        <v>3277</v>
      </c>
      <c r="C1417" s="1" t="s">
        <v>3278</v>
      </c>
      <c r="D1417" s="1" t="str">
        <f t="shared" si="5"/>
        <v>2</v>
      </c>
      <c r="E1417" s="1" t="s">
        <v>3279</v>
      </c>
      <c r="G1417" s="1">
        <f t="array" ref="G1417">IF(ISNUMBER(MATCH(70537,Camille!$A:$A,0)), IF(OR(INDEX(Camille!$D:$D,MATCH(70537,Camille!$A:$A,0))=1, INDEX(Camille!$D:$D,MATCH(70537,Camille!$A:$A,0))=2), INDEX(Camille!$D:$D,MATCH(70537,Camille!$A:$A,0)), 0), 0)</f>
        <v>0</v>
      </c>
      <c r="H1417" s="1">
        <f t="array" ref="H1417">IF(ISNUMBER(MATCH(70537,Telmo!$A:$A,0)), IF(OR(INDEX(Telmo!$D:$D,MATCH(70537,Telmo!$A:$A,0))=1, INDEX(Telmo!$D:$D,MATCH(70537,Telmo!$A:$A,0))=2), INDEX(Telmo!$D:$D,MATCH(70537,Telmo!$A:$A,0)), 0), 0)</f>
        <v>0</v>
      </c>
      <c r="I1417" s="1">
        <f t="array" ref="I1417">IF(ISNUMBER(MATCH(70537,Max!$A:$A,0)), IF(OR(INDEX(Max!$D:$D,MATCH(70537,Max!$A:$A,0))=1, INDEX(Max!$D:$D,MATCH(70537,Max!$A:$A,0))=2), INDEX(Max!$D:$D,MATCH(70537,Max!$A:$A,0)), 0), 0)</f>
        <v>2</v>
      </c>
    </row>
    <row r="1418" spans="1:9" ht="15.75" customHeight="1" x14ac:dyDescent="0.2">
      <c r="A1418" s="1">
        <v>53615</v>
      </c>
      <c r="B1418" s="1" t="s">
        <v>2135</v>
      </c>
      <c r="C1418" s="1" t="s">
        <v>3280</v>
      </c>
      <c r="D1418" s="1" t="str">
        <f t="shared" si="5"/>
        <v>2</v>
      </c>
      <c r="E1418" s="1" t="s">
        <v>3281</v>
      </c>
      <c r="G1418" s="1">
        <f t="array" ref="G1418">IF(ISNUMBER(MATCH(53615,Camille!$A:$A,0)), IF(OR(INDEX(Camille!$D:$D,MATCH(53615,Camille!$A:$A,0))=1, INDEX(Camille!$D:$D,MATCH(53615,Camille!$A:$A,0))=2), INDEX(Camille!$D:$D,MATCH(53615,Camille!$A:$A,0)), 0), 0)</f>
        <v>0</v>
      </c>
      <c r="H1418" s="1">
        <f t="array" ref="H1418">IF(ISNUMBER(MATCH(53615,Telmo!$A:$A,0)), IF(OR(INDEX(Telmo!$D:$D,MATCH(53615,Telmo!$A:$A,0))=1, INDEX(Telmo!$D:$D,MATCH(53615,Telmo!$A:$A,0))=2), INDEX(Telmo!$D:$D,MATCH(53615,Telmo!$A:$A,0)), 0), 0)</f>
        <v>0</v>
      </c>
      <c r="I1418" s="1">
        <f t="array" ref="I1418">IF(ISNUMBER(MATCH(53615,Max!$A:$A,0)), IF(OR(INDEX(Max!$D:$D,MATCH(53615,Max!$A:$A,0))=1, INDEX(Max!$D:$D,MATCH(53615,Max!$A:$A,0))=2), INDEX(Max!$D:$D,MATCH(53615,Max!$A:$A,0)), 0), 0)</f>
        <v>2</v>
      </c>
    </row>
    <row r="1419" spans="1:9" ht="15.75" customHeight="1" x14ac:dyDescent="0.2">
      <c r="A1419" s="1">
        <v>41674</v>
      </c>
      <c r="B1419" s="1" t="s">
        <v>3282</v>
      </c>
      <c r="C1419" s="1" t="s">
        <v>3283</v>
      </c>
      <c r="D1419" s="1" t="str">
        <f t="shared" si="5"/>
        <v>1</v>
      </c>
      <c r="E1419" s="1" t="s">
        <v>3284</v>
      </c>
      <c r="G1419" s="1">
        <f t="array" ref="G1419">IF(ISNUMBER(MATCH(41674,Camille!$A:$A,0)), IF(OR(INDEX(Camille!$D:$D,MATCH(41674,Camille!$A:$A,0))=1, INDEX(Camille!$D:$D,MATCH(41674,Camille!$A:$A,0))=2), INDEX(Camille!$D:$D,MATCH(41674,Camille!$A:$A,0)), 0), 0)</f>
        <v>0</v>
      </c>
      <c r="H1419" s="1">
        <f t="array" ref="H1419">IF(ISNUMBER(MATCH(41674,Telmo!$A:$A,0)), IF(OR(INDEX(Telmo!$D:$D,MATCH(41674,Telmo!$A:$A,0))=1, INDEX(Telmo!$D:$D,MATCH(41674,Telmo!$A:$A,0))=2), INDEX(Telmo!$D:$D,MATCH(41674,Telmo!$A:$A,0)), 0), 0)</f>
        <v>0</v>
      </c>
      <c r="I1419" s="1">
        <f t="array" ref="I1419">IF(ISNUMBER(MATCH(41674,Max!$A:$A,0)), IF(OR(INDEX(Max!$D:$D,MATCH(41674,Max!$A:$A,0))=1, INDEX(Max!$D:$D,MATCH(41674,Max!$A:$A,0))=2), INDEX(Max!$D:$D,MATCH(41674,Max!$A:$A,0)), 0), 0)</f>
        <v>1</v>
      </c>
    </row>
    <row r="1420" spans="1:9" ht="15.75" customHeight="1" x14ac:dyDescent="0.2">
      <c r="A1420" s="1">
        <v>69813</v>
      </c>
      <c r="B1420" s="1" t="s">
        <v>188</v>
      </c>
      <c r="C1420" s="1" t="s">
        <v>3285</v>
      </c>
      <c r="D1420" s="1" t="str">
        <f t="shared" si="5"/>
        <v>1</v>
      </c>
      <c r="E1420" s="1" t="s">
        <v>3286</v>
      </c>
      <c r="G1420" s="1">
        <f t="array" ref="G1420">IF(ISNUMBER(MATCH(69813,Camille!$A:$A,0)), IF(OR(INDEX(Camille!$D:$D,MATCH(69813,Camille!$A:$A,0))=1, INDEX(Camille!$D:$D,MATCH(69813,Camille!$A:$A,0))=2), INDEX(Camille!$D:$D,MATCH(69813,Camille!$A:$A,0)), 0), 0)</f>
        <v>0</v>
      </c>
      <c r="H1420" s="1">
        <f t="array" ref="H1420">IF(ISNUMBER(MATCH(69813,Telmo!$A:$A,0)), IF(OR(INDEX(Telmo!$D:$D,MATCH(69813,Telmo!$A:$A,0))=1, INDEX(Telmo!$D:$D,MATCH(69813,Telmo!$A:$A,0))=2), INDEX(Telmo!$D:$D,MATCH(69813,Telmo!$A:$A,0)), 0), 0)</f>
        <v>0</v>
      </c>
      <c r="I1420" s="1">
        <f t="array" ref="I1420">IF(ISNUMBER(MATCH(69813,Max!$A:$A,0)), IF(OR(INDEX(Max!$D:$D,MATCH(69813,Max!$A:$A,0))=1, INDEX(Max!$D:$D,MATCH(69813,Max!$A:$A,0))=2), INDEX(Max!$D:$D,MATCH(69813,Max!$A:$A,0)), 0), 0)</f>
        <v>1</v>
      </c>
    </row>
    <row r="1421" spans="1:9" ht="15.75" customHeight="1" x14ac:dyDescent="0.2">
      <c r="A1421" s="1">
        <v>71677</v>
      </c>
      <c r="B1421" s="1" t="s">
        <v>385</v>
      </c>
      <c r="C1421" s="1" t="s">
        <v>3287</v>
      </c>
      <c r="D1421" s="1" t="str">
        <f t="shared" si="5"/>
        <v>2</v>
      </c>
      <c r="E1421" s="1" t="s">
        <v>3288</v>
      </c>
      <c r="G1421" s="1">
        <f t="array" ref="G1421">IF(ISNUMBER(MATCH(71677,Camille!$A:$A,0)), IF(OR(INDEX(Camille!$D:$D,MATCH(71677,Camille!$A:$A,0))=1, INDEX(Camille!$D:$D,MATCH(71677,Camille!$A:$A,0))=2), INDEX(Camille!$D:$D,MATCH(71677,Camille!$A:$A,0)), 0), 0)</f>
        <v>0</v>
      </c>
      <c r="H1421" s="1">
        <f t="array" ref="H1421">IF(ISNUMBER(MATCH(71677,Telmo!$A:$A,0)), IF(OR(INDEX(Telmo!$D:$D,MATCH(71677,Telmo!$A:$A,0))=1, INDEX(Telmo!$D:$D,MATCH(71677,Telmo!$A:$A,0))=2), INDEX(Telmo!$D:$D,MATCH(71677,Telmo!$A:$A,0)), 0), 0)</f>
        <v>0</v>
      </c>
      <c r="I1421" s="1">
        <f t="array" ref="I1421">IF(ISNUMBER(MATCH(71677,Max!$A:$A,0)), IF(OR(INDEX(Max!$D:$D,MATCH(71677,Max!$A:$A,0))=1, INDEX(Max!$D:$D,MATCH(71677,Max!$A:$A,0))=2), INDEX(Max!$D:$D,MATCH(71677,Max!$A:$A,0)), 0), 0)</f>
        <v>2</v>
      </c>
    </row>
    <row r="1422" spans="1:9" ht="15.75" customHeight="1" x14ac:dyDescent="0.2">
      <c r="A1422" s="1">
        <v>16962</v>
      </c>
      <c r="B1422" s="1" t="s">
        <v>524</v>
      </c>
      <c r="C1422" s="1" t="s">
        <v>3289</v>
      </c>
      <c r="D1422" s="1" t="str">
        <f t="shared" si="5"/>
        <v>2</v>
      </c>
      <c r="E1422" s="1" t="s">
        <v>3290</v>
      </c>
      <c r="G1422" s="1">
        <f t="array" ref="G1422">IF(ISNUMBER(MATCH(16962,Camille!$A:$A,0)), IF(OR(INDEX(Camille!$D:$D,MATCH(16962,Camille!$A:$A,0))=1, INDEX(Camille!$D:$D,MATCH(16962,Camille!$A:$A,0))=2), INDEX(Camille!$D:$D,MATCH(16962,Camille!$A:$A,0)), 0), 0)</f>
        <v>0</v>
      </c>
      <c r="H1422" s="1">
        <f t="array" ref="H1422">IF(ISNUMBER(MATCH(16962,Telmo!$A:$A,0)), IF(OR(INDEX(Telmo!$D:$D,MATCH(16962,Telmo!$A:$A,0))=1, INDEX(Telmo!$D:$D,MATCH(16962,Telmo!$A:$A,0))=2), INDEX(Telmo!$D:$D,MATCH(16962,Telmo!$A:$A,0)), 0), 0)</f>
        <v>0</v>
      </c>
      <c r="I1422" s="1">
        <f t="array" ref="I1422">IF(ISNUMBER(MATCH(16962,Max!$A:$A,0)), IF(OR(INDEX(Max!$D:$D,MATCH(16962,Max!$A:$A,0))=1, INDEX(Max!$D:$D,MATCH(16962,Max!$A:$A,0))=2), INDEX(Max!$D:$D,MATCH(16962,Max!$A:$A,0)), 0), 0)</f>
        <v>2</v>
      </c>
    </row>
    <row r="1423" spans="1:9" ht="15.75" customHeight="1" x14ac:dyDescent="0.2">
      <c r="A1423" s="1">
        <v>48139</v>
      </c>
      <c r="B1423" s="1" t="s">
        <v>2957</v>
      </c>
      <c r="C1423" s="1" t="s">
        <v>3291</v>
      </c>
      <c r="D1423" s="1" t="str">
        <f t="shared" si="5"/>
        <v>1</v>
      </c>
      <c r="E1423" s="1" t="s">
        <v>3292</v>
      </c>
      <c r="G1423" s="1">
        <f t="array" ref="G1423">IF(ISNUMBER(MATCH(48139,Camille!$A:$A,0)), IF(OR(INDEX(Camille!$D:$D,MATCH(48139,Camille!$A:$A,0))=1, INDEX(Camille!$D:$D,MATCH(48139,Camille!$A:$A,0))=2), INDEX(Camille!$D:$D,MATCH(48139,Camille!$A:$A,0)), 0), 0)</f>
        <v>0</v>
      </c>
      <c r="H1423" s="1">
        <f t="array" ref="H1423">IF(ISNUMBER(MATCH(48139,Telmo!$A:$A,0)), IF(OR(INDEX(Telmo!$D:$D,MATCH(48139,Telmo!$A:$A,0))=1, INDEX(Telmo!$D:$D,MATCH(48139,Telmo!$A:$A,0))=2), INDEX(Telmo!$D:$D,MATCH(48139,Telmo!$A:$A,0)), 0), 0)</f>
        <v>0</v>
      </c>
      <c r="I1423" s="1">
        <f t="array" ref="I1423">IF(ISNUMBER(MATCH(48139,Max!$A:$A,0)), IF(OR(INDEX(Max!$D:$D,MATCH(48139,Max!$A:$A,0))=1, INDEX(Max!$D:$D,MATCH(48139,Max!$A:$A,0))=2), INDEX(Max!$D:$D,MATCH(48139,Max!$A:$A,0)), 0), 0)</f>
        <v>1</v>
      </c>
    </row>
    <row r="1424" spans="1:9" ht="15.75" customHeight="1" x14ac:dyDescent="0.2">
      <c r="A1424" s="1">
        <v>45216</v>
      </c>
      <c r="B1424" s="1" t="s">
        <v>1290</v>
      </c>
      <c r="C1424" s="1" t="s">
        <v>3293</v>
      </c>
      <c r="D1424" s="1" t="str">
        <f t="shared" si="5"/>
        <v>2</v>
      </c>
      <c r="E1424" s="1" t="s">
        <v>3294</v>
      </c>
      <c r="G1424" s="1">
        <f t="array" ref="G1424">IF(ISNUMBER(MATCH(45216,Camille!$A:$A,0)), IF(OR(INDEX(Camille!$D:$D,MATCH(45216,Camille!$A:$A,0))=1, INDEX(Camille!$D:$D,MATCH(45216,Camille!$A:$A,0))=2), INDEX(Camille!$D:$D,MATCH(45216,Camille!$A:$A,0)), 0), 0)</f>
        <v>0</v>
      </c>
      <c r="H1424" s="1">
        <f t="array" ref="H1424">IF(ISNUMBER(MATCH(45216,Telmo!$A:$A,0)), IF(OR(INDEX(Telmo!$D:$D,MATCH(45216,Telmo!$A:$A,0))=1, INDEX(Telmo!$D:$D,MATCH(45216,Telmo!$A:$A,0))=2), INDEX(Telmo!$D:$D,MATCH(45216,Telmo!$A:$A,0)), 0), 0)</f>
        <v>0</v>
      </c>
      <c r="I1424" s="1">
        <f t="array" ref="I1424">IF(ISNUMBER(MATCH(45216,Max!$A:$A,0)), IF(OR(INDEX(Max!$D:$D,MATCH(45216,Max!$A:$A,0))=1, INDEX(Max!$D:$D,MATCH(45216,Max!$A:$A,0))=2), INDEX(Max!$D:$D,MATCH(45216,Max!$A:$A,0)), 0), 0)</f>
        <v>2</v>
      </c>
    </row>
    <row r="1425" spans="1:9" ht="15.75" customHeight="1" x14ac:dyDescent="0.2">
      <c r="A1425" s="1">
        <v>13932</v>
      </c>
      <c r="B1425" s="1" t="s">
        <v>20</v>
      </c>
      <c r="C1425" s="1" t="s">
        <v>3295</v>
      </c>
      <c r="D1425" s="1" t="str">
        <f t="shared" si="5"/>
        <v>2</v>
      </c>
      <c r="E1425" s="1" t="s">
        <v>3296</v>
      </c>
      <c r="G1425" s="1">
        <f t="array" ref="G1425">IF(ISNUMBER(MATCH(13932,Camille!$A:$A,0)), IF(OR(INDEX(Camille!$D:$D,MATCH(13932,Camille!$A:$A,0))=1, INDEX(Camille!$D:$D,MATCH(13932,Camille!$A:$A,0))=2), INDEX(Camille!$D:$D,MATCH(13932,Camille!$A:$A,0)), 0), 0)</f>
        <v>0</v>
      </c>
      <c r="H1425" s="1">
        <f t="array" ref="H1425">IF(ISNUMBER(MATCH(13932,Telmo!$A:$A,0)), IF(OR(INDEX(Telmo!$D:$D,MATCH(13932,Telmo!$A:$A,0))=1, INDEX(Telmo!$D:$D,MATCH(13932,Telmo!$A:$A,0))=2), INDEX(Telmo!$D:$D,MATCH(13932,Telmo!$A:$A,0)), 0), 0)</f>
        <v>0</v>
      </c>
      <c r="I1425" s="1">
        <f t="array" ref="I1425">IF(ISNUMBER(MATCH(13932,Max!$A:$A,0)), IF(OR(INDEX(Max!$D:$D,MATCH(13932,Max!$A:$A,0))=1, INDEX(Max!$D:$D,MATCH(13932,Max!$A:$A,0))=2), INDEX(Max!$D:$D,MATCH(13932,Max!$A:$A,0)), 0), 0)</f>
        <v>2</v>
      </c>
    </row>
    <row r="1426" spans="1:9" ht="15.75" customHeight="1" x14ac:dyDescent="0.2">
      <c r="A1426" s="1">
        <v>63104</v>
      </c>
      <c r="B1426" s="1" t="s">
        <v>405</v>
      </c>
      <c r="C1426" s="1" t="s">
        <v>3297</v>
      </c>
      <c r="D1426" s="1" t="str">
        <f t="shared" si="5"/>
        <v>1</v>
      </c>
      <c r="E1426" s="1" t="s">
        <v>3298</v>
      </c>
      <c r="G1426" s="1">
        <f t="array" ref="G1426">IF(ISNUMBER(MATCH(63104,Camille!$A:$A,0)), IF(OR(INDEX(Camille!$D:$D,MATCH(63104,Camille!$A:$A,0))=1, INDEX(Camille!$D:$D,MATCH(63104,Camille!$A:$A,0))=2), INDEX(Camille!$D:$D,MATCH(63104,Camille!$A:$A,0)), 0), 0)</f>
        <v>0</v>
      </c>
      <c r="H1426" s="1">
        <f t="array" ref="H1426">IF(ISNUMBER(MATCH(63104,Telmo!$A:$A,0)), IF(OR(INDEX(Telmo!$D:$D,MATCH(63104,Telmo!$A:$A,0))=1, INDEX(Telmo!$D:$D,MATCH(63104,Telmo!$A:$A,0))=2), INDEX(Telmo!$D:$D,MATCH(63104,Telmo!$A:$A,0)), 0), 0)</f>
        <v>0</v>
      </c>
      <c r="I1426" s="1">
        <f t="array" ref="I1426">IF(ISNUMBER(MATCH(63104,Max!$A:$A,0)), IF(OR(INDEX(Max!$D:$D,MATCH(63104,Max!$A:$A,0))=1, INDEX(Max!$D:$D,MATCH(63104,Max!$A:$A,0))=2), INDEX(Max!$D:$D,MATCH(63104,Max!$A:$A,0)), 0), 0)</f>
        <v>1</v>
      </c>
    </row>
    <row r="1427" spans="1:9" ht="15.75" customHeight="1" x14ac:dyDescent="0.2">
      <c r="A1427" s="1">
        <v>35534</v>
      </c>
      <c r="B1427" s="1" t="s">
        <v>819</v>
      </c>
      <c r="C1427" s="1" t="s">
        <v>3299</v>
      </c>
      <c r="D1427" s="1" t="str">
        <f t="shared" si="5"/>
        <v>1</v>
      </c>
      <c r="E1427" s="1" t="s">
        <v>3300</v>
      </c>
      <c r="G1427" s="1">
        <f t="array" ref="G1427">IF(ISNUMBER(MATCH(35534,Camille!$A:$A,0)), IF(OR(INDEX(Camille!$D:$D,MATCH(35534,Camille!$A:$A,0))=1, INDEX(Camille!$D:$D,MATCH(35534,Camille!$A:$A,0))=2), INDEX(Camille!$D:$D,MATCH(35534,Camille!$A:$A,0)), 0), 0)</f>
        <v>0</v>
      </c>
      <c r="H1427" s="1">
        <f t="array" ref="H1427">IF(ISNUMBER(MATCH(35534,Telmo!$A:$A,0)), IF(OR(INDEX(Telmo!$D:$D,MATCH(35534,Telmo!$A:$A,0))=1, INDEX(Telmo!$D:$D,MATCH(35534,Telmo!$A:$A,0))=2), INDEX(Telmo!$D:$D,MATCH(35534,Telmo!$A:$A,0)), 0), 0)</f>
        <v>0</v>
      </c>
      <c r="I1427" s="1">
        <f t="array" ref="I1427">IF(ISNUMBER(MATCH(35534,Max!$A:$A,0)), IF(OR(INDEX(Max!$D:$D,MATCH(35534,Max!$A:$A,0))=1, INDEX(Max!$D:$D,MATCH(35534,Max!$A:$A,0))=2), INDEX(Max!$D:$D,MATCH(35534,Max!$A:$A,0)), 0), 0)</f>
        <v>1</v>
      </c>
    </row>
    <row r="1428" spans="1:9" ht="15.75" customHeight="1" x14ac:dyDescent="0.2">
      <c r="A1428" s="1">
        <v>6423</v>
      </c>
      <c r="B1428" s="1" t="s">
        <v>78</v>
      </c>
      <c r="C1428" s="1" t="s">
        <v>3301</v>
      </c>
      <c r="D1428" s="1" t="str">
        <f t="shared" si="5"/>
        <v>2</v>
      </c>
      <c r="E1428" s="1" t="s">
        <v>3302</v>
      </c>
      <c r="G1428" s="1">
        <f t="array" ref="G1428">IF(ISNUMBER(MATCH(6423,Camille!$A:$A,0)), IF(OR(INDEX(Camille!$D:$D,MATCH(6423,Camille!$A:$A,0))=1, INDEX(Camille!$D:$D,MATCH(6423,Camille!$A:$A,0))=2), INDEX(Camille!$D:$D,MATCH(6423,Camille!$A:$A,0)), 0), 0)</f>
        <v>0</v>
      </c>
      <c r="H1428" s="1">
        <f t="array" ref="H1428">IF(ISNUMBER(MATCH(6423,Telmo!$A:$A,0)), IF(OR(INDEX(Telmo!$D:$D,MATCH(6423,Telmo!$A:$A,0))=1, INDEX(Telmo!$D:$D,MATCH(6423,Telmo!$A:$A,0))=2), INDEX(Telmo!$D:$D,MATCH(6423,Telmo!$A:$A,0)), 0), 0)</f>
        <v>0</v>
      </c>
      <c r="I1428" s="1">
        <f t="array" ref="I1428">IF(ISNUMBER(MATCH(6423,Max!$A:$A,0)), IF(OR(INDEX(Max!$D:$D,MATCH(6423,Max!$A:$A,0))=1, INDEX(Max!$D:$D,MATCH(6423,Max!$A:$A,0))=2), INDEX(Max!$D:$D,MATCH(6423,Max!$A:$A,0)), 0), 0)</f>
        <v>2</v>
      </c>
    </row>
    <row r="1429" spans="1:9" ht="15.75" customHeight="1" x14ac:dyDescent="0.2">
      <c r="A1429" s="1">
        <v>35988</v>
      </c>
      <c r="B1429" s="1" t="s">
        <v>1686</v>
      </c>
      <c r="C1429" s="1" t="s">
        <v>3303</v>
      </c>
      <c r="D1429" s="1" t="str">
        <f t="shared" si="5"/>
        <v>1</v>
      </c>
      <c r="E1429" s="1" t="s">
        <v>3304</v>
      </c>
      <c r="G1429" s="1">
        <f t="array" ref="G1429">IF(ISNUMBER(MATCH(35988,Camille!$A:$A,0)), IF(OR(INDEX(Camille!$D:$D,MATCH(35988,Camille!$A:$A,0))=1, INDEX(Camille!$D:$D,MATCH(35988,Camille!$A:$A,0))=2), INDEX(Camille!$D:$D,MATCH(35988,Camille!$A:$A,0)), 0), 0)</f>
        <v>0</v>
      </c>
      <c r="H1429" s="1">
        <f t="array" ref="H1429">IF(ISNUMBER(MATCH(35988,Telmo!$A:$A,0)), IF(OR(INDEX(Telmo!$D:$D,MATCH(35988,Telmo!$A:$A,0))=1, INDEX(Telmo!$D:$D,MATCH(35988,Telmo!$A:$A,0))=2), INDEX(Telmo!$D:$D,MATCH(35988,Telmo!$A:$A,0)), 0), 0)</f>
        <v>0</v>
      </c>
      <c r="I1429" s="1">
        <f t="array" ref="I1429">IF(ISNUMBER(MATCH(35988,Max!$A:$A,0)), IF(OR(INDEX(Max!$D:$D,MATCH(35988,Max!$A:$A,0))=1, INDEX(Max!$D:$D,MATCH(35988,Max!$A:$A,0))=2), INDEX(Max!$D:$D,MATCH(35988,Max!$A:$A,0)), 0), 0)</f>
        <v>1</v>
      </c>
    </row>
    <row r="1430" spans="1:9" ht="15.75" customHeight="1" x14ac:dyDescent="0.2">
      <c r="A1430" s="1">
        <v>6708</v>
      </c>
      <c r="B1430" s="1" t="s">
        <v>336</v>
      </c>
      <c r="C1430" s="1" t="s">
        <v>3305</v>
      </c>
      <c r="D1430" s="1" t="str">
        <f t="shared" si="5"/>
        <v>2</v>
      </c>
      <c r="E1430" s="1" t="s">
        <v>3306</v>
      </c>
      <c r="G1430" s="1">
        <f t="array" ref="G1430">IF(ISNUMBER(MATCH(6708,Camille!$A:$A,0)), IF(OR(INDEX(Camille!$D:$D,MATCH(6708,Camille!$A:$A,0))=1, INDEX(Camille!$D:$D,MATCH(6708,Camille!$A:$A,0))=2), INDEX(Camille!$D:$D,MATCH(6708,Camille!$A:$A,0)), 0), 0)</f>
        <v>0</v>
      </c>
      <c r="H1430" s="1">
        <f t="array" ref="H1430">IF(ISNUMBER(MATCH(6708,Telmo!$A:$A,0)), IF(OR(INDEX(Telmo!$D:$D,MATCH(6708,Telmo!$A:$A,0))=1, INDEX(Telmo!$D:$D,MATCH(6708,Telmo!$A:$A,0))=2), INDEX(Telmo!$D:$D,MATCH(6708,Telmo!$A:$A,0)), 0), 0)</f>
        <v>0</v>
      </c>
      <c r="I1430" s="1">
        <f t="array" ref="I1430">IF(ISNUMBER(MATCH(6708,Max!$A:$A,0)), IF(OR(INDEX(Max!$D:$D,MATCH(6708,Max!$A:$A,0))=1, INDEX(Max!$D:$D,MATCH(6708,Max!$A:$A,0))=2), INDEX(Max!$D:$D,MATCH(6708,Max!$A:$A,0)), 0), 0)</f>
        <v>2</v>
      </c>
    </row>
    <row r="1431" spans="1:9" ht="15.75" customHeight="1" x14ac:dyDescent="0.2">
      <c r="A1431" s="1">
        <v>1381</v>
      </c>
      <c r="B1431" s="1" t="s">
        <v>215</v>
      </c>
      <c r="C1431" s="1" t="s">
        <v>3307</v>
      </c>
      <c r="D1431" s="1" t="str">
        <f t="shared" si="5"/>
        <v>2</v>
      </c>
      <c r="E1431" s="1" t="s">
        <v>3308</v>
      </c>
      <c r="G1431" s="1">
        <f t="array" ref="G1431">IF(ISNUMBER(MATCH(1381,Camille!$A:$A,0)), IF(OR(INDEX(Camille!$D:$D,MATCH(1381,Camille!$A:$A,0))=1, INDEX(Camille!$D:$D,MATCH(1381,Camille!$A:$A,0))=2), INDEX(Camille!$D:$D,MATCH(1381,Camille!$A:$A,0)), 0), 0)</f>
        <v>0</v>
      </c>
      <c r="H1431" s="1">
        <f t="array" ref="H1431">IF(ISNUMBER(MATCH(1381,Telmo!$A:$A,0)), IF(OR(INDEX(Telmo!$D:$D,MATCH(1381,Telmo!$A:$A,0))=1, INDEX(Telmo!$D:$D,MATCH(1381,Telmo!$A:$A,0))=2), INDEX(Telmo!$D:$D,MATCH(1381,Telmo!$A:$A,0)), 0), 0)</f>
        <v>0</v>
      </c>
      <c r="I1431" s="1">
        <f t="array" ref="I1431">IF(ISNUMBER(MATCH(1381,Max!$A:$A,0)), IF(OR(INDEX(Max!$D:$D,MATCH(1381,Max!$A:$A,0))=1, INDEX(Max!$D:$D,MATCH(1381,Max!$A:$A,0))=2), INDEX(Max!$D:$D,MATCH(1381,Max!$A:$A,0)), 0), 0)</f>
        <v>2</v>
      </c>
    </row>
    <row r="1432" spans="1:9" ht="15.75" customHeight="1" x14ac:dyDescent="0.2">
      <c r="A1432" s="1">
        <v>58366</v>
      </c>
      <c r="B1432" s="1" t="s">
        <v>32</v>
      </c>
      <c r="C1432" s="1" t="s">
        <v>3309</v>
      </c>
      <c r="D1432" s="1" t="str">
        <f t="shared" si="5"/>
        <v>2</v>
      </c>
      <c r="E1432" s="1" t="s">
        <v>3310</v>
      </c>
      <c r="G1432" s="1">
        <f t="array" ref="G1432">IF(ISNUMBER(MATCH(58366,Camille!$A:$A,0)), IF(OR(INDEX(Camille!$D:$D,MATCH(58366,Camille!$A:$A,0))=1, INDEX(Camille!$D:$D,MATCH(58366,Camille!$A:$A,0))=2), INDEX(Camille!$D:$D,MATCH(58366,Camille!$A:$A,0)), 0), 0)</f>
        <v>0</v>
      </c>
      <c r="H1432" s="1">
        <f t="array" ref="H1432">IF(ISNUMBER(MATCH(58366,Telmo!$A:$A,0)), IF(OR(INDEX(Telmo!$D:$D,MATCH(58366,Telmo!$A:$A,0))=1, INDEX(Telmo!$D:$D,MATCH(58366,Telmo!$A:$A,0))=2), INDEX(Telmo!$D:$D,MATCH(58366,Telmo!$A:$A,0)), 0), 0)</f>
        <v>0</v>
      </c>
      <c r="I1432" s="1">
        <f t="array" ref="I1432">IF(ISNUMBER(MATCH(58366,Max!$A:$A,0)), IF(OR(INDEX(Max!$D:$D,MATCH(58366,Max!$A:$A,0))=1, INDEX(Max!$D:$D,MATCH(58366,Max!$A:$A,0))=2), INDEX(Max!$D:$D,MATCH(58366,Max!$A:$A,0)), 0), 0)</f>
        <v>2</v>
      </c>
    </row>
    <row r="1433" spans="1:9" ht="15.75" customHeight="1" x14ac:dyDescent="0.2">
      <c r="A1433" s="1">
        <v>60900</v>
      </c>
      <c r="B1433" s="1" t="s">
        <v>636</v>
      </c>
      <c r="C1433" s="1" t="s">
        <v>3311</v>
      </c>
      <c r="D1433" s="1" t="str">
        <f t="shared" si="5"/>
        <v>1</v>
      </c>
      <c r="E1433" s="1" t="s">
        <v>3312</v>
      </c>
      <c r="G1433" s="1">
        <f t="array" ref="G1433">IF(ISNUMBER(MATCH(60900,Camille!$A:$A,0)), IF(OR(INDEX(Camille!$D:$D,MATCH(60900,Camille!$A:$A,0))=1, INDEX(Camille!$D:$D,MATCH(60900,Camille!$A:$A,0))=2), INDEX(Camille!$D:$D,MATCH(60900,Camille!$A:$A,0)), 0), 0)</f>
        <v>0</v>
      </c>
      <c r="H1433" s="1">
        <f t="array" ref="H1433">IF(ISNUMBER(MATCH(60900,Telmo!$A:$A,0)), IF(OR(INDEX(Telmo!$D:$D,MATCH(60900,Telmo!$A:$A,0))=1, INDEX(Telmo!$D:$D,MATCH(60900,Telmo!$A:$A,0))=2), INDEX(Telmo!$D:$D,MATCH(60900,Telmo!$A:$A,0)), 0), 0)</f>
        <v>0</v>
      </c>
      <c r="I1433" s="1">
        <f t="array" ref="I1433">IF(ISNUMBER(MATCH(60900,Max!$A:$A,0)), IF(OR(INDEX(Max!$D:$D,MATCH(60900,Max!$A:$A,0))=1, INDEX(Max!$D:$D,MATCH(60900,Max!$A:$A,0))=2), INDEX(Max!$D:$D,MATCH(60900,Max!$A:$A,0)), 0), 0)</f>
        <v>1</v>
      </c>
    </row>
    <row r="1434" spans="1:9" ht="15.75" customHeight="1" x14ac:dyDescent="0.2">
      <c r="A1434" s="1">
        <v>18106</v>
      </c>
      <c r="B1434" s="1" t="s">
        <v>408</v>
      </c>
      <c r="C1434" s="1" t="s">
        <v>3313</v>
      </c>
      <c r="D1434" s="1" t="str">
        <f t="shared" si="5"/>
        <v>2</v>
      </c>
      <c r="E1434" s="1" t="s">
        <v>3314</v>
      </c>
      <c r="G1434" s="1">
        <f t="array" ref="G1434">IF(ISNUMBER(MATCH(18106,Camille!$A:$A,0)), IF(OR(INDEX(Camille!$D:$D,MATCH(18106,Camille!$A:$A,0))=1, INDEX(Camille!$D:$D,MATCH(18106,Camille!$A:$A,0))=2), INDEX(Camille!$D:$D,MATCH(18106,Camille!$A:$A,0)), 0), 0)</f>
        <v>0</v>
      </c>
      <c r="H1434" s="1">
        <f t="array" ref="H1434">IF(ISNUMBER(MATCH(18106,Telmo!$A:$A,0)), IF(OR(INDEX(Telmo!$D:$D,MATCH(18106,Telmo!$A:$A,0))=1, INDEX(Telmo!$D:$D,MATCH(18106,Telmo!$A:$A,0))=2), INDEX(Telmo!$D:$D,MATCH(18106,Telmo!$A:$A,0)), 0), 0)</f>
        <v>0</v>
      </c>
      <c r="I1434" s="1">
        <f t="array" ref="I1434">IF(ISNUMBER(MATCH(18106,Max!$A:$A,0)), IF(OR(INDEX(Max!$D:$D,MATCH(18106,Max!$A:$A,0))=1, INDEX(Max!$D:$D,MATCH(18106,Max!$A:$A,0))=2), INDEX(Max!$D:$D,MATCH(18106,Max!$A:$A,0)), 0), 0)</f>
        <v>2</v>
      </c>
    </row>
    <row r="1435" spans="1:9" ht="15.75" customHeight="1" x14ac:dyDescent="0.2">
      <c r="A1435" s="1">
        <v>49600</v>
      </c>
      <c r="B1435" s="1" t="s">
        <v>159</v>
      </c>
      <c r="C1435" s="1" t="s">
        <v>3315</v>
      </c>
      <c r="D1435" s="1" t="str">
        <f t="shared" si="5"/>
        <v>2</v>
      </c>
      <c r="E1435" s="1" t="s">
        <v>3316</v>
      </c>
      <c r="G1435" s="1">
        <f t="array" ref="G1435">IF(ISNUMBER(MATCH(49600,Camille!$A:$A,0)), IF(OR(INDEX(Camille!$D:$D,MATCH(49600,Camille!$A:$A,0))=1, INDEX(Camille!$D:$D,MATCH(49600,Camille!$A:$A,0))=2), INDEX(Camille!$D:$D,MATCH(49600,Camille!$A:$A,0)), 0), 0)</f>
        <v>0</v>
      </c>
      <c r="H1435" s="1">
        <f t="array" ref="H1435">IF(ISNUMBER(MATCH(49600,Telmo!$A:$A,0)), IF(OR(INDEX(Telmo!$D:$D,MATCH(49600,Telmo!$A:$A,0))=1, INDEX(Telmo!$D:$D,MATCH(49600,Telmo!$A:$A,0))=2), INDEX(Telmo!$D:$D,MATCH(49600,Telmo!$A:$A,0)), 0), 0)</f>
        <v>0</v>
      </c>
      <c r="I1435" s="1">
        <f t="array" ref="I1435">IF(ISNUMBER(MATCH(49600,Max!$A:$A,0)), IF(OR(INDEX(Max!$D:$D,MATCH(49600,Max!$A:$A,0))=1, INDEX(Max!$D:$D,MATCH(49600,Max!$A:$A,0))=2), INDEX(Max!$D:$D,MATCH(49600,Max!$A:$A,0)), 0), 0)</f>
        <v>2</v>
      </c>
    </row>
    <row r="1436" spans="1:9" ht="15.75" customHeight="1" x14ac:dyDescent="0.2">
      <c r="A1436" s="1">
        <v>59308</v>
      </c>
      <c r="B1436" s="1" t="s">
        <v>986</v>
      </c>
      <c r="C1436" s="1" t="s">
        <v>3317</v>
      </c>
      <c r="D1436" s="1" t="str">
        <f t="shared" si="5"/>
        <v>2</v>
      </c>
      <c r="E1436" s="1" t="s">
        <v>3318</v>
      </c>
      <c r="G1436" s="1">
        <f t="array" ref="G1436">IF(ISNUMBER(MATCH(59308,Camille!$A:$A,0)), IF(OR(INDEX(Camille!$D:$D,MATCH(59308,Camille!$A:$A,0))=1, INDEX(Camille!$D:$D,MATCH(59308,Camille!$A:$A,0))=2), INDEX(Camille!$D:$D,MATCH(59308,Camille!$A:$A,0)), 0), 0)</f>
        <v>0</v>
      </c>
      <c r="H1436" s="1">
        <f t="array" ref="H1436">IF(ISNUMBER(MATCH(59308,Telmo!$A:$A,0)), IF(OR(INDEX(Telmo!$D:$D,MATCH(59308,Telmo!$A:$A,0))=1, INDEX(Telmo!$D:$D,MATCH(59308,Telmo!$A:$A,0))=2), INDEX(Telmo!$D:$D,MATCH(59308,Telmo!$A:$A,0)), 0), 0)</f>
        <v>0</v>
      </c>
      <c r="I1436" s="1">
        <f t="array" ref="I1436">IF(ISNUMBER(MATCH(59308,Max!$A:$A,0)), IF(OR(INDEX(Max!$D:$D,MATCH(59308,Max!$A:$A,0))=1, INDEX(Max!$D:$D,MATCH(59308,Max!$A:$A,0))=2), INDEX(Max!$D:$D,MATCH(59308,Max!$A:$A,0)), 0), 0)</f>
        <v>2</v>
      </c>
    </row>
    <row r="1437" spans="1:9" ht="15.75" customHeight="1" x14ac:dyDescent="0.2">
      <c r="A1437" s="1">
        <v>27958</v>
      </c>
      <c r="B1437" s="1" t="s">
        <v>3319</v>
      </c>
      <c r="C1437" s="1" t="s">
        <v>3320</v>
      </c>
      <c r="D1437" s="1" t="str">
        <f t="shared" si="5"/>
        <v>1</v>
      </c>
      <c r="E1437" s="1" t="s">
        <v>3321</v>
      </c>
      <c r="G1437" s="1">
        <f t="array" ref="G1437">IF(ISNUMBER(MATCH(27958,Camille!$A:$A,0)), IF(OR(INDEX(Camille!$D:$D,MATCH(27958,Camille!$A:$A,0))=1, INDEX(Camille!$D:$D,MATCH(27958,Camille!$A:$A,0))=2), INDEX(Camille!$D:$D,MATCH(27958,Camille!$A:$A,0)), 0), 0)</f>
        <v>0</v>
      </c>
      <c r="H1437" s="1">
        <f t="array" ref="H1437">IF(ISNUMBER(MATCH(27958,Telmo!$A:$A,0)), IF(OR(INDEX(Telmo!$D:$D,MATCH(27958,Telmo!$A:$A,0))=1, INDEX(Telmo!$D:$D,MATCH(27958,Telmo!$A:$A,0))=2), INDEX(Telmo!$D:$D,MATCH(27958,Telmo!$A:$A,0)), 0), 0)</f>
        <v>0</v>
      </c>
      <c r="I1437" s="1">
        <f t="array" ref="I1437">IF(ISNUMBER(MATCH(27958,Max!$A:$A,0)), IF(OR(INDEX(Max!$D:$D,MATCH(27958,Max!$A:$A,0))=1, INDEX(Max!$D:$D,MATCH(27958,Max!$A:$A,0))=2), INDEX(Max!$D:$D,MATCH(27958,Max!$A:$A,0)), 0), 0)</f>
        <v>1</v>
      </c>
    </row>
    <row r="1438" spans="1:9" ht="15.75" customHeight="1" x14ac:dyDescent="0.2">
      <c r="A1438" s="1">
        <v>65589</v>
      </c>
      <c r="B1438" s="1" t="s">
        <v>90</v>
      </c>
      <c r="C1438" s="1" t="s">
        <v>3322</v>
      </c>
      <c r="D1438" s="1" t="str">
        <f t="shared" si="5"/>
        <v>1</v>
      </c>
      <c r="E1438" s="1" t="s">
        <v>3323</v>
      </c>
      <c r="G1438" s="1">
        <f t="array" ref="G1438">IF(ISNUMBER(MATCH(65589,Camille!$A:$A,0)), IF(OR(INDEX(Camille!$D:$D,MATCH(65589,Camille!$A:$A,0))=1, INDEX(Camille!$D:$D,MATCH(65589,Camille!$A:$A,0))=2), INDEX(Camille!$D:$D,MATCH(65589,Camille!$A:$A,0)), 0), 0)</f>
        <v>0</v>
      </c>
      <c r="H1438" s="1">
        <f t="array" ref="H1438">IF(ISNUMBER(MATCH(65589,Telmo!$A:$A,0)), IF(OR(INDEX(Telmo!$D:$D,MATCH(65589,Telmo!$A:$A,0))=1, INDEX(Telmo!$D:$D,MATCH(65589,Telmo!$A:$A,0))=2), INDEX(Telmo!$D:$D,MATCH(65589,Telmo!$A:$A,0)), 0), 0)</f>
        <v>0</v>
      </c>
      <c r="I1438" s="1">
        <f t="array" ref="I1438">IF(ISNUMBER(MATCH(65589,Max!$A:$A,0)), IF(OR(INDEX(Max!$D:$D,MATCH(65589,Max!$A:$A,0))=1, INDEX(Max!$D:$D,MATCH(65589,Max!$A:$A,0))=2), INDEX(Max!$D:$D,MATCH(65589,Max!$A:$A,0)), 0), 0)</f>
        <v>1</v>
      </c>
    </row>
    <row r="1439" spans="1:9" ht="15.75" customHeight="1" x14ac:dyDescent="0.2">
      <c r="A1439" s="1">
        <v>49743</v>
      </c>
      <c r="B1439" s="1" t="s">
        <v>14</v>
      </c>
      <c r="C1439" s="1" t="s">
        <v>3324</v>
      </c>
      <c r="D1439" s="1" t="str">
        <f t="shared" si="5"/>
        <v>1</v>
      </c>
      <c r="E1439" s="1" t="s">
        <v>3325</v>
      </c>
      <c r="G1439" s="1">
        <f t="array" ref="G1439">IF(ISNUMBER(MATCH(49743,Camille!$A:$A,0)), IF(OR(INDEX(Camille!$D:$D,MATCH(49743,Camille!$A:$A,0))=1, INDEX(Camille!$D:$D,MATCH(49743,Camille!$A:$A,0))=2), INDEX(Camille!$D:$D,MATCH(49743,Camille!$A:$A,0)), 0), 0)</f>
        <v>0</v>
      </c>
      <c r="H1439" s="1">
        <f t="array" ref="H1439">IF(ISNUMBER(MATCH(49743,Telmo!$A:$A,0)), IF(OR(INDEX(Telmo!$D:$D,MATCH(49743,Telmo!$A:$A,0))=1, INDEX(Telmo!$D:$D,MATCH(49743,Telmo!$A:$A,0))=2), INDEX(Telmo!$D:$D,MATCH(49743,Telmo!$A:$A,0)), 0), 0)</f>
        <v>0</v>
      </c>
      <c r="I1439" s="1">
        <f t="array" ref="I1439">IF(ISNUMBER(MATCH(49743,Max!$A:$A,0)), IF(OR(INDEX(Max!$D:$D,MATCH(49743,Max!$A:$A,0))=1, INDEX(Max!$D:$D,MATCH(49743,Max!$A:$A,0))=2), INDEX(Max!$D:$D,MATCH(49743,Max!$A:$A,0)), 0), 0)</f>
        <v>1</v>
      </c>
    </row>
    <row r="1440" spans="1:9" ht="15.75" customHeight="1" x14ac:dyDescent="0.2">
      <c r="A1440" s="1">
        <v>38509</v>
      </c>
      <c r="B1440" s="1" t="s">
        <v>23</v>
      </c>
      <c r="C1440" s="1" t="s">
        <v>3326</v>
      </c>
      <c r="D1440" s="1" t="str">
        <f t="shared" si="5"/>
        <v>2</v>
      </c>
      <c r="E1440" s="1" t="s">
        <v>3327</v>
      </c>
      <c r="G1440" s="1">
        <f t="array" ref="G1440">IF(ISNUMBER(MATCH(38509,Camille!$A:$A,0)), IF(OR(INDEX(Camille!$D:$D,MATCH(38509,Camille!$A:$A,0))=1, INDEX(Camille!$D:$D,MATCH(38509,Camille!$A:$A,0))=2), INDEX(Camille!$D:$D,MATCH(38509,Camille!$A:$A,0)), 0), 0)</f>
        <v>0</v>
      </c>
      <c r="H1440" s="1">
        <f t="array" ref="H1440">IF(ISNUMBER(MATCH(38509,Telmo!$A:$A,0)), IF(OR(INDEX(Telmo!$D:$D,MATCH(38509,Telmo!$A:$A,0))=1, INDEX(Telmo!$D:$D,MATCH(38509,Telmo!$A:$A,0))=2), INDEX(Telmo!$D:$D,MATCH(38509,Telmo!$A:$A,0)), 0), 0)</f>
        <v>0</v>
      </c>
      <c r="I1440" s="1">
        <f t="array" ref="I1440">IF(ISNUMBER(MATCH(38509,Max!$A:$A,0)), IF(OR(INDEX(Max!$D:$D,MATCH(38509,Max!$A:$A,0))=1, INDEX(Max!$D:$D,MATCH(38509,Max!$A:$A,0))=2), INDEX(Max!$D:$D,MATCH(38509,Max!$A:$A,0)), 0), 0)</f>
        <v>2</v>
      </c>
    </row>
    <row r="1441" spans="1:9" ht="15.75" customHeight="1" x14ac:dyDescent="0.2">
      <c r="A1441" s="1">
        <v>37849</v>
      </c>
      <c r="B1441" s="1" t="s">
        <v>35</v>
      </c>
      <c r="C1441" s="1" t="s">
        <v>3328</v>
      </c>
      <c r="D1441" s="1" t="str">
        <f t="shared" si="5"/>
        <v>2</v>
      </c>
      <c r="E1441" s="1" t="s">
        <v>3329</v>
      </c>
      <c r="G1441" s="1">
        <f t="array" ref="G1441">IF(ISNUMBER(MATCH(37849,Camille!$A:$A,0)), IF(OR(INDEX(Camille!$D:$D,MATCH(37849,Camille!$A:$A,0))=1, INDEX(Camille!$D:$D,MATCH(37849,Camille!$A:$A,0))=2), INDEX(Camille!$D:$D,MATCH(37849,Camille!$A:$A,0)), 0), 0)</f>
        <v>0</v>
      </c>
      <c r="H1441" s="1">
        <f t="array" ref="H1441">IF(ISNUMBER(MATCH(37849,Telmo!$A:$A,0)), IF(OR(INDEX(Telmo!$D:$D,MATCH(37849,Telmo!$A:$A,0))=1, INDEX(Telmo!$D:$D,MATCH(37849,Telmo!$A:$A,0))=2), INDEX(Telmo!$D:$D,MATCH(37849,Telmo!$A:$A,0)), 0), 0)</f>
        <v>0</v>
      </c>
      <c r="I1441" s="1">
        <f t="array" ref="I1441">IF(ISNUMBER(MATCH(37849,Max!$A:$A,0)), IF(OR(INDEX(Max!$D:$D,MATCH(37849,Max!$A:$A,0))=1, INDEX(Max!$D:$D,MATCH(37849,Max!$A:$A,0))=2), INDEX(Max!$D:$D,MATCH(37849,Max!$A:$A,0)), 0), 0)</f>
        <v>2</v>
      </c>
    </row>
    <row r="1442" spans="1:9" ht="15.75" customHeight="1" x14ac:dyDescent="0.2">
      <c r="A1442" s="1">
        <v>41359</v>
      </c>
      <c r="B1442" s="1" t="s">
        <v>172</v>
      </c>
      <c r="C1442" s="1" t="s">
        <v>3330</v>
      </c>
      <c r="D1442" s="1" t="str">
        <f t="shared" si="5"/>
        <v>2</v>
      </c>
      <c r="E1442" s="1" t="s">
        <v>3331</v>
      </c>
      <c r="G1442" s="1">
        <f t="array" ref="G1442">IF(ISNUMBER(MATCH(41359,Camille!$A:$A,0)), IF(OR(INDEX(Camille!$D:$D,MATCH(41359,Camille!$A:$A,0))=1, INDEX(Camille!$D:$D,MATCH(41359,Camille!$A:$A,0))=2), INDEX(Camille!$D:$D,MATCH(41359,Camille!$A:$A,0)), 0), 0)</f>
        <v>0</v>
      </c>
      <c r="H1442" s="1">
        <f t="array" ref="H1442">IF(ISNUMBER(MATCH(41359,Telmo!$A:$A,0)), IF(OR(INDEX(Telmo!$D:$D,MATCH(41359,Telmo!$A:$A,0))=1, INDEX(Telmo!$D:$D,MATCH(41359,Telmo!$A:$A,0))=2), INDEX(Telmo!$D:$D,MATCH(41359,Telmo!$A:$A,0)), 0), 0)</f>
        <v>0</v>
      </c>
      <c r="I1442" s="1">
        <f t="array" ref="I1442">IF(ISNUMBER(MATCH(41359,Max!$A:$A,0)), IF(OR(INDEX(Max!$D:$D,MATCH(41359,Max!$A:$A,0))=1, INDEX(Max!$D:$D,MATCH(41359,Max!$A:$A,0))=2), INDEX(Max!$D:$D,MATCH(41359,Max!$A:$A,0)), 0), 0)</f>
        <v>2</v>
      </c>
    </row>
    <row r="1443" spans="1:9" ht="15.75" customHeight="1" x14ac:dyDescent="0.2">
      <c r="A1443" s="1">
        <v>44511</v>
      </c>
      <c r="B1443" s="1" t="s">
        <v>808</v>
      </c>
      <c r="C1443" s="1" t="s">
        <v>3332</v>
      </c>
      <c r="D1443" s="1" t="str">
        <f t="shared" si="5"/>
        <v>2</v>
      </c>
      <c r="E1443" s="1" t="s">
        <v>3333</v>
      </c>
      <c r="G1443" s="1">
        <f t="array" ref="G1443">IF(ISNUMBER(MATCH(44511,Camille!$A:$A,0)), IF(OR(INDEX(Camille!$D:$D,MATCH(44511,Camille!$A:$A,0))=1, INDEX(Camille!$D:$D,MATCH(44511,Camille!$A:$A,0))=2), INDEX(Camille!$D:$D,MATCH(44511,Camille!$A:$A,0)), 0), 0)</f>
        <v>0</v>
      </c>
      <c r="H1443" s="1">
        <f t="array" ref="H1443">IF(ISNUMBER(MATCH(44511,Telmo!$A:$A,0)), IF(OR(INDEX(Telmo!$D:$D,MATCH(44511,Telmo!$A:$A,0))=1, INDEX(Telmo!$D:$D,MATCH(44511,Telmo!$A:$A,0))=2), INDEX(Telmo!$D:$D,MATCH(44511,Telmo!$A:$A,0)), 0), 0)</f>
        <v>0</v>
      </c>
      <c r="I1443" s="1">
        <f t="array" ref="I1443">IF(ISNUMBER(MATCH(44511,Max!$A:$A,0)), IF(OR(INDEX(Max!$D:$D,MATCH(44511,Max!$A:$A,0))=1, INDEX(Max!$D:$D,MATCH(44511,Max!$A:$A,0))=2), INDEX(Max!$D:$D,MATCH(44511,Max!$A:$A,0)), 0), 0)</f>
        <v>2</v>
      </c>
    </row>
    <row r="1444" spans="1:9" ht="15.75" customHeight="1" x14ac:dyDescent="0.2">
      <c r="A1444" s="1">
        <v>30811</v>
      </c>
      <c r="B1444" s="1" t="s">
        <v>75</v>
      </c>
      <c r="C1444" s="1" t="s">
        <v>3334</v>
      </c>
      <c r="D1444" s="1" t="str">
        <f t="shared" si="5"/>
        <v>2</v>
      </c>
      <c r="E1444" s="1" t="s">
        <v>3335</v>
      </c>
      <c r="G1444" s="1">
        <f t="array" ref="G1444">IF(ISNUMBER(MATCH(30811,Camille!$A:$A,0)), IF(OR(INDEX(Camille!$D:$D,MATCH(30811,Camille!$A:$A,0))=1, INDEX(Camille!$D:$D,MATCH(30811,Camille!$A:$A,0))=2), INDEX(Camille!$D:$D,MATCH(30811,Camille!$A:$A,0)), 0), 0)</f>
        <v>0</v>
      </c>
      <c r="H1444" s="1">
        <f t="array" ref="H1444">IF(ISNUMBER(MATCH(30811,Telmo!$A:$A,0)), IF(OR(INDEX(Telmo!$D:$D,MATCH(30811,Telmo!$A:$A,0))=1, INDEX(Telmo!$D:$D,MATCH(30811,Telmo!$A:$A,0))=2), INDEX(Telmo!$D:$D,MATCH(30811,Telmo!$A:$A,0)), 0), 0)</f>
        <v>0</v>
      </c>
      <c r="I1444" s="1">
        <f t="array" ref="I1444">IF(ISNUMBER(MATCH(30811,Max!$A:$A,0)), IF(OR(INDEX(Max!$D:$D,MATCH(30811,Max!$A:$A,0))=1, INDEX(Max!$D:$D,MATCH(30811,Max!$A:$A,0))=2), INDEX(Max!$D:$D,MATCH(30811,Max!$A:$A,0)), 0), 0)</f>
        <v>2</v>
      </c>
    </row>
    <row r="1445" spans="1:9" ht="15.75" customHeight="1" x14ac:dyDescent="0.2">
      <c r="A1445" s="1">
        <v>9473</v>
      </c>
      <c r="B1445" s="1" t="s">
        <v>552</v>
      </c>
      <c r="C1445" s="1" t="s">
        <v>3336</v>
      </c>
      <c r="D1445" s="1" t="str">
        <f t="shared" si="5"/>
        <v>1</v>
      </c>
      <c r="E1445" s="1" t="s">
        <v>3337</v>
      </c>
      <c r="G1445" s="1">
        <f t="array" ref="G1445">IF(ISNUMBER(MATCH(9473,Camille!$A:$A,0)), IF(OR(INDEX(Camille!$D:$D,MATCH(9473,Camille!$A:$A,0))=1, INDEX(Camille!$D:$D,MATCH(9473,Camille!$A:$A,0))=2), INDEX(Camille!$D:$D,MATCH(9473,Camille!$A:$A,0)), 0), 0)</f>
        <v>0</v>
      </c>
      <c r="H1445" s="1">
        <f t="array" ref="H1445">IF(ISNUMBER(MATCH(9473,Telmo!$A:$A,0)), IF(OR(INDEX(Telmo!$D:$D,MATCH(9473,Telmo!$A:$A,0))=1, INDEX(Telmo!$D:$D,MATCH(9473,Telmo!$A:$A,0))=2), INDEX(Telmo!$D:$D,MATCH(9473,Telmo!$A:$A,0)), 0), 0)</f>
        <v>0</v>
      </c>
      <c r="I1445" s="1">
        <f t="array" ref="I1445">IF(ISNUMBER(MATCH(9473,Max!$A:$A,0)), IF(OR(INDEX(Max!$D:$D,MATCH(9473,Max!$A:$A,0))=1, INDEX(Max!$D:$D,MATCH(9473,Max!$A:$A,0))=2), INDEX(Max!$D:$D,MATCH(9473,Max!$A:$A,0)), 0), 0)</f>
        <v>1</v>
      </c>
    </row>
    <row r="1446" spans="1:9" ht="15.75" customHeight="1" x14ac:dyDescent="0.2">
      <c r="A1446" s="1">
        <v>14359</v>
      </c>
      <c r="B1446" s="1" t="s">
        <v>150</v>
      </c>
      <c r="C1446" s="1" t="s">
        <v>3338</v>
      </c>
      <c r="D1446" s="1" t="str">
        <f t="shared" si="5"/>
        <v>2</v>
      </c>
      <c r="E1446" s="1" t="s">
        <v>3339</v>
      </c>
      <c r="G1446" s="1">
        <f t="array" ref="G1446">IF(ISNUMBER(MATCH(14359,Camille!$A:$A,0)), IF(OR(INDEX(Camille!$D:$D,MATCH(14359,Camille!$A:$A,0))=1, INDEX(Camille!$D:$D,MATCH(14359,Camille!$A:$A,0))=2), INDEX(Camille!$D:$D,MATCH(14359,Camille!$A:$A,0)), 0), 0)</f>
        <v>0</v>
      </c>
      <c r="H1446" s="1">
        <f t="array" ref="H1446">IF(ISNUMBER(MATCH(14359,Telmo!$A:$A,0)), IF(OR(INDEX(Telmo!$D:$D,MATCH(14359,Telmo!$A:$A,0))=1, INDEX(Telmo!$D:$D,MATCH(14359,Telmo!$A:$A,0))=2), INDEX(Telmo!$D:$D,MATCH(14359,Telmo!$A:$A,0)), 0), 0)</f>
        <v>0</v>
      </c>
      <c r="I1446" s="1">
        <f t="array" ref="I1446">IF(ISNUMBER(MATCH(14359,Max!$A:$A,0)), IF(OR(INDEX(Max!$D:$D,MATCH(14359,Max!$A:$A,0))=1, INDEX(Max!$D:$D,MATCH(14359,Max!$A:$A,0))=2), INDEX(Max!$D:$D,MATCH(14359,Max!$A:$A,0)), 0), 0)</f>
        <v>2</v>
      </c>
    </row>
    <row r="1447" spans="1:9" ht="15.75" customHeight="1" x14ac:dyDescent="0.2">
      <c r="A1447" s="1">
        <v>61566</v>
      </c>
      <c r="B1447" s="1" t="s">
        <v>3340</v>
      </c>
      <c r="C1447" s="1" t="s">
        <v>3341</v>
      </c>
      <c r="D1447" s="1" t="str">
        <f t="shared" si="5"/>
        <v>2</v>
      </c>
      <c r="E1447" s="1" t="s">
        <v>3342</v>
      </c>
      <c r="G1447" s="1">
        <f t="array" ref="G1447">IF(ISNUMBER(MATCH(61566,Camille!$A:$A,0)), IF(OR(INDEX(Camille!$D:$D,MATCH(61566,Camille!$A:$A,0))=1, INDEX(Camille!$D:$D,MATCH(61566,Camille!$A:$A,0))=2), INDEX(Camille!$D:$D,MATCH(61566,Camille!$A:$A,0)), 0), 0)</f>
        <v>0</v>
      </c>
      <c r="H1447" s="1">
        <f t="array" ref="H1447">IF(ISNUMBER(MATCH(61566,Telmo!$A:$A,0)), IF(OR(INDEX(Telmo!$D:$D,MATCH(61566,Telmo!$A:$A,0))=1, INDEX(Telmo!$D:$D,MATCH(61566,Telmo!$A:$A,0))=2), INDEX(Telmo!$D:$D,MATCH(61566,Telmo!$A:$A,0)), 0), 0)</f>
        <v>0</v>
      </c>
      <c r="I1447" s="1">
        <f t="array" ref="I1447">IF(ISNUMBER(MATCH(61566,Max!$A:$A,0)), IF(OR(INDEX(Max!$D:$D,MATCH(61566,Max!$A:$A,0))=1, INDEX(Max!$D:$D,MATCH(61566,Max!$A:$A,0))=2), INDEX(Max!$D:$D,MATCH(61566,Max!$A:$A,0)), 0), 0)</f>
        <v>2</v>
      </c>
    </row>
    <row r="1448" spans="1:9" ht="15.75" customHeight="1" x14ac:dyDescent="0.2">
      <c r="A1448" s="1">
        <v>41902</v>
      </c>
      <c r="B1448" s="1" t="s">
        <v>3235</v>
      </c>
      <c r="C1448" s="1" t="s">
        <v>3343</v>
      </c>
      <c r="D1448" s="1" t="str">
        <f t="shared" si="5"/>
        <v>2</v>
      </c>
      <c r="E1448" s="1" t="s">
        <v>3344</v>
      </c>
      <c r="G1448" s="1">
        <f t="array" ref="G1448">IF(ISNUMBER(MATCH(41902,Camille!$A:$A,0)), IF(OR(INDEX(Camille!$D:$D,MATCH(41902,Camille!$A:$A,0))=1, INDEX(Camille!$D:$D,MATCH(41902,Camille!$A:$A,0))=2), INDEX(Camille!$D:$D,MATCH(41902,Camille!$A:$A,0)), 0), 0)</f>
        <v>0</v>
      </c>
      <c r="H1448" s="1">
        <f t="array" ref="H1448">IF(ISNUMBER(MATCH(41902,Telmo!$A:$A,0)), IF(OR(INDEX(Telmo!$D:$D,MATCH(41902,Telmo!$A:$A,0))=1, INDEX(Telmo!$D:$D,MATCH(41902,Telmo!$A:$A,0))=2), INDEX(Telmo!$D:$D,MATCH(41902,Telmo!$A:$A,0)), 0), 0)</f>
        <v>0</v>
      </c>
      <c r="I1448" s="1">
        <f t="array" ref="I1448">IF(ISNUMBER(MATCH(41902,Max!$A:$A,0)), IF(OR(INDEX(Max!$D:$D,MATCH(41902,Max!$A:$A,0))=1, INDEX(Max!$D:$D,MATCH(41902,Max!$A:$A,0))=2), INDEX(Max!$D:$D,MATCH(41902,Max!$A:$A,0)), 0), 0)</f>
        <v>2</v>
      </c>
    </row>
    <row r="1449" spans="1:9" ht="15.75" customHeight="1" x14ac:dyDescent="0.2">
      <c r="A1449" s="1">
        <v>49520</v>
      </c>
      <c r="B1449" s="1" t="s">
        <v>751</v>
      </c>
      <c r="C1449" s="1" t="s">
        <v>3345</v>
      </c>
      <c r="D1449" s="1" t="str">
        <f t="shared" si="5"/>
        <v>2</v>
      </c>
      <c r="E1449" s="1" t="s">
        <v>3346</v>
      </c>
      <c r="G1449" s="1">
        <f t="array" ref="G1449">IF(ISNUMBER(MATCH(49520,Camille!$A:$A,0)), IF(OR(INDEX(Camille!$D:$D,MATCH(49520,Camille!$A:$A,0))=1, INDEX(Camille!$D:$D,MATCH(49520,Camille!$A:$A,0))=2), INDEX(Camille!$D:$D,MATCH(49520,Camille!$A:$A,0)), 0), 0)</f>
        <v>0</v>
      </c>
      <c r="H1449" s="1">
        <f t="array" ref="H1449">IF(ISNUMBER(MATCH(49520,Telmo!$A:$A,0)), IF(OR(INDEX(Telmo!$D:$D,MATCH(49520,Telmo!$A:$A,0))=1, INDEX(Telmo!$D:$D,MATCH(49520,Telmo!$A:$A,0))=2), INDEX(Telmo!$D:$D,MATCH(49520,Telmo!$A:$A,0)), 0), 0)</f>
        <v>0</v>
      </c>
      <c r="I1449" s="1">
        <f t="array" ref="I1449">IF(ISNUMBER(MATCH(49520,Max!$A:$A,0)), IF(OR(INDEX(Max!$D:$D,MATCH(49520,Max!$A:$A,0))=1, INDEX(Max!$D:$D,MATCH(49520,Max!$A:$A,0))=2), INDEX(Max!$D:$D,MATCH(49520,Max!$A:$A,0)), 0), 0)</f>
        <v>2</v>
      </c>
    </row>
    <row r="1450" spans="1:9" ht="15.75" customHeight="1" x14ac:dyDescent="0.2">
      <c r="A1450" s="1">
        <v>71480</v>
      </c>
      <c r="B1450" s="1" t="s">
        <v>3347</v>
      </c>
      <c r="C1450" s="1" t="s">
        <v>3348</v>
      </c>
      <c r="D1450" s="1" t="str">
        <f t="shared" si="5"/>
        <v>2</v>
      </c>
      <c r="E1450" s="1" t="s">
        <v>3349</v>
      </c>
      <c r="G1450" s="1">
        <f t="array" ref="G1450">IF(ISNUMBER(MATCH(71480,Camille!$A:$A,0)), IF(OR(INDEX(Camille!$D:$D,MATCH(71480,Camille!$A:$A,0))=1, INDEX(Camille!$D:$D,MATCH(71480,Camille!$A:$A,0))=2), INDEX(Camille!$D:$D,MATCH(71480,Camille!$A:$A,0)), 0), 0)</f>
        <v>0</v>
      </c>
      <c r="H1450" s="1">
        <f t="array" ref="H1450">IF(ISNUMBER(MATCH(71480,Telmo!$A:$A,0)), IF(OR(INDEX(Telmo!$D:$D,MATCH(71480,Telmo!$A:$A,0))=1, INDEX(Telmo!$D:$D,MATCH(71480,Telmo!$A:$A,0))=2), INDEX(Telmo!$D:$D,MATCH(71480,Telmo!$A:$A,0)), 0), 0)</f>
        <v>0</v>
      </c>
      <c r="I1450" s="1">
        <f t="array" ref="I1450">IF(ISNUMBER(MATCH(71480,Max!$A:$A,0)), IF(OR(INDEX(Max!$D:$D,MATCH(71480,Max!$A:$A,0))=1, INDEX(Max!$D:$D,MATCH(71480,Max!$A:$A,0))=2), INDEX(Max!$D:$D,MATCH(71480,Max!$A:$A,0)), 0), 0)</f>
        <v>2</v>
      </c>
    </row>
    <row r="1451" spans="1:9" ht="15.75" customHeight="1" x14ac:dyDescent="0.2">
      <c r="A1451" s="1">
        <v>65546</v>
      </c>
      <c r="B1451" s="1" t="s">
        <v>44</v>
      </c>
      <c r="C1451" s="1" t="s">
        <v>3350</v>
      </c>
      <c r="D1451" s="1" t="str">
        <f t="shared" si="5"/>
        <v>2</v>
      </c>
      <c r="E1451" s="1" t="s">
        <v>3351</v>
      </c>
      <c r="G1451" s="1">
        <f t="array" ref="G1451">IF(ISNUMBER(MATCH(65546,Camille!$A:$A,0)), IF(OR(INDEX(Camille!$D:$D,MATCH(65546,Camille!$A:$A,0))=1, INDEX(Camille!$D:$D,MATCH(65546,Camille!$A:$A,0))=2), INDEX(Camille!$D:$D,MATCH(65546,Camille!$A:$A,0)), 0), 0)</f>
        <v>0</v>
      </c>
      <c r="H1451" s="1">
        <f t="array" ref="H1451">IF(ISNUMBER(MATCH(65546,Telmo!$A:$A,0)), IF(OR(INDEX(Telmo!$D:$D,MATCH(65546,Telmo!$A:$A,0))=1, INDEX(Telmo!$D:$D,MATCH(65546,Telmo!$A:$A,0))=2), INDEX(Telmo!$D:$D,MATCH(65546,Telmo!$A:$A,0)), 0), 0)</f>
        <v>0</v>
      </c>
      <c r="I1451" s="1">
        <f t="array" ref="I1451">IF(ISNUMBER(MATCH(65546,Max!$A:$A,0)), IF(OR(INDEX(Max!$D:$D,MATCH(65546,Max!$A:$A,0))=1, INDEX(Max!$D:$D,MATCH(65546,Max!$A:$A,0))=2), INDEX(Max!$D:$D,MATCH(65546,Max!$A:$A,0)), 0), 0)</f>
        <v>2</v>
      </c>
    </row>
    <row r="1452" spans="1:9" ht="15.75" customHeight="1" x14ac:dyDescent="0.2">
      <c r="A1452" s="1">
        <v>29432</v>
      </c>
      <c r="B1452" s="1" t="s">
        <v>524</v>
      </c>
      <c r="C1452" s="1" t="s">
        <v>3352</v>
      </c>
      <c r="D1452" s="1" t="str">
        <f t="shared" si="5"/>
        <v>2</v>
      </c>
      <c r="E1452" s="1" t="s">
        <v>3353</v>
      </c>
      <c r="G1452" s="1">
        <f t="array" ref="G1452">IF(ISNUMBER(MATCH(29432,Camille!$A:$A,0)), IF(OR(INDEX(Camille!$D:$D,MATCH(29432,Camille!$A:$A,0))=1, INDEX(Camille!$D:$D,MATCH(29432,Camille!$A:$A,0))=2), INDEX(Camille!$D:$D,MATCH(29432,Camille!$A:$A,0)), 0), 0)</f>
        <v>0</v>
      </c>
      <c r="H1452" s="1">
        <f t="array" ref="H1452">IF(ISNUMBER(MATCH(29432,Telmo!$A:$A,0)), IF(OR(INDEX(Telmo!$D:$D,MATCH(29432,Telmo!$A:$A,0))=1, INDEX(Telmo!$D:$D,MATCH(29432,Telmo!$A:$A,0))=2), INDEX(Telmo!$D:$D,MATCH(29432,Telmo!$A:$A,0)), 0), 0)</f>
        <v>0</v>
      </c>
      <c r="I1452" s="1">
        <f t="array" ref="I1452">IF(ISNUMBER(MATCH(29432,Max!$A:$A,0)), IF(OR(INDEX(Max!$D:$D,MATCH(29432,Max!$A:$A,0))=1, INDEX(Max!$D:$D,MATCH(29432,Max!$A:$A,0))=2), INDEX(Max!$D:$D,MATCH(29432,Max!$A:$A,0)), 0), 0)</f>
        <v>2</v>
      </c>
    </row>
    <row r="1453" spans="1:9" ht="15.75" customHeight="1" x14ac:dyDescent="0.2">
      <c r="A1453" s="1">
        <v>36987</v>
      </c>
      <c r="B1453" s="1" t="s">
        <v>2752</v>
      </c>
      <c r="C1453" s="1" t="s">
        <v>3354</v>
      </c>
      <c r="D1453" s="1" t="str">
        <f t="shared" si="5"/>
        <v>2</v>
      </c>
      <c r="E1453" s="1" t="s">
        <v>3355</v>
      </c>
      <c r="G1453" s="1">
        <f t="array" ref="G1453">IF(ISNUMBER(MATCH(36987,Camille!$A:$A,0)), IF(OR(INDEX(Camille!$D:$D,MATCH(36987,Camille!$A:$A,0))=1, INDEX(Camille!$D:$D,MATCH(36987,Camille!$A:$A,0))=2), INDEX(Camille!$D:$D,MATCH(36987,Camille!$A:$A,0)), 0), 0)</f>
        <v>0</v>
      </c>
      <c r="H1453" s="1">
        <f t="array" ref="H1453">IF(ISNUMBER(MATCH(36987,Telmo!$A:$A,0)), IF(OR(INDEX(Telmo!$D:$D,MATCH(36987,Telmo!$A:$A,0))=1, INDEX(Telmo!$D:$D,MATCH(36987,Telmo!$A:$A,0))=2), INDEX(Telmo!$D:$D,MATCH(36987,Telmo!$A:$A,0)), 0), 0)</f>
        <v>0</v>
      </c>
      <c r="I1453" s="1">
        <f t="array" ref="I1453">IF(ISNUMBER(MATCH(36987,Max!$A:$A,0)), IF(OR(INDEX(Max!$D:$D,MATCH(36987,Max!$A:$A,0))=1, INDEX(Max!$D:$D,MATCH(36987,Max!$A:$A,0))=2), INDEX(Max!$D:$D,MATCH(36987,Max!$A:$A,0)), 0), 0)</f>
        <v>2</v>
      </c>
    </row>
    <row r="1454" spans="1:9" ht="15.75" customHeight="1" x14ac:dyDescent="0.2">
      <c r="A1454" s="1">
        <v>15039</v>
      </c>
      <c r="B1454" s="1" t="s">
        <v>141</v>
      </c>
      <c r="C1454" s="1" t="s">
        <v>3356</v>
      </c>
      <c r="D1454" s="1" t="str">
        <f t="shared" si="5"/>
        <v>2</v>
      </c>
      <c r="E1454" s="1" t="s">
        <v>3357</v>
      </c>
      <c r="G1454" s="1">
        <f t="array" ref="G1454">IF(ISNUMBER(MATCH(15039,Camille!$A:$A,0)), IF(OR(INDEX(Camille!$D:$D,MATCH(15039,Camille!$A:$A,0))=1, INDEX(Camille!$D:$D,MATCH(15039,Camille!$A:$A,0))=2), INDEX(Camille!$D:$D,MATCH(15039,Camille!$A:$A,0)), 0), 0)</f>
        <v>0</v>
      </c>
      <c r="H1454" s="1">
        <f t="array" ref="H1454">IF(ISNUMBER(MATCH(15039,Telmo!$A:$A,0)), IF(OR(INDEX(Telmo!$D:$D,MATCH(15039,Telmo!$A:$A,0))=1, INDEX(Telmo!$D:$D,MATCH(15039,Telmo!$A:$A,0))=2), INDEX(Telmo!$D:$D,MATCH(15039,Telmo!$A:$A,0)), 0), 0)</f>
        <v>0</v>
      </c>
      <c r="I1454" s="1">
        <f t="array" ref="I1454">IF(ISNUMBER(MATCH(15039,Max!$A:$A,0)), IF(OR(INDEX(Max!$D:$D,MATCH(15039,Max!$A:$A,0))=1, INDEX(Max!$D:$D,MATCH(15039,Max!$A:$A,0))=2), INDEX(Max!$D:$D,MATCH(15039,Max!$A:$A,0)), 0), 0)</f>
        <v>2</v>
      </c>
    </row>
    <row r="1455" spans="1:9" ht="15.75" customHeight="1" x14ac:dyDescent="0.2">
      <c r="A1455" s="1">
        <v>28085</v>
      </c>
      <c r="B1455" s="1" t="s">
        <v>485</v>
      </c>
      <c r="C1455" s="1" t="s">
        <v>3358</v>
      </c>
      <c r="D1455" s="1" t="str">
        <f t="shared" si="5"/>
        <v>1</v>
      </c>
      <c r="E1455" s="1" t="s">
        <v>3359</v>
      </c>
      <c r="G1455" s="1">
        <f t="array" ref="G1455">IF(ISNUMBER(MATCH(28085,Camille!$A:$A,0)), IF(OR(INDEX(Camille!$D:$D,MATCH(28085,Camille!$A:$A,0))=1, INDEX(Camille!$D:$D,MATCH(28085,Camille!$A:$A,0))=2), INDEX(Camille!$D:$D,MATCH(28085,Camille!$A:$A,0)), 0), 0)</f>
        <v>0</v>
      </c>
      <c r="H1455" s="1">
        <f t="array" ref="H1455">IF(ISNUMBER(MATCH(28085,Telmo!$A:$A,0)), IF(OR(INDEX(Telmo!$D:$D,MATCH(28085,Telmo!$A:$A,0))=1, INDEX(Telmo!$D:$D,MATCH(28085,Telmo!$A:$A,0))=2), INDEX(Telmo!$D:$D,MATCH(28085,Telmo!$A:$A,0)), 0), 0)</f>
        <v>0</v>
      </c>
      <c r="I1455" s="1">
        <f t="array" ref="I1455">IF(ISNUMBER(MATCH(28085,Max!$A:$A,0)), IF(OR(INDEX(Max!$D:$D,MATCH(28085,Max!$A:$A,0))=1, INDEX(Max!$D:$D,MATCH(28085,Max!$A:$A,0))=2), INDEX(Max!$D:$D,MATCH(28085,Max!$A:$A,0)), 0), 0)</f>
        <v>1</v>
      </c>
    </row>
    <row r="1456" spans="1:9" ht="15.75" customHeight="1" x14ac:dyDescent="0.2">
      <c r="A1456" s="1">
        <v>30982</v>
      </c>
      <c r="B1456" s="1" t="s">
        <v>3360</v>
      </c>
      <c r="C1456" s="1" t="s">
        <v>3361</v>
      </c>
      <c r="D1456" s="1" t="str">
        <f t="shared" si="5"/>
        <v>2</v>
      </c>
      <c r="E1456" s="1" t="s">
        <v>3362</v>
      </c>
      <c r="G1456" s="1">
        <f t="array" ref="G1456">IF(ISNUMBER(MATCH(30982,Camille!$A:$A,0)), IF(OR(INDEX(Camille!$D:$D,MATCH(30982,Camille!$A:$A,0))=1, INDEX(Camille!$D:$D,MATCH(30982,Camille!$A:$A,0))=2), INDEX(Camille!$D:$D,MATCH(30982,Camille!$A:$A,0)), 0), 0)</f>
        <v>0</v>
      </c>
      <c r="H1456" s="1">
        <f t="array" ref="H1456">IF(ISNUMBER(MATCH(30982,Telmo!$A:$A,0)), IF(OR(INDEX(Telmo!$D:$D,MATCH(30982,Telmo!$A:$A,0))=1, INDEX(Telmo!$D:$D,MATCH(30982,Telmo!$A:$A,0))=2), INDEX(Telmo!$D:$D,MATCH(30982,Telmo!$A:$A,0)), 0), 0)</f>
        <v>0</v>
      </c>
      <c r="I1456" s="1">
        <f t="array" ref="I1456">IF(ISNUMBER(MATCH(30982,Max!$A:$A,0)), IF(OR(INDEX(Max!$D:$D,MATCH(30982,Max!$A:$A,0))=1, INDEX(Max!$D:$D,MATCH(30982,Max!$A:$A,0))=2), INDEX(Max!$D:$D,MATCH(30982,Max!$A:$A,0)), 0), 0)</f>
        <v>2</v>
      </c>
    </row>
    <row r="1457" spans="1:9" ht="15.75" customHeight="1" x14ac:dyDescent="0.2">
      <c r="A1457" s="1">
        <v>35780</v>
      </c>
      <c r="B1457" s="1" t="s">
        <v>3363</v>
      </c>
      <c r="C1457" s="1" t="s">
        <v>3364</v>
      </c>
      <c r="D1457" s="1" t="str">
        <f t="shared" si="5"/>
        <v>1</v>
      </c>
      <c r="E1457" s="1" t="s">
        <v>3365</v>
      </c>
      <c r="G1457" s="1">
        <f t="array" ref="G1457">IF(ISNUMBER(MATCH(35780,Camille!$A:$A,0)), IF(OR(INDEX(Camille!$D:$D,MATCH(35780,Camille!$A:$A,0))=1, INDEX(Camille!$D:$D,MATCH(35780,Camille!$A:$A,0))=2), INDEX(Camille!$D:$D,MATCH(35780,Camille!$A:$A,0)), 0), 0)</f>
        <v>0</v>
      </c>
      <c r="H1457" s="1">
        <f t="array" ref="H1457">IF(ISNUMBER(MATCH(35780,Telmo!$A:$A,0)), IF(OR(INDEX(Telmo!$D:$D,MATCH(35780,Telmo!$A:$A,0))=1, INDEX(Telmo!$D:$D,MATCH(35780,Telmo!$A:$A,0))=2), INDEX(Telmo!$D:$D,MATCH(35780,Telmo!$A:$A,0)), 0), 0)</f>
        <v>0</v>
      </c>
      <c r="I1457" s="1">
        <f t="array" ref="I1457">IF(ISNUMBER(MATCH(35780,Max!$A:$A,0)), IF(OR(INDEX(Max!$D:$D,MATCH(35780,Max!$A:$A,0))=1, INDEX(Max!$D:$D,MATCH(35780,Max!$A:$A,0))=2), INDEX(Max!$D:$D,MATCH(35780,Max!$A:$A,0)), 0), 0)</f>
        <v>1</v>
      </c>
    </row>
    <row r="1458" spans="1:9" ht="15.75" customHeight="1" x14ac:dyDescent="0.2">
      <c r="A1458" s="1">
        <v>7017</v>
      </c>
      <c r="B1458" s="1" t="s">
        <v>819</v>
      </c>
      <c r="C1458" s="1" t="s">
        <v>3366</v>
      </c>
      <c r="D1458" s="1" t="str">
        <f t="shared" si="5"/>
        <v>2</v>
      </c>
      <c r="E1458" s="1" t="s">
        <v>3367</v>
      </c>
      <c r="G1458" s="1">
        <f t="array" ref="G1458">IF(ISNUMBER(MATCH(7017,Camille!$A:$A,0)), IF(OR(INDEX(Camille!$D:$D,MATCH(7017,Camille!$A:$A,0))=1, INDEX(Camille!$D:$D,MATCH(7017,Camille!$A:$A,0))=2), INDEX(Camille!$D:$D,MATCH(7017,Camille!$A:$A,0)), 0), 0)</f>
        <v>0</v>
      </c>
      <c r="H1458" s="1">
        <f t="array" ref="H1458">IF(ISNUMBER(MATCH(7017,Telmo!$A:$A,0)), IF(OR(INDEX(Telmo!$D:$D,MATCH(7017,Telmo!$A:$A,0))=1, INDEX(Telmo!$D:$D,MATCH(7017,Telmo!$A:$A,0))=2), INDEX(Telmo!$D:$D,MATCH(7017,Telmo!$A:$A,0)), 0), 0)</f>
        <v>0</v>
      </c>
      <c r="I1458" s="1">
        <f t="array" ref="I1458">IF(ISNUMBER(MATCH(7017,Max!$A:$A,0)), IF(OR(INDEX(Max!$D:$D,MATCH(7017,Max!$A:$A,0))=1, INDEX(Max!$D:$D,MATCH(7017,Max!$A:$A,0))=2), INDEX(Max!$D:$D,MATCH(7017,Max!$A:$A,0)), 0), 0)</f>
        <v>2</v>
      </c>
    </row>
    <row r="1459" spans="1:9" ht="15.75" customHeight="1" x14ac:dyDescent="0.2">
      <c r="A1459" s="1">
        <v>51498</v>
      </c>
      <c r="B1459" s="1" t="s">
        <v>357</v>
      </c>
      <c r="C1459" s="1" t="s">
        <v>3368</v>
      </c>
      <c r="D1459" s="1" t="str">
        <f t="shared" si="5"/>
        <v>2</v>
      </c>
      <c r="E1459" s="1" t="s">
        <v>3369</v>
      </c>
      <c r="G1459" s="1">
        <f t="array" ref="G1459">IF(ISNUMBER(MATCH(51498,Camille!$A:$A,0)), IF(OR(INDEX(Camille!$D:$D,MATCH(51498,Camille!$A:$A,0))=1, INDEX(Camille!$D:$D,MATCH(51498,Camille!$A:$A,0))=2), INDEX(Camille!$D:$D,MATCH(51498,Camille!$A:$A,0)), 0), 0)</f>
        <v>0</v>
      </c>
      <c r="H1459" s="1">
        <f t="array" ref="H1459">IF(ISNUMBER(MATCH(51498,Telmo!$A:$A,0)), IF(OR(INDEX(Telmo!$D:$D,MATCH(51498,Telmo!$A:$A,0))=1, INDEX(Telmo!$D:$D,MATCH(51498,Telmo!$A:$A,0))=2), INDEX(Telmo!$D:$D,MATCH(51498,Telmo!$A:$A,0)), 0), 0)</f>
        <v>0</v>
      </c>
      <c r="I1459" s="1">
        <f t="array" ref="I1459">IF(ISNUMBER(MATCH(51498,Max!$A:$A,0)), IF(OR(INDEX(Max!$D:$D,MATCH(51498,Max!$A:$A,0))=1, INDEX(Max!$D:$D,MATCH(51498,Max!$A:$A,0))=2), INDEX(Max!$D:$D,MATCH(51498,Max!$A:$A,0)), 0), 0)</f>
        <v>2</v>
      </c>
    </row>
    <row r="1460" spans="1:9" ht="15.75" customHeight="1" x14ac:dyDescent="0.2">
      <c r="A1460" s="1">
        <v>38609</v>
      </c>
      <c r="B1460" s="1" t="s">
        <v>3370</v>
      </c>
      <c r="C1460" s="1" t="s">
        <v>3371</v>
      </c>
      <c r="D1460" s="1" t="str">
        <f t="shared" si="5"/>
        <v>2</v>
      </c>
      <c r="E1460" s="1" t="s">
        <v>3372</v>
      </c>
      <c r="G1460" s="1">
        <f t="array" ref="G1460">IF(ISNUMBER(MATCH(38609,Camille!$A:$A,0)), IF(OR(INDEX(Camille!$D:$D,MATCH(38609,Camille!$A:$A,0))=1, INDEX(Camille!$D:$D,MATCH(38609,Camille!$A:$A,0))=2), INDEX(Camille!$D:$D,MATCH(38609,Camille!$A:$A,0)), 0), 0)</f>
        <v>0</v>
      </c>
      <c r="H1460" s="1">
        <f t="array" ref="H1460">IF(ISNUMBER(MATCH(38609,Telmo!$A:$A,0)), IF(OR(INDEX(Telmo!$D:$D,MATCH(38609,Telmo!$A:$A,0))=1, INDEX(Telmo!$D:$D,MATCH(38609,Telmo!$A:$A,0))=2), INDEX(Telmo!$D:$D,MATCH(38609,Telmo!$A:$A,0)), 0), 0)</f>
        <v>0</v>
      </c>
      <c r="I1460" s="1">
        <f t="array" ref="I1460">IF(ISNUMBER(MATCH(38609,Max!$A:$A,0)), IF(OR(INDEX(Max!$D:$D,MATCH(38609,Max!$A:$A,0))=1, INDEX(Max!$D:$D,MATCH(38609,Max!$A:$A,0))=2), INDEX(Max!$D:$D,MATCH(38609,Max!$A:$A,0)), 0), 0)</f>
        <v>2</v>
      </c>
    </row>
    <row r="1461" spans="1:9" ht="15.75" customHeight="1" x14ac:dyDescent="0.2">
      <c r="A1461" s="1">
        <v>40495</v>
      </c>
      <c r="B1461" s="1" t="s">
        <v>1307</v>
      </c>
      <c r="C1461" s="1" t="s">
        <v>3373</v>
      </c>
      <c r="D1461" s="1" t="str">
        <f t="shared" si="5"/>
        <v>2</v>
      </c>
      <c r="E1461" s="1" t="s">
        <v>3374</v>
      </c>
      <c r="G1461" s="1">
        <f t="array" ref="G1461">IF(ISNUMBER(MATCH(40495,Camille!$A:$A,0)), IF(OR(INDEX(Camille!$D:$D,MATCH(40495,Camille!$A:$A,0))=1, INDEX(Camille!$D:$D,MATCH(40495,Camille!$A:$A,0))=2), INDEX(Camille!$D:$D,MATCH(40495,Camille!$A:$A,0)), 0), 0)</f>
        <v>0</v>
      </c>
      <c r="H1461" s="1">
        <f t="array" ref="H1461">IF(ISNUMBER(MATCH(40495,Telmo!$A:$A,0)), IF(OR(INDEX(Telmo!$D:$D,MATCH(40495,Telmo!$A:$A,0))=1, INDEX(Telmo!$D:$D,MATCH(40495,Telmo!$A:$A,0))=2), INDEX(Telmo!$D:$D,MATCH(40495,Telmo!$A:$A,0)), 0), 0)</f>
        <v>0</v>
      </c>
      <c r="I1461" s="1">
        <f t="array" ref="I1461">IF(ISNUMBER(MATCH(40495,Max!$A:$A,0)), IF(OR(INDEX(Max!$D:$D,MATCH(40495,Max!$A:$A,0))=1, INDEX(Max!$D:$D,MATCH(40495,Max!$A:$A,0))=2), INDEX(Max!$D:$D,MATCH(40495,Max!$A:$A,0)), 0), 0)</f>
        <v>2</v>
      </c>
    </row>
    <row r="1462" spans="1:9" ht="15.75" customHeight="1" x14ac:dyDescent="0.2">
      <c r="A1462" s="1">
        <v>23812</v>
      </c>
      <c r="B1462" s="1" t="s">
        <v>282</v>
      </c>
      <c r="C1462" s="1" t="s">
        <v>3375</v>
      </c>
      <c r="D1462" s="1" t="str">
        <f t="shared" si="5"/>
        <v>2</v>
      </c>
      <c r="E1462" s="1" t="s">
        <v>3376</v>
      </c>
      <c r="G1462" s="1">
        <f t="array" ref="G1462">IF(ISNUMBER(MATCH(23812,Camille!$A:$A,0)), IF(OR(INDEX(Camille!$D:$D,MATCH(23812,Camille!$A:$A,0))=1, INDEX(Camille!$D:$D,MATCH(23812,Camille!$A:$A,0))=2), INDEX(Camille!$D:$D,MATCH(23812,Camille!$A:$A,0)), 0), 0)</f>
        <v>0</v>
      </c>
      <c r="H1462" s="1">
        <f t="array" ref="H1462">IF(ISNUMBER(MATCH(23812,Telmo!$A:$A,0)), IF(OR(INDEX(Telmo!$D:$D,MATCH(23812,Telmo!$A:$A,0))=1, INDEX(Telmo!$D:$D,MATCH(23812,Telmo!$A:$A,0))=2), INDEX(Telmo!$D:$D,MATCH(23812,Telmo!$A:$A,0)), 0), 0)</f>
        <v>0</v>
      </c>
      <c r="I1462" s="1">
        <f t="array" ref="I1462">IF(ISNUMBER(MATCH(23812,Max!$A:$A,0)), IF(OR(INDEX(Max!$D:$D,MATCH(23812,Max!$A:$A,0))=1, INDEX(Max!$D:$D,MATCH(23812,Max!$A:$A,0))=2), INDEX(Max!$D:$D,MATCH(23812,Max!$A:$A,0)), 0), 0)</f>
        <v>2</v>
      </c>
    </row>
    <row r="1463" spans="1:9" ht="15.75" customHeight="1" x14ac:dyDescent="0.2">
      <c r="A1463" s="1">
        <v>48091</v>
      </c>
      <c r="B1463" s="1" t="s">
        <v>597</v>
      </c>
      <c r="C1463" s="1" t="s">
        <v>3377</v>
      </c>
      <c r="D1463" s="1" t="str">
        <f t="shared" si="5"/>
        <v>1</v>
      </c>
      <c r="E1463" s="1" t="s">
        <v>3378</v>
      </c>
      <c r="G1463" s="1">
        <f t="array" ref="G1463">IF(ISNUMBER(MATCH(48091,Camille!$A:$A,0)), IF(OR(INDEX(Camille!$D:$D,MATCH(48091,Camille!$A:$A,0))=1, INDEX(Camille!$D:$D,MATCH(48091,Camille!$A:$A,0))=2), INDEX(Camille!$D:$D,MATCH(48091,Camille!$A:$A,0)), 0), 0)</f>
        <v>0</v>
      </c>
      <c r="H1463" s="1">
        <f t="array" ref="H1463">IF(ISNUMBER(MATCH(48091,Telmo!$A:$A,0)), IF(OR(INDEX(Telmo!$D:$D,MATCH(48091,Telmo!$A:$A,0))=1, INDEX(Telmo!$D:$D,MATCH(48091,Telmo!$A:$A,0))=2), INDEX(Telmo!$D:$D,MATCH(48091,Telmo!$A:$A,0)), 0), 0)</f>
        <v>0</v>
      </c>
      <c r="I1463" s="1">
        <f t="array" ref="I1463">IF(ISNUMBER(MATCH(48091,Max!$A:$A,0)), IF(OR(INDEX(Max!$D:$D,MATCH(48091,Max!$A:$A,0))=1, INDEX(Max!$D:$D,MATCH(48091,Max!$A:$A,0))=2), INDEX(Max!$D:$D,MATCH(48091,Max!$A:$A,0)), 0), 0)</f>
        <v>1</v>
      </c>
    </row>
    <row r="1464" spans="1:9" ht="15.75" customHeight="1" x14ac:dyDescent="0.2">
      <c r="A1464" s="1">
        <v>41957</v>
      </c>
      <c r="B1464" s="1" t="s">
        <v>1123</v>
      </c>
      <c r="C1464" s="1" t="s">
        <v>3379</v>
      </c>
      <c r="D1464" s="1" t="str">
        <f t="shared" si="5"/>
        <v>1</v>
      </c>
      <c r="E1464" s="1" t="s">
        <v>3380</v>
      </c>
      <c r="G1464" s="1">
        <f t="array" ref="G1464">IF(ISNUMBER(MATCH(41957,Camille!$A:$A,0)), IF(OR(INDEX(Camille!$D:$D,MATCH(41957,Camille!$A:$A,0))=1, INDEX(Camille!$D:$D,MATCH(41957,Camille!$A:$A,0))=2), INDEX(Camille!$D:$D,MATCH(41957,Camille!$A:$A,0)), 0), 0)</f>
        <v>0</v>
      </c>
      <c r="H1464" s="1">
        <f t="array" ref="H1464">IF(ISNUMBER(MATCH(41957,Telmo!$A:$A,0)), IF(OR(INDEX(Telmo!$D:$D,MATCH(41957,Telmo!$A:$A,0))=1, INDEX(Telmo!$D:$D,MATCH(41957,Telmo!$A:$A,0))=2), INDEX(Telmo!$D:$D,MATCH(41957,Telmo!$A:$A,0)), 0), 0)</f>
        <v>0</v>
      </c>
      <c r="I1464" s="1">
        <f t="array" ref="I1464">IF(ISNUMBER(MATCH(41957,Max!$A:$A,0)), IF(OR(INDEX(Max!$D:$D,MATCH(41957,Max!$A:$A,0))=1, INDEX(Max!$D:$D,MATCH(41957,Max!$A:$A,0))=2), INDEX(Max!$D:$D,MATCH(41957,Max!$A:$A,0)), 0), 0)</f>
        <v>1</v>
      </c>
    </row>
    <row r="1465" spans="1:9" ht="15.75" customHeight="1" x14ac:dyDescent="0.2">
      <c r="A1465" s="1">
        <v>60847</v>
      </c>
      <c r="B1465" s="1" t="s">
        <v>597</v>
      </c>
      <c r="C1465" s="1" t="s">
        <v>3381</v>
      </c>
      <c r="D1465" s="1" t="str">
        <f t="shared" si="5"/>
        <v>1</v>
      </c>
      <c r="E1465" s="1" t="s">
        <v>3382</v>
      </c>
      <c r="G1465" s="1">
        <f t="array" ref="G1465">IF(ISNUMBER(MATCH(60847,Camille!$A:$A,0)), IF(OR(INDEX(Camille!$D:$D,MATCH(60847,Camille!$A:$A,0))=1, INDEX(Camille!$D:$D,MATCH(60847,Camille!$A:$A,0))=2), INDEX(Camille!$D:$D,MATCH(60847,Camille!$A:$A,0)), 0), 0)</f>
        <v>0</v>
      </c>
      <c r="H1465" s="1">
        <f t="array" ref="H1465">IF(ISNUMBER(MATCH(60847,Telmo!$A:$A,0)), IF(OR(INDEX(Telmo!$D:$D,MATCH(60847,Telmo!$A:$A,0))=1, INDEX(Telmo!$D:$D,MATCH(60847,Telmo!$A:$A,0))=2), INDEX(Telmo!$D:$D,MATCH(60847,Telmo!$A:$A,0)), 0), 0)</f>
        <v>0</v>
      </c>
      <c r="I1465" s="1">
        <f t="array" ref="I1465">IF(ISNUMBER(MATCH(60847,Max!$A:$A,0)), IF(OR(INDEX(Max!$D:$D,MATCH(60847,Max!$A:$A,0))=1, INDEX(Max!$D:$D,MATCH(60847,Max!$A:$A,0))=2), INDEX(Max!$D:$D,MATCH(60847,Max!$A:$A,0)), 0), 0)</f>
        <v>1</v>
      </c>
    </row>
    <row r="1466" spans="1:9" ht="15.75" customHeight="1" x14ac:dyDescent="0.2">
      <c r="A1466" s="1">
        <v>32292</v>
      </c>
      <c r="B1466" s="1" t="s">
        <v>996</v>
      </c>
      <c r="C1466" s="1" t="s">
        <v>3383</v>
      </c>
      <c r="D1466" s="1" t="str">
        <f t="shared" si="5"/>
        <v>1</v>
      </c>
      <c r="E1466" s="1" t="s">
        <v>3384</v>
      </c>
      <c r="G1466" s="1">
        <f t="array" ref="G1466">IF(ISNUMBER(MATCH(32292,Camille!$A:$A,0)), IF(OR(INDEX(Camille!$D:$D,MATCH(32292,Camille!$A:$A,0))=1, INDEX(Camille!$D:$D,MATCH(32292,Camille!$A:$A,0))=2), INDEX(Camille!$D:$D,MATCH(32292,Camille!$A:$A,0)), 0), 0)</f>
        <v>0</v>
      </c>
      <c r="H1466" s="1">
        <f t="array" ref="H1466">IF(ISNUMBER(MATCH(32292,Telmo!$A:$A,0)), IF(OR(INDEX(Telmo!$D:$D,MATCH(32292,Telmo!$A:$A,0))=1, INDEX(Telmo!$D:$D,MATCH(32292,Telmo!$A:$A,0))=2), INDEX(Telmo!$D:$D,MATCH(32292,Telmo!$A:$A,0)), 0), 0)</f>
        <v>0</v>
      </c>
      <c r="I1466" s="1">
        <f t="array" ref="I1466">IF(ISNUMBER(MATCH(32292,Max!$A:$A,0)), IF(OR(INDEX(Max!$D:$D,MATCH(32292,Max!$A:$A,0))=1, INDEX(Max!$D:$D,MATCH(32292,Max!$A:$A,0))=2), INDEX(Max!$D:$D,MATCH(32292,Max!$A:$A,0)), 0), 0)</f>
        <v>1</v>
      </c>
    </row>
    <row r="1467" spans="1:9" ht="15.75" customHeight="1" x14ac:dyDescent="0.2">
      <c r="A1467" s="1">
        <v>71726</v>
      </c>
      <c r="B1467" s="1" t="s">
        <v>135</v>
      </c>
      <c r="C1467" s="1" t="s">
        <v>3385</v>
      </c>
      <c r="D1467" s="1" t="str">
        <f t="shared" si="5"/>
        <v>2</v>
      </c>
      <c r="E1467" s="1" t="s">
        <v>3386</v>
      </c>
      <c r="G1467" s="1">
        <f t="array" ref="G1467">IF(ISNUMBER(MATCH(71726,Camille!$A:$A,0)), IF(OR(INDEX(Camille!$D:$D,MATCH(71726,Camille!$A:$A,0))=1, INDEX(Camille!$D:$D,MATCH(71726,Camille!$A:$A,0))=2), INDEX(Camille!$D:$D,MATCH(71726,Camille!$A:$A,0)), 0), 0)</f>
        <v>0</v>
      </c>
      <c r="H1467" s="1">
        <f t="array" ref="H1467">IF(ISNUMBER(MATCH(71726,Telmo!$A:$A,0)), IF(OR(INDEX(Telmo!$D:$D,MATCH(71726,Telmo!$A:$A,0))=1, INDEX(Telmo!$D:$D,MATCH(71726,Telmo!$A:$A,0))=2), INDEX(Telmo!$D:$D,MATCH(71726,Telmo!$A:$A,0)), 0), 0)</f>
        <v>0</v>
      </c>
      <c r="I1467" s="1">
        <f t="array" ref="I1467">IF(ISNUMBER(MATCH(71726,Max!$A:$A,0)), IF(OR(INDEX(Max!$D:$D,MATCH(71726,Max!$A:$A,0))=1, INDEX(Max!$D:$D,MATCH(71726,Max!$A:$A,0))=2), INDEX(Max!$D:$D,MATCH(71726,Max!$A:$A,0)), 0), 0)</f>
        <v>2</v>
      </c>
    </row>
    <row r="1468" spans="1:9" ht="15.75" customHeight="1" x14ac:dyDescent="0.2">
      <c r="A1468" s="1">
        <v>10937</v>
      </c>
      <c r="B1468" s="1" t="s">
        <v>307</v>
      </c>
      <c r="C1468" s="1" t="s">
        <v>3387</v>
      </c>
      <c r="D1468" s="1" t="str">
        <f t="shared" si="5"/>
        <v>2</v>
      </c>
      <c r="E1468" s="1" t="s">
        <v>3388</v>
      </c>
      <c r="G1468" s="1">
        <f t="array" ref="G1468">IF(ISNUMBER(MATCH(10937,Camille!$A:$A,0)), IF(OR(INDEX(Camille!$D:$D,MATCH(10937,Camille!$A:$A,0))=1, INDEX(Camille!$D:$D,MATCH(10937,Camille!$A:$A,0))=2), INDEX(Camille!$D:$D,MATCH(10937,Camille!$A:$A,0)), 0), 0)</f>
        <v>0</v>
      </c>
      <c r="H1468" s="1">
        <f t="array" ref="H1468">IF(ISNUMBER(MATCH(10937,Telmo!$A:$A,0)), IF(OR(INDEX(Telmo!$D:$D,MATCH(10937,Telmo!$A:$A,0))=1, INDEX(Telmo!$D:$D,MATCH(10937,Telmo!$A:$A,0))=2), INDEX(Telmo!$D:$D,MATCH(10937,Telmo!$A:$A,0)), 0), 0)</f>
        <v>0</v>
      </c>
      <c r="I1468" s="1">
        <f t="array" ref="I1468">IF(ISNUMBER(MATCH(10937,Max!$A:$A,0)), IF(OR(INDEX(Max!$D:$D,MATCH(10937,Max!$A:$A,0))=1, INDEX(Max!$D:$D,MATCH(10937,Max!$A:$A,0))=2), INDEX(Max!$D:$D,MATCH(10937,Max!$A:$A,0)), 0), 0)</f>
        <v>2</v>
      </c>
    </row>
    <row r="1469" spans="1:9" ht="15.75" customHeight="1" x14ac:dyDescent="0.2">
      <c r="A1469" s="1">
        <v>3853</v>
      </c>
      <c r="B1469" s="1" t="s">
        <v>636</v>
      </c>
      <c r="C1469" s="1" t="s">
        <v>3389</v>
      </c>
      <c r="D1469" s="1" t="str">
        <f t="shared" si="5"/>
        <v>2</v>
      </c>
      <c r="E1469" s="1" t="s">
        <v>3390</v>
      </c>
      <c r="G1469" s="1">
        <f t="array" ref="G1469">IF(ISNUMBER(MATCH(3853,Camille!$A:$A,0)), IF(OR(INDEX(Camille!$D:$D,MATCH(3853,Camille!$A:$A,0))=1, INDEX(Camille!$D:$D,MATCH(3853,Camille!$A:$A,0))=2), INDEX(Camille!$D:$D,MATCH(3853,Camille!$A:$A,0)), 0), 0)</f>
        <v>0</v>
      </c>
      <c r="H1469" s="1">
        <f t="array" ref="H1469">IF(ISNUMBER(MATCH(3853,Telmo!$A:$A,0)), IF(OR(INDEX(Telmo!$D:$D,MATCH(3853,Telmo!$A:$A,0))=1, INDEX(Telmo!$D:$D,MATCH(3853,Telmo!$A:$A,0))=2), INDEX(Telmo!$D:$D,MATCH(3853,Telmo!$A:$A,0)), 0), 0)</f>
        <v>0</v>
      </c>
      <c r="I1469" s="1">
        <f t="array" ref="I1469">IF(ISNUMBER(MATCH(3853,Max!$A:$A,0)), IF(OR(INDEX(Max!$D:$D,MATCH(3853,Max!$A:$A,0))=1, INDEX(Max!$D:$D,MATCH(3853,Max!$A:$A,0))=2), INDEX(Max!$D:$D,MATCH(3853,Max!$A:$A,0)), 0), 0)</f>
        <v>2</v>
      </c>
    </row>
    <row r="1470" spans="1:9" ht="15.75" customHeight="1" x14ac:dyDescent="0.2">
      <c r="A1470" s="1">
        <v>7406</v>
      </c>
      <c r="B1470" s="1" t="s">
        <v>276</v>
      </c>
      <c r="C1470" s="1" t="s">
        <v>3391</v>
      </c>
      <c r="D1470" s="1" t="str">
        <f t="shared" si="5"/>
        <v>1</v>
      </c>
      <c r="E1470" s="1" t="s">
        <v>3392</v>
      </c>
      <c r="G1470" s="1">
        <f t="array" ref="G1470">IF(ISNUMBER(MATCH(7406,Camille!$A:$A,0)), IF(OR(INDEX(Camille!$D:$D,MATCH(7406,Camille!$A:$A,0))=1, INDEX(Camille!$D:$D,MATCH(7406,Camille!$A:$A,0))=2), INDEX(Camille!$D:$D,MATCH(7406,Camille!$A:$A,0)), 0), 0)</f>
        <v>0</v>
      </c>
      <c r="H1470" s="1">
        <f t="array" ref="H1470">IF(ISNUMBER(MATCH(7406,Telmo!$A:$A,0)), IF(OR(INDEX(Telmo!$D:$D,MATCH(7406,Telmo!$A:$A,0))=1, INDEX(Telmo!$D:$D,MATCH(7406,Telmo!$A:$A,0))=2), INDEX(Telmo!$D:$D,MATCH(7406,Telmo!$A:$A,0)), 0), 0)</f>
        <v>0</v>
      </c>
      <c r="I1470" s="1">
        <f t="array" ref="I1470">IF(ISNUMBER(MATCH(7406,Max!$A:$A,0)), IF(OR(INDEX(Max!$D:$D,MATCH(7406,Max!$A:$A,0))=1, INDEX(Max!$D:$D,MATCH(7406,Max!$A:$A,0))=2), INDEX(Max!$D:$D,MATCH(7406,Max!$A:$A,0)), 0), 0)</f>
        <v>1</v>
      </c>
    </row>
    <row r="1471" spans="1:9" ht="15.75" customHeight="1" x14ac:dyDescent="0.2">
      <c r="A1471" s="1">
        <v>18017</v>
      </c>
      <c r="B1471" s="1" t="s">
        <v>3393</v>
      </c>
      <c r="C1471" s="1" t="s">
        <v>3394</v>
      </c>
      <c r="D1471" s="1" t="str">
        <f t="shared" si="5"/>
        <v>1</v>
      </c>
      <c r="E1471" s="1" t="s">
        <v>3395</v>
      </c>
      <c r="G1471" s="1">
        <f t="array" ref="G1471">IF(ISNUMBER(MATCH(18017,Camille!$A:$A,0)), IF(OR(INDEX(Camille!$D:$D,MATCH(18017,Camille!$A:$A,0))=1, INDEX(Camille!$D:$D,MATCH(18017,Camille!$A:$A,0))=2), INDEX(Camille!$D:$D,MATCH(18017,Camille!$A:$A,0)), 0), 0)</f>
        <v>0</v>
      </c>
      <c r="H1471" s="1">
        <f t="array" ref="H1471">IF(ISNUMBER(MATCH(18017,Telmo!$A:$A,0)), IF(OR(INDEX(Telmo!$D:$D,MATCH(18017,Telmo!$A:$A,0))=1, INDEX(Telmo!$D:$D,MATCH(18017,Telmo!$A:$A,0))=2), INDEX(Telmo!$D:$D,MATCH(18017,Telmo!$A:$A,0)), 0), 0)</f>
        <v>0</v>
      </c>
      <c r="I1471" s="1">
        <f t="array" ref="I1471">IF(ISNUMBER(MATCH(18017,Max!$A:$A,0)), IF(OR(INDEX(Max!$D:$D,MATCH(18017,Max!$A:$A,0))=1, INDEX(Max!$D:$D,MATCH(18017,Max!$A:$A,0))=2), INDEX(Max!$D:$D,MATCH(18017,Max!$A:$A,0)), 0), 0)</f>
        <v>1</v>
      </c>
    </row>
    <row r="1472" spans="1:9" ht="15.75" customHeight="1" x14ac:dyDescent="0.2">
      <c r="A1472" s="1">
        <v>28839</v>
      </c>
      <c r="B1472" s="1" t="s">
        <v>75</v>
      </c>
      <c r="C1472" s="1" t="s">
        <v>3396</v>
      </c>
      <c r="D1472" s="1" t="str">
        <f t="shared" si="5"/>
        <v>1</v>
      </c>
      <c r="E1472" s="1" t="s">
        <v>3397</v>
      </c>
      <c r="G1472" s="1">
        <f t="array" ref="G1472">IF(ISNUMBER(MATCH(28839,Camille!$A:$A,0)), IF(OR(INDEX(Camille!$D:$D,MATCH(28839,Camille!$A:$A,0))=1, INDEX(Camille!$D:$D,MATCH(28839,Camille!$A:$A,0))=2), INDEX(Camille!$D:$D,MATCH(28839,Camille!$A:$A,0)), 0), 0)</f>
        <v>0</v>
      </c>
      <c r="H1472" s="1">
        <f t="array" ref="H1472">IF(ISNUMBER(MATCH(28839,Telmo!$A:$A,0)), IF(OR(INDEX(Telmo!$D:$D,MATCH(28839,Telmo!$A:$A,0))=1, INDEX(Telmo!$D:$D,MATCH(28839,Telmo!$A:$A,0))=2), INDEX(Telmo!$D:$D,MATCH(28839,Telmo!$A:$A,0)), 0), 0)</f>
        <v>0</v>
      </c>
      <c r="I1472" s="1">
        <f t="array" ref="I1472">IF(ISNUMBER(MATCH(28839,Max!$A:$A,0)), IF(OR(INDEX(Max!$D:$D,MATCH(28839,Max!$A:$A,0))=1, INDEX(Max!$D:$D,MATCH(28839,Max!$A:$A,0))=2), INDEX(Max!$D:$D,MATCH(28839,Max!$A:$A,0)), 0), 0)</f>
        <v>1</v>
      </c>
    </row>
    <row r="1473" spans="1:9" ht="15.75" customHeight="1" x14ac:dyDescent="0.2">
      <c r="A1473" s="1">
        <v>35937</v>
      </c>
      <c r="B1473" s="1" t="s">
        <v>78</v>
      </c>
      <c r="C1473" s="1" t="s">
        <v>3398</v>
      </c>
      <c r="D1473" s="1" t="str">
        <f t="shared" si="5"/>
        <v>2</v>
      </c>
      <c r="E1473" s="1" t="s">
        <v>3399</v>
      </c>
      <c r="G1473" s="1">
        <f t="array" ref="G1473">IF(ISNUMBER(MATCH(35937,Camille!$A:$A,0)), IF(OR(INDEX(Camille!$D:$D,MATCH(35937,Camille!$A:$A,0))=1, INDEX(Camille!$D:$D,MATCH(35937,Camille!$A:$A,0))=2), INDEX(Camille!$D:$D,MATCH(35937,Camille!$A:$A,0)), 0), 0)</f>
        <v>0</v>
      </c>
      <c r="H1473" s="1">
        <f t="array" ref="H1473">IF(ISNUMBER(MATCH(35937,Telmo!$A:$A,0)), IF(OR(INDEX(Telmo!$D:$D,MATCH(35937,Telmo!$A:$A,0))=1, INDEX(Telmo!$D:$D,MATCH(35937,Telmo!$A:$A,0))=2), INDEX(Telmo!$D:$D,MATCH(35937,Telmo!$A:$A,0)), 0), 0)</f>
        <v>0</v>
      </c>
      <c r="I1473" s="1">
        <f t="array" ref="I1473">IF(ISNUMBER(MATCH(35937,Max!$A:$A,0)), IF(OR(INDEX(Max!$D:$D,MATCH(35937,Max!$A:$A,0))=1, INDEX(Max!$D:$D,MATCH(35937,Max!$A:$A,0))=2), INDEX(Max!$D:$D,MATCH(35937,Max!$A:$A,0)), 0), 0)</f>
        <v>2</v>
      </c>
    </row>
    <row r="1474" spans="1:9" ht="15.75" customHeight="1" x14ac:dyDescent="0.2">
      <c r="A1474" s="1">
        <v>42359</v>
      </c>
      <c r="B1474" s="1" t="s">
        <v>172</v>
      </c>
      <c r="C1474" s="1" t="s">
        <v>3400</v>
      </c>
      <c r="D1474" s="1" t="str">
        <f t="shared" si="5"/>
        <v>2</v>
      </c>
      <c r="E1474" s="1" t="s">
        <v>3401</v>
      </c>
      <c r="G1474" s="1">
        <f t="array" ref="G1474">IF(ISNUMBER(MATCH(42359,Camille!$A:$A,0)), IF(OR(INDEX(Camille!$D:$D,MATCH(42359,Camille!$A:$A,0))=1, INDEX(Camille!$D:$D,MATCH(42359,Camille!$A:$A,0))=2), INDEX(Camille!$D:$D,MATCH(42359,Camille!$A:$A,0)), 0), 0)</f>
        <v>0</v>
      </c>
      <c r="H1474" s="1">
        <f t="array" ref="H1474">IF(ISNUMBER(MATCH(42359,Telmo!$A:$A,0)), IF(OR(INDEX(Telmo!$D:$D,MATCH(42359,Telmo!$A:$A,0))=1, INDEX(Telmo!$D:$D,MATCH(42359,Telmo!$A:$A,0))=2), INDEX(Telmo!$D:$D,MATCH(42359,Telmo!$A:$A,0)), 0), 0)</f>
        <v>0</v>
      </c>
      <c r="I1474" s="1">
        <f t="array" ref="I1474">IF(ISNUMBER(MATCH(42359,Max!$A:$A,0)), IF(OR(INDEX(Max!$D:$D,MATCH(42359,Max!$A:$A,0))=1, INDEX(Max!$D:$D,MATCH(42359,Max!$A:$A,0))=2), INDEX(Max!$D:$D,MATCH(42359,Max!$A:$A,0)), 0), 0)</f>
        <v>2</v>
      </c>
    </row>
    <row r="1475" spans="1:9" ht="15.75" customHeight="1" x14ac:dyDescent="0.2">
      <c r="A1475" s="1">
        <v>51899</v>
      </c>
      <c r="B1475" s="1" t="s">
        <v>2385</v>
      </c>
      <c r="C1475" s="1" t="s">
        <v>3402</v>
      </c>
      <c r="D1475" s="1" t="str">
        <f t="shared" si="5"/>
        <v>2</v>
      </c>
      <c r="E1475" s="1" t="s">
        <v>3403</v>
      </c>
      <c r="G1475" s="1">
        <f t="array" ref="G1475">IF(ISNUMBER(MATCH(51899,Camille!$A:$A,0)), IF(OR(INDEX(Camille!$D:$D,MATCH(51899,Camille!$A:$A,0))=1, INDEX(Camille!$D:$D,MATCH(51899,Camille!$A:$A,0))=2), INDEX(Camille!$D:$D,MATCH(51899,Camille!$A:$A,0)), 0), 0)</f>
        <v>0</v>
      </c>
      <c r="H1475" s="1">
        <f t="array" ref="H1475">IF(ISNUMBER(MATCH(51899,Telmo!$A:$A,0)), IF(OR(INDEX(Telmo!$D:$D,MATCH(51899,Telmo!$A:$A,0))=1, INDEX(Telmo!$D:$D,MATCH(51899,Telmo!$A:$A,0))=2), INDEX(Telmo!$D:$D,MATCH(51899,Telmo!$A:$A,0)), 0), 0)</f>
        <v>0</v>
      </c>
      <c r="I1475" s="1">
        <f t="array" ref="I1475">IF(ISNUMBER(MATCH(51899,Max!$A:$A,0)), IF(OR(INDEX(Max!$D:$D,MATCH(51899,Max!$A:$A,0))=1, INDEX(Max!$D:$D,MATCH(51899,Max!$A:$A,0))=2), INDEX(Max!$D:$D,MATCH(51899,Max!$A:$A,0)), 0), 0)</f>
        <v>2</v>
      </c>
    </row>
    <row r="1476" spans="1:9" ht="15.75" customHeight="1" x14ac:dyDescent="0.2">
      <c r="A1476" s="1">
        <v>1410</v>
      </c>
      <c r="B1476" s="1" t="s">
        <v>180</v>
      </c>
      <c r="C1476" s="1" t="s">
        <v>3404</v>
      </c>
      <c r="D1476" s="1" t="str">
        <f t="shared" si="5"/>
        <v>2</v>
      </c>
      <c r="E1476" s="1" t="s">
        <v>3405</v>
      </c>
      <c r="G1476" s="1">
        <f t="array" ref="G1476">IF(ISNUMBER(MATCH(1410,Camille!$A:$A,0)), IF(OR(INDEX(Camille!$D:$D,MATCH(1410,Camille!$A:$A,0))=1, INDEX(Camille!$D:$D,MATCH(1410,Camille!$A:$A,0))=2), INDEX(Camille!$D:$D,MATCH(1410,Camille!$A:$A,0)), 0), 0)</f>
        <v>0</v>
      </c>
      <c r="H1476" s="1">
        <f t="array" ref="H1476">IF(ISNUMBER(MATCH(1410,Telmo!$A:$A,0)), IF(OR(INDEX(Telmo!$D:$D,MATCH(1410,Telmo!$A:$A,0))=1, INDEX(Telmo!$D:$D,MATCH(1410,Telmo!$A:$A,0))=2), INDEX(Telmo!$D:$D,MATCH(1410,Telmo!$A:$A,0)), 0), 0)</f>
        <v>0</v>
      </c>
      <c r="I1476" s="1">
        <f t="array" ref="I1476">IF(ISNUMBER(MATCH(1410,Max!$A:$A,0)), IF(OR(INDEX(Max!$D:$D,MATCH(1410,Max!$A:$A,0))=1, INDEX(Max!$D:$D,MATCH(1410,Max!$A:$A,0))=2), INDEX(Max!$D:$D,MATCH(1410,Max!$A:$A,0)), 0), 0)</f>
        <v>2</v>
      </c>
    </row>
    <row r="1477" spans="1:9" ht="15.75" customHeight="1" x14ac:dyDescent="0.2">
      <c r="A1477" s="1">
        <v>32295</v>
      </c>
      <c r="B1477" s="1" t="s">
        <v>273</v>
      </c>
      <c r="C1477" s="1" t="s">
        <v>3406</v>
      </c>
      <c r="D1477" s="1" t="str">
        <f t="shared" si="5"/>
        <v>1</v>
      </c>
      <c r="E1477" s="1" t="s">
        <v>3407</v>
      </c>
      <c r="G1477" s="1">
        <f t="array" ref="G1477">IF(ISNUMBER(MATCH(32295,Camille!$A:$A,0)), IF(OR(INDEX(Camille!$D:$D,MATCH(32295,Camille!$A:$A,0))=1, INDEX(Camille!$D:$D,MATCH(32295,Camille!$A:$A,0))=2), INDEX(Camille!$D:$D,MATCH(32295,Camille!$A:$A,0)), 0), 0)</f>
        <v>0</v>
      </c>
      <c r="H1477" s="1">
        <f t="array" ref="H1477">IF(ISNUMBER(MATCH(32295,Telmo!$A:$A,0)), IF(OR(INDEX(Telmo!$D:$D,MATCH(32295,Telmo!$A:$A,0))=1, INDEX(Telmo!$D:$D,MATCH(32295,Telmo!$A:$A,0))=2), INDEX(Telmo!$D:$D,MATCH(32295,Telmo!$A:$A,0)), 0), 0)</f>
        <v>0</v>
      </c>
      <c r="I1477" s="1">
        <f t="array" ref="I1477">IF(ISNUMBER(MATCH(32295,Max!$A:$A,0)), IF(OR(INDEX(Max!$D:$D,MATCH(32295,Max!$A:$A,0))=1, INDEX(Max!$D:$D,MATCH(32295,Max!$A:$A,0))=2), INDEX(Max!$D:$D,MATCH(32295,Max!$A:$A,0)), 0), 0)</f>
        <v>1</v>
      </c>
    </row>
    <row r="1478" spans="1:9" ht="15.75" customHeight="1" x14ac:dyDescent="0.2">
      <c r="A1478" s="1">
        <v>66169</v>
      </c>
      <c r="B1478" s="1" t="s">
        <v>1433</v>
      </c>
      <c r="C1478" s="1" t="s">
        <v>3408</v>
      </c>
      <c r="D1478" s="1" t="str">
        <f t="shared" si="5"/>
        <v>2</v>
      </c>
      <c r="E1478" s="1" t="s">
        <v>3409</v>
      </c>
      <c r="G1478" s="1">
        <f t="array" ref="G1478">IF(ISNUMBER(MATCH(66169,Camille!$A:$A,0)), IF(OR(INDEX(Camille!$D:$D,MATCH(66169,Camille!$A:$A,0))=1, INDEX(Camille!$D:$D,MATCH(66169,Camille!$A:$A,0))=2), INDEX(Camille!$D:$D,MATCH(66169,Camille!$A:$A,0)), 0), 0)</f>
        <v>0</v>
      </c>
      <c r="H1478" s="1">
        <f t="array" ref="H1478">IF(ISNUMBER(MATCH(66169,Telmo!$A:$A,0)), IF(OR(INDEX(Telmo!$D:$D,MATCH(66169,Telmo!$A:$A,0))=1, INDEX(Telmo!$D:$D,MATCH(66169,Telmo!$A:$A,0))=2), INDEX(Telmo!$D:$D,MATCH(66169,Telmo!$A:$A,0)), 0), 0)</f>
        <v>0</v>
      </c>
      <c r="I1478" s="1">
        <f t="array" ref="I1478">IF(ISNUMBER(MATCH(66169,Max!$A:$A,0)), IF(OR(INDEX(Max!$D:$D,MATCH(66169,Max!$A:$A,0))=1, INDEX(Max!$D:$D,MATCH(66169,Max!$A:$A,0))=2), INDEX(Max!$D:$D,MATCH(66169,Max!$A:$A,0)), 0), 0)</f>
        <v>2</v>
      </c>
    </row>
    <row r="1479" spans="1:9" ht="15.75" customHeight="1" x14ac:dyDescent="0.2">
      <c r="A1479" s="1">
        <v>37114</v>
      </c>
      <c r="B1479" s="1" t="s">
        <v>1962</v>
      </c>
      <c r="C1479" s="1" t="s">
        <v>3410</v>
      </c>
      <c r="D1479" s="1" t="str">
        <f t="shared" si="5"/>
        <v>2</v>
      </c>
      <c r="E1479" s="1" t="s">
        <v>3411</v>
      </c>
      <c r="G1479" s="1">
        <f t="array" ref="G1479">IF(ISNUMBER(MATCH(37114,Camille!$A:$A,0)), IF(OR(INDEX(Camille!$D:$D,MATCH(37114,Camille!$A:$A,0))=1, INDEX(Camille!$D:$D,MATCH(37114,Camille!$A:$A,0))=2), INDEX(Camille!$D:$D,MATCH(37114,Camille!$A:$A,0)), 0), 0)</f>
        <v>0</v>
      </c>
      <c r="H1479" s="1">
        <f t="array" ref="H1479">IF(ISNUMBER(MATCH(37114,Telmo!$A:$A,0)), IF(OR(INDEX(Telmo!$D:$D,MATCH(37114,Telmo!$A:$A,0))=1, INDEX(Telmo!$D:$D,MATCH(37114,Telmo!$A:$A,0))=2), INDEX(Telmo!$D:$D,MATCH(37114,Telmo!$A:$A,0)), 0), 0)</f>
        <v>0</v>
      </c>
      <c r="I1479" s="1">
        <f t="array" ref="I1479">IF(ISNUMBER(MATCH(37114,Max!$A:$A,0)), IF(OR(INDEX(Max!$D:$D,MATCH(37114,Max!$A:$A,0))=1, INDEX(Max!$D:$D,MATCH(37114,Max!$A:$A,0))=2), INDEX(Max!$D:$D,MATCH(37114,Max!$A:$A,0)), 0), 0)</f>
        <v>2</v>
      </c>
    </row>
    <row r="1480" spans="1:9" ht="15.75" customHeight="1" x14ac:dyDescent="0.2">
      <c r="A1480" s="1">
        <v>49159</v>
      </c>
      <c r="B1480" s="1" t="s">
        <v>172</v>
      </c>
      <c r="C1480" s="1" t="s">
        <v>3412</v>
      </c>
      <c r="D1480" s="1" t="str">
        <f t="shared" si="5"/>
        <v>2</v>
      </c>
      <c r="E1480" s="1" t="s">
        <v>3413</v>
      </c>
      <c r="G1480" s="1">
        <f t="array" ref="G1480">IF(ISNUMBER(MATCH(49159,Camille!$A:$A,0)), IF(OR(INDEX(Camille!$D:$D,MATCH(49159,Camille!$A:$A,0))=1, INDEX(Camille!$D:$D,MATCH(49159,Camille!$A:$A,0))=2), INDEX(Camille!$D:$D,MATCH(49159,Camille!$A:$A,0)), 0), 0)</f>
        <v>0</v>
      </c>
      <c r="H1480" s="1">
        <f t="array" ref="H1480">IF(ISNUMBER(MATCH(49159,Telmo!$A:$A,0)), IF(OR(INDEX(Telmo!$D:$D,MATCH(49159,Telmo!$A:$A,0))=1, INDEX(Telmo!$D:$D,MATCH(49159,Telmo!$A:$A,0))=2), INDEX(Telmo!$D:$D,MATCH(49159,Telmo!$A:$A,0)), 0), 0)</f>
        <v>0</v>
      </c>
      <c r="I1480" s="1">
        <f t="array" ref="I1480">IF(ISNUMBER(MATCH(49159,Max!$A:$A,0)), IF(OR(INDEX(Max!$D:$D,MATCH(49159,Max!$A:$A,0))=1, INDEX(Max!$D:$D,MATCH(49159,Max!$A:$A,0))=2), INDEX(Max!$D:$D,MATCH(49159,Max!$A:$A,0)), 0), 0)</f>
        <v>2</v>
      </c>
    </row>
    <row r="1481" spans="1:9" ht="15.75" customHeight="1" x14ac:dyDescent="0.2">
      <c r="A1481" s="1">
        <v>20298</v>
      </c>
      <c r="B1481" s="1" t="s">
        <v>728</v>
      </c>
      <c r="C1481" s="1" t="s">
        <v>3414</v>
      </c>
      <c r="D1481" s="1" t="str">
        <f t="shared" si="5"/>
        <v>2</v>
      </c>
      <c r="E1481" s="1" t="s">
        <v>3415</v>
      </c>
      <c r="G1481" s="1">
        <f t="array" ref="G1481">IF(ISNUMBER(MATCH(20298,Camille!$A:$A,0)), IF(OR(INDEX(Camille!$D:$D,MATCH(20298,Camille!$A:$A,0))=1, INDEX(Camille!$D:$D,MATCH(20298,Camille!$A:$A,0))=2), INDEX(Camille!$D:$D,MATCH(20298,Camille!$A:$A,0)), 0), 0)</f>
        <v>0</v>
      </c>
      <c r="H1481" s="1">
        <f t="array" ref="H1481">IF(ISNUMBER(MATCH(20298,Telmo!$A:$A,0)), IF(OR(INDEX(Telmo!$D:$D,MATCH(20298,Telmo!$A:$A,0))=1, INDEX(Telmo!$D:$D,MATCH(20298,Telmo!$A:$A,0))=2), INDEX(Telmo!$D:$D,MATCH(20298,Telmo!$A:$A,0)), 0), 0)</f>
        <v>0</v>
      </c>
      <c r="I1481" s="1">
        <f t="array" ref="I1481">IF(ISNUMBER(MATCH(20298,Max!$A:$A,0)), IF(OR(INDEX(Max!$D:$D,MATCH(20298,Max!$A:$A,0))=1, INDEX(Max!$D:$D,MATCH(20298,Max!$A:$A,0))=2), INDEX(Max!$D:$D,MATCH(20298,Max!$A:$A,0)), 0), 0)</f>
        <v>2</v>
      </c>
    </row>
    <row r="1482" spans="1:9" ht="15.75" customHeight="1" x14ac:dyDescent="0.2">
      <c r="A1482" s="1">
        <v>26656</v>
      </c>
      <c r="B1482" s="1" t="s">
        <v>866</v>
      </c>
      <c r="C1482" s="1" t="s">
        <v>3416</v>
      </c>
      <c r="D1482" s="1" t="str">
        <f t="shared" si="5"/>
        <v>2</v>
      </c>
      <c r="E1482" s="1" t="s">
        <v>3417</v>
      </c>
      <c r="G1482" s="1">
        <f t="array" ref="G1482">IF(ISNUMBER(MATCH(26656,Camille!$A:$A,0)), IF(OR(INDEX(Camille!$D:$D,MATCH(26656,Camille!$A:$A,0))=1, INDEX(Camille!$D:$D,MATCH(26656,Camille!$A:$A,0))=2), INDEX(Camille!$D:$D,MATCH(26656,Camille!$A:$A,0)), 0), 0)</f>
        <v>0</v>
      </c>
      <c r="H1482" s="1">
        <f t="array" ref="H1482">IF(ISNUMBER(MATCH(26656,Telmo!$A:$A,0)), IF(OR(INDEX(Telmo!$D:$D,MATCH(26656,Telmo!$A:$A,0))=1, INDEX(Telmo!$D:$D,MATCH(26656,Telmo!$A:$A,0))=2), INDEX(Telmo!$D:$D,MATCH(26656,Telmo!$A:$A,0)), 0), 0)</f>
        <v>0</v>
      </c>
      <c r="I1482" s="1">
        <f t="array" ref="I1482">IF(ISNUMBER(MATCH(26656,Max!$A:$A,0)), IF(OR(INDEX(Max!$D:$D,MATCH(26656,Max!$A:$A,0))=1, INDEX(Max!$D:$D,MATCH(26656,Max!$A:$A,0))=2), INDEX(Max!$D:$D,MATCH(26656,Max!$A:$A,0)), 0), 0)</f>
        <v>2</v>
      </c>
    </row>
    <row r="1483" spans="1:9" ht="15.75" customHeight="1" x14ac:dyDescent="0.2">
      <c r="A1483" s="1">
        <v>65640</v>
      </c>
      <c r="B1483" s="1" t="s">
        <v>496</v>
      </c>
      <c r="C1483" s="1" t="s">
        <v>3418</v>
      </c>
      <c r="D1483" s="1" t="str">
        <f t="shared" si="5"/>
        <v>2</v>
      </c>
      <c r="E1483" s="1" t="s">
        <v>3419</v>
      </c>
      <c r="G1483" s="1">
        <f t="array" ref="G1483">IF(ISNUMBER(MATCH(65640,Camille!$A:$A,0)), IF(OR(INDEX(Camille!$D:$D,MATCH(65640,Camille!$A:$A,0))=1, INDEX(Camille!$D:$D,MATCH(65640,Camille!$A:$A,0))=2), INDEX(Camille!$D:$D,MATCH(65640,Camille!$A:$A,0)), 0), 0)</f>
        <v>0</v>
      </c>
      <c r="H1483" s="1">
        <f t="array" ref="H1483">IF(ISNUMBER(MATCH(65640,Telmo!$A:$A,0)), IF(OR(INDEX(Telmo!$D:$D,MATCH(65640,Telmo!$A:$A,0))=1, INDEX(Telmo!$D:$D,MATCH(65640,Telmo!$A:$A,0))=2), INDEX(Telmo!$D:$D,MATCH(65640,Telmo!$A:$A,0)), 0), 0)</f>
        <v>0</v>
      </c>
      <c r="I1483" s="1">
        <f t="array" ref="I1483">IF(ISNUMBER(MATCH(65640,Max!$A:$A,0)), IF(OR(INDEX(Max!$D:$D,MATCH(65640,Max!$A:$A,0))=1, INDEX(Max!$D:$D,MATCH(65640,Max!$A:$A,0))=2), INDEX(Max!$D:$D,MATCH(65640,Max!$A:$A,0)), 0), 0)</f>
        <v>2</v>
      </c>
    </row>
    <row r="1484" spans="1:9" ht="15.75" customHeight="1" x14ac:dyDescent="0.2">
      <c r="A1484" s="1">
        <v>18481</v>
      </c>
      <c r="B1484" s="1" t="s">
        <v>986</v>
      </c>
      <c r="C1484" s="1" t="s">
        <v>3420</v>
      </c>
      <c r="D1484" s="1" t="str">
        <f t="shared" si="5"/>
        <v>2</v>
      </c>
      <c r="E1484" s="1" t="s">
        <v>3421</v>
      </c>
      <c r="G1484" s="1">
        <f t="array" ref="G1484">IF(ISNUMBER(MATCH(18481,Camille!$A:$A,0)), IF(OR(INDEX(Camille!$D:$D,MATCH(18481,Camille!$A:$A,0))=1, INDEX(Camille!$D:$D,MATCH(18481,Camille!$A:$A,0))=2), INDEX(Camille!$D:$D,MATCH(18481,Camille!$A:$A,0)), 0), 0)</f>
        <v>0</v>
      </c>
      <c r="H1484" s="1">
        <f t="array" ref="H1484">IF(ISNUMBER(MATCH(18481,Telmo!$A:$A,0)), IF(OR(INDEX(Telmo!$D:$D,MATCH(18481,Telmo!$A:$A,0))=1, INDEX(Telmo!$D:$D,MATCH(18481,Telmo!$A:$A,0))=2), INDEX(Telmo!$D:$D,MATCH(18481,Telmo!$A:$A,0)), 0), 0)</f>
        <v>0</v>
      </c>
      <c r="I1484" s="1">
        <f t="array" ref="I1484">IF(ISNUMBER(MATCH(18481,Max!$A:$A,0)), IF(OR(INDEX(Max!$D:$D,MATCH(18481,Max!$A:$A,0))=1, INDEX(Max!$D:$D,MATCH(18481,Max!$A:$A,0))=2), INDEX(Max!$D:$D,MATCH(18481,Max!$A:$A,0)), 0), 0)</f>
        <v>2</v>
      </c>
    </row>
    <row r="1485" spans="1:9" ht="15.75" customHeight="1" x14ac:dyDescent="0.2">
      <c r="A1485" s="1">
        <v>53201</v>
      </c>
      <c r="B1485" s="1" t="s">
        <v>882</v>
      </c>
      <c r="C1485" s="1" t="s">
        <v>3422</v>
      </c>
      <c r="D1485" s="1" t="str">
        <f t="shared" si="5"/>
        <v>2</v>
      </c>
      <c r="E1485" s="1" t="s">
        <v>3423</v>
      </c>
      <c r="G1485" s="1">
        <f t="array" ref="G1485">IF(ISNUMBER(MATCH(53201,Camille!$A:$A,0)), IF(OR(INDEX(Camille!$D:$D,MATCH(53201,Camille!$A:$A,0))=1, INDEX(Camille!$D:$D,MATCH(53201,Camille!$A:$A,0))=2), INDEX(Camille!$D:$D,MATCH(53201,Camille!$A:$A,0)), 0), 0)</f>
        <v>0</v>
      </c>
      <c r="H1485" s="1">
        <f t="array" ref="H1485">IF(ISNUMBER(MATCH(53201,Telmo!$A:$A,0)), IF(OR(INDEX(Telmo!$D:$D,MATCH(53201,Telmo!$A:$A,0))=1, INDEX(Telmo!$D:$D,MATCH(53201,Telmo!$A:$A,0))=2), INDEX(Telmo!$D:$D,MATCH(53201,Telmo!$A:$A,0)), 0), 0)</f>
        <v>0</v>
      </c>
      <c r="I1485" s="1">
        <f t="array" ref="I1485">IF(ISNUMBER(MATCH(53201,Max!$A:$A,0)), IF(OR(INDEX(Max!$D:$D,MATCH(53201,Max!$A:$A,0))=1, INDEX(Max!$D:$D,MATCH(53201,Max!$A:$A,0))=2), INDEX(Max!$D:$D,MATCH(53201,Max!$A:$A,0)), 0), 0)</f>
        <v>2</v>
      </c>
    </row>
    <row r="1486" spans="1:9" ht="15.75" customHeight="1" x14ac:dyDescent="0.2">
      <c r="A1486" s="1">
        <v>1776</v>
      </c>
      <c r="B1486" s="1" t="s">
        <v>301</v>
      </c>
      <c r="C1486" s="1" t="s">
        <v>3424</v>
      </c>
      <c r="D1486" s="1" t="str">
        <f t="shared" si="5"/>
        <v>1</v>
      </c>
      <c r="E1486" s="1" t="s">
        <v>3425</v>
      </c>
      <c r="G1486" s="1">
        <f t="array" ref="G1486">IF(ISNUMBER(MATCH(1776,Camille!$A:$A,0)), IF(OR(INDEX(Camille!$D:$D,MATCH(1776,Camille!$A:$A,0))=1, INDEX(Camille!$D:$D,MATCH(1776,Camille!$A:$A,0))=2), INDEX(Camille!$D:$D,MATCH(1776,Camille!$A:$A,0)), 0), 0)</f>
        <v>0</v>
      </c>
      <c r="H1486" s="1">
        <f t="array" ref="H1486">IF(ISNUMBER(MATCH(1776,Telmo!$A:$A,0)), IF(OR(INDEX(Telmo!$D:$D,MATCH(1776,Telmo!$A:$A,0))=1, INDEX(Telmo!$D:$D,MATCH(1776,Telmo!$A:$A,0))=2), INDEX(Telmo!$D:$D,MATCH(1776,Telmo!$A:$A,0)), 0), 0)</f>
        <v>0</v>
      </c>
      <c r="I1486" s="1">
        <f t="array" ref="I1486">IF(ISNUMBER(MATCH(1776,Max!$A:$A,0)), IF(OR(INDEX(Max!$D:$D,MATCH(1776,Max!$A:$A,0))=1, INDEX(Max!$D:$D,MATCH(1776,Max!$A:$A,0))=2), INDEX(Max!$D:$D,MATCH(1776,Max!$A:$A,0)), 0), 0)</f>
        <v>1</v>
      </c>
    </row>
    <row r="1487" spans="1:9" ht="15.75" customHeight="1" x14ac:dyDescent="0.2">
      <c r="A1487" s="1">
        <v>58193</v>
      </c>
      <c r="B1487" s="1" t="s">
        <v>524</v>
      </c>
      <c r="C1487" s="1" t="s">
        <v>3426</v>
      </c>
      <c r="D1487" s="1" t="str">
        <f t="shared" si="5"/>
        <v>2</v>
      </c>
      <c r="E1487" s="1" t="s">
        <v>3427</v>
      </c>
      <c r="G1487" s="1">
        <f t="array" ref="G1487">IF(ISNUMBER(MATCH(58193,Camille!$A:$A,0)), IF(OR(INDEX(Camille!$D:$D,MATCH(58193,Camille!$A:$A,0))=1, INDEX(Camille!$D:$D,MATCH(58193,Camille!$A:$A,0))=2), INDEX(Camille!$D:$D,MATCH(58193,Camille!$A:$A,0)), 0), 0)</f>
        <v>0</v>
      </c>
      <c r="H1487" s="1">
        <f t="array" ref="H1487">IF(ISNUMBER(MATCH(58193,Telmo!$A:$A,0)), IF(OR(INDEX(Telmo!$D:$D,MATCH(58193,Telmo!$A:$A,0))=1, INDEX(Telmo!$D:$D,MATCH(58193,Telmo!$A:$A,0))=2), INDEX(Telmo!$D:$D,MATCH(58193,Telmo!$A:$A,0)), 0), 0)</f>
        <v>0</v>
      </c>
      <c r="I1487" s="1">
        <f t="array" ref="I1487">IF(ISNUMBER(MATCH(58193,Max!$A:$A,0)), IF(OR(INDEX(Max!$D:$D,MATCH(58193,Max!$A:$A,0))=1, INDEX(Max!$D:$D,MATCH(58193,Max!$A:$A,0))=2), INDEX(Max!$D:$D,MATCH(58193,Max!$A:$A,0)), 0), 0)</f>
        <v>2</v>
      </c>
    </row>
    <row r="1488" spans="1:9" ht="15.75" customHeight="1" x14ac:dyDescent="0.2">
      <c r="A1488" s="1">
        <v>42917</v>
      </c>
      <c r="B1488" s="1" t="s">
        <v>32</v>
      </c>
      <c r="C1488" s="1" t="s">
        <v>3428</v>
      </c>
      <c r="D1488" s="1" t="str">
        <f t="shared" si="5"/>
        <v>1</v>
      </c>
      <c r="E1488" s="1" t="s">
        <v>3429</v>
      </c>
      <c r="G1488" s="1">
        <f t="array" ref="G1488">IF(ISNUMBER(MATCH(42917,Camille!$A:$A,0)), IF(OR(INDEX(Camille!$D:$D,MATCH(42917,Camille!$A:$A,0))=1, INDEX(Camille!$D:$D,MATCH(42917,Camille!$A:$A,0))=2), INDEX(Camille!$D:$D,MATCH(42917,Camille!$A:$A,0)), 0), 0)</f>
        <v>0</v>
      </c>
      <c r="H1488" s="1">
        <f t="array" ref="H1488">IF(ISNUMBER(MATCH(42917,Telmo!$A:$A,0)), IF(OR(INDEX(Telmo!$D:$D,MATCH(42917,Telmo!$A:$A,0))=1, INDEX(Telmo!$D:$D,MATCH(42917,Telmo!$A:$A,0))=2), INDEX(Telmo!$D:$D,MATCH(42917,Telmo!$A:$A,0)), 0), 0)</f>
        <v>0</v>
      </c>
      <c r="I1488" s="1">
        <f t="array" ref="I1488">IF(ISNUMBER(MATCH(42917,Max!$A:$A,0)), IF(OR(INDEX(Max!$D:$D,MATCH(42917,Max!$A:$A,0))=1, INDEX(Max!$D:$D,MATCH(42917,Max!$A:$A,0))=2), INDEX(Max!$D:$D,MATCH(42917,Max!$A:$A,0)), 0), 0)</f>
        <v>1</v>
      </c>
    </row>
    <row r="1489" spans="1:9" ht="15.75" customHeight="1" x14ac:dyDescent="0.2">
      <c r="A1489" s="1">
        <v>18986</v>
      </c>
      <c r="B1489" s="1" t="s">
        <v>3430</v>
      </c>
      <c r="C1489" s="1" t="s">
        <v>3431</v>
      </c>
      <c r="D1489" s="1" t="str">
        <f t="shared" si="5"/>
        <v>1</v>
      </c>
      <c r="E1489" s="1" t="s">
        <v>3432</v>
      </c>
      <c r="G1489" s="1">
        <f t="array" ref="G1489">IF(ISNUMBER(MATCH(18986,Camille!$A:$A,0)), IF(OR(INDEX(Camille!$D:$D,MATCH(18986,Camille!$A:$A,0))=1, INDEX(Camille!$D:$D,MATCH(18986,Camille!$A:$A,0))=2), INDEX(Camille!$D:$D,MATCH(18986,Camille!$A:$A,0)), 0), 0)</f>
        <v>0</v>
      </c>
      <c r="H1489" s="1">
        <f t="array" ref="H1489">IF(ISNUMBER(MATCH(18986,Telmo!$A:$A,0)), IF(OR(INDEX(Telmo!$D:$D,MATCH(18986,Telmo!$A:$A,0))=1, INDEX(Telmo!$D:$D,MATCH(18986,Telmo!$A:$A,0))=2), INDEX(Telmo!$D:$D,MATCH(18986,Telmo!$A:$A,0)), 0), 0)</f>
        <v>0</v>
      </c>
      <c r="I1489" s="1">
        <f t="array" ref="I1489">IF(ISNUMBER(MATCH(18986,Max!$A:$A,0)), IF(OR(INDEX(Max!$D:$D,MATCH(18986,Max!$A:$A,0))=1, INDEX(Max!$D:$D,MATCH(18986,Max!$A:$A,0))=2), INDEX(Max!$D:$D,MATCH(18986,Max!$A:$A,0)), 0), 0)</f>
        <v>1</v>
      </c>
    </row>
    <row r="1490" spans="1:9" ht="15.75" customHeight="1" x14ac:dyDescent="0.2">
      <c r="A1490" s="1">
        <v>2293</v>
      </c>
      <c r="B1490" s="1" t="s">
        <v>17</v>
      </c>
      <c r="C1490" s="1" t="s">
        <v>3433</v>
      </c>
      <c r="D1490" s="1" t="str">
        <f t="shared" si="5"/>
        <v>2</v>
      </c>
      <c r="E1490" s="1" t="s">
        <v>3434</v>
      </c>
      <c r="G1490" s="1">
        <f t="array" ref="G1490">IF(ISNUMBER(MATCH(2293,Camille!$A:$A,0)), IF(OR(INDEX(Camille!$D:$D,MATCH(2293,Camille!$A:$A,0))=1, INDEX(Camille!$D:$D,MATCH(2293,Camille!$A:$A,0))=2), INDEX(Camille!$D:$D,MATCH(2293,Camille!$A:$A,0)), 0), 0)</f>
        <v>0</v>
      </c>
      <c r="H1490" s="1">
        <f t="array" ref="H1490">IF(ISNUMBER(MATCH(2293,Telmo!$A:$A,0)), IF(OR(INDEX(Telmo!$D:$D,MATCH(2293,Telmo!$A:$A,0))=1, INDEX(Telmo!$D:$D,MATCH(2293,Telmo!$A:$A,0))=2), INDEX(Telmo!$D:$D,MATCH(2293,Telmo!$A:$A,0)), 0), 0)</f>
        <v>0</v>
      </c>
      <c r="I1490" s="1">
        <f t="array" ref="I1490">IF(ISNUMBER(MATCH(2293,Max!$A:$A,0)), IF(OR(INDEX(Max!$D:$D,MATCH(2293,Max!$A:$A,0))=1, INDEX(Max!$D:$D,MATCH(2293,Max!$A:$A,0))=2), INDEX(Max!$D:$D,MATCH(2293,Max!$A:$A,0)), 0), 0)</f>
        <v>2</v>
      </c>
    </row>
    <row r="1491" spans="1:9" ht="15.75" customHeight="1" x14ac:dyDescent="0.2">
      <c r="A1491" s="1">
        <v>29465</v>
      </c>
      <c r="B1491" s="1" t="s">
        <v>713</v>
      </c>
      <c r="C1491" s="1" t="s">
        <v>3435</v>
      </c>
      <c r="D1491" s="1" t="str">
        <f t="shared" si="5"/>
        <v>2</v>
      </c>
      <c r="E1491" s="1" t="s">
        <v>3436</v>
      </c>
      <c r="G1491" s="1">
        <f t="array" ref="G1491">IF(ISNUMBER(MATCH(29465,Camille!$A:$A,0)), IF(OR(INDEX(Camille!$D:$D,MATCH(29465,Camille!$A:$A,0))=1, INDEX(Camille!$D:$D,MATCH(29465,Camille!$A:$A,0))=2), INDEX(Camille!$D:$D,MATCH(29465,Camille!$A:$A,0)), 0), 0)</f>
        <v>0</v>
      </c>
      <c r="H1491" s="1">
        <f t="array" ref="H1491">IF(ISNUMBER(MATCH(29465,Telmo!$A:$A,0)), IF(OR(INDEX(Telmo!$D:$D,MATCH(29465,Telmo!$A:$A,0))=1, INDEX(Telmo!$D:$D,MATCH(29465,Telmo!$A:$A,0))=2), INDEX(Telmo!$D:$D,MATCH(29465,Telmo!$A:$A,0)), 0), 0)</f>
        <v>0</v>
      </c>
      <c r="I1491" s="1">
        <f t="array" ref="I1491">IF(ISNUMBER(MATCH(29465,Max!$A:$A,0)), IF(OR(INDEX(Max!$D:$D,MATCH(29465,Max!$A:$A,0))=1, INDEX(Max!$D:$D,MATCH(29465,Max!$A:$A,0))=2), INDEX(Max!$D:$D,MATCH(29465,Max!$A:$A,0)), 0), 0)</f>
        <v>2</v>
      </c>
    </row>
    <row r="1492" spans="1:9" ht="15.75" customHeight="1" x14ac:dyDescent="0.2">
      <c r="A1492" s="1">
        <v>19180</v>
      </c>
      <c r="B1492" s="1" t="s">
        <v>1895</v>
      </c>
      <c r="C1492" s="1" t="s">
        <v>3437</v>
      </c>
      <c r="D1492" s="1" t="str">
        <f t="shared" si="5"/>
        <v>2</v>
      </c>
      <c r="E1492" s="1" t="s">
        <v>3438</v>
      </c>
      <c r="G1492" s="1">
        <f t="array" ref="G1492">IF(ISNUMBER(MATCH(19180,Camille!$A:$A,0)), IF(OR(INDEX(Camille!$D:$D,MATCH(19180,Camille!$A:$A,0))=1, INDEX(Camille!$D:$D,MATCH(19180,Camille!$A:$A,0))=2), INDEX(Camille!$D:$D,MATCH(19180,Camille!$A:$A,0)), 0), 0)</f>
        <v>0</v>
      </c>
      <c r="H1492" s="1">
        <f t="array" ref="H1492">IF(ISNUMBER(MATCH(19180,Telmo!$A:$A,0)), IF(OR(INDEX(Telmo!$D:$D,MATCH(19180,Telmo!$A:$A,0))=1, INDEX(Telmo!$D:$D,MATCH(19180,Telmo!$A:$A,0))=2), INDEX(Telmo!$D:$D,MATCH(19180,Telmo!$A:$A,0)), 0), 0)</f>
        <v>0</v>
      </c>
      <c r="I1492" s="1">
        <f t="array" ref="I1492">IF(ISNUMBER(MATCH(19180,Max!$A:$A,0)), IF(OR(INDEX(Max!$D:$D,MATCH(19180,Max!$A:$A,0))=1, INDEX(Max!$D:$D,MATCH(19180,Max!$A:$A,0))=2), INDEX(Max!$D:$D,MATCH(19180,Max!$A:$A,0)), 0), 0)</f>
        <v>2</v>
      </c>
    </row>
    <row r="1493" spans="1:9" ht="15.75" customHeight="1" x14ac:dyDescent="0.2">
      <c r="A1493" s="1">
        <v>38462</v>
      </c>
      <c r="B1493" s="1" t="s">
        <v>1021</v>
      </c>
      <c r="C1493" s="1" t="s">
        <v>3439</v>
      </c>
      <c r="D1493" s="1" t="str">
        <f t="shared" si="5"/>
        <v>2</v>
      </c>
      <c r="E1493" s="1" t="s">
        <v>3440</v>
      </c>
      <c r="G1493" s="1">
        <f t="array" ref="G1493">IF(ISNUMBER(MATCH(38462,Camille!$A:$A,0)), IF(OR(INDEX(Camille!$D:$D,MATCH(38462,Camille!$A:$A,0))=1, INDEX(Camille!$D:$D,MATCH(38462,Camille!$A:$A,0))=2), INDEX(Camille!$D:$D,MATCH(38462,Camille!$A:$A,0)), 0), 0)</f>
        <v>0</v>
      </c>
      <c r="H1493" s="1">
        <f t="array" ref="H1493">IF(ISNUMBER(MATCH(38462,Telmo!$A:$A,0)), IF(OR(INDEX(Telmo!$D:$D,MATCH(38462,Telmo!$A:$A,0))=1, INDEX(Telmo!$D:$D,MATCH(38462,Telmo!$A:$A,0))=2), INDEX(Telmo!$D:$D,MATCH(38462,Telmo!$A:$A,0)), 0), 0)</f>
        <v>0</v>
      </c>
      <c r="I1493" s="1">
        <f t="array" ref="I1493">IF(ISNUMBER(MATCH(38462,Max!$A:$A,0)), IF(OR(INDEX(Max!$D:$D,MATCH(38462,Max!$A:$A,0))=1, INDEX(Max!$D:$D,MATCH(38462,Max!$A:$A,0))=2), INDEX(Max!$D:$D,MATCH(38462,Max!$A:$A,0)), 0), 0)</f>
        <v>2</v>
      </c>
    </row>
    <row r="1494" spans="1:9" ht="15.75" customHeight="1" x14ac:dyDescent="0.2">
      <c r="A1494" s="1">
        <v>33159</v>
      </c>
      <c r="B1494" s="1" t="s">
        <v>362</v>
      </c>
      <c r="C1494" s="1" t="s">
        <v>3441</v>
      </c>
      <c r="D1494" s="1" t="str">
        <f t="shared" si="5"/>
        <v>1</v>
      </c>
      <c r="E1494" s="1" t="s">
        <v>3442</v>
      </c>
      <c r="G1494" s="1">
        <f t="array" ref="G1494">IF(ISNUMBER(MATCH(33159,Camille!$A:$A,0)), IF(OR(INDEX(Camille!$D:$D,MATCH(33159,Camille!$A:$A,0))=1, INDEX(Camille!$D:$D,MATCH(33159,Camille!$A:$A,0))=2), INDEX(Camille!$D:$D,MATCH(33159,Camille!$A:$A,0)), 0), 0)</f>
        <v>0</v>
      </c>
      <c r="H1494" s="1">
        <f t="array" ref="H1494">IF(ISNUMBER(MATCH(33159,Telmo!$A:$A,0)), IF(OR(INDEX(Telmo!$D:$D,MATCH(33159,Telmo!$A:$A,0))=1, INDEX(Telmo!$D:$D,MATCH(33159,Telmo!$A:$A,0))=2), INDEX(Telmo!$D:$D,MATCH(33159,Telmo!$A:$A,0)), 0), 0)</f>
        <v>0</v>
      </c>
      <c r="I1494" s="1">
        <f t="array" ref="I1494">IF(ISNUMBER(MATCH(33159,Max!$A:$A,0)), IF(OR(INDEX(Max!$D:$D,MATCH(33159,Max!$A:$A,0))=1, INDEX(Max!$D:$D,MATCH(33159,Max!$A:$A,0))=2), INDEX(Max!$D:$D,MATCH(33159,Max!$A:$A,0)), 0), 0)</f>
        <v>1</v>
      </c>
    </row>
    <row r="1495" spans="1:9" ht="15.75" customHeight="1" x14ac:dyDescent="0.2">
      <c r="A1495" s="1">
        <v>34547</v>
      </c>
      <c r="B1495" s="1" t="s">
        <v>2509</v>
      </c>
      <c r="C1495" s="1" t="s">
        <v>3443</v>
      </c>
      <c r="D1495" s="1" t="str">
        <f t="shared" si="5"/>
        <v>2</v>
      </c>
      <c r="E1495" s="1" t="s">
        <v>3444</v>
      </c>
      <c r="G1495" s="1">
        <f t="array" ref="G1495">IF(ISNUMBER(MATCH(34547,Camille!$A:$A,0)), IF(OR(INDEX(Camille!$D:$D,MATCH(34547,Camille!$A:$A,0))=1, INDEX(Camille!$D:$D,MATCH(34547,Camille!$A:$A,0))=2), INDEX(Camille!$D:$D,MATCH(34547,Camille!$A:$A,0)), 0), 0)</f>
        <v>0</v>
      </c>
      <c r="H1495" s="1">
        <f t="array" ref="H1495">IF(ISNUMBER(MATCH(34547,Telmo!$A:$A,0)), IF(OR(INDEX(Telmo!$D:$D,MATCH(34547,Telmo!$A:$A,0))=1, INDEX(Telmo!$D:$D,MATCH(34547,Telmo!$A:$A,0))=2), INDEX(Telmo!$D:$D,MATCH(34547,Telmo!$A:$A,0)), 0), 0)</f>
        <v>0</v>
      </c>
      <c r="I1495" s="1">
        <f t="array" ref="I1495">IF(ISNUMBER(MATCH(34547,Max!$A:$A,0)), IF(OR(INDEX(Max!$D:$D,MATCH(34547,Max!$A:$A,0))=1, INDEX(Max!$D:$D,MATCH(34547,Max!$A:$A,0))=2), INDEX(Max!$D:$D,MATCH(34547,Max!$A:$A,0)), 0), 0)</f>
        <v>2</v>
      </c>
    </row>
    <row r="1496" spans="1:9" ht="15.75" customHeight="1" x14ac:dyDescent="0.2">
      <c r="A1496" s="1">
        <v>40906</v>
      </c>
      <c r="B1496" s="1" t="s">
        <v>791</v>
      </c>
      <c r="C1496" s="1" t="s">
        <v>3445</v>
      </c>
      <c r="D1496" s="1" t="str">
        <f t="shared" si="5"/>
        <v>2</v>
      </c>
      <c r="E1496" s="1" t="s">
        <v>3446</v>
      </c>
      <c r="G1496" s="1">
        <f t="array" ref="G1496">IF(ISNUMBER(MATCH(40906,Camille!$A:$A,0)), IF(OR(INDEX(Camille!$D:$D,MATCH(40906,Camille!$A:$A,0))=1, INDEX(Camille!$D:$D,MATCH(40906,Camille!$A:$A,0))=2), INDEX(Camille!$D:$D,MATCH(40906,Camille!$A:$A,0)), 0), 0)</f>
        <v>0</v>
      </c>
      <c r="H1496" s="1">
        <f t="array" ref="H1496">IF(ISNUMBER(MATCH(40906,Telmo!$A:$A,0)), IF(OR(INDEX(Telmo!$D:$D,MATCH(40906,Telmo!$A:$A,0))=1, INDEX(Telmo!$D:$D,MATCH(40906,Telmo!$A:$A,0))=2), INDEX(Telmo!$D:$D,MATCH(40906,Telmo!$A:$A,0)), 0), 0)</f>
        <v>0</v>
      </c>
      <c r="I1496" s="1">
        <f t="array" ref="I1496">IF(ISNUMBER(MATCH(40906,Max!$A:$A,0)), IF(OR(INDEX(Max!$D:$D,MATCH(40906,Max!$A:$A,0))=1, INDEX(Max!$D:$D,MATCH(40906,Max!$A:$A,0))=2), INDEX(Max!$D:$D,MATCH(40906,Max!$A:$A,0)), 0), 0)</f>
        <v>2</v>
      </c>
    </row>
    <row r="1497" spans="1:9" ht="15.75" customHeight="1" x14ac:dyDescent="0.2">
      <c r="A1497" s="1">
        <v>4130</v>
      </c>
      <c r="B1497" s="1" t="s">
        <v>430</v>
      </c>
      <c r="C1497" s="1" t="s">
        <v>3447</v>
      </c>
      <c r="D1497" s="1" t="str">
        <f t="shared" si="5"/>
        <v>2</v>
      </c>
      <c r="E1497" s="1" t="s">
        <v>3448</v>
      </c>
      <c r="G1497" s="1">
        <f t="array" ref="G1497">IF(ISNUMBER(MATCH(4130,Camille!$A:$A,0)), IF(OR(INDEX(Camille!$D:$D,MATCH(4130,Camille!$A:$A,0))=1, INDEX(Camille!$D:$D,MATCH(4130,Camille!$A:$A,0))=2), INDEX(Camille!$D:$D,MATCH(4130,Camille!$A:$A,0)), 0), 0)</f>
        <v>0</v>
      </c>
      <c r="H1497" s="1">
        <f t="array" ref="H1497">IF(ISNUMBER(MATCH(4130,Telmo!$A:$A,0)), IF(OR(INDEX(Telmo!$D:$D,MATCH(4130,Telmo!$A:$A,0))=1, INDEX(Telmo!$D:$D,MATCH(4130,Telmo!$A:$A,0))=2), INDEX(Telmo!$D:$D,MATCH(4130,Telmo!$A:$A,0)), 0), 0)</f>
        <v>0</v>
      </c>
      <c r="I1497" s="1">
        <f t="array" ref="I1497">IF(ISNUMBER(MATCH(4130,Max!$A:$A,0)), IF(OR(INDEX(Max!$D:$D,MATCH(4130,Max!$A:$A,0))=1, INDEX(Max!$D:$D,MATCH(4130,Max!$A:$A,0))=2), INDEX(Max!$D:$D,MATCH(4130,Max!$A:$A,0)), 0), 0)</f>
        <v>2</v>
      </c>
    </row>
    <row r="1498" spans="1:9" ht="15.75" customHeight="1" x14ac:dyDescent="0.2">
      <c r="A1498" s="1">
        <v>6109</v>
      </c>
      <c r="B1498" s="1" t="s">
        <v>144</v>
      </c>
      <c r="C1498" s="1" t="s">
        <v>3449</v>
      </c>
      <c r="D1498" s="1" t="str">
        <f t="shared" si="5"/>
        <v>2</v>
      </c>
      <c r="E1498" s="1" t="s">
        <v>3450</v>
      </c>
      <c r="G1498" s="1">
        <f t="array" ref="G1498">IF(ISNUMBER(MATCH(6109,Camille!$A:$A,0)), IF(OR(INDEX(Camille!$D:$D,MATCH(6109,Camille!$A:$A,0))=1, INDEX(Camille!$D:$D,MATCH(6109,Camille!$A:$A,0))=2), INDEX(Camille!$D:$D,MATCH(6109,Camille!$A:$A,0)), 0), 0)</f>
        <v>0</v>
      </c>
      <c r="H1498" s="1">
        <f t="array" ref="H1498">IF(ISNUMBER(MATCH(6109,Telmo!$A:$A,0)), IF(OR(INDEX(Telmo!$D:$D,MATCH(6109,Telmo!$A:$A,0))=1, INDEX(Telmo!$D:$D,MATCH(6109,Telmo!$A:$A,0))=2), INDEX(Telmo!$D:$D,MATCH(6109,Telmo!$A:$A,0)), 0), 0)</f>
        <v>0</v>
      </c>
      <c r="I1498" s="1">
        <f t="array" ref="I1498">IF(ISNUMBER(MATCH(6109,Max!$A:$A,0)), IF(OR(INDEX(Max!$D:$D,MATCH(6109,Max!$A:$A,0))=1, INDEX(Max!$D:$D,MATCH(6109,Max!$A:$A,0))=2), INDEX(Max!$D:$D,MATCH(6109,Max!$A:$A,0)), 0), 0)</f>
        <v>2</v>
      </c>
    </row>
    <row r="1499" spans="1:9" ht="15.75" customHeight="1" x14ac:dyDescent="0.2">
      <c r="A1499" s="1">
        <v>30812</v>
      </c>
      <c r="B1499" s="1" t="s">
        <v>3451</v>
      </c>
      <c r="C1499" s="1" t="s">
        <v>3452</v>
      </c>
      <c r="D1499" s="1" t="str">
        <f t="shared" si="5"/>
        <v>2</v>
      </c>
      <c r="E1499" s="1" t="s">
        <v>3453</v>
      </c>
      <c r="G1499" s="1">
        <f t="array" ref="G1499">IF(ISNUMBER(MATCH(30812,Camille!$A:$A,0)), IF(OR(INDEX(Camille!$D:$D,MATCH(30812,Camille!$A:$A,0))=1, INDEX(Camille!$D:$D,MATCH(30812,Camille!$A:$A,0))=2), INDEX(Camille!$D:$D,MATCH(30812,Camille!$A:$A,0)), 0), 0)</f>
        <v>0</v>
      </c>
      <c r="H1499" s="1">
        <f t="array" ref="H1499">IF(ISNUMBER(MATCH(30812,Telmo!$A:$A,0)), IF(OR(INDEX(Telmo!$D:$D,MATCH(30812,Telmo!$A:$A,0))=1, INDEX(Telmo!$D:$D,MATCH(30812,Telmo!$A:$A,0))=2), INDEX(Telmo!$D:$D,MATCH(30812,Telmo!$A:$A,0)), 0), 0)</f>
        <v>0</v>
      </c>
      <c r="I1499" s="1">
        <f t="array" ref="I1499">IF(ISNUMBER(MATCH(30812,Max!$A:$A,0)), IF(OR(INDEX(Max!$D:$D,MATCH(30812,Max!$A:$A,0))=1, INDEX(Max!$D:$D,MATCH(30812,Max!$A:$A,0))=2), INDEX(Max!$D:$D,MATCH(30812,Max!$A:$A,0)), 0), 0)</f>
        <v>2</v>
      </c>
    </row>
    <row r="1500" spans="1:9" ht="15.75" customHeight="1" x14ac:dyDescent="0.2">
      <c r="A1500" s="1">
        <v>49987</v>
      </c>
      <c r="B1500" s="1" t="s">
        <v>408</v>
      </c>
      <c r="C1500" s="1" t="s">
        <v>3454</v>
      </c>
      <c r="D1500" s="1" t="str">
        <f t="shared" si="5"/>
        <v>2</v>
      </c>
      <c r="E1500" s="1" t="s">
        <v>3455</v>
      </c>
      <c r="G1500" s="1">
        <f t="array" ref="G1500">IF(ISNUMBER(MATCH(49987,Camille!$A:$A,0)), IF(OR(INDEX(Camille!$D:$D,MATCH(49987,Camille!$A:$A,0))=1, INDEX(Camille!$D:$D,MATCH(49987,Camille!$A:$A,0))=2), INDEX(Camille!$D:$D,MATCH(49987,Camille!$A:$A,0)), 0), 0)</f>
        <v>0</v>
      </c>
      <c r="H1500" s="1">
        <f t="array" ref="H1500">IF(ISNUMBER(MATCH(49987,Telmo!$A:$A,0)), IF(OR(INDEX(Telmo!$D:$D,MATCH(49987,Telmo!$A:$A,0))=1, INDEX(Telmo!$D:$D,MATCH(49987,Telmo!$A:$A,0))=2), INDEX(Telmo!$D:$D,MATCH(49987,Telmo!$A:$A,0)), 0), 0)</f>
        <v>0</v>
      </c>
      <c r="I1500" s="1">
        <f t="array" ref="I1500">IF(ISNUMBER(MATCH(49987,Max!$A:$A,0)), IF(OR(INDEX(Max!$D:$D,MATCH(49987,Max!$A:$A,0))=1, INDEX(Max!$D:$D,MATCH(49987,Max!$A:$A,0))=2), INDEX(Max!$D:$D,MATCH(49987,Max!$A:$A,0)), 0), 0)</f>
        <v>2</v>
      </c>
    </row>
    <row r="1501" spans="1:9" ht="15.75" customHeight="1" x14ac:dyDescent="0.2">
      <c r="A1501" s="1">
        <v>16742</v>
      </c>
      <c r="B1501" s="1" t="s">
        <v>457</v>
      </c>
      <c r="C1501" s="1" t="s">
        <v>3456</v>
      </c>
      <c r="D1501" s="1" t="str">
        <f t="shared" si="5"/>
        <v>1</v>
      </c>
      <c r="E1501" s="1" t="s">
        <v>3457</v>
      </c>
      <c r="G1501" s="1">
        <f t="array" ref="G1501">IF(ISNUMBER(MATCH(16742,Camille!$A:$A,0)), IF(OR(INDEX(Camille!$D:$D,MATCH(16742,Camille!$A:$A,0))=1, INDEX(Camille!$D:$D,MATCH(16742,Camille!$A:$A,0))=2), INDEX(Camille!$D:$D,MATCH(16742,Camille!$A:$A,0)), 0), 0)</f>
        <v>0</v>
      </c>
      <c r="H1501" s="1">
        <f t="array" ref="H1501">IF(ISNUMBER(MATCH(16742,Telmo!$A:$A,0)), IF(OR(INDEX(Telmo!$D:$D,MATCH(16742,Telmo!$A:$A,0))=1, INDEX(Telmo!$D:$D,MATCH(16742,Telmo!$A:$A,0))=2), INDEX(Telmo!$D:$D,MATCH(16742,Telmo!$A:$A,0)), 0), 0)</f>
        <v>0</v>
      </c>
      <c r="I1501" s="1">
        <f t="array" ref="I1501">IF(ISNUMBER(MATCH(16742,Max!$A:$A,0)), IF(OR(INDEX(Max!$D:$D,MATCH(16742,Max!$A:$A,0))=1, INDEX(Max!$D:$D,MATCH(16742,Max!$A:$A,0))=2), INDEX(Max!$D:$D,MATCH(16742,Max!$A:$A,0)), 0), 0)</f>
        <v>1</v>
      </c>
    </row>
    <row r="1502" spans="1:9" ht="15.75" customHeight="1" x14ac:dyDescent="0.2">
      <c r="A1502" s="1">
        <v>30546</v>
      </c>
      <c r="B1502" s="1" t="s">
        <v>1090</v>
      </c>
      <c r="C1502" s="1" t="s">
        <v>3458</v>
      </c>
      <c r="D1502" s="1" t="str">
        <f t="shared" si="5"/>
        <v>2</v>
      </c>
      <c r="E1502" s="1" t="s">
        <v>3459</v>
      </c>
      <c r="G1502" s="1">
        <f t="array" ref="G1502">IF(ISNUMBER(MATCH(30546,Camille!$A:$A,0)), IF(OR(INDEX(Camille!$D:$D,MATCH(30546,Camille!$A:$A,0))=1, INDEX(Camille!$D:$D,MATCH(30546,Camille!$A:$A,0))=2), INDEX(Camille!$D:$D,MATCH(30546,Camille!$A:$A,0)), 0), 0)</f>
        <v>0</v>
      </c>
      <c r="H1502" s="1">
        <f t="array" ref="H1502">IF(ISNUMBER(MATCH(30546,Telmo!$A:$A,0)), IF(OR(INDEX(Telmo!$D:$D,MATCH(30546,Telmo!$A:$A,0))=1, INDEX(Telmo!$D:$D,MATCH(30546,Telmo!$A:$A,0))=2), INDEX(Telmo!$D:$D,MATCH(30546,Telmo!$A:$A,0)), 0), 0)</f>
        <v>0</v>
      </c>
      <c r="I1502" s="1">
        <f t="array" ref="I1502">IF(ISNUMBER(MATCH(30546,Max!$A:$A,0)), IF(OR(INDEX(Max!$D:$D,MATCH(30546,Max!$A:$A,0))=1, INDEX(Max!$D:$D,MATCH(30546,Max!$A:$A,0))=2), INDEX(Max!$D:$D,MATCH(30546,Max!$A:$A,0)), 0), 0)</f>
        <v>2</v>
      </c>
    </row>
    <row r="1503" spans="1:9" ht="15.75" customHeight="1" x14ac:dyDescent="0.2">
      <c r="A1503" s="1">
        <v>55351</v>
      </c>
      <c r="B1503" s="1" t="s">
        <v>3460</v>
      </c>
      <c r="C1503" s="1" t="s">
        <v>3461</v>
      </c>
      <c r="D1503" s="1" t="str">
        <f t="shared" si="5"/>
        <v>1</v>
      </c>
      <c r="E1503" s="1" t="s">
        <v>3462</v>
      </c>
      <c r="G1503" s="1">
        <f t="array" ref="G1503">IF(ISNUMBER(MATCH(55351,Camille!$A:$A,0)), IF(OR(INDEX(Camille!$D:$D,MATCH(55351,Camille!$A:$A,0))=1, INDEX(Camille!$D:$D,MATCH(55351,Camille!$A:$A,0))=2), INDEX(Camille!$D:$D,MATCH(55351,Camille!$A:$A,0)), 0), 0)</f>
        <v>0</v>
      </c>
      <c r="H1503" s="1">
        <f t="array" ref="H1503">IF(ISNUMBER(MATCH(55351,Telmo!$A:$A,0)), IF(OR(INDEX(Telmo!$D:$D,MATCH(55351,Telmo!$A:$A,0))=1, INDEX(Telmo!$D:$D,MATCH(55351,Telmo!$A:$A,0))=2), INDEX(Telmo!$D:$D,MATCH(55351,Telmo!$A:$A,0)), 0), 0)</f>
        <v>0</v>
      </c>
      <c r="I1503" s="1">
        <f t="array" ref="I1503">IF(ISNUMBER(MATCH(55351,Max!$A:$A,0)), IF(OR(INDEX(Max!$D:$D,MATCH(55351,Max!$A:$A,0))=1, INDEX(Max!$D:$D,MATCH(55351,Max!$A:$A,0))=2), INDEX(Max!$D:$D,MATCH(55351,Max!$A:$A,0)), 0), 0)</f>
        <v>1</v>
      </c>
    </row>
    <row r="1504" spans="1:9" ht="15.75" customHeight="1" x14ac:dyDescent="0.2">
      <c r="A1504" s="1">
        <v>5092</v>
      </c>
      <c r="B1504" s="1" t="s">
        <v>301</v>
      </c>
      <c r="C1504" s="1" t="s">
        <v>3463</v>
      </c>
      <c r="D1504" s="1" t="str">
        <f t="shared" si="5"/>
        <v>1</v>
      </c>
      <c r="E1504" s="1" t="s">
        <v>3464</v>
      </c>
      <c r="G1504" s="1">
        <f t="array" ref="G1504">IF(ISNUMBER(MATCH(5092,Camille!$A:$A,0)), IF(OR(INDEX(Camille!$D:$D,MATCH(5092,Camille!$A:$A,0))=1, INDEX(Camille!$D:$D,MATCH(5092,Camille!$A:$A,0))=2), INDEX(Camille!$D:$D,MATCH(5092,Camille!$A:$A,0)), 0), 0)</f>
        <v>0</v>
      </c>
      <c r="H1504" s="1">
        <f t="array" ref="H1504">IF(ISNUMBER(MATCH(5092,Telmo!$A:$A,0)), IF(OR(INDEX(Telmo!$D:$D,MATCH(5092,Telmo!$A:$A,0))=1, INDEX(Telmo!$D:$D,MATCH(5092,Telmo!$A:$A,0))=2), INDEX(Telmo!$D:$D,MATCH(5092,Telmo!$A:$A,0)), 0), 0)</f>
        <v>0</v>
      </c>
      <c r="I1504" s="1">
        <f t="array" ref="I1504">IF(ISNUMBER(MATCH(5092,Max!$A:$A,0)), IF(OR(INDEX(Max!$D:$D,MATCH(5092,Max!$A:$A,0))=1, INDEX(Max!$D:$D,MATCH(5092,Max!$A:$A,0))=2), INDEX(Max!$D:$D,MATCH(5092,Max!$A:$A,0)), 0), 0)</f>
        <v>1</v>
      </c>
    </row>
    <row r="1505" spans="1:9" ht="15.75" customHeight="1" x14ac:dyDescent="0.2">
      <c r="A1505" s="1">
        <v>55499</v>
      </c>
      <c r="B1505" s="1" t="s">
        <v>986</v>
      </c>
      <c r="C1505" s="1" t="s">
        <v>3465</v>
      </c>
      <c r="D1505" s="1" t="str">
        <f t="shared" si="5"/>
        <v>2</v>
      </c>
      <c r="E1505" s="1" t="s">
        <v>3466</v>
      </c>
      <c r="G1505" s="1">
        <f t="array" ref="G1505">IF(ISNUMBER(MATCH(55499,Camille!$A:$A,0)), IF(OR(INDEX(Camille!$D:$D,MATCH(55499,Camille!$A:$A,0))=1, INDEX(Camille!$D:$D,MATCH(55499,Camille!$A:$A,0))=2), INDEX(Camille!$D:$D,MATCH(55499,Camille!$A:$A,0)), 0), 0)</f>
        <v>0</v>
      </c>
      <c r="H1505" s="1">
        <f t="array" ref="H1505">IF(ISNUMBER(MATCH(55499,Telmo!$A:$A,0)), IF(OR(INDEX(Telmo!$D:$D,MATCH(55499,Telmo!$A:$A,0))=1, INDEX(Telmo!$D:$D,MATCH(55499,Telmo!$A:$A,0))=2), INDEX(Telmo!$D:$D,MATCH(55499,Telmo!$A:$A,0)), 0), 0)</f>
        <v>0</v>
      </c>
      <c r="I1505" s="1">
        <f t="array" ref="I1505">IF(ISNUMBER(MATCH(55499,Max!$A:$A,0)), IF(OR(INDEX(Max!$D:$D,MATCH(55499,Max!$A:$A,0))=1, INDEX(Max!$D:$D,MATCH(55499,Max!$A:$A,0))=2), INDEX(Max!$D:$D,MATCH(55499,Max!$A:$A,0)), 0), 0)</f>
        <v>2</v>
      </c>
    </row>
    <row r="1506" spans="1:9" ht="15.75" customHeight="1" x14ac:dyDescent="0.2">
      <c r="A1506" s="1">
        <v>22813</v>
      </c>
      <c r="B1506" s="1" t="s">
        <v>485</v>
      </c>
      <c r="C1506" s="1" t="s">
        <v>3467</v>
      </c>
      <c r="D1506" s="1" t="str">
        <f t="shared" si="5"/>
        <v>1</v>
      </c>
      <c r="E1506" s="1" t="s">
        <v>3468</v>
      </c>
      <c r="G1506" s="1">
        <f t="array" ref="G1506">IF(ISNUMBER(MATCH(22813,Camille!$A:$A,0)), IF(OR(INDEX(Camille!$D:$D,MATCH(22813,Camille!$A:$A,0))=1, INDEX(Camille!$D:$D,MATCH(22813,Camille!$A:$A,0))=2), INDEX(Camille!$D:$D,MATCH(22813,Camille!$A:$A,0)), 0), 0)</f>
        <v>0</v>
      </c>
      <c r="H1506" s="1">
        <f t="array" ref="H1506">IF(ISNUMBER(MATCH(22813,Telmo!$A:$A,0)), IF(OR(INDEX(Telmo!$D:$D,MATCH(22813,Telmo!$A:$A,0))=1, INDEX(Telmo!$D:$D,MATCH(22813,Telmo!$A:$A,0))=2), INDEX(Telmo!$D:$D,MATCH(22813,Telmo!$A:$A,0)), 0), 0)</f>
        <v>0</v>
      </c>
      <c r="I1506" s="1">
        <f t="array" ref="I1506">IF(ISNUMBER(MATCH(22813,Max!$A:$A,0)), IF(OR(INDEX(Max!$D:$D,MATCH(22813,Max!$A:$A,0))=1, INDEX(Max!$D:$D,MATCH(22813,Max!$A:$A,0))=2), INDEX(Max!$D:$D,MATCH(22813,Max!$A:$A,0)), 0), 0)</f>
        <v>1</v>
      </c>
    </row>
    <row r="1507" spans="1:9" ht="15.75" customHeight="1" x14ac:dyDescent="0.2">
      <c r="A1507" s="1">
        <v>22931</v>
      </c>
      <c r="B1507" s="1" t="s">
        <v>3469</v>
      </c>
      <c r="C1507" s="1" t="s">
        <v>3470</v>
      </c>
      <c r="D1507" s="1" t="str">
        <f t="shared" si="5"/>
        <v>1</v>
      </c>
      <c r="E1507" s="1" t="s">
        <v>3471</v>
      </c>
      <c r="G1507" s="1">
        <f t="array" ref="G1507">IF(ISNUMBER(MATCH(22931,Camille!$A:$A,0)), IF(OR(INDEX(Camille!$D:$D,MATCH(22931,Camille!$A:$A,0))=1, INDEX(Camille!$D:$D,MATCH(22931,Camille!$A:$A,0))=2), INDEX(Camille!$D:$D,MATCH(22931,Camille!$A:$A,0)), 0), 0)</f>
        <v>0</v>
      </c>
      <c r="H1507" s="1">
        <f t="array" ref="H1507">IF(ISNUMBER(MATCH(22931,Telmo!$A:$A,0)), IF(OR(INDEX(Telmo!$D:$D,MATCH(22931,Telmo!$A:$A,0))=1, INDEX(Telmo!$D:$D,MATCH(22931,Telmo!$A:$A,0))=2), INDEX(Telmo!$D:$D,MATCH(22931,Telmo!$A:$A,0)), 0), 0)</f>
        <v>0</v>
      </c>
      <c r="I1507" s="1">
        <f t="array" ref="I1507">IF(ISNUMBER(MATCH(22931,Max!$A:$A,0)), IF(OR(INDEX(Max!$D:$D,MATCH(22931,Max!$A:$A,0))=1, INDEX(Max!$D:$D,MATCH(22931,Max!$A:$A,0))=2), INDEX(Max!$D:$D,MATCH(22931,Max!$A:$A,0)), 0), 0)</f>
        <v>1</v>
      </c>
    </row>
    <row r="1508" spans="1:9" ht="15.75" customHeight="1" x14ac:dyDescent="0.2">
      <c r="A1508" s="1">
        <v>67486</v>
      </c>
      <c r="B1508" s="1" t="s">
        <v>336</v>
      </c>
      <c r="C1508" s="1" t="s">
        <v>3472</v>
      </c>
      <c r="D1508" s="1" t="str">
        <f t="shared" si="5"/>
        <v>2</v>
      </c>
      <c r="E1508" s="1" t="s">
        <v>3473</v>
      </c>
      <c r="G1508" s="1">
        <f t="array" ref="G1508">IF(ISNUMBER(MATCH(67486,Camille!$A:$A,0)), IF(OR(INDEX(Camille!$D:$D,MATCH(67486,Camille!$A:$A,0))=1, INDEX(Camille!$D:$D,MATCH(67486,Camille!$A:$A,0))=2), INDEX(Camille!$D:$D,MATCH(67486,Camille!$A:$A,0)), 0), 0)</f>
        <v>0</v>
      </c>
      <c r="H1508" s="1">
        <f t="array" ref="H1508">IF(ISNUMBER(MATCH(67486,Telmo!$A:$A,0)), IF(OR(INDEX(Telmo!$D:$D,MATCH(67486,Telmo!$A:$A,0))=1, INDEX(Telmo!$D:$D,MATCH(67486,Telmo!$A:$A,0))=2), INDEX(Telmo!$D:$D,MATCH(67486,Telmo!$A:$A,0)), 0), 0)</f>
        <v>0</v>
      </c>
      <c r="I1508" s="1">
        <f t="array" ref="I1508">IF(ISNUMBER(MATCH(67486,Max!$A:$A,0)), IF(OR(INDEX(Max!$D:$D,MATCH(67486,Max!$A:$A,0))=1, INDEX(Max!$D:$D,MATCH(67486,Max!$A:$A,0))=2), INDEX(Max!$D:$D,MATCH(67486,Max!$A:$A,0)), 0), 0)</f>
        <v>2</v>
      </c>
    </row>
    <row r="1509" spans="1:9" ht="15.75" customHeight="1" x14ac:dyDescent="0.2">
      <c r="A1509" s="1">
        <v>4708</v>
      </c>
      <c r="B1509" s="1" t="s">
        <v>244</v>
      </c>
      <c r="C1509" s="1" t="s">
        <v>3474</v>
      </c>
      <c r="D1509" s="1" t="str">
        <f t="shared" si="5"/>
        <v>1</v>
      </c>
      <c r="E1509" s="1" t="s">
        <v>3475</v>
      </c>
      <c r="G1509" s="1">
        <f t="array" ref="G1509">IF(ISNUMBER(MATCH(4708,Camille!$A:$A,0)), IF(OR(INDEX(Camille!$D:$D,MATCH(4708,Camille!$A:$A,0))=1, INDEX(Camille!$D:$D,MATCH(4708,Camille!$A:$A,0))=2), INDEX(Camille!$D:$D,MATCH(4708,Camille!$A:$A,0)), 0), 0)</f>
        <v>0</v>
      </c>
      <c r="H1509" s="1">
        <f t="array" ref="H1509">IF(ISNUMBER(MATCH(4708,Telmo!$A:$A,0)), IF(OR(INDEX(Telmo!$D:$D,MATCH(4708,Telmo!$A:$A,0))=1, INDEX(Telmo!$D:$D,MATCH(4708,Telmo!$A:$A,0))=2), INDEX(Telmo!$D:$D,MATCH(4708,Telmo!$A:$A,0)), 0), 0)</f>
        <v>0</v>
      </c>
      <c r="I1509" s="1">
        <f t="array" ref="I1509">IF(ISNUMBER(MATCH(4708,Max!$A:$A,0)), IF(OR(INDEX(Max!$D:$D,MATCH(4708,Max!$A:$A,0))=1, INDEX(Max!$D:$D,MATCH(4708,Max!$A:$A,0))=2), INDEX(Max!$D:$D,MATCH(4708,Max!$A:$A,0)), 0), 0)</f>
        <v>1</v>
      </c>
    </row>
    <row r="1510" spans="1:9" ht="15.75" customHeight="1" x14ac:dyDescent="0.2">
      <c r="A1510" s="1">
        <v>63382</v>
      </c>
      <c r="B1510" s="1" t="s">
        <v>1172</v>
      </c>
      <c r="C1510" s="1" t="s">
        <v>3476</v>
      </c>
      <c r="D1510" s="1" t="str">
        <f t="shared" si="5"/>
        <v>2</v>
      </c>
      <c r="E1510" s="1" t="s">
        <v>3477</v>
      </c>
      <c r="G1510" s="1">
        <f t="array" ref="G1510">IF(ISNUMBER(MATCH(63382,Camille!$A:$A,0)), IF(OR(INDEX(Camille!$D:$D,MATCH(63382,Camille!$A:$A,0))=1, INDEX(Camille!$D:$D,MATCH(63382,Camille!$A:$A,0))=2), INDEX(Camille!$D:$D,MATCH(63382,Camille!$A:$A,0)), 0), 0)</f>
        <v>0</v>
      </c>
      <c r="H1510" s="1">
        <f t="array" ref="H1510">IF(ISNUMBER(MATCH(63382,Telmo!$A:$A,0)), IF(OR(INDEX(Telmo!$D:$D,MATCH(63382,Telmo!$A:$A,0))=1, INDEX(Telmo!$D:$D,MATCH(63382,Telmo!$A:$A,0))=2), INDEX(Telmo!$D:$D,MATCH(63382,Telmo!$A:$A,0)), 0), 0)</f>
        <v>0</v>
      </c>
      <c r="I1510" s="1">
        <f t="array" ref="I1510">IF(ISNUMBER(MATCH(63382,Max!$A:$A,0)), IF(OR(INDEX(Max!$D:$D,MATCH(63382,Max!$A:$A,0))=1, INDEX(Max!$D:$D,MATCH(63382,Max!$A:$A,0))=2), INDEX(Max!$D:$D,MATCH(63382,Max!$A:$A,0)), 0), 0)</f>
        <v>2</v>
      </c>
    </row>
    <row r="1511" spans="1:9" ht="15.75" customHeight="1" x14ac:dyDescent="0.2">
      <c r="A1511" s="1">
        <v>67324</v>
      </c>
      <c r="B1511" s="1" t="s">
        <v>244</v>
      </c>
      <c r="C1511" s="1" t="s">
        <v>3478</v>
      </c>
      <c r="D1511" s="1" t="str">
        <f t="shared" si="5"/>
        <v>1</v>
      </c>
      <c r="E1511" s="1" t="s">
        <v>3479</v>
      </c>
      <c r="G1511" s="1">
        <f t="array" ref="G1511">IF(ISNUMBER(MATCH(67324,Camille!$A:$A,0)), IF(OR(INDEX(Camille!$D:$D,MATCH(67324,Camille!$A:$A,0))=1, INDEX(Camille!$D:$D,MATCH(67324,Camille!$A:$A,0))=2), INDEX(Camille!$D:$D,MATCH(67324,Camille!$A:$A,0)), 0), 0)</f>
        <v>0</v>
      </c>
      <c r="H1511" s="1">
        <f t="array" ref="H1511">IF(ISNUMBER(MATCH(67324,Telmo!$A:$A,0)), IF(OR(INDEX(Telmo!$D:$D,MATCH(67324,Telmo!$A:$A,0))=1, INDEX(Telmo!$D:$D,MATCH(67324,Telmo!$A:$A,0))=2), INDEX(Telmo!$D:$D,MATCH(67324,Telmo!$A:$A,0)), 0), 0)</f>
        <v>0</v>
      </c>
      <c r="I1511" s="1">
        <f t="array" ref="I1511">IF(ISNUMBER(MATCH(67324,Max!$A:$A,0)), IF(OR(INDEX(Max!$D:$D,MATCH(67324,Max!$A:$A,0))=1, INDEX(Max!$D:$D,MATCH(67324,Max!$A:$A,0))=2), INDEX(Max!$D:$D,MATCH(67324,Max!$A:$A,0)), 0), 0)</f>
        <v>1</v>
      </c>
    </row>
    <row r="1512" spans="1:9" ht="15.75" customHeight="1" x14ac:dyDescent="0.2">
      <c r="A1512" s="1">
        <v>13956</v>
      </c>
      <c r="B1512" s="1" t="s">
        <v>1455</v>
      </c>
      <c r="C1512" s="1" t="s">
        <v>3480</v>
      </c>
      <c r="D1512" s="1" t="str">
        <f t="shared" si="5"/>
        <v>2</v>
      </c>
      <c r="E1512" s="1" t="s">
        <v>3481</v>
      </c>
      <c r="G1512" s="1">
        <f t="array" ref="G1512">IF(ISNUMBER(MATCH(13956,Camille!$A:$A,0)), IF(OR(INDEX(Camille!$D:$D,MATCH(13956,Camille!$A:$A,0))=1, INDEX(Camille!$D:$D,MATCH(13956,Camille!$A:$A,0))=2), INDEX(Camille!$D:$D,MATCH(13956,Camille!$A:$A,0)), 0), 0)</f>
        <v>0</v>
      </c>
      <c r="H1512" s="1">
        <f t="array" ref="H1512">IF(ISNUMBER(MATCH(13956,Telmo!$A:$A,0)), IF(OR(INDEX(Telmo!$D:$D,MATCH(13956,Telmo!$A:$A,0))=1, INDEX(Telmo!$D:$D,MATCH(13956,Telmo!$A:$A,0))=2), INDEX(Telmo!$D:$D,MATCH(13956,Telmo!$A:$A,0)), 0), 0)</f>
        <v>0</v>
      </c>
      <c r="I1512" s="1">
        <f t="array" ref="I1512">IF(ISNUMBER(MATCH(13956,Max!$A:$A,0)), IF(OR(INDEX(Max!$D:$D,MATCH(13956,Max!$A:$A,0))=1, INDEX(Max!$D:$D,MATCH(13956,Max!$A:$A,0))=2), INDEX(Max!$D:$D,MATCH(13956,Max!$A:$A,0)), 0), 0)</f>
        <v>2</v>
      </c>
    </row>
    <row r="1513" spans="1:9" ht="15.75" customHeight="1" x14ac:dyDescent="0.2">
      <c r="A1513" s="1">
        <v>55277</v>
      </c>
      <c r="B1513" s="1" t="s">
        <v>90</v>
      </c>
      <c r="C1513" s="1" t="s">
        <v>3482</v>
      </c>
      <c r="D1513" s="1" t="str">
        <f t="shared" si="5"/>
        <v>2</v>
      </c>
      <c r="E1513" s="1" t="s">
        <v>3483</v>
      </c>
      <c r="G1513" s="1">
        <f t="array" ref="G1513">IF(ISNUMBER(MATCH(55277,Camille!$A:$A,0)), IF(OR(INDEX(Camille!$D:$D,MATCH(55277,Camille!$A:$A,0))=1, INDEX(Camille!$D:$D,MATCH(55277,Camille!$A:$A,0))=2), INDEX(Camille!$D:$D,MATCH(55277,Camille!$A:$A,0)), 0), 0)</f>
        <v>0</v>
      </c>
      <c r="H1513" s="1">
        <f t="array" ref="H1513">IF(ISNUMBER(MATCH(55277,Telmo!$A:$A,0)), IF(OR(INDEX(Telmo!$D:$D,MATCH(55277,Telmo!$A:$A,0))=1, INDEX(Telmo!$D:$D,MATCH(55277,Telmo!$A:$A,0))=2), INDEX(Telmo!$D:$D,MATCH(55277,Telmo!$A:$A,0)), 0), 0)</f>
        <v>0</v>
      </c>
      <c r="I1513" s="1">
        <f t="array" ref="I1513">IF(ISNUMBER(MATCH(55277,Max!$A:$A,0)), IF(OR(INDEX(Max!$D:$D,MATCH(55277,Max!$A:$A,0))=1, INDEX(Max!$D:$D,MATCH(55277,Max!$A:$A,0))=2), INDEX(Max!$D:$D,MATCH(55277,Max!$A:$A,0)), 0), 0)</f>
        <v>2</v>
      </c>
    </row>
    <row r="1514" spans="1:9" ht="15.75" customHeight="1" x14ac:dyDescent="0.2">
      <c r="A1514" s="1">
        <v>68775</v>
      </c>
      <c r="B1514" s="1" t="s">
        <v>2015</v>
      </c>
      <c r="C1514" s="1" t="s">
        <v>3484</v>
      </c>
      <c r="D1514" s="1" t="str">
        <f t="shared" si="5"/>
        <v>2</v>
      </c>
      <c r="E1514" s="1" t="s">
        <v>3485</v>
      </c>
      <c r="G1514" s="1">
        <f t="array" ref="G1514">IF(ISNUMBER(MATCH(68775,Camille!$A:$A,0)), IF(OR(INDEX(Camille!$D:$D,MATCH(68775,Camille!$A:$A,0))=1, INDEX(Camille!$D:$D,MATCH(68775,Camille!$A:$A,0))=2), INDEX(Camille!$D:$D,MATCH(68775,Camille!$A:$A,0)), 0), 0)</f>
        <v>0</v>
      </c>
      <c r="H1514" s="1">
        <f t="array" ref="H1514">IF(ISNUMBER(MATCH(68775,Telmo!$A:$A,0)), IF(OR(INDEX(Telmo!$D:$D,MATCH(68775,Telmo!$A:$A,0))=1, INDEX(Telmo!$D:$D,MATCH(68775,Telmo!$A:$A,0))=2), INDEX(Telmo!$D:$D,MATCH(68775,Telmo!$A:$A,0)), 0), 0)</f>
        <v>0</v>
      </c>
      <c r="I1514" s="1">
        <f t="array" ref="I1514">IF(ISNUMBER(MATCH(68775,Max!$A:$A,0)), IF(OR(INDEX(Max!$D:$D,MATCH(68775,Max!$A:$A,0))=1, INDEX(Max!$D:$D,MATCH(68775,Max!$A:$A,0))=2), INDEX(Max!$D:$D,MATCH(68775,Max!$A:$A,0)), 0), 0)</f>
        <v>2</v>
      </c>
    </row>
    <row r="1515" spans="1:9" ht="15.75" customHeight="1" x14ac:dyDescent="0.2">
      <c r="A1515" s="1">
        <v>37369</v>
      </c>
      <c r="B1515" s="1" t="s">
        <v>78</v>
      </c>
      <c r="C1515" s="1" t="s">
        <v>3486</v>
      </c>
      <c r="D1515" s="1" t="str">
        <f t="shared" si="5"/>
        <v>2</v>
      </c>
      <c r="E1515" s="1" t="s">
        <v>3487</v>
      </c>
      <c r="G1515" s="1">
        <f t="array" ref="G1515">IF(ISNUMBER(MATCH(37369,Camille!$A:$A,0)), IF(OR(INDEX(Camille!$D:$D,MATCH(37369,Camille!$A:$A,0))=1, INDEX(Camille!$D:$D,MATCH(37369,Camille!$A:$A,0))=2), INDEX(Camille!$D:$D,MATCH(37369,Camille!$A:$A,0)), 0), 0)</f>
        <v>0</v>
      </c>
      <c r="H1515" s="1">
        <f t="array" ref="H1515">IF(ISNUMBER(MATCH(37369,Telmo!$A:$A,0)), IF(OR(INDEX(Telmo!$D:$D,MATCH(37369,Telmo!$A:$A,0))=1, INDEX(Telmo!$D:$D,MATCH(37369,Telmo!$A:$A,0))=2), INDEX(Telmo!$D:$D,MATCH(37369,Telmo!$A:$A,0)), 0), 0)</f>
        <v>0</v>
      </c>
      <c r="I1515" s="1">
        <f t="array" ref="I1515">IF(ISNUMBER(MATCH(37369,Max!$A:$A,0)), IF(OR(INDEX(Max!$D:$D,MATCH(37369,Max!$A:$A,0))=1, INDEX(Max!$D:$D,MATCH(37369,Max!$A:$A,0))=2), INDEX(Max!$D:$D,MATCH(37369,Max!$A:$A,0)), 0), 0)</f>
        <v>2</v>
      </c>
    </row>
    <row r="1516" spans="1:9" ht="15.75" customHeight="1" x14ac:dyDescent="0.2">
      <c r="A1516" s="1">
        <v>9683</v>
      </c>
      <c r="B1516" s="1" t="s">
        <v>159</v>
      </c>
      <c r="C1516" s="1" t="s">
        <v>3488</v>
      </c>
      <c r="D1516" s="1" t="str">
        <f t="shared" si="5"/>
        <v>2</v>
      </c>
      <c r="E1516" s="1" t="s">
        <v>3489</v>
      </c>
      <c r="G1516" s="1">
        <f t="array" ref="G1516">IF(ISNUMBER(MATCH(9683,Camille!$A:$A,0)), IF(OR(INDEX(Camille!$D:$D,MATCH(9683,Camille!$A:$A,0))=1, INDEX(Camille!$D:$D,MATCH(9683,Camille!$A:$A,0))=2), INDEX(Camille!$D:$D,MATCH(9683,Camille!$A:$A,0)), 0), 0)</f>
        <v>0</v>
      </c>
      <c r="H1516" s="1">
        <f t="array" ref="H1516">IF(ISNUMBER(MATCH(9683,Telmo!$A:$A,0)), IF(OR(INDEX(Telmo!$D:$D,MATCH(9683,Telmo!$A:$A,0))=1, INDEX(Telmo!$D:$D,MATCH(9683,Telmo!$A:$A,0))=2), INDEX(Telmo!$D:$D,MATCH(9683,Telmo!$A:$A,0)), 0), 0)</f>
        <v>0</v>
      </c>
      <c r="I1516" s="1">
        <f t="array" ref="I1516">IF(ISNUMBER(MATCH(9683,Max!$A:$A,0)), IF(OR(INDEX(Max!$D:$D,MATCH(9683,Max!$A:$A,0))=1, INDEX(Max!$D:$D,MATCH(9683,Max!$A:$A,0))=2), INDEX(Max!$D:$D,MATCH(9683,Max!$A:$A,0)), 0), 0)</f>
        <v>2</v>
      </c>
    </row>
    <row r="1517" spans="1:9" ht="15.75" customHeight="1" x14ac:dyDescent="0.2">
      <c r="A1517" s="1">
        <v>45982</v>
      </c>
      <c r="B1517" s="1" t="s">
        <v>466</v>
      </c>
      <c r="C1517" s="1" t="s">
        <v>3490</v>
      </c>
      <c r="D1517" s="1" t="str">
        <f t="shared" si="5"/>
        <v>2</v>
      </c>
      <c r="E1517" s="1" t="s">
        <v>3491</v>
      </c>
      <c r="G1517" s="1">
        <f t="array" ref="G1517">IF(ISNUMBER(MATCH(45982,Camille!$A:$A,0)), IF(OR(INDEX(Camille!$D:$D,MATCH(45982,Camille!$A:$A,0))=1, INDEX(Camille!$D:$D,MATCH(45982,Camille!$A:$A,0))=2), INDEX(Camille!$D:$D,MATCH(45982,Camille!$A:$A,0)), 0), 0)</f>
        <v>0</v>
      </c>
      <c r="H1517" s="1">
        <f t="array" ref="H1517">IF(ISNUMBER(MATCH(45982,Telmo!$A:$A,0)), IF(OR(INDEX(Telmo!$D:$D,MATCH(45982,Telmo!$A:$A,0))=1, INDEX(Telmo!$D:$D,MATCH(45982,Telmo!$A:$A,0))=2), INDEX(Telmo!$D:$D,MATCH(45982,Telmo!$A:$A,0)), 0), 0)</f>
        <v>0</v>
      </c>
      <c r="I1517" s="1">
        <f t="array" ref="I1517">IF(ISNUMBER(MATCH(45982,Max!$A:$A,0)), IF(OR(INDEX(Max!$D:$D,MATCH(45982,Max!$A:$A,0))=1, INDEX(Max!$D:$D,MATCH(45982,Max!$A:$A,0))=2), INDEX(Max!$D:$D,MATCH(45982,Max!$A:$A,0)), 0), 0)</f>
        <v>2</v>
      </c>
    </row>
    <row r="1518" spans="1:9" ht="15.75" customHeight="1" x14ac:dyDescent="0.2">
      <c r="A1518" s="1">
        <v>26033</v>
      </c>
      <c r="B1518" s="1" t="s">
        <v>1657</v>
      </c>
      <c r="C1518" s="1" t="s">
        <v>3492</v>
      </c>
      <c r="D1518" s="1" t="str">
        <f t="shared" si="5"/>
        <v>1</v>
      </c>
      <c r="E1518" s="1" t="s">
        <v>3493</v>
      </c>
      <c r="G1518" s="1">
        <f t="array" ref="G1518">IF(ISNUMBER(MATCH(26033,Camille!$A:$A,0)), IF(OR(INDEX(Camille!$D:$D,MATCH(26033,Camille!$A:$A,0))=1, INDEX(Camille!$D:$D,MATCH(26033,Camille!$A:$A,0))=2), INDEX(Camille!$D:$D,MATCH(26033,Camille!$A:$A,0)), 0), 0)</f>
        <v>0</v>
      </c>
      <c r="H1518" s="1">
        <f t="array" ref="H1518">IF(ISNUMBER(MATCH(26033,Telmo!$A:$A,0)), IF(OR(INDEX(Telmo!$D:$D,MATCH(26033,Telmo!$A:$A,0))=1, INDEX(Telmo!$D:$D,MATCH(26033,Telmo!$A:$A,0))=2), INDEX(Telmo!$D:$D,MATCH(26033,Telmo!$A:$A,0)), 0), 0)</f>
        <v>0</v>
      </c>
      <c r="I1518" s="1">
        <f t="array" ref="I1518">IF(ISNUMBER(MATCH(26033,Max!$A:$A,0)), IF(OR(INDEX(Max!$D:$D,MATCH(26033,Max!$A:$A,0))=1, INDEX(Max!$D:$D,MATCH(26033,Max!$A:$A,0))=2), INDEX(Max!$D:$D,MATCH(26033,Max!$A:$A,0)), 0), 0)</f>
        <v>1</v>
      </c>
    </row>
    <row r="1519" spans="1:9" ht="15.75" customHeight="1" x14ac:dyDescent="0.2">
      <c r="A1519" s="1">
        <v>21305</v>
      </c>
      <c r="B1519" s="1" t="s">
        <v>336</v>
      </c>
      <c r="C1519" s="1" t="s">
        <v>3494</v>
      </c>
      <c r="D1519" s="1" t="str">
        <f t="shared" si="5"/>
        <v>2</v>
      </c>
      <c r="E1519" s="1" t="s">
        <v>3495</v>
      </c>
      <c r="G1519" s="1">
        <f t="array" ref="G1519">IF(ISNUMBER(MATCH(21305,Camille!$A:$A,0)), IF(OR(INDEX(Camille!$D:$D,MATCH(21305,Camille!$A:$A,0))=1, INDEX(Camille!$D:$D,MATCH(21305,Camille!$A:$A,0))=2), INDEX(Camille!$D:$D,MATCH(21305,Camille!$A:$A,0)), 0), 0)</f>
        <v>0</v>
      </c>
      <c r="H1519" s="1">
        <f t="array" ref="H1519">IF(ISNUMBER(MATCH(21305,Telmo!$A:$A,0)), IF(OR(INDEX(Telmo!$D:$D,MATCH(21305,Telmo!$A:$A,0))=1, INDEX(Telmo!$D:$D,MATCH(21305,Telmo!$A:$A,0))=2), INDEX(Telmo!$D:$D,MATCH(21305,Telmo!$A:$A,0)), 0), 0)</f>
        <v>0</v>
      </c>
      <c r="I1519" s="1">
        <f t="array" ref="I1519">IF(ISNUMBER(MATCH(21305,Max!$A:$A,0)), IF(OR(INDEX(Max!$D:$D,MATCH(21305,Max!$A:$A,0))=1, INDEX(Max!$D:$D,MATCH(21305,Max!$A:$A,0))=2), INDEX(Max!$D:$D,MATCH(21305,Max!$A:$A,0)), 0), 0)</f>
        <v>2</v>
      </c>
    </row>
    <row r="1520" spans="1:9" ht="15.75" customHeight="1" x14ac:dyDescent="0.2">
      <c r="A1520" s="1">
        <v>17948</v>
      </c>
      <c r="B1520" s="1" t="s">
        <v>238</v>
      </c>
      <c r="C1520" s="1" t="s">
        <v>3496</v>
      </c>
      <c r="D1520" s="1" t="str">
        <f t="shared" si="5"/>
        <v>2</v>
      </c>
      <c r="E1520" s="1" t="s">
        <v>3497</v>
      </c>
      <c r="G1520" s="1">
        <f t="array" ref="G1520">IF(ISNUMBER(MATCH(17948,Camille!$A:$A,0)), IF(OR(INDEX(Camille!$D:$D,MATCH(17948,Camille!$A:$A,0))=1, INDEX(Camille!$D:$D,MATCH(17948,Camille!$A:$A,0))=2), INDEX(Camille!$D:$D,MATCH(17948,Camille!$A:$A,0)), 0), 0)</f>
        <v>0</v>
      </c>
      <c r="H1520" s="1">
        <f t="array" ref="H1520">IF(ISNUMBER(MATCH(17948,Telmo!$A:$A,0)), IF(OR(INDEX(Telmo!$D:$D,MATCH(17948,Telmo!$A:$A,0))=1, INDEX(Telmo!$D:$D,MATCH(17948,Telmo!$A:$A,0))=2), INDEX(Telmo!$D:$D,MATCH(17948,Telmo!$A:$A,0)), 0), 0)</f>
        <v>0</v>
      </c>
      <c r="I1520" s="1">
        <f t="array" ref="I1520">IF(ISNUMBER(MATCH(17948,Max!$A:$A,0)), IF(OR(INDEX(Max!$D:$D,MATCH(17948,Max!$A:$A,0))=1, INDEX(Max!$D:$D,MATCH(17948,Max!$A:$A,0))=2), INDEX(Max!$D:$D,MATCH(17948,Max!$A:$A,0)), 0), 0)</f>
        <v>2</v>
      </c>
    </row>
    <row r="1521" spans="1:9" ht="15.75" customHeight="1" x14ac:dyDescent="0.2">
      <c r="A1521" s="1">
        <v>20495</v>
      </c>
      <c r="B1521" s="1" t="s">
        <v>991</v>
      </c>
      <c r="C1521" s="1" t="s">
        <v>3498</v>
      </c>
      <c r="D1521" s="1" t="str">
        <f t="shared" si="5"/>
        <v>2</v>
      </c>
      <c r="E1521" s="1" t="s">
        <v>3499</v>
      </c>
      <c r="G1521" s="1">
        <f t="array" ref="G1521">IF(ISNUMBER(MATCH(20495,Camille!$A:$A,0)), IF(OR(INDEX(Camille!$D:$D,MATCH(20495,Camille!$A:$A,0))=1, INDEX(Camille!$D:$D,MATCH(20495,Camille!$A:$A,0))=2), INDEX(Camille!$D:$D,MATCH(20495,Camille!$A:$A,0)), 0), 0)</f>
        <v>0</v>
      </c>
      <c r="H1521" s="1">
        <f t="array" ref="H1521">IF(ISNUMBER(MATCH(20495,Telmo!$A:$A,0)), IF(OR(INDEX(Telmo!$D:$D,MATCH(20495,Telmo!$A:$A,0))=1, INDEX(Telmo!$D:$D,MATCH(20495,Telmo!$A:$A,0))=2), INDEX(Telmo!$D:$D,MATCH(20495,Telmo!$A:$A,0)), 0), 0)</f>
        <v>0</v>
      </c>
      <c r="I1521" s="1">
        <f t="array" ref="I1521">IF(ISNUMBER(MATCH(20495,Max!$A:$A,0)), IF(OR(INDEX(Max!$D:$D,MATCH(20495,Max!$A:$A,0))=1, INDEX(Max!$D:$D,MATCH(20495,Max!$A:$A,0))=2), INDEX(Max!$D:$D,MATCH(20495,Max!$A:$A,0)), 0), 0)</f>
        <v>2</v>
      </c>
    </row>
    <row r="1522" spans="1:9" ht="15.75" customHeight="1" x14ac:dyDescent="0.2">
      <c r="A1522" s="1">
        <v>11074</v>
      </c>
      <c r="B1522" s="1" t="s">
        <v>276</v>
      </c>
      <c r="C1522" s="1" t="s">
        <v>3500</v>
      </c>
      <c r="D1522" s="1" t="str">
        <f t="shared" si="5"/>
        <v>1</v>
      </c>
      <c r="E1522" s="1" t="s">
        <v>3501</v>
      </c>
      <c r="G1522" s="1">
        <f t="array" ref="G1522">IF(ISNUMBER(MATCH(11074,Camille!$A:$A,0)), IF(OR(INDEX(Camille!$D:$D,MATCH(11074,Camille!$A:$A,0))=1, INDEX(Camille!$D:$D,MATCH(11074,Camille!$A:$A,0))=2), INDEX(Camille!$D:$D,MATCH(11074,Camille!$A:$A,0)), 0), 0)</f>
        <v>0</v>
      </c>
      <c r="H1522" s="1">
        <f t="array" ref="H1522">IF(ISNUMBER(MATCH(11074,Telmo!$A:$A,0)), IF(OR(INDEX(Telmo!$D:$D,MATCH(11074,Telmo!$A:$A,0))=1, INDEX(Telmo!$D:$D,MATCH(11074,Telmo!$A:$A,0))=2), INDEX(Telmo!$D:$D,MATCH(11074,Telmo!$A:$A,0)), 0), 0)</f>
        <v>0</v>
      </c>
      <c r="I1522" s="1">
        <f t="array" ref="I1522">IF(ISNUMBER(MATCH(11074,Max!$A:$A,0)), IF(OR(INDEX(Max!$D:$D,MATCH(11074,Max!$A:$A,0))=1, INDEX(Max!$D:$D,MATCH(11074,Max!$A:$A,0))=2), INDEX(Max!$D:$D,MATCH(11074,Max!$A:$A,0)), 0), 0)</f>
        <v>1</v>
      </c>
    </row>
    <row r="1523" spans="1:9" ht="15.75" customHeight="1" x14ac:dyDescent="0.2">
      <c r="A1523" s="1">
        <v>18384</v>
      </c>
      <c r="B1523" s="1" t="s">
        <v>44</v>
      </c>
      <c r="C1523" s="1" t="s">
        <v>3502</v>
      </c>
      <c r="D1523" s="1" t="str">
        <f t="shared" si="5"/>
        <v>2</v>
      </c>
      <c r="E1523" s="1" t="s">
        <v>3503</v>
      </c>
      <c r="G1523" s="1">
        <f t="array" ref="G1523">IF(ISNUMBER(MATCH(18384,Camille!$A:$A,0)), IF(OR(INDEX(Camille!$D:$D,MATCH(18384,Camille!$A:$A,0))=1, INDEX(Camille!$D:$D,MATCH(18384,Camille!$A:$A,0))=2), INDEX(Camille!$D:$D,MATCH(18384,Camille!$A:$A,0)), 0), 0)</f>
        <v>0</v>
      </c>
      <c r="H1523" s="1">
        <f t="array" ref="H1523">IF(ISNUMBER(MATCH(18384,Telmo!$A:$A,0)), IF(OR(INDEX(Telmo!$D:$D,MATCH(18384,Telmo!$A:$A,0))=1, INDEX(Telmo!$D:$D,MATCH(18384,Telmo!$A:$A,0))=2), INDEX(Telmo!$D:$D,MATCH(18384,Telmo!$A:$A,0)), 0), 0)</f>
        <v>0</v>
      </c>
      <c r="I1523" s="1">
        <f t="array" ref="I1523">IF(ISNUMBER(MATCH(18384,Max!$A:$A,0)), IF(OR(INDEX(Max!$D:$D,MATCH(18384,Max!$A:$A,0))=1, INDEX(Max!$D:$D,MATCH(18384,Max!$A:$A,0))=2), INDEX(Max!$D:$D,MATCH(18384,Max!$A:$A,0)), 0), 0)</f>
        <v>2</v>
      </c>
    </row>
    <row r="1524" spans="1:9" ht="15.75" customHeight="1" x14ac:dyDescent="0.2">
      <c r="A1524" s="1">
        <v>40046</v>
      </c>
      <c r="B1524" s="1" t="s">
        <v>2042</v>
      </c>
      <c r="C1524" s="1" t="s">
        <v>3504</v>
      </c>
      <c r="D1524" s="1" t="str">
        <f t="shared" si="5"/>
        <v>2</v>
      </c>
      <c r="E1524" s="1" t="s">
        <v>3505</v>
      </c>
      <c r="G1524" s="1">
        <f t="array" ref="G1524">IF(ISNUMBER(MATCH(40046,Camille!$A:$A,0)), IF(OR(INDEX(Camille!$D:$D,MATCH(40046,Camille!$A:$A,0))=1, INDEX(Camille!$D:$D,MATCH(40046,Camille!$A:$A,0))=2), INDEX(Camille!$D:$D,MATCH(40046,Camille!$A:$A,0)), 0), 0)</f>
        <v>0</v>
      </c>
      <c r="H1524" s="1">
        <f t="array" ref="H1524">IF(ISNUMBER(MATCH(40046,Telmo!$A:$A,0)), IF(OR(INDEX(Telmo!$D:$D,MATCH(40046,Telmo!$A:$A,0))=1, INDEX(Telmo!$D:$D,MATCH(40046,Telmo!$A:$A,0))=2), INDEX(Telmo!$D:$D,MATCH(40046,Telmo!$A:$A,0)), 0), 0)</f>
        <v>0</v>
      </c>
      <c r="I1524" s="1">
        <f t="array" ref="I1524">IF(ISNUMBER(MATCH(40046,Max!$A:$A,0)), IF(OR(INDEX(Max!$D:$D,MATCH(40046,Max!$A:$A,0))=1, INDEX(Max!$D:$D,MATCH(40046,Max!$A:$A,0))=2), INDEX(Max!$D:$D,MATCH(40046,Max!$A:$A,0)), 0), 0)</f>
        <v>2</v>
      </c>
    </row>
    <row r="1525" spans="1:9" ht="15.75" customHeight="1" x14ac:dyDescent="0.2">
      <c r="A1525" s="1">
        <v>20469</v>
      </c>
      <c r="B1525" s="1" t="s">
        <v>3506</v>
      </c>
      <c r="C1525" s="1" t="s">
        <v>3507</v>
      </c>
      <c r="D1525" s="1" t="str">
        <f t="shared" si="5"/>
        <v>2</v>
      </c>
      <c r="E1525" s="1" t="s">
        <v>3508</v>
      </c>
      <c r="G1525" s="1">
        <f t="array" ref="G1525">IF(ISNUMBER(MATCH(20469,Camille!$A:$A,0)), IF(OR(INDEX(Camille!$D:$D,MATCH(20469,Camille!$A:$A,0))=1, INDEX(Camille!$D:$D,MATCH(20469,Camille!$A:$A,0))=2), INDEX(Camille!$D:$D,MATCH(20469,Camille!$A:$A,0)), 0), 0)</f>
        <v>0</v>
      </c>
      <c r="H1525" s="1">
        <f t="array" ref="H1525">IF(ISNUMBER(MATCH(20469,Telmo!$A:$A,0)), IF(OR(INDEX(Telmo!$D:$D,MATCH(20469,Telmo!$A:$A,0))=1, INDEX(Telmo!$D:$D,MATCH(20469,Telmo!$A:$A,0))=2), INDEX(Telmo!$D:$D,MATCH(20469,Telmo!$A:$A,0)), 0), 0)</f>
        <v>0</v>
      </c>
      <c r="I1525" s="1">
        <f t="array" ref="I1525">IF(ISNUMBER(MATCH(20469,Max!$A:$A,0)), IF(OR(INDEX(Max!$D:$D,MATCH(20469,Max!$A:$A,0))=1, INDEX(Max!$D:$D,MATCH(20469,Max!$A:$A,0))=2), INDEX(Max!$D:$D,MATCH(20469,Max!$A:$A,0)), 0), 0)</f>
        <v>2</v>
      </c>
    </row>
    <row r="1526" spans="1:9" ht="15.75" customHeight="1" x14ac:dyDescent="0.2">
      <c r="A1526" s="1">
        <v>24744</v>
      </c>
      <c r="B1526" s="1" t="s">
        <v>1415</v>
      </c>
      <c r="C1526" s="1" t="s">
        <v>3509</v>
      </c>
      <c r="D1526" s="1" t="str">
        <f t="shared" si="5"/>
        <v>2</v>
      </c>
      <c r="E1526" s="1" t="s">
        <v>3510</v>
      </c>
      <c r="G1526" s="1">
        <f t="array" ref="G1526">IF(ISNUMBER(MATCH(24744,Camille!$A:$A,0)), IF(OR(INDEX(Camille!$D:$D,MATCH(24744,Camille!$A:$A,0))=1, INDEX(Camille!$D:$D,MATCH(24744,Camille!$A:$A,0))=2), INDEX(Camille!$D:$D,MATCH(24744,Camille!$A:$A,0)), 0), 0)</f>
        <v>0</v>
      </c>
      <c r="H1526" s="1">
        <f t="array" ref="H1526">IF(ISNUMBER(MATCH(24744,Telmo!$A:$A,0)), IF(OR(INDEX(Telmo!$D:$D,MATCH(24744,Telmo!$A:$A,0))=1, INDEX(Telmo!$D:$D,MATCH(24744,Telmo!$A:$A,0))=2), INDEX(Telmo!$D:$D,MATCH(24744,Telmo!$A:$A,0)), 0), 0)</f>
        <v>0</v>
      </c>
      <c r="I1526" s="1">
        <f t="array" ref="I1526">IF(ISNUMBER(MATCH(24744,Max!$A:$A,0)), IF(OR(INDEX(Max!$D:$D,MATCH(24744,Max!$A:$A,0))=1, INDEX(Max!$D:$D,MATCH(24744,Max!$A:$A,0))=2), INDEX(Max!$D:$D,MATCH(24744,Max!$A:$A,0)), 0), 0)</f>
        <v>2</v>
      </c>
    </row>
    <row r="1527" spans="1:9" ht="15.75" customHeight="1" x14ac:dyDescent="0.2">
      <c r="A1527" s="1">
        <v>61350</v>
      </c>
      <c r="B1527" s="1" t="s">
        <v>408</v>
      </c>
      <c r="C1527" s="1" t="s">
        <v>3511</v>
      </c>
      <c r="D1527" s="1" t="str">
        <f t="shared" si="5"/>
        <v>2</v>
      </c>
      <c r="E1527" s="1" t="s">
        <v>3512</v>
      </c>
      <c r="G1527" s="1">
        <f t="array" ref="G1527">IF(ISNUMBER(MATCH(61350,Camille!$A:$A,0)), IF(OR(INDEX(Camille!$D:$D,MATCH(61350,Camille!$A:$A,0))=1, INDEX(Camille!$D:$D,MATCH(61350,Camille!$A:$A,0))=2), INDEX(Camille!$D:$D,MATCH(61350,Camille!$A:$A,0)), 0), 0)</f>
        <v>0</v>
      </c>
      <c r="H1527" s="1">
        <f t="array" ref="H1527">IF(ISNUMBER(MATCH(61350,Telmo!$A:$A,0)), IF(OR(INDEX(Telmo!$D:$D,MATCH(61350,Telmo!$A:$A,0))=1, INDEX(Telmo!$D:$D,MATCH(61350,Telmo!$A:$A,0))=2), INDEX(Telmo!$D:$D,MATCH(61350,Telmo!$A:$A,0)), 0), 0)</f>
        <v>0</v>
      </c>
      <c r="I1527" s="1">
        <f t="array" ref="I1527">IF(ISNUMBER(MATCH(61350,Max!$A:$A,0)), IF(OR(INDEX(Max!$D:$D,MATCH(61350,Max!$A:$A,0))=1, INDEX(Max!$D:$D,MATCH(61350,Max!$A:$A,0))=2), INDEX(Max!$D:$D,MATCH(61350,Max!$A:$A,0)), 0), 0)</f>
        <v>2</v>
      </c>
    </row>
    <row r="1528" spans="1:9" ht="15.75" customHeight="1" x14ac:dyDescent="0.2">
      <c r="A1528" s="1">
        <v>55563</v>
      </c>
      <c r="B1528" s="1" t="s">
        <v>659</v>
      </c>
      <c r="C1528" s="1" t="s">
        <v>3513</v>
      </c>
      <c r="D1528" s="1" t="str">
        <f t="shared" si="5"/>
        <v>1</v>
      </c>
      <c r="E1528" s="1" t="s">
        <v>3514</v>
      </c>
      <c r="G1528" s="1">
        <f t="array" ref="G1528">IF(ISNUMBER(MATCH(55563,Camille!$A:$A,0)), IF(OR(INDEX(Camille!$D:$D,MATCH(55563,Camille!$A:$A,0))=1, INDEX(Camille!$D:$D,MATCH(55563,Camille!$A:$A,0))=2), INDEX(Camille!$D:$D,MATCH(55563,Camille!$A:$A,0)), 0), 0)</f>
        <v>0</v>
      </c>
      <c r="H1528" s="1">
        <f t="array" ref="H1528">IF(ISNUMBER(MATCH(55563,Telmo!$A:$A,0)), IF(OR(INDEX(Telmo!$D:$D,MATCH(55563,Telmo!$A:$A,0))=1, INDEX(Telmo!$D:$D,MATCH(55563,Telmo!$A:$A,0))=2), INDEX(Telmo!$D:$D,MATCH(55563,Telmo!$A:$A,0)), 0), 0)</f>
        <v>0</v>
      </c>
      <c r="I1528" s="1">
        <f t="array" ref="I1528">IF(ISNUMBER(MATCH(55563,Max!$A:$A,0)), IF(OR(INDEX(Max!$D:$D,MATCH(55563,Max!$A:$A,0))=1, INDEX(Max!$D:$D,MATCH(55563,Max!$A:$A,0))=2), INDEX(Max!$D:$D,MATCH(55563,Max!$A:$A,0)), 0), 0)</f>
        <v>1</v>
      </c>
    </row>
    <row r="1529" spans="1:9" ht="15.75" customHeight="1" x14ac:dyDescent="0.2">
      <c r="A1529" s="1">
        <v>15118</v>
      </c>
      <c r="B1529" s="1" t="s">
        <v>1895</v>
      </c>
      <c r="C1529" s="1" t="s">
        <v>3515</v>
      </c>
      <c r="D1529" s="1" t="str">
        <f t="shared" si="5"/>
        <v>2</v>
      </c>
      <c r="E1529" s="1" t="s">
        <v>3516</v>
      </c>
      <c r="G1529" s="1">
        <f t="array" ref="G1529">IF(ISNUMBER(MATCH(15118,Camille!$A:$A,0)), IF(OR(INDEX(Camille!$D:$D,MATCH(15118,Camille!$A:$A,0))=1, INDEX(Camille!$D:$D,MATCH(15118,Camille!$A:$A,0))=2), INDEX(Camille!$D:$D,MATCH(15118,Camille!$A:$A,0)), 0), 0)</f>
        <v>0</v>
      </c>
      <c r="H1529" s="1">
        <f t="array" ref="H1529">IF(ISNUMBER(MATCH(15118,Telmo!$A:$A,0)), IF(OR(INDEX(Telmo!$D:$D,MATCH(15118,Telmo!$A:$A,0))=1, INDEX(Telmo!$D:$D,MATCH(15118,Telmo!$A:$A,0))=2), INDEX(Telmo!$D:$D,MATCH(15118,Telmo!$A:$A,0)), 0), 0)</f>
        <v>0</v>
      </c>
      <c r="I1529" s="1">
        <f t="array" ref="I1529">IF(ISNUMBER(MATCH(15118,Max!$A:$A,0)), IF(OR(INDEX(Max!$D:$D,MATCH(15118,Max!$A:$A,0))=1, INDEX(Max!$D:$D,MATCH(15118,Max!$A:$A,0))=2), INDEX(Max!$D:$D,MATCH(15118,Max!$A:$A,0)), 0), 0)</f>
        <v>2</v>
      </c>
    </row>
    <row r="1530" spans="1:9" ht="15.75" customHeight="1" x14ac:dyDescent="0.2">
      <c r="A1530" s="1">
        <v>55792</v>
      </c>
      <c r="B1530" s="1" t="s">
        <v>268</v>
      </c>
      <c r="C1530" s="1" t="s">
        <v>3517</v>
      </c>
      <c r="D1530" s="1" t="str">
        <f t="shared" si="5"/>
        <v>1</v>
      </c>
      <c r="E1530" s="1" t="s">
        <v>3518</v>
      </c>
      <c r="G1530" s="1">
        <f t="array" ref="G1530">IF(ISNUMBER(MATCH(55792,Camille!$A:$A,0)), IF(OR(INDEX(Camille!$D:$D,MATCH(55792,Camille!$A:$A,0))=1, INDEX(Camille!$D:$D,MATCH(55792,Camille!$A:$A,0))=2), INDEX(Camille!$D:$D,MATCH(55792,Camille!$A:$A,0)), 0), 0)</f>
        <v>0</v>
      </c>
      <c r="H1530" s="1">
        <f t="array" ref="H1530">IF(ISNUMBER(MATCH(55792,Telmo!$A:$A,0)), IF(OR(INDEX(Telmo!$D:$D,MATCH(55792,Telmo!$A:$A,0))=1, INDEX(Telmo!$D:$D,MATCH(55792,Telmo!$A:$A,0))=2), INDEX(Telmo!$D:$D,MATCH(55792,Telmo!$A:$A,0)), 0), 0)</f>
        <v>0</v>
      </c>
      <c r="I1530" s="1">
        <f t="array" ref="I1530">IF(ISNUMBER(MATCH(55792,Max!$A:$A,0)), IF(OR(INDEX(Max!$D:$D,MATCH(55792,Max!$A:$A,0))=1, INDEX(Max!$D:$D,MATCH(55792,Max!$A:$A,0))=2), INDEX(Max!$D:$D,MATCH(55792,Max!$A:$A,0)), 0), 0)</f>
        <v>1</v>
      </c>
    </row>
    <row r="1531" spans="1:9" ht="15.75" customHeight="1" x14ac:dyDescent="0.2">
      <c r="A1531" s="1">
        <v>26644</v>
      </c>
      <c r="B1531" s="1" t="s">
        <v>805</v>
      </c>
      <c r="C1531" s="1" t="s">
        <v>3519</v>
      </c>
      <c r="D1531" s="1" t="str">
        <f t="shared" si="5"/>
        <v>1</v>
      </c>
      <c r="E1531" s="1" t="s">
        <v>3520</v>
      </c>
      <c r="G1531" s="1">
        <f t="array" ref="G1531">IF(ISNUMBER(MATCH(26644,Camille!$A:$A,0)), IF(OR(INDEX(Camille!$D:$D,MATCH(26644,Camille!$A:$A,0))=1, INDEX(Camille!$D:$D,MATCH(26644,Camille!$A:$A,0))=2), INDEX(Camille!$D:$D,MATCH(26644,Camille!$A:$A,0)), 0), 0)</f>
        <v>0</v>
      </c>
      <c r="H1531" s="1">
        <f t="array" ref="H1531">IF(ISNUMBER(MATCH(26644,Telmo!$A:$A,0)), IF(OR(INDEX(Telmo!$D:$D,MATCH(26644,Telmo!$A:$A,0))=1, INDEX(Telmo!$D:$D,MATCH(26644,Telmo!$A:$A,0))=2), INDEX(Telmo!$D:$D,MATCH(26644,Telmo!$A:$A,0)), 0), 0)</f>
        <v>0</v>
      </c>
      <c r="I1531" s="1">
        <f t="array" ref="I1531">IF(ISNUMBER(MATCH(26644,Max!$A:$A,0)), IF(OR(INDEX(Max!$D:$D,MATCH(26644,Max!$A:$A,0))=1, INDEX(Max!$D:$D,MATCH(26644,Max!$A:$A,0))=2), INDEX(Max!$D:$D,MATCH(26644,Max!$A:$A,0)), 0), 0)</f>
        <v>1</v>
      </c>
    </row>
    <row r="1532" spans="1:9" ht="15.75" customHeight="1" x14ac:dyDescent="0.2">
      <c r="A1532" s="1">
        <v>56606</v>
      </c>
      <c r="B1532" s="1" t="s">
        <v>713</v>
      </c>
      <c r="C1532" s="1" t="s">
        <v>3521</v>
      </c>
      <c r="D1532" s="1" t="str">
        <f t="shared" si="5"/>
        <v>2</v>
      </c>
      <c r="E1532" s="1" t="s">
        <v>3522</v>
      </c>
      <c r="G1532" s="1">
        <f t="array" ref="G1532">IF(ISNUMBER(MATCH(56606,Camille!$A:$A,0)), IF(OR(INDEX(Camille!$D:$D,MATCH(56606,Camille!$A:$A,0))=1, INDEX(Camille!$D:$D,MATCH(56606,Camille!$A:$A,0))=2), INDEX(Camille!$D:$D,MATCH(56606,Camille!$A:$A,0)), 0), 0)</f>
        <v>0</v>
      </c>
      <c r="H1532" s="1">
        <f t="array" ref="H1532">IF(ISNUMBER(MATCH(56606,Telmo!$A:$A,0)), IF(OR(INDEX(Telmo!$D:$D,MATCH(56606,Telmo!$A:$A,0))=1, INDEX(Telmo!$D:$D,MATCH(56606,Telmo!$A:$A,0))=2), INDEX(Telmo!$D:$D,MATCH(56606,Telmo!$A:$A,0)), 0), 0)</f>
        <v>0</v>
      </c>
      <c r="I1532" s="1">
        <f t="array" ref="I1532">IF(ISNUMBER(MATCH(56606,Max!$A:$A,0)), IF(OR(INDEX(Max!$D:$D,MATCH(56606,Max!$A:$A,0))=1, INDEX(Max!$D:$D,MATCH(56606,Max!$A:$A,0))=2), INDEX(Max!$D:$D,MATCH(56606,Max!$A:$A,0)), 0), 0)</f>
        <v>2</v>
      </c>
    </row>
    <row r="1533" spans="1:9" ht="15.75" customHeight="1" x14ac:dyDescent="0.2">
      <c r="A1533" s="1">
        <v>57271</v>
      </c>
      <c r="B1533" s="1" t="s">
        <v>3523</v>
      </c>
      <c r="C1533" s="1" t="s">
        <v>3524</v>
      </c>
      <c r="D1533" s="1" t="str">
        <f t="shared" si="5"/>
        <v>2</v>
      </c>
      <c r="E1533" s="1" t="s">
        <v>3525</v>
      </c>
      <c r="G1533" s="1">
        <f t="array" ref="G1533">IF(ISNUMBER(MATCH(57271,Camille!$A:$A,0)), IF(OR(INDEX(Camille!$D:$D,MATCH(57271,Camille!$A:$A,0))=1, INDEX(Camille!$D:$D,MATCH(57271,Camille!$A:$A,0))=2), INDEX(Camille!$D:$D,MATCH(57271,Camille!$A:$A,0)), 0), 0)</f>
        <v>0</v>
      </c>
      <c r="H1533" s="1">
        <f t="array" ref="H1533">IF(ISNUMBER(MATCH(57271,Telmo!$A:$A,0)), IF(OR(INDEX(Telmo!$D:$D,MATCH(57271,Telmo!$A:$A,0))=1, INDEX(Telmo!$D:$D,MATCH(57271,Telmo!$A:$A,0))=2), INDEX(Telmo!$D:$D,MATCH(57271,Telmo!$A:$A,0)), 0), 0)</f>
        <v>0</v>
      </c>
      <c r="I1533" s="1">
        <f t="array" ref="I1533">IF(ISNUMBER(MATCH(57271,Max!$A:$A,0)), IF(OR(INDEX(Max!$D:$D,MATCH(57271,Max!$A:$A,0))=1, INDEX(Max!$D:$D,MATCH(57271,Max!$A:$A,0))=2), INDEX(Max!$D:$D,MATCH(57271,Max!$A:$A,0)), 0), 0)</f>
        <v>2</v>
      </c>
    </row>
    <row r="1534" spans="1:9" ht="15.75" customHeight="1" x14ac:dyDescent="0.2">
      <c r="A1534" s="1">
        <v>26444</v>
      </c>
      <c r="B1534" s="1" t="s">
        <v>1357</v>
      </c>
      <c r="C1534" s="1" t="s">
        <v>3526</v>
      </c>
      <c r="D1534" s="1" t="str">
        <f t="shared" si="5"/>
        <v>2</v>
      </c>
      <c r="E1534" s="1" t="s">
        <v>3527</v>
      </c>
      <c r="G1534" s="1">
        <f t="array" ref="G1534">IF(ISNUMBER(MATCH(26444,Camille!$A:$A,0)), IF(OR(INDEX(Camille!$D:$D,MATCH(26444,Camille!$A:$A,0))=1, INDEX(Camille!$D:$D,MATCH(26444,Camille!$A:$A,0))=2), INDEX(Camille!$D:$D,MATCH(26444,Camille!$A:$A,0)), 0), 0)</f>
        <v>0</v>
      </c>
      <c r="H1534" s="1">
        <f t="array" ref="H1534">IF(ISNUMBER(MATCH(26444,Telmo!$A:$A,0)), IF(OR(INDEX(Telmo!$D:$D,MATCH(26444,Telmo!$A:$A,0))=1, INDEX(Telmo!$D:$D,MATCH(26444,Telmo!$A:$A,0))=2), INDEX(Telmo!$D:$D,MATCH(26444,Telmo!$A:$A,0)), 0), 0)</f>
        <v>0</v>
      </c>
      <c r="I1534" s="1">
        <f t="array" ref="I1534">IF(ISNUMBER(MATCH(26444,Max!$A:$A,0)), IF(OR(INDEX(Max!$D:$D,MATCH(26444,Max!$A:$A,0))=1, INDEX(Max!$D:$D,MATCH(26444,Max!$A:$A,0))=2), INDEX(Max!$D:$D,MATCH(26444,Max!$A:$A,0)), 0), 0)</f>
        <v>2</v>
      </c>
    </row>
    <row r="1535" spans="1:9" ht="15.75" customHeight="1" x14ac:dyDescent="0.2">
      <c r="A1535" s="1">
        <v>62797</v>
      </c>
      <c r="B1535" s="1" t="s">
        <v>17</v>
      </c>
      <c r="C1535" s="1" t="s">
        <v>3528</v>
      </c>
      <c r="D1535" s="1" t="str">
        <f t="shared" ref="D1535:D1789" si="6">IF(SUM(G1535:I1535)=0, "", IF(COUNTIF(G1535:I1535, "1") &gt; 0, IF(COUNTIF(G1535:I1535, "2") &gt; 0, "3", "1"),IF(COUNTIF(G1535:I1535, "2") &gt; 0, "2", "")))</f>
        <v>2</v>
      </c>
      <c r="E1535" s="1" t="s">
        <v>3529</v>
      </c>
      <c r="G1535" s="1">
        <f t="array" ref="G1535">IF(ISNUMBER(MATCH(62797,Camille!$A:$A,0)), IF(OR(INDEX(Camille!$D:$D,MATCH(62797,Camille!$A:$A,0))=1, INDEX(Camille!$D:$D,MATCH(62797,Camille!$A:$A,0))=2), INDEX(Camille!$D:$D,MATCH(62797,Camille!$A:$A,0)), 0), 0)</f>
        <v>0</v>
      </c>
      <c r="H1535" s="1">
        <f t="array" ref="H1535">IF(ISNUMBER(MATCH(62797,Telmo!$A:$A,0)), IF(OR(INDEX(Telmo!$D:$D,MATCH(62797,Telmo!$A:$A,0))=1, INDEX(Telmo!$D:$D,MATCH(62797,Telmo!$A:$A,0))=2), INDEX(Telmo!$D:$D,MATCH(62797,Telmo!$A:$A,0)), 0), 0)</f>
        <v>0</v>
      </c>
      <c r="I1535" s="1">
        <f t="array" ref="I1535">IF(ISNUMBER(MATCH(62797,Max!$A:$A,0)), IF(OR(INDEX(Max!$D:$D,MATCH(62797,Max!$A:$A,0))=1, INDEX(Max!$D:$D,MATCH(62797,Max!$A:$A,0))=2), INDEX(Max!$D:$D,MATCH(62797,Max!$A:$A,0)), 0), 0)</f>
        <v>2</v>
      </c>
    </row>
    <row r="1536" spans="1:9" ht="15.75" customHeight="1" x14ac:dyDescent="0.2">
      <c r="A1536" s="1">
        <v>28164</v>
      </c>
      <c r="B1536" s="1" t="s">
        <v>84</v>
      </c>
      <c r="C1536" s="1" t="s">
        <v>3530</v>
      </c>
      <c r="D1536" s="1" t="str">
        <f t="shared" si="6"/>
        <v>1</v>
      </c>
      <c r="E1536" s="1" t="s">
        <v>3531</v>
      </c>
      <c r="G1536" s="1">
        <f t="array" ref="G1536">IF(ISNUMBER(MATCH(28164,Camille!$A:$A,0)), IF(OR(INDEX(Camille!$D:$D,MATCH(28164,Camille!$A:$A,0))=1, INDEX(Camille!$D:$D,MATCH(28164,Camille!$A:$A,0))=2), INDEX(Camille!$D:$D,MATCH(28164,Camille!$A:$A,0)), 0), 0)</f>
        <v>0</v>
      </c>
      <c r="H1536" s="1">
        <f t="array" ref="H1536">IF(ISNUMBER(MATCH(28164,Telmo!$A:$A,0)), IF(OR(INDEX(Telmo!$D:$D,MATCH(28164,Telmo!$A:$A,0))=1, INDEX(Telmo!$D:$D,MATCH(28164,Telmo!$A:$A,0))=2), INDEX(Telmo!$D:$D,MATCH(28164,Telmo!$A:$A,0)), 0), 0)</f>
        <v>0</v>
      </c>
      <c r="I1536" s="1">
        <f t="array" ref="I1536">IF(ISNUMBER(MATCH(28164,Max!$A:$A,0)), IF(OR(INDEX(Max!$D:$D,MATCH(28164,Max!$A:$A,0))=1, INDEX(Max!$D:$D,MATCH(28164,Max!$A:$A,0))=2), INDEX(Max!$D:$D,MATCH(28164,Max!$A:$A,0)), 0), 0)</f>
        <v>1</v>
      </c>
    </row>
    <row r="1537" spans="1:9" ht="15.75" customHeight="1" x14ac:dyDescent="0.2">
      <c r="A1537" s="1">
        <v>71232</v>
      </c>
      <c r="B1537" s="1" t="s">
        <v>3532</v>
      </c>
      <c r="C1537" s="1" t="s">
        <v>3533</v>
      </c>
      <c r="D1537" s="1" t="str">
        <f t="shared" si="6"/>
        <v>2</v>
      </c>
      <c r="E1537" s="1" t="s">
        <v>3534</v>
      </c>
      <c r="G1537" s="1">
        <f t="array" ref="G1537">IF(ISNUMBER(MATCH(71232,Camille!$A:$A,0)), IF(OR(INDEX(Camille!$D:$D,MATCH(71232,Camille!$A:$A,0))=1, INDEX(Camille!$D:$D,MATCH(71232,Camille!$A:$A,0))=2), INDEX(Camille!$D:$D,MATCH(71232,Camille!$A:$A,0)), 0), 0)</f>
        <v>0</v>
      </c>
      <c r="H1537" s="1">
        <f t="array" ref="H1537">IF(ISNUMBER(MATCH(71232,Telmo!$A:$A,0)), IF(OR(INDEX(Telmo!$D:$D,MATCH(71232,Telmo!$A:$A,0))=1, INDEX(Telmo!$D:$D,MATCH(71232,Telmo!$A:$A,0))=2), INDEX(Telmo!$D:$D,MATCH(71232,Telmo!$A:$A,0)), 0), 0)</f>
        <v>0</v>
      </c>
      <c r="I1537" s="1">
        <f t="array" ref="I1537">IF(ISNUMBER(MATCH(71232,Max!$A:$A,0)), IF(OR(INDEX(Max!$D:$D,MATCH(71232,Max!$A:$A,0))=1, INDEX(Max!$D:$D,MATCH(71232,Max!$A:$A,0))=2), INDEX(Max!$D:$D,MATCH(71232,Max!$A:$A,0)), 0), 0)</f>
        <v>2</v>
      </c>
    </row>
    <row r="1538" spans="1:9" ht="15.75" customHeight="1" x14ac:dyDescent="0.2">
      <c r="A1538" s="1">
        <v>47361</v>
      </c>
      <c r="B1538" s="1" t="s">
        <v>3535</v>
      </c>
      <c r="C1538" s="1" t="s">
        <v>3536</v>
      </c>
      <c r="D1538" s="1" t="str">
        <f t="shared" si="6"/>
        <v>2</v>
      </c>
      <c r="E1538" s="1" t="s">
        <v>3537</v>
      </c>
      <c r="G1538" s="1">
        <f t="array" ref="G1538">IF(ISNUMBER(MATCH(47361,Camille!$A:$A,0)), IF(OR(INDEX(Camille!$D:$D,MATCH(47361,Camille!$A:$A,0))=1, INDEX(Camille!$D:$D,MATCH(47361,Camille!$A:$A,0))=2), INDEX(Camille!$D:$D,MATCH(47361,Camille!$A:$A,0)), 0), 0)</f>
        <v>0</v>
      </c>
      <c r="H1538" s="1">
        <f t="array" ref="H1538">IF(ISNUMBER(MATCH(47361,Telmo!$A:$A,0)), IF(OR(INDEX(Telmo!$D:$D,MATCH(47361,Telmo!$A:$A,0))=1, INDEX(Telmo!$D:$D,MATCH(47361,Telmo!$A:$A,0))=2), INDEX(Telmo!$D:$D,MATCH(47361,Telmo!$A:$A,0)), 0), 0)</f>
        <v>0</v>
      </c>
      <c r="I1538" s="1">
        <f t="array" ref="I1538">IF(ISNUMBER(MATCH(47361,Max!$A:$A,0)), IF(OR(INDEX(Max!$D:$D,MATCH(47361,Max!$A:$A,0))=1, INDEX(Max!$D:$D,MATCH(47361,Max!$A:$A,0))=2), INDEX(Max!$D:$D,MATCH(47361,Max!$A:$A,0)), 0), 0)</f>
        <v>2</v>
      </c>
    </row>
    <row r="1539" spans="1:9" ht="15.75" customHeight="1" x14ac:dyDescent="0.2">
      <c r="A1539" s="1">
        <v>38772</v>
      </c>
      <c r="B1539" s="1" t="s">
        <v>75</v>
      </c>
      <c r="C1539" s="1" t="s">
        <v>3538</v>
      </c>
      <c r="D1539" s="1" t="str">
        <f t="shared" si="6"/>
        <v>2</v>
      </c>
      <c r="E1539" s="1" t="s">
        <v>3539</v>
      </c>
      <c r="G1539" s="1">
        <f t="array" ref="G1539">IF(ISNUMBER(MATCH(38772,Camille!$A:$A,0)), IF(OR(INDEX(Camille!$D:$D,MATCH(38772,Camille!$A:$A,0))=1, INDEX(Camille!$D:$D,MATCH(38772,Camille!$A:$A,0))=2), INDEX(Camille!$D:$D,MATCH(38772,Camille!$A:$A,0)), 0), 0)</f>
        <v>0</v>
      </c>
      <c r="H1539" s="1">
        <f t="array" ref="H1539">IF(ISNUMBER(MATCH(38772,Telmo!$A:$A,0)), IF(OR(INDEX(Telmo!$D:$D,MATCH(38772,Telmo!$A:$A,0))=1, INDEX(Telmo!$D:$D,MATCH(38772,Telmo!$A:$A,0))=2), INDEX(Telmo!$D:$D,MATCH(38772,Telmo!$A:$A,0)), 0), 0)</f>
        <v>0</v>
      </c>
      <c r="I1539" s="1">
        <f t="array" ref="I1539">IF(ISNUMBER(MATCH(38772,Max!$A:$A,0)), IF(OR(INDEX(Max!$D:$D,MATCH(38772,Max!$A:$A,0))=1, INDEX(Max!$D:$D,MATCH(38772,Max!$A:$A,0))=2), INDEX(Max!$D:$D,MATCH(38772,Max!$A:$A,0)), 0), 0)</f>
        <v>2</v>
      </c>
    </row>
    <row r="1540" spans="1:9" ht="15.75" customHeight="1" x14ac:dyDescent="0.2">
      <c r="A1540" s="1">
        <v>18344</v>
      </c>
      <c r="B1540" s="1" t="s">
        <v>78</v>
      </c>
      <c r="C1540" s="1" t="s">
        <v>3540</v>
      </c>
      <c r="D1540" s="1" t="str">
        <f t="shared" si="6"/>
        <v>2</v>
      </c>
      <c r="E1540" s="1" t="s">
        <v>3541</v>
      </c>
      <c r="G1540" s="1">
        <f t="array" ref="G1540">IF(ISNUMBER(MATCH(18344,Camille!$A:$A,0)), IF(OR(INDEX(Camille!$D:$D,MATCH(18344,Camille!$A:$A,0))=1, INDEX(Camille!$D:$D,MATCH(18344,Camille!$A:$A,0))=2), INDEX(Camille!$D:$D,MATCH(18344,Camille!$A:$A,0)), 0), 0)</f>
        <v>0</v>
      </c>
      <c r="H1540" s="1">
        <f t="array" ref="H1540">IF(ISNUMBER(MATCH(18344,Telmo!$A:$A,0)), IF(OR(INDEX(Telmo!$D:$D,MATCH(18344,Telmo!$A:$A,0))=1, INDEX(Telmo!$D:$D,MATCH(18344,Telmo!$A:$A,0))=2), INDEX(Telmo!$D:$D,MATCH(18344,Telmo!$A:$A,0)), 0), 0)</f>
        <v>0</v>
      </c>
      <c r="I1540" s="1">
        <f t="array" ref="I1540">IF(ISNUMBER(MATCH(18344,Max!$A:$A,0)), IF(OR(INDEX(Max!$D:$D,MATCH(18344,Max!$A:$A,0))=1, INDEX(Max!$D:$D,MATCH(18344,Max!$A:$A,0))=2), INDEX(Max!$D:$D,MATCH(18344,Max!$A:$A,0)), 0), 0)</f>
        <v>2</v>
      </c>
    </row>
    <row r="1541" spans="1:9" ht="15.75" customHeight="1" x14ac:dyDescent="0.2">
      <c r="A1541" s="1">
        <v>18958</v>
      </c>
      <c r="B1541" s="1" t="s">
        <v>797</v>
      </c>
      <c r="C1541" s="1" t="s">
        <v>3542</v>
      </c>
      <c r="D1541" s="1" t="str">
        <f t="shared" si="6"/>
        <v>2</v>
      </c>
      <c r="E1541" s="1" t="s">
        <v>3543</v>
      </c>
      <c r="G1541" s="1">
        <f t="array" ref="G1541">IF(ISNUMBER(MATCH(18958,Camille!$A:$A,0)), IF(OR(INDEX(Camille!$D:$D,MATCH(18958,Camille!$A:$A,0))=1, INDEX(Camille!$D:$D,MATCH(18958,Camille!$A:$A,0))=2), INDEX(Camille!$D:$D,MATCH(18958,Camille!$A:$A,0)), 0), 0)</f>
        <v>0</v>
      </c>
      <c r="H1541" s="1">
        <f t="array" ref="H1541">IF(ISNUMBER(MATCH(18958,Telmo!$A:$A,0)), IF(OR(INDEX(Telmo!$D:$D,MATCH(18958,Telmo!$A:$A,0))=1, INDEX(Telmo!$D:$D,MATCH(18958,Telmo!$A:$A,0))=2), INDEX(Telmo!$D:$D,MATCH(18958,Telmo!$A:$A,0)), 0), 0)</f>
        <v>0</v>
      </c>
      <c r="I1541" s="1">
        <f t="array" ref="I1541">IF(ISNUMBER(MATCH(18958,Max!$A:$A,0)), IF(OR(INDEX(Max!$D:$D,MATCH(18958,Max!$A:$A,0))=1, INDEX(Max!$D:$D,MATCH(18958,Max!$A:$A,0))=2), INDEX(Max!$D:$D,MATCH(18958,Max!$A:$A,0)), 0), 0)</f>
        <v>2</v>
      </c>
    </row>
    <row r="1542" spans="1:9" ht="15.75" customHeight="1" x14ac:dyDescent="0.2">
      <c r="A1542" s="1">
        <v>49668</v>
      </c>
      <c r="B1542" s="1" t="s">
        <v>3544</v>
      </c>
      <c r="C1542" s="1" t="s">
        <v>3545</v>
      </c>
      <c r="D1542" s="1" t="str">
        <f t="shared" si="6"/>
        <v>2</v>
      </c>
      <c r="E1542" s="1" t="s">
        <v>3546</v>
      </c>
      <c r="G1542" s="1">
        <f t="array" ref="G1542">IF(ISNUMBER(MATCH(49668,Camille!$A:$A,0)), IF(OR(INDEX(Camille!$D:$D,MATCH(49668,Camille!$A:$A,0))=1, INDEX(Camille!$D:$D,MATCH(49668,Camille!$A:$A,0))=2), INDEX(Camille!$D:$D,MATCH(49668,Camille!$A:$A,0)), 0), 0)</f>
        <v>0</v>
      </c>
      <c r="H1542" s="1">
        <f t="array" ref="H1542">IF(ISNUMBER(MATCH(49668,Telmo!$A:$A,0)), IF(OR(INDEX(Telmo!$D:$D,MATCH(49668,Telmo!$A:$A,0))=1, INDEX(Telmo!$D:$D,MATCH(49668,Telmo!$A:$A,0))=2), INDEX(Telmo!$D:$D,MATCH(49668,Telmo!$A:$A,0)), 0), 0)</f>
        <v>0</v>
      </c>
      <c r="I1542" s="1">
        <f t="array" ref="I1542">IF(ISNUMBER(MATCH(49668,Max!$A:$A,0)), IF(OR(INDEX(Max!$D:$D,MATCH(49668,Max!$A:$A,0))=1, INDEX(Max!$D:$D,MATCH(49668,Max!$A:$A,0))=2), INDEX(Max!$D:$D,MATCH(49668,Max!$A:$A,0)), 0), 0)</f>
        <v>2</v>
      </c>
    </row>
    <row r="1543" spans="1:9" ht="15.75" customHeight="1" x14ac:dyDescent="0.2">
      <c r="A1543" s="1">
        <v>16573</v>
      </c>
      <c r="B1543" s="1" t="s">
        <v>276</v>
      </c>
      <c r="C1543" s="1" t="s">
        <v>3547</v>
      </c>
      <c r="D1543" s="1" t="str">
        <f t="shared" si="6"/>
        <v>1</v>
      </c>
      <c r="E1543" s="1" t="s">
        <v>3548</v>
      </c>
      <c r="G1543" s="1">
        <f t="array" ref="G1543">IF(ISNUMBER(MATCH(16573,Camille!$A:$A,0)), IF(OR(INDEX(Camille!$D:$D,MATCH(16573,Camille!$A:$A,0))=1, INDEX(Camille!$D:$D,MATCH(16573,Camille!$A:$A,0))=2), INDEX(Camille!$D:$D,MATCH(16573,Camille!$A:$A,0)), 0), 0)</f>
        <v>0</v>
      </c>
      <c r="H1543" s="1">
        <f t="array" ref="H1543">IF(ISNUMBER(MATCH(16573,Telmo!$A:$A,0)), IF(OR(INDEX(Telmo!$D:$D,MATCH(16573,Telmo!$A:$A,0))=1, INDEX(Telmo!$D:$D,MATCH(16573,Telmo!$A:$A,0))=2), INDEX(Telmo!$D:$D,MATCH(16573,Telmo!$A:$A,0)), 0), 0)</f>
        <v>0</v>
      </c>
      <c r="I1543" s="1">
        <f t="array" ref="I1543">IF(ISNUMBER(MATCH(16573,Max!$A:$A,0)), IF(OR(INDEX(Max!$D:$D,MATCH(16573,Max!$A:$A,0))=1, INDEX(Max!$D:$D,MATCH(16573,Max!$A:$A,0))=2), INDEX(Max!$D:$D,MATCH(16573,Max!$A:$A,0)), 0), 0)</f>
        <v>1</v>
      </c>
    </row>
    <row r="1544" spans="1:9" ht="15.75" customHeight="1" x14ac:dyDescent="0.2">
      <c r="A1544" s="1">
        <v>58968</v>
      </c>
      <c r="B1544" s="1" t="s">
        <v>3549</v>
      </c>
      <c r="C1544" s="1" t="s">
        <v>3550</v>
      </c>
      <c r="D1544" s="1" t="str">
        <f t="shared" si="6"/>
        <v>2</v>
      </c>
      <c r="E1544" s="1" t="s">
        <v>3551</v>
      </c>
      <c r="G1544" s="1">
        <f t="array" ref="G1544">IF(ISNUMBER(MATCH(58968,Camille!$A:$A,0)), IF(OR(INDEX(Camille!$D:$D,MATCH(58968,Camille!$A:$A,0))=1, INDEX(Camille!$D:$D,MATCH(58968,Camille!$A:$A,0))=2), INDEX(Camille!$D:$D,MATCH(58968,Camille!$A:$A,0)), 0), 0)</f>
        <v>0</v>
      </c>
      <c r="H1544" s="1">
        <f t="array" ref="H1544">IF(ISNUMBER(MATCH(58968,Telmo!$A:$A,0)), IF(OR(INDEX(Telmo!$D:$D,MATCH(58968,Telmo!$A:$A,0))=1, INDEX(Telmo!$D:$D,MATCH(58968,Telmo!$A:$A,0))=2), INDEX(Telmo!$D:$D,MATCH(58968,Telmo!$A:$A,0)), 0), 0)</f>
        <v>0</v>
      </c>
      <c r="I1544" s="1">
        <f t="array" ref="I1544">IF(ISNUMBER(MATCH(58968,Max!$A:$A,0)), IF(OR(INDEX(Max!$D:$D,MATCH(58968,Max!$A:$A,0))=1, INDEX(Max!$D:$D,MATCH(58968,Max!$A:$A,0))=2), INDEX(Max!$D:$D,MATCH(58968,Max!$A:$A,0)), 0), 0)</f>
        <v>2</v>
      </c>
    </row>
    <row r="1545" spans="1:9" ht="15.75" customHeight="1" x14ac:dyDescent="0.2">
      <c r="A1545" s="1">
        <v>29850</v>
      </c>
      <c r="B1545" s="1" t="s">
        <v>153</v>
      </c>
      <c r="C1545" s="1" t="s">
        <v>3552</v>
      </c>
      <c r="D1545" s="1" t="str">
        <f t="shared" si="6"/>
        <v>1</v>
      </c>
      <c r="E1545" s="1" t="s">
        <v>3553</v>
      </c>
      <c r="G1545" s="1">
        <f t="array" ref="G1545">IF(ISNUMBER(MATCH(29850,Camille!$A:$A,0)), IF(OR(INDEX(Camille!$D:$D,MATCH(29850,Camille!$A:$A,0))=1, INDEX(Camille!$D:$D,MATCH(29850,Camille!$A:$A,0))=2), INDEX(Camille!$D:$D,MATCH(29850,Camille!$A:$A,0)), 0), 0)</f>
        <v>0</v>
      </c>
      <c r="H1545" s="1">
        <f t="array" ref="H1545">IF(ISNUMBER(MATCH(29850,Telmo!$A:$A,0)), IF(OR(INDEX(Telmo!$D:$D,MATCH(29850,Telmo!$A:$A,0))=1, INDEX(Telmo!$D:$D,MATCH(29850,Telmo!$A:$A,0))=2), INDEX(Telmo!$D:$D,MATCH(29850,Telmo!$A:$A,0)), 0), 0)</f>
        <v>0</v>
      </c>
      <c r="I1545" s="1">
        <f t="array" ref="I1545">IF(ISNUMBER(MATCH(29850,Max!$A:$A,0)), IF(OR(INDEX(Max!$D:$D,MATCH(29850,Max!$A:$A,0))=1, INDEX(Max!$D:$D,MATCH(29850,Max!$A:$A,0))=2), INDEX(Max!$D:$D,MATCH(29850,Max!$A:$A,0)), 0), 0)</f>
        <v>1</v>
      </c>
    </row>
    <row r="1546" spans="1:9" ht="15.75" customHeight="1" x14ac:dyDescent="0.2">
      <c r="A1546" s="1">
        <v>63254</v>
      </c>
      <c r="B1546" s="1" t="s">
        <v>153</v>
      </c>
      <c r="C1546" s="1" t="s">
        <v>3554</v>
      </c>
      <c r="D1546" s="1" t="str">
        <f t="shared" si="6"/>
        <v>2</v>
      </c>
      <c r="E1546" s="1" t="s">
        <v>3555</v>
      </c>
      <c r="G1546" s="1">
        <f t="array" ref="G1546">IF(ISNUMBER(MATCH(63254,Camille!$A:$A,0)), IF(OR(INDEX(Camille!$D:$D,MATCH(63254,Camille!$A:$A,0))=1, INDEX(Camille!$D:$D,MATCH(63254,Camille!$A:$A,0))=2), INDEX(Camille!$D:$D,MATCH(63254,Camille!$A:$A,0)), 0), 0)</f>
        <v>0</v>
      </c>
      <c r="H1546" s="1">
        <f t="array" ref="H1546">IF(ISNUMBER(MATCH(63254,Telmo!$A:$A,0)), IF(OR(INDEX(Telmo!$D:$D,MATCH(63254,Telmo!$A:$A,0))=1, INDEX(Telmo!$D:$D,MATCH(63254,Telmo!$A:$A,0))=2), INDEX(Telmo!$D:$D,MATCH(63254,Telmo!$A:$A,0)), 0), 0)</f>
        <v>0</v>
      </c>
      <c r="I1546" s="1">
        <f t="array" ref="I1546">IF(ISNUMBER(MATCH(63254,Max!$A:$A,0)), IF(OR(INDEX(Max!$D:$D,MATCH(63254,Max!$A:$A,0))=1, INDEX(Max!$D:$D,MATCH(63254,Max!$A:$A,0))=2), INDEX(Max!$D:$D,MATCH(63254,Max!$A:$A,0)), 0), 0)</f>
        <v>2</v>
      </c>
    </row>
    <row r="1547" spans="1:9" ht="15.75" customHeight="1" x14ac:dyDescent="0.2">
      <c r="A1547" s="1">
        <v>25332</v>
      </c>
      <c r="B1547" s="1" t="s">
        <v>106</v>
      </c>
      <c r="C1547" s="1" t="s">
        <v>3556</v>
      </c>
      <c r="D1547" s="1" t="str">
        <f t="shared" si="6"/>
        <v>1</v>
      </c>
      <c r="E1547" s="1" t="s">
        <v>3557</v>
      </c>
      <c r="G1547" s="1">
        <f t="array" ref="G1547">IF(ISNUMBER(MATCH(25332,Camille!$A:$A,0)), IF(OR(INDEX(Camille!$D:$D,MATCH(25332,Camille!$A:$A,0))=1, INDEX(Camille!$D:$D,MATCH(25332,Camille!$A:$A,0))=2), INDEX(Camille!$D:$D,MATCH(25332,Camille!$A:$A,0)), 0), 0)</f>
        <v>0</v>
      </c>
      <c r="H1547" s="1">
        <f t="array" ref="H1547">IF(ISNUMBER(MATCH(25332,Telmo!$A:$A,0)), IF(OR(INDEX(Telmo!$D:$D,MATCH(25332,Telmo!$A:$A,0))=1, INDEX(Telmo!$D:$D,MATCH(25332,Telmo!$A:$A,0))=2), INDEX(Telmo!$D:$D,MATCH(25332,Telmo!$A:$A,0)), 0), 0)</f>
        <v>0</v>
      </c>
      <c r="I1547" s="1">
        <f t="array" ref="I1547">IF(ISNUMBER(MATCH(25332,Max!$A:$A,0)), IF(OR(INDEX(Max!$D:$D,MATCH(25332,Max!$A:$A,0))=1, INDEX(Max!$D:$D,MATCH(25332,Max!$A:$A,0))=2), INDEX(Max!$D:$D,MATCH(25332,Max!$A:$A,0)), 0), 0)</f>
        <v>1</v>
      </c>
    </row>
    <row r="1548" spans="1:9" ht="15.75" customHeight="1" x14ac:dyDescent="0.2">
      <c r="A1548" s="1">
        <v>5322</v>
      </c>
      <c r="B1548" s="1" t="s">
        <v>129</v>
      </c>
      <c r="C1548" s="1" t="s">
        <v>3558</v>
      </c>
      <c r="D1548" s="1" t="str">
        <f t="shared" si="6"/>
        <v>1</v>
      </c>
      <c r="E1548" s="1" t="s">
        <v>3559</v>
      </c>
      <c r="G1548" s="1">
        <f t="array" ref="G1548">IF(ISNUMBER(MATCH(5322,Camille!$A:$A,0)), IF(OR(INDEX(Camille!$D:$D,MATCH(5322,Camille!$A:$A,0))=1, INDEX(Camille!$D:$D,MATCH(5322,Camille!$A:$A,0))=2), INDEX(Camille!$D:$D,MATCH(5322,Camille!$A:$A,0)), 0), 0)</f>
        <v>0</v>
      </c>
      <c r="H1548" s="1">
        <f t="array" ref="H1548">IF(ISNUMBER(MATCH(5322,Telmo!$A:$A,0)), IF(OR(INDEX(Telmo!$D:$D,MATCH(5322,Telmo!$A:$A,0))=1, INDEX(Telmo!$D:$D,MATCH(5322,Telmo!$A:$A,0))=2), INDEX(Telmo!$D:$D,MATCH(5322,Telmo!$A:$A,0)), 0), 0)</f>
        <v>0</v>
      </c>
      <c r="I1548" s="1">
        <f t="array" ref="I1548">IF(ISNUMBER(MATCH(5322,Max!$A:$A,0)), IF(OR(INDEX(Max!$D:$D,MATCH(5322,Max!$A:$A,0))=1, INDEX(Max!$D:$D,MATCH(5322,Max!$A:$A,0))=2), INDEX(Max!$D:$D,MATCH(5322,Max!$A:$A,0)), 0), 0)</f>
        <v>1</v>
      </c>
    </row>
    <row r="1549" spans="1:9" ht="15.75" customHeight="1" x14ac:dyDescent="0.2">
      <c r="A1549" s="1">
        <v>20328</v>
      </c>
      <c r="B1549" s="1" t="s">
        <v>3560</v>
      </c>
      <c r="C1549" s="1" t="s">
        <v>3561</v>
      </c>
      <c r="D1549" s="1" t="str">
        <f t="shared" si="6"/>
        <v>2</v>
      </c>
      <c r="E1549" s="1" t="s">
        <v>3562</v>
      </c>
      <c r="G1549" s="1">
        <f t="array" ref="G1549">IF(ISNUMBER(MATCH(20328,Camille!$A:$A,0)), IF(OR(INDEX(Camille!$D:$D,MATCH(20328,Camille!$A:$A,0))=1, INDEX(Camille!$D:$D,MATCH(20328,Camille!$A:$A,0))=2), INDEX(Camille!$D:$D,MATCH(20328,Camille!$A:$A,0)), 0), 0)</f>
        <v>0</v>
      </c>
      <c r="H1549" s="1">
        <f t="array" ref="H1549">IF(ISNUMBER(MATCH(20328,Telmo!$A:$A,0)), IF(OR(INDEX(Telmo!$D:$D,MATCH(20328,Telmo!$A:$A,0))=1, INDEX(Telmo!$D:$D,MATCH(20328,Telmo!$A:$A,0))=2), INDEX(Telmo!$D:$D,MATCH(20328,Telmo!$A:$A,0)), 0), 0)</f>
        <v>0</v>
      </c>
      <c r="I1549" s="1">
        <f t="array" ref="I1549">IF(ISNUMBER(MATCH(20328,Max!$A:$A,0)), IF(OR(INDEX(Max!$D:$D,MATCH(20328,Max!$A:$A,0))=1, INDEX(Max!$D:$D,MATCH(20328,Max!$A:$A,0))=2), INDEX(Max!$D:$D,MATCH(20328,Max!$A:$A,0)), 0), 0)</f>
        <v>2</v>
      </c>
    </row>
    <row r="1550" spans="1:9" ht="15.75" customHeight="1" x14ac:dyDescent="0.2">
      <c r="A1550" s="1">
        <v>53680</v>
      </c>
      <c r="B1550" s="1" t="s">
        <v>144</v>
      </c>
      <c r="C1550" s="1" t="s">
        <v>3563</v>
      </c>
      <c r="D1550" s="1" t="str">
        <f t="shared" si="6"/>
        <v>1</v>
      </c>
      <c r="E1550" s="1" t="s">
        <v>3564</v>
      </c>
      <c r="G1550" s="1">
        <f t="array" ref="G1550">IF(ISNUMBER(MATCH(53680,Camille!$A:$A,0)), IF(OR(INDEX(Camille!$D:$D,MATCH(53680,Camille!$A:$A,0))=1, INDEX(Camille!$D:$D,MATCH(53680,Camille!$A:$A,0))=2), INDEX(Camille!$D:$D,MATCH(53680,Camille!$A:$A,0)), 0), 0)</f>
        <v>0</v>
      </c>
      <c r="H1550" s="1">
        <f t="array" ref="H1550">IF(ISNUMBER(MATCH(53680,Telmo!$A:$A,0)), IF(OR(INDEX(Telmo!$D:$D,MATCH(53680,Telmo!$A:$A,0))=1, INDEX(Telmo!$D:$D,MATCH(53680,Telmo!$A:$A,0))=2), INDEX(Telmo!$D:$D,MATCH(53680,Telmo!$A:$A,0)), 0), 0)</f>
        <v>0</v>
      </c>
      <c r="I1550" s="1">
        <f t="array" ref="I1550">IF(ISNUMBER(MATCH(53680,Max!$A:$A,0)), IF(OR(INDEX(Max!$D:$D,MATCH(53680,Max!$A:$A,0))=1, INDEX(Max!$D:$D,MATCH(53680,Max!$A:$A,0))=2), INDEX(Max!$D:$D,MATCH(53680,Max!$A:$A,0)), 0), 0)</f>
        <v>1</v>
      </c>
    </row>
    <row r="1551" spans="1:9" ht="15.75" customHeight="1" x14ac:dyDescent="0.2">
      <c r="A1551" s="1">
        <v>69316</v>
      </c>
      <c r="B1551" s="1" t="s">
        <v>159</v>
      </c>
      <c r="C1551" s="1" t="s">
        <v>3565</v>
      </c>
      <c r="D1551" s="1" t="str">
        <f t="shared" si="6"/>
        <v>2</v>
      </c>
      <c r="E1551" s="1" t="s">
        <v>3566</v>
      </c>
      <c r="G1551" s="1">
        <f t="array" ref="G1551">IF(ISNUMBER(MATCH(69316,Camille!$A:$A,0)), IF(OR(INDEX(Camille!$D:$D,MATCH(69316,Camille!$A:$A,0))=1, INDEX(Camille!$D:$D,MATCH(69316,Camille!$A:$A,0))=2), INDEX(Camille!$D:$D,MATCH(69316,Camille!$A:$A,0)), 0), 0)</f>
        <v>0</v>
      </c>
      <c r="H1551" s="1">
        <f t="array" ref="H1551">IF(ISNUMBER(MATCH(69316,Telmo!$A:$A,0)), IF(OR(INDEX(Telmo!$D:$D,MATCH(69316,Telmo!$A:$A,0))=1, INDEX(Telmo!$D:$D,MATCH(69316,Telmo!$A:$A,0))=2), INDEX(Telmo!$D:$D,MATCH(69316,Telmo!$A:$A,0)), 0), 0)</f>
        <v>0</v>
      </c>
      <c r="I1551" s="1">
        <f t="array" ref="I1551">IF(ISNUMBER(MATCH(69316,Max!$A:$A,0)), IF(OR(INDEX(Max!$D:$D,MATCH(69316,Max!$A:$A,0))=1, INDEX(Max!$D:$D,MATCH(69316,Max!$A:$A,0))=2), INDEX(Max!$D:$D,MATCH(69316,Max!$A:$A,0)), 0), 0)</f>
        <v>2</v>
      </c>
    </row>
    <row r="1552" spans="1:9" ht="15.75" customHeight="1" x14ac:dyDescent="0.2">
      <c r="A1552" s="1">
        <v>69218</v>
      </c>
      <c r="B1552" s="1" t="s">
        <v>466</v>
      </c>
      <c r="C1552" s="1" t="s">
        <v>3567</v>
      </c>
      <c r="D1552" s="1" t="str">
        <f t="shared" si="6"/>
        <v>2</v>
      </c>
      <c r="E1552" s="1" t="s">
        <v>3568</v>
      </c>
      <c r="G1552" s="1">
        <f t="array" ref="G1552">IF(ISNUMBER(MATCH(69218,Camille!$A:$A,0)), IF(OR(INDEX(Camille!$D:$D,MATCH(69218,Camille!$A:$A,0))=1, INDEX(Camille!$D:$D,MATCH(69218,Camille!$A:$A,0))=2), INDEX(Camille!$D:$D,MATCH(69218,Camille!$A:$A,0)), 0), 0)</f>
        <v>0</v>
      </c>
      <c r="H1552" s="1">
        <f t="array" ref="H1552">IF(ISNUMBER(MATCH(69218,Telmo!$A:$A,0)), IF(OR(INDEX(Telmo!$D:$D,MATCH(69218,Telmo!$A:$A,0))=1, INDEX(Telmo!$D:$D,MATCH(69218,Telmo!$A:$A,0))=2), INDEX(Telmo!$D:$D,MATCH(69218,Telmo!$A:$A,0)), 0), 0)</f>
        <v>0</v>
      </c>
      <c r="I1552" s="1">
        <f t="array" ref="I1552">IF(ISNUMBER(MATCH(69218,Max!$A:$A,0)), IF(OR(INDEX(Max!$D:$D,MATCH(69218,Max!$A:$A,0))=1, INDEX(Max!$D:$D,MATCH(69218,Max!$A:$A,0))=2), INDEX(Max!$D:$D,MATCH(69218,Max!$A:$A,0)), 0), 0)</f>
        <v>2</v>
      </c>
    </row>
    <row r="1553" spans="1:9" ht="15.75" customHeight="1" x14ac:dyDescent="0.2">
      <c r="A1553" s="1">
        <v>33809</v>
      </c>
      <c r="B1553" s="1" t="s">
        <v>1609</v>
      </c>
      <c r="C1553" s="1" t="s">
        <v>3569</v>
      </c>
      <c r="D1553" s="1" t="str">
        <f t="shared" si="6"/>
        <v>2</v>
      </c>
      <c r="E1553" s="1" t="s">
        <v>3570</v>
      </c>
      <c r="G1553" s="1">
        <f t="array" ref="G1553">IF(ISNUMBER(MATCH(33809,Camille!$A:$A,0)), IF(OR(INDEX(Camille!$D:$D,MATCH(33809,Camille!$A:$A,0))=1, INDEX(Camille!$D:$D,MATCH(33809,Camille!$A:$A,0))=2), INDEX(Camille!$D:$D,MATCH(33809,Camille!$A:$A,0)), 0), 0)</f>
        <v>0</v>
      </c>
      <c r="H1553" s="1">
        <f t="array" ref="H1553">IF(ISNUMBER(MATCH(33809,Telmo!$A:$A,0)), IF(OR(INDEX(Telmo!$D:$D,MATCH(33809,Telmo!$A:$A,0))=1, INDEX(Telmo!$D:$D,MATCH(33809,Telmo!$A:$A,0))=2), INDEX(Telmo!$D:$D,MATCH(33809,Telmo!$A:$A,0)), 0), 0)</f>
        <v>0</v>
      </c>
      <c r="I1553" s="1">
        <f t="array" ref="I1553">IF(ISNUMBER(MATCH(33809,Max!$A:$A,0)), IF(OR(INDEX(Max!$D:$D,MATCH(33809,Max!$A:$A,0))=1, INDEX(Max!$D:$D,MATCH(33809,Max!$A:$A,0))=2), INDEX(Max!$D:$D,MATCH(33809,Max!$A:$A,0)), 0), 0)</f>
        <v>2</v>
      </c>
    </row>
    <row r="1554" spans="1:9" ht="15.75" customHeight="1" x14ac:dyDescent="0.2">
      <c r="A1554" s="1">
        <v>68372</v>
      </c>
      <c r="B1554" s="1" t="s">
        <v>1609</v>
      </c>
      <c r="C1554" s="1" t="s">
        <v>3571</v>
      </c>
      <c r="D1554" s="1" t="str">
        <f t="shared" si="6"/>
        <v>2</v>
      </c>
      <c r="E1554" s="1" t="s">
        <v>3572</v>
      </c>
      <c r="G1554" s="1">
        <f t="array" ref="G1554">IF(ISNUMBER(MATCH(68372,Camille!$A:$A,0)), IF(OR(INDEX(Camille!$D:$D,MATCH(68372,Camille!$A:$A,0))=1, INDEX(Camille!$D:$D,MATCH(68372,Camille!$A:$A,0))=2), INDEX(Camille!$D:$D,MATCH(68372,Camille!$A:$A,0)), 0), 0)</f>
        <v>0</v>
      </c>
      <c r="H1554" s="1">
        <f t="array" ref="H1554">IF(ISNUMBER(MATCH(68372,Telmo!$A:$A,0)), IF(OR(INDEX(Telmo!$D:$D,MATCH(68372,Telmo!$A:$A,0))=1, INDEX(Telmo!$D:$D,MATCH(68372,Telmo!$A:$A,0))=2), INDEX(Telmo!$D:$D,MATCH(68372,Telmo!$A:$A,0)), 0), 0)</f>
        <v>0</v>
      </c>
      <c r="I1554" s="1">
        <f t="array" ref="I1554">IF(ISNUMBER(MATCH(68372,Max!$A:$A,0)), IF(OR(INDEX(Max!$D:$D,MATCH(68372,Max!$A:$A,0))=1, INDEX(Max!$D:$D,MATCH(68372,Max!$A:$A,0))=2), INDEX(Max!$D:$D,MATCH(68372,Max!$A:$A,0)), 0), 0)</f>
        <v>2</v>
      </c>
    </row>
    <row r="1555" spans="1:9" ht="15.75" customHeight="1" x14ac:dyDescent="0.2">
      <c r="A1555" s="1">
        <v>26023</v>
      </c>
      <c r="B1555" s="1" t="s">
        <v>78</v>
      </c>
      <c r="C1555" s="1" t="s">
        <v>3573</v>
      </c>
      <c r="D1555" s="1" t="str">
        <f t="shared" si="6"/>
        <v>2</v>
      </c>
      <c r="E1555" s="1" t="s">
        <v>3574</v>
      </c>
      <c r="G1555" s="1">
        <f t="array" ref="G1555">IF(ISNUMBER(MATCH(26023,Camille!$A:$A,0)), IF(OR(INDEX(Camille!$D:$D,MATCH(26023,Camille!$A:$A,0))=1, INDEX(Camille!$D:$D,MATCH(26023,Camille!$A:$A,0))=2), INDEX(Camille!$D:$D,MATCH(26023,Camille!$A:$A,0)), 0), 0)</f>
        <v>0</v>
      </c>
      <c r="H1555" s="1">
        <f t="array" ref="H1555">IF(ISNUMBER(MATCH(26023,Telmo!$A:$A,0)), IF(OR(INDEX(Telmo!$D:$D,MATCH(26023,Telmo!$A:$A,0))=1, INDEX(Telmo!$D:$D,MATCH(26023,Telmo!$A:$A,0))=2), INDEX(Telmo!$D:$D,MATCH(26023,Telmo!$A:$A,0)), 0), 0)</f>
        <v>0</v>
      </c>
      <c r="I1555" s="1">
        <f t="array" ref="I1555">IF(ISNUMBER(MATCH(26023,Max!$A:$A,0)), IF(OR(INDEX(Max!$D:$D,MATCH(26023,Max!$A:$A,0))=1, INDEX(Max!$D:$D,MATCH(26023,Max!$A:$A,0))=2), INDEX(Max!$D:$D,MATCH(26023,Max!$A:$A,0)), 0), 0)</f>
        <v>2</v>
      </c>
    </row>
    <row r="1556" spans="1:9" ht="15.75" customHeight="1" x14ac:dyDescent="0.2">
      <c r="A1556" s="1">
        <v>9353</v>
      </c>
      <c r="B1556" s="1" t="s">
        <v>276</v>
      </c>
      <c r="C1556" s="1" t="s">
        <v>3575</v>
      </c>
      <c r="D1556" s="1" t="str">
        <f t="shared" si="6"/>
        <v>1</v>
      </c>
      <c r="E1556" s="1" t="s">
        <v>3576</v>
      </c>
      <c r="G1556" s="1">
        <f t="array" ref="G1556">IF(ISNUMBER(MATCH(9353,Camille!$A:$A,0)), IF(OR(INDEX(Camille!$D:$D,MATCH(9353,Camille!$A:$A,0))=1, INDEX(Camille!$D:$D,MATCH(9353,Camille!$A:$A,0))=2), INDEX(Camille!$D:$D,MATCH(9353,Camille!$A:$A,0)), 0), 0)</f>
        <v>0</v>
      </c>
      <c r="H1556" s="1">
        <f t="array" ref="H1556">IF(ISNUMBER(MATCH(9353,Telmo!$A:$A,0)), IF(OR(INDEX(Telmo!$D:$D,MATCH(9353,Telmo!$A:$A,0))=1, INDEX(Telmo!$D:$D,MATCH(9353,Telmo!$A:$A,0))=2), INDEX(Telmo!$D:$D,MATCH(9353,Telmo!$A:$A,0)), 0), 0)</f>
        <v>0</v>
      </c>
      <c r="I1556" s="1">
        <f t="array" ref="I1556">IF(ISNUMBER(MATCH(9353,Max!$A:$A,0)), IF(OR(INDEX(Max!$D:$D,MATCH(9353,Max!$A:$A,0))=1, INDEX(Max!$D:$D,MATCH(9353,Max!$A:$A,0))=2), INDEX(Max!$D:$D,MATCH(9353,Max!$A:$A,0)), 0), 0)</f>
        <v>1</v>
      </c>
    </row>
    <row r="1557" spans="1:9" ht="15.75" customHeight="1" x14ac:dyDescent="0.2">
      <c r="A1557" s="1">
        <v>10009</v>
      </c>
      <c r="B1557" s="1" t="s">
        <v>191</v>
      </c>
      <c r="C1557" s="1" t="s">
        <v>3577</v>
      </c>
      <c r="D1557" s="1" t="str">
        <f t="shared" si="6"/>
        <v>2</v>
      </c>
      <c r="E1557" s="1" t="s">
        <v>3578</v>
      </c>
      <c r="G1557" s="1">
        <f t="array" ref="G1557">IF(ISNUMBER(MATCH(10009,Camille!$A:$A,0)), IF(OR(INDEX(Camille!$D:$D,MATCH(10009,Camille!$A:$A,0))=1, INDEX(Camille!$D:$D,MATCH(10009,Camille!$A:$A,0))=2), INDEX(Camille!$D:$D,MATCH(10009,Camille!$A:$A,0)), 0), 0)</f>
        <v>0</v>
      </c>
      <c r="H1557" s="1">
        <f t="array" ref="H1557">IF(ISNUMBER(MATCH(10009,Telmo!$A:$A,0)), IF(OR(INDEX(Telmo!$D:$D,MATCH(10009,Telmo!$A:$A,0))=1, INDEX(Telmo!$D:$D,MATCH(10009,Telmo!$A:$A,0))=2), INDEX(Telmo!$D:$D,MATCH(10009,Telmo!$A:$A,0)), 0), 0)</f>
        <v>0</v>
      </c>
      <c r="I1557" s="1">
        <f t="array" ref="I1557">IF(ISNUMBER(MATCH(10009,Max!$A:$A,0)), IF(OR(INDEX(Max!$D:$D,MATCH(10009,Max!$A:$A,0))=1, INDEX(Max!$D:$D,MATCH(10009,Max!$A:$A,0))=2), INDEX(Max!$D:$D,MATCH(10009,Max!$A:$A,0)), 0), 0)</f>
        <v>2</v>
      </c>
    </row>
    <row r="1558" spans="1:9" ht="15.75" customHeight="1" x14ac:dyDescent="0.2">
      <c r="A1558" s="1">
        <v>41459</v>
      </c>
      <c r="B1558" s="1" t="s">
        <v>2003</v>
      </c>
      <c r="C1558" s="1" t="s">
        <v>3579</v>
      </c>
      <c r="D1558" s="1" t="str">
        <f t="shared" si="6"/>
        <v>2</v>
      </c>
      <c r="E1558" s="1" t="s">
        <v>3580</v>
      </c>
      <c r="G1558" s="1">
        <f t="array" ref="G1558">IF(ISNUMBER(MATCH(41459,Camille!$A:$A,0)), IF(OR(INDEX(Camille!$D:$D,MATCH(41459,Camille!$A:$A,0))=1, INDEX(Camille!$D:$D,MATCH(41459,Camille!$A:$A,0))=2), INDEX(Camille!$D:$D,MATCH(41459,Camille!$A:$A,0)), 0), 0)</f>
        <v>0</v>
      </c>
      <c r="H1558" s="1">
        <f t="array" ref="H1558">IF(ISNUMBER(MATCH(41459,Telmo!$A:$A,0)), IF(OR(INDEX(Telmo!$D:$D,MATCH(41459,Telmo!$A:$A,0))=1, INDEX(Telmo!$D:$D,MATCH(41459,Telmo!$A:$A,0))=2), INDEX(Telmo!$D:$D,MATCH(41459,Telmo!$A:$A,0)), 0), 0)</f>
        <v>0</v>
      </c>
      <c r="I1558" s="1">
        <f t="array" ref="I1558">IF(ISNUMBER(MATCH(41459,Max!$A:$A,0)), IF(OR(INDEX(Max!$D:$D,MATCH(41459,Max!$A:$A,0))=1, INDEX(Max!$D:$D,MATCH(41459,Max!$A:$A,0))=2), INDEX(Max!$D:$D,MATCH(41459,Max!$A:$A,0)), 0), 0)</f>
        <v>2</v>
      </c>
    </row>
    <row r="1559" spans="1:9" ht="15.75" customHeight="1" x14ac:dyDescent="0.2">
      <c r="A1559" s="1">
        <v>46810</v>
      </c>
      <c r="B1559" s="1" t="s">
        <v>485</v>
      </c>
      <c r="C1559" s="1" t="s">
        <v>3581</v>
      </c>
      <c r="D1559" s="1" t="str">
        <f t="shared" si="6"/>
        <v>1</v>
      </c>
      <c r="E1559" s="1" t="s">
        <v>3582</v>
      </c>
      <c r="G1559" s="1">
        <f t="array" ref="G1559">IF(ISNUMBER(MATCH(46810,Camille!$A:$A,0)), IF(OR(INDEX(Camille!$D:$D,MATCH(46810,Camille!$A:$A,0))=1, INDEX(Camille!$D:$D,MATCH(46810,Camille!$A:$A,0))=2), INDEX(Camille!$D:$D,MATCH(46810,Camille!$A:$A,0)), 0), 0)</f>
        <v>0</v>
      </c>
      <c r="H1559" s="1">
        <f t="array" ref="H1559">IF(ISNUMBER(MATCH(46810,Telmo!$A:$A,0)), IF(OR(INDEX(Telmo!$D:$D,MATCH(46810,Telmo!$A:$A,0))=1, INDEX(Telmo!$D:$D,MATCH(46810,Telmo!$A:$A,0))=2), INDEX(Telmo!$D:$D,MATCH(46810,Telmo!$A:$A,0)), 0), 0)</f>
        <v>0</v>
      </c>
      <c r="I1559" s="1">
        <f t="array" ref="I1559">IF(ISNUMBER(MATCH(46810,Max!$A:$A,0)), IF(OR(INDEX(Max!$D:$D,MATCH(46810,Max!$A:$A,0))=1, INDEX(Max!$D:$D,MATCH(46810,Max!$A:$A,0))=2), INDEX(Max!$D:$D,MATCH(46810,Max!$A:$A,0)), 0), 0)</f>
        <v>1</v>
      </c>
    </row>
    <row r="1560" spans="1:9" ht="15.75" customHeight="1" x14ac:dyDescent="0.2">
      <c r="A1560" s="1">
        <v>45950</v>
      </c>
      <c r="B1560" s="1" t="s">
        <v>1208</v>
      </c>
      <c r="C1560" s="1" t="s">
        <v>3583</v>
      </c>
      <c r="D1560" s="1" t="str">
        <f t="shared" si="6"/>
        <v>1</v>
      </c>
      <c r="E1560" s="1" t="s">
        <v>3584</v>
      </c>
      <c r="G1560" s="1">
        <f t="array" ref="G1560">IF(ISNUMBER(MATCH(45950,Camille!$A:$A,0)), IF(OR(INDEX(Camille!$D:$D,MATCH(45950,Camille!$A:$A,0))=1, INDEX(Camille!$D:$D,MATCH(45950,Camille!$A:$A,0))=2), INDEX(Camille!$D:$D,MATCH(45950,Camille!$A:$A,0)), 0), 0)</f>
        <v>0</v>
      </c>
      <c r="H1560" s="1">
        <f t="array" ref="H1560">IF(ISNUMBER(MATCH(45950,Telmo!$A:$A,0)), IF(OR(INDEX(Telmo!$D:$D,MATCH(45950,Telmo!$A:$A,0))=1, INDEX(Telmo!$D:$D,MATCH(45950,Telmo!$A:$A,0))=2), INDEX(Telmo!$D:$D,MATCH(45950,Telmo!$A:$A,0)), 0), 0)</f>
        <v>0</v>
      </c>
      <c r="I1560" s="1">
        <f t="array" ref="I1560">IF(ISNUMBER(MATCH(45950,Max!$A:$A,0)), IF(OR(INDEX(Max!$D:$D,MATCH(45950,Max!$A:$A,0))=1, INDEX(Max!$D:$D,MATCH(45950,Max!$A:$A,0))=2), INDEX(Max!$D:$D,MATCH(45950,Max!$A:$A,0)), 0), 0)</f>
        <v>1</v>
      </c>
    </row>
    <row r="1561" spans="1:9" ht="15.75" customHeight="1" x14ac:dyDescent="0.2">
      <c r="A1561" s="1">
        <v>49560</v>
      </c>
      <c r="B1561" s="1" t="s">
        <v>144</v>
      </c>
      <c r="C1561" s="1" t="s">
        <v>3585</v>
      </c>
      <c r="D1561" s="1" t="str">
        <f t="shared" si="6"/>
        <v>2</v>
      </c>
      <c r="E1561" s="1" t="s">
        <v>3586</v>
      </c>
      <c r="G1561" s="1">
        <f t="array" ref="G1561">IF(ISNUMBER(MATCH(49560,Camille!$A:$A,0)), IF(OR(INDEX(Camille!$D:$D,MATCH(49560,Camille!$A:$A,0))=1, INDEX(Camille!$D:$D,MATCH(49560,Camille!$A:$A,0))=2), INDEX(Camille!$D:$D,MATCH(49560,Camille!$A:$A,0)), 0), 0)</f>
        <v>0</v>
      </c>
      <c r="H1561" s="1">
        <f t="array" ref="H1561">IF(ISNUMBER(MATCH(49560,Telmo!$A:$A,0)), IF(OR(INDEX(Telmo!$D:$D,MATCH(49560,Telmo!$A:$A,0))=1, INDEX(Telmo!$D:$D,MATCH(49560,Telmo!$A:$A,0))=2), INDEX(Telmo!$D:$D,MATCH(49560,Telmo!$A:$A,0)), 0), 0)</f>
        <v>0</v>
      </c>
      <c r="I1561" s="1">
        <f t="array" ref="I1561">IF(ISNUMBER(MATCH(49560,Max!$A:$A,0)), IF(OR(INDEX(Max!$D:$D,MATCH(49560,Max!$A:$A,0))=1, INDEX(Max!$D:$D,MATCH(49560,Max!$A:$A,0))=2), INDEX(Max!$D:$D,MATCH(49560,Max!$A:$A,0)), 0), 0)</f>
        <v>2</v>
      </c>
    </row>
    <row r="1562" spans="1:9" ht="15.75" customHeight="1" x14ac:dyDescent="0.2">
      <c r="A1562" s="1">
        <v>64973</v>
      </c>
      <c r="B1562" s="1" t="s">
        <v>466</v>
      </c>
      <c r="C1562" s="1" t="s">
        <v>3587</v>
      </c>
      <c r="D1562" s="1" t="str">
        <f t="shared" si="6"/>
        <v>2</v>
      </c>
      <c r="E1562" s="1" t="s">
        <v>3588</v>
      </c>
      <c r="G1562" s="1">
        <f t="array" ref="G1562">IF(ISNUMBER(MATCH(64973,Camille!$A:$A,0)), IF(OR(INDEX(Camille!$D:$D,MATCH(64973,Camille!$A:$A,0))=1, INDEX(Camille!$D:$D,MATCH(64973,Camille!$A:$A,0))=2), INDEX(Camille!$D:$D,MATCH(64973,Camille!$A:$A,0)), 0), 0)</f>
        <v>0</v>
      </c>
      <c r="H1562" s="1">
        <f t="array" ref="H1562">IF(ISNUMBER(MATCH(64973,Telmo!$A:$A,0)), IF(OR(INDEX(Telmo!$D:$D,MATCH(64973,Telmo!$A:$A,0))=1, INDEX(Telmo!$D:$D,MATCH(64973,Telmo!$A:$A,0))=2), INDEX(Telmo!$D:$D,MATCH(64973,Telmo!$A:$A,0)), 0), 0)</f>
        <v>0</v>
      </c>
      <c r="I1562" s="1">
        <f t="array" ref="I1562">IF(ISNUMBER(MATCH(64973,Max!$A:$A,0)), IF(OR(INDEX(Max!$D:$D,MATCH(64973,Max!$A:$A,0))=1, INDEX(Max!$D:$D,MATCH(64973,Max!$A:$A,0))=2), INDEX(Max!$D:$D,MATCH(64973,Max!$A:$A,0)), 0), 0)</f>
        <v>2</v>
      </c>
    </row>
    <row r="1563" spans="1:9" ht="15.75" customHeight="1" x14ac:dyDescent="0.2">
      <c r="A1563" s="1">
        <v>22986</v>
      </c>
      <c r="B1563" s="1" t="s">
        <v>457</v>
      </c>
      <c r="C1563" s="1" t="s">
        <v>3589</v>
      </c>
      <c r="D1563" s="1" t="str">
        <f t="shared" si="6"/>
        <v>2</v>
      </c>
      <c r="E1563" s="1" t="s">
        <v>3590</v>
      </c>
      <c r="G1563" s="1">
        <f t="array" ref="G1563">IF(ISNUMBER(MATCH(22986,Camille!$A:$A,0)), IF(OR(INDEX(Camille!$D:$D,MATCH(22986,Camille!$A:$A,0))=1, INDEX(Camille!$D:$D,MATCH(22986,Camille!$A:$A,0))=2), INDEX(Camille!$D:$D,MATCH(22986,Camille!$A:$A,0)), 0), 0)</f>
        <v>0</v>
      </c>
      <c r="H1563" s="1">
        <f t="array" ref="H1563">IF(ISNUMBER(MATCH(22986,Telmo!$A:$A,0)), IF(OR(INDEX(Telmo!$D:$D,MATCH(22986,Telmo!$A:$A,0))=1, INDEX(Telmo!$D:$D,MATCH(22986,Telmo!$A:$A,0))=2), INDEX(Telmo!$D:$D,MATCH(22986,Telmo!$A:$A,0)), 0), 0)</f>
        <v>0</v>
      </c>
      <c r="I1563" s="1">
        <f t="array" ref="I1563">IF(ISNUMBER(MATCH(22986,Max!$A:$A,0)), IF(OR(INDEX(Max!$D:$D,MATCH(22986,Max!$A:$A,0))=1, INDEX(Max!$D:$D,MATCH(22986,Max!$A:$A,0))=2), INDEX(Max!$D:$D,MATCH(22986,Max!$A:$A,0)), 0), 0)</f>
        <v>2</v>
      </c>
    </row>
    <row r="1564" spans="1:9" ht="15.75" customHeight="1" x14ac:dyDescent="0.2">
      <c r="A1564" s="1">
        <v>27130</v>
      </c>
      <c r="B1564" s="1" t="s">
        <v>3591</v>
      </c>
      <c r="C1564" s="1" t="s">
        <v>3592</v>
      </c>
      <c r="D1564" s="1" t="str">
        <f t="shared" si="6"/>
        <v>1</v>
      </c>
      <c r="E1564" s="1" t="s">
        <v>3593</v>
      </c>
      <c r="G1564" s="1">
        <f t="array" ref="G1564">IF(ISNUMBER(MATCH(27130,Camille!$A:$A,0)), IF(OR(INDEX(Camille!$D:$D,MATCH(27130,Camille!$A:$A,0))=1, INDEX(Camille!$D:$D,MATCH(27130,Camille!$A:$A,0))=2), INDEX(Camille!$D:$D,MATCH(27130,Camille!$A:$A,0)), 0), 0)</f>
        <v>0</v>
      </c>
      <c r="H1564" s="1">
        <f t="array" ref="H1564">IF(ISNUMBER(MATCH(27130,Telmo!$A:$A,0)), IF(OR(INDEX(Telmo!$D:$D,MATCH(27130,Telmo!$A:$A,0))=1, INDEX(Telmo!$D:$D,MATCH(27130,Telmo!$A:$A,0))=2), INDEX(Telmo!$D:$D,MATCH(27130,Telmo!$A:$A,0)), 0), 0)</f>
        <v>0</v>
      </c>
      <c r="I1564" s="1">
        <f t="array" ref="I1564">IF(ISNUMBER(MATCH(27130,Max!$A:$A,0)), IF(OR(INDEX(Max!$D:$D,MATCH(27130,Max!$A:$A,0))=1, INDEX(Max!$D:$D,MATCH(27130,Max!$A:$A,0))=2), INDEX(Max!$D:$D,MATCH(27130,Max!$A:$A,0)), 0), 0)</f>
        <v>1</v>
      </c>
    </row>
    <row r="1565" spans="1:9" ht="15.75" customHeight="1" x14ac:dyDescent="0.2">
      <c r="A1565" s="1">
        <v>27988</v>
      </c>
      <c r="B1565" s="1" t="s">
        <v>3594</v>
      </c>
      <c r="C1565" s="1" t="s">
        <v>3595</v>
      </c>
      <c r="D1565" s="1" t="str">
        <f t="shared" si="6"/>
        <v>2</v>
      </c>
      <c r="E1565" s="1" t="s">
        <v>3596</v>
      </c>
      <c r="G1565" s="1">
        <f t="array" ref="G1565">IF(ISNUMBER(MATCH(27988,Camille!$A:$A,0)), IF(OR(INDEX(Camille!$D:$D,MATCH(27988,Camille!$A:$A,0))=1, INDEX(Camille!$D:$D,MATCH(27988,Camille!$A:$A,0))=2), INDEX(Camille!$D:$D,MATCH(27988,Camille!$A:$A,0)), 0), 0)</f>
        <v>0</v>
      </c>
      <c r="H1565" s="1">
        <f t="array" ref="H1565">IF(ISNUMBER(MATCH(27988,Telmo!$A:$A,0)), IF(OR(INDEX(Telmo!$D:$D,MATCH(27988,Telmo!$A:$A,0))=1, INDEX(Telmo!$D:$D,MATCH(27988,Telmo!$A:$A,0))=2), INDEX(Telmo!$D:$D,MATCH(27988,Telmo!$A:$A,0)), 0), 0)</f>
        <v>0</v>
      </c>
      <c r="I1565" s="1">
        <f t="array" ref="I1565">IF(ISNUMBER(MATCH(27988,Max!$A:$A,0)), IF(OR(INDEX(Max!$D:$D,MATCH(27988,Max!$A:$A,0))=1, INDEX(Max!$D:$D,MATCH(27988,Max!$A:$A,0))=2), INDEX(Max!$D:$D,MATCH(27988,Max!$A:$A,0)), 0), 0)</f>
        <v>2</v>
      </c>
    </row>
    <row r="1566" spans="1:9" ht="15.75" customHeight="1" x14ac:dyDescent="0.2">
      <c r="A1566" s="1">
        <v>10602</v>
      </c>
      <c r="B1566" s="1" t="s">
        <v>751</v>
      </c>
      <c r="C1566" s="1" t="s">
        <v>3597</v>
      </c>
      <c r="D1566" s="1" t="str">
        <f t="shared" si="6"/>
        <v>2</v>
      </c>
      <c r="E1566" s="1" t="s">
        <v>3598</v>
      </c>
      <c r="G1566" s="1">
        <f t="array" ref="G1566">IF(ISNUMBER(MATCH(10602,Camille!$A:$A,0)), IF(OR(INDEX(Camille!$D:$D,MATCH(10602,Camille!$A:$A,0))=1, INDEX(Camille!$D:$D,MATCH(10602,Camille!$A:$A,0))=2), INDEX(Camille!$D:$D,MATCH(10602,Camille!$A:$A,0)), 0), 0)</f>
        <v>0</v>
      </c>
      <c r="H1566" s="1">
        <f t="array" ref="H1566">IF(ISNUMBER(MATCH(10602,Telmo!$A:$A,0)), IF(OR(INDEX(Telmo!$D:$D,MATCH(10602,Telmo!$A:$A,0))=1, INDEX(Telmo!$D:$D,MATCH(10602,Telmo!$A:$A,0))=2), INDEX(Telmo!$D:$D,MATCH(10602,Telmo!$A:$A,0)), 0), 0)</f>
        <v>0</v>
      </c>
      <c r="I1566" s="1">
        <f t="array" ref="I1566">IF(ISNUMBER(MATCH(10602,Max!$A:$A,0)), IF(OR(INDEX(Max!$D:$D,MATCH(10602,Max!$A:$A,0))=1, INDEX(Max!$D:$D,MATCH(10602,Max!$A:$A,0))=2), INDEX(Max!$D:$D,MATCH(10602,Max!$A:$A,0)), 0), 0)</f>
        <v>2</v>
      </c>
    </row>
    <row r="1567" spans="1:9" ht="15.75" customHeight="1" x14ac:dyDescent="0.2">
      <c r="A1567" s="1">
        <v>51695</v>
      </c>
      <c r="B1567" s="1" t="s">
        <v>254</v>
      </c>
      <c r="C1567" s="1" t="s">
        <v>3599</v>
      </c>
      <c r="D1567" s="1" t="str">
        <f t="shared" si="6"/>
        <v>1</v>
      </c>
      <c r="E1567" s="1" t="s">
        <v>3600</v>
      </c>
      <c r="G1567" s="1">
        <f t="array" ref="G1567">IF(ISNUMBER(MATCH(51695,Camille!$A:$A,0)), IF(OR(INDEX(Camille!$D:$D,MATCH(51695,Camille!$A:$A,0))=1, INDEX(Camille!$D:$D,MATCH(51695,Camille!$A:$A,0))=2), INDEX(Camille!$D:$D,MATCH(51695,Camille!$A:$A,0)), 0), 0)</f>
        <v>0</v>
      </c>
      <c r="H1567" s="1">
        <f t="array" ref="H1567">IF(ISNUMBER(MATCH(51695,Telmo!$A:$A,0)), IF(OR(INDEX(Telmo!$D:$D,MATCH(51695,Telmo!$A:$A,0))=1, INDEX(Telmo!$D:$D,MATCH(51695,Telmo!$A:$A,0))=2), INDEX(Telmo!$D:$D,MATCH(51695,Telmo!$A:$A,0)), 0), 0)</f>
        <v>0</v>
      </c>
      <c r="I1567" s="1">
        <f t="array" ref="I1567">IF(ISNUMBER(MATCH(51695,Max!$A:$A,0)), IF(OR(INDEX(Max!$D:$D,MATCH(51695,Max!$A:$A,0))=1, INDEX(Max!$D:$D,MATCH(51695,Max!$A:$A,0))=2), INDEX(Max!$D:$D,MATCH(51695,Max!$A:$A,0)), 0), 0)</f>
        <v>1</v>
      </c>
    </row>
    <row r="1568" spans="1:9" ht="15.75" customHeight="1" x14ac:dyDescent="0.2">
      <c r="A1568" s="1">
        <v>38355</v>
      </c>
      <c r="B1568" s="1" t="s">
        <v>153</v>
      </c>
      <c r="C1568" s="1" t="s">
        <v>3601</v>
      </c>
      <c r="D1568" s="1" t="str">
        <f t="shared" si="6"/>
        <v>2</v>
      </c>
      <c r="E1568" s="1" t="s">
        <v>3602</v>
      </c>
      <c r="G1568" s="1">
        <f t="array" ref="G1568">IF(ISNUMBER(MATCH(38355,Camille!$A:$A,0)), IF(OR(INDEX(Camille!$D:$D,MATCH(38355,Camille!$A:$A,0))=1, INDEX(Camille!$D:$D,MATCH(38355,Camille!$A:$A,0))=2), INDEX(Camille!$D:$D,MATCH(38355,Camille!$A:$A,0)), 0), 0)</f>
        <v>0</v>
      </c>
      <c r="H1568" s="1">
        <f t="array" ref="H1568">IF(ISNUMBER(MATCH(38355,Telmo!$A:$A,0)), IF(OR(INDEX(Telmo!$D:$D,MATCH(38355,Telmo!$A:$A,0))=1, INDEX(Telmo!$D:$D,MATCH(38355,Telmo!$A:$A,0))=2), INDEX(Telmo!$D:$D,MATCH(38355,Telmo!$A:$A,0)), 0), 0)</f>
        <v>0</v>
      </c>
      <c r="I1568" s="1">
        <f t="array" ref="I1568">IF(ISNUMBER(MATCH(38355,Max!$A:$A,0)), IF(OR(INDEX(Max!$D:$D,MATCH(38355,Max!$A:$A,0))=1, INDEX(Max!$D:$D,MATCH(38355,Max!$A:$A,0))=2), INDEX(Max!$D:$D,MATCH(38355,Max!$A:$A,0)), 0), 0)</f>
        <v>2</v>
      </c>
    </row>
    <row r="1569" spans="1:9" ht="15.75" customHeight="1" x14ac:dyDescent="0.2">
      <c r="A1569" s="1">
        <v>38362</v>
      </c>
      <c r="B1569" s="1" t="s">
        <v>301</v>
      </c>
      <c r="C1569" s="1" t="s">
        <v>3603</v>
      </c>
      <c r="D1569" s="1" t="str">
        <f t="shared" si="6"/>
        <v>2</v>
      </c>
      <c r="E1569" s="1" t="s">
        <v>3604</v>
      </c>
      <c r="G1569" s="1">
        <f t="array" ref="G1569">IF(ISNUMBER(MATCH(38362,Camille!$A:$A,0)), IF(OR(INDEX(Camille!$D:$D,MATCH(38362,Camille!$A:$A,0))=1, INDEX(Camille!$D:$D,MATCH(38362,Camille!$A:$A,0))=2), INDEX(Camille!$D:$D,MATCH(38362,Camille!$A:$A,0)), 0), 0)</f>
        <v>0</v>
      </c>
      <c r="H1569" s="1">
        <f t="array" ref="H1569">IF(ISNUMBER(MATCH(38362,Telmo!$A:$A,0)), IF(OR(INDEX(Telmo!$D:$D,MATCH(38362,Telmo!$A:$A,0))=1, INDEX(Telmo!$D:$D,MATCH(38362,Telmo!$A:$A,0))=2), INDEX(Telmo!$D:$D,MATCH(38362,Telmo!$A:$A,0)), 0), 0)</f>
        <v>0</v>
      </c>
      <c r="I1569" s="1">
        <f t="array" ref="I1569">IF(ISNUMBER(MATCH(38362,Max!$A:$A,0)), IF(OR(INDEX(Max!$D:$D,MATCH(38362,Max!$A:$A,0))=1, INDEX(Max!$D:$D,MATCH(38362,Max!$A:$A,0))=2), INDEX(Max!$D:$D,MATCH(38362,Max!$A:$A,0)), 0), 0)</f>
        <v>2</v>
      </c>
    </row>
    <row r="1570" spans="1:9" ht="15.75" customHeight="1" x14ac:dyDescent="0.2">
      <c r="A1570" s="1">
        <v>56725</v>
      </c>
      <c r="B1570" s="1" t="s">
        <v>2003</v>
      </c>
      <c r="C1570" s="1" t="s">
        <v>3605</v>
      </c>
      <c r="D1570" s="1" t="str">
        <f t="shared" si="6"/>
        <v>2</v>
      </c>
      <c r="E1570" s="1" t="s">
        <v>3606</v>
      </c>
      <c r="G1570" s="1">
        <f t="array" ref="G1570">IF(ISNUMBER(MATCH(56725,Camille!$A:$A,0)), IF(OR(INDEX(Camille!$D:$D,MATCH(56725,Camille!$A:$A,0))=1, INDEX(Camille!$D:$D,MATCH(56725,Camille!$A:$A,0))=2), INDEX(Camille!$D:$D,MATCH(56725,Camille!$A:$A,0)), 0), 0)</f>
        <v>0</v>
      </c>
      <c r="H1570" s="1">
        <f t="array" ref="H1570">IF(ISNUMBER(MATCH(56725,Telmo!$A:$A,0)), IF(OR(INDEX(Telmo!$D:$D,MATCH(56725,Telmo!$A:$A,0))=1, INDEX(Telmo!$D:$D,MATCH(56725,Telmo!$A:$A,0))=2), INDEX(Telmo!$D:$D,MATCH(56725,Telmo!$A:$A,0)), 0), 0)</f>
        <v>0</v>
      </c>
      <c r="I1570" s="1">
        <f t="array" ref="I1570">IF(ISNUMBER(MATCH(56725,Max!$A:$A,0)), IF(OR(INDEX(Max!$D:$D,MATCH(56725,Max!$A:$A,0))=1, INDEX(Max!$D:$D,MATCH(56725,Max!$A:$A,0))=2), INDEX(Max!$D:$D,MATCH(56725,Max!$A:$A,0)), 0), 0)</f>
        <v>2</v>
      </c>
    </row>
    <row r="1571" spans="1:9" ht="15.75" customHeight="1" x14ac:dyDescent="0.2">
      <c r="A1571" s="1">
        <v>44764</v>
      </c>
      <c r="B1571" s="1" t="s">
        <v>408</v>
      </c>
      <c r="C1571" s="1" t="s">
        <v>3607</v>
      </c>
      <c r="D1571" s="1" t="str">
        <f t="shared" si="6"/>
        <v>2</v>
      </c>
      <c r="E1571" s="1" t="s">
        <v>3608</v>
      </c>
      <c r="G1571" s="1">
        <f t="array" ref="G1571">IF(ISNUMBER(MATCH(44764,Camille!$A:$A,0)), IF(OR(INDEX(Camille!$D:$D,MATCH(44764,Camille!$A:$A,0))=1, INDEX(Camille!$D:$D,MATCH(44764,Camille!$A:$A,0))=2), INDEX(Camille!$D:$D,MATCH(44764,Camille!$A:$A,0)), 0), 0)</f>
        <v>0</v>
      </c>
      <c r="H1571" s="1">
        <f t="array" ref="H1571">IF(ISNUMBER(MATCH(44764,Telmo!$A:$A,0)), IF(OR(INDEX(Telmo!$D:$D,MATCH(44764,Telmo!$A:$A,0))=1, INDEX(Telmo!$D:$D,MATCH(44764,Telmo!$A:$A,0))=2), INDEX(Telmo!$D:$D,MATCH(44764,Telmo!$A:$A,0)), 0), 0)</f>
        <v>0</v>
      </c>
      <c r="I1571" s="1">
        <f t="array" ref="I1571">IF(ISNUMBER(MATCH(44764,Max!$A:$A,0)), IF(OR(INDEX(Max!$D:$D,MATCH(44764,Max!$A:$A,0))=1, INDEX(Max!$D:$D,MATCH(44764,Max!$A:$A,0))=2), INDEX(Max!$D:$D,MATCH(44764,Max!$A:$A,0)), 0), 0)</f>
        <v>2</v>
      </c>
    </row>
    <row r="1572" spans="1:9" ht="15.75" customHeight="1" x14ac:dyDescent="0.2">
      <c r="A1572" s="1">
        <v>60770</v>
      </c>
      <c r="B1572" s="1" t="s">
        <v>141</v>
      </c>
      <c r="C1572" s="1" t="s">
        <v>3609</v>
      </c>
      <c r="D1572" s="1" t="str">
        <f t="shared" si="6"/>
        <v>2</v>
      </c>
      <c r="E1572" s="1" t="s">
        <v>3610</v>
      </c>
      <c r="G1572" s="1">
        <f t="array" ref="G1572">IF(ISNUMBER(MATCH(60770,Camille!$A:$A,0)), IF(OR(INDEX(Camille!$D:$D,MATCH(60770,Camille!$A:$A,0))=1, INDEX(Camille!$D:$D,MATCH(60770,Camille!$A:$A,0))=2), INDEX(Camille!$D:$D,MATCH(60770,Camille!$A:$A,0)), 0), 0)</f>
        <v>0</v>
      </c>
      <c r="H1572" s="1">
        <f t="array" ref="H1572">IF(ISNUMBER(MATCH(60770,Telmo!$A:$A,0)), IF(OR(INDEX(Telmo!$D:$D,MATCH(60770,Telmo!$A:$A,0))=1, INDEX(Telmo!$D:$D,MATCH(60770,Telmo!$A:$A,0))=2), INDEX(Telmo!$D:$D,MATCH(60770,Telmo!$A:$A,0)), 0), 0)</f>
        <v>0</v>
      </c>
      <c r="I1572" s="1">
        <f t="array" ref="I1572">IF(ISNUMBER(MATCH(60770,Max!$A:$A,0)), IF(OR(INDEX(Max!$D:$D,MATCH(60770,Max!$A:$A,0))=1, INDEX(Max!$D:$D,MATCH(60770,Max!$A:$A,0))=2), INDEX(Max!$D:$D,MATCH(60770,Max!$A:$A,0)), 0), 0)</f>
        <v>2</v>
      </c>
    </row>
    <row r="1573" spans="1:9" ht="15.75" customHeight="1" x14ac:dyDescent="0.2">
      <c r="A1573" s="1">
        <v>70544</v>
      </c>
      <c r="B1573" s="1" t="s">
        <v>268</v>
      </c>
      <c r="C1573" s="1" t="s">
        <v>3611</v>
      </c>
      <c r="D1573" s="1" t="str">
        <f t="shared" si="6"/>
        <v>2</v>
      </c>
      <c r="E1573" s="1" t="s">
        <v>3612</v>
      </c>
      <c r="G1573" s="1">
        <f t="array" ref="G1573">IF(ISNUMBER(MATCH(70544,Camille!$A:$A,0)), IF(OR(INDEX(Camille!$D:$D,MATCH(70544,Camille!$A:$A,0))=1, INDEX(Camille!$D:$D,MATCH(70544,Camille!$A:$A,0))=2), INDEX(Camille!$D:$D,MATCH(70544,Camille!$A:$A,0)), 0), 0)</f>
        <v>0</v>
      </c>
      <c r="H1573" s="1">
        <f t="array" ref="H1573">IF(ISNUMBER(MATCH(70544,Telmo!$A:$A,0)), IF(OR(INDEX(Telmo!$D:$D,MATCH(70544,Telmo!$A:$A,0))=1, INDEX(Telmo!$D:$D,MATCH(70544,Telmo!$A:$A,0))=2), INDEX(Telmo!$D:$D,MATCH(70544,Telmo!$A:$A,0)), 0), 0)</f>
        <v>0</v>
      </c>
      <c r="I1573" s="1">
        <f t="array" ref="I1573">IF(ISNUMBER(MATCH(70544,Max!$A:$A,0)), IF(OR(INDEX(Max!$D:$D,MATCH(70544,Max!$A:$A,0))=1, INDEX(Max!$D:$D,MATCH(70544,Max!$A:$A,0))=2), INDEX(Max!$D:$D,MATCH(70544,Max!$A:$A,0)), 0), 0)</f>
        <v>2</v>
      </c>
    </row>
    <row r="1574" spans="1:9" ht="15.75" customHeight="1" x14ac:dyDescent="0.2">
      <c r="A1574" s="1">
        <v>60922</v>
      </c>
      <c r="B1574" s="1" t="s">
        <v>3613</v>
      </c>
      <c r="C1574" s="1" t="s">
        <v>3614</v>
      </c>
      <c r="D1574" s="1" t="str">
        <f t="shared" si="6"/>
        <v>2</v>
      </c>
      <c r="E1574" s="1" t="s">
        <v>3615</v>
      </c>
      <c r="G1574" s="1">
        <f t="array" ref="G1574">IF(ISNUMBER(MATCH(60922,Camille!$A:$A,0)), IF(OR(INDEX(Camille!$D:$D,MATCH(60922,Camille!$A:$A,0))=1, INDEX(Camille!$D:$D,MATCH(60922,Camille!$A:$A,0))=2), INDEX(Camille!$D:$D,MATCH(60922,Camille!$A:$A,0)), 0), 0)</f>
        <v>0</v>
      </c>
      <c r="H1574" s="1">
        <f t="array" ref="H1574">IF(ISNUMBER(MATCH(60922,Telmo!$A:$A,0)), IF(OR(INDEX(Telmo!$D:$D,MATCH(60922,Telmo!$A:$A,0))=1, INDEX(Telmo!$D:$D,MATCH(60922,Telmo!$A:$A,0))=2), INDEX(Telmo!$D:$D,MATCH(60922,Telmo!$A:$A,0)), 0), 0)</f>
        <v>0</v>
      </c>
      <c r="I1574" s="1">
        <f t="array" ref="I1574">IF(ISNUMBER(MATCH(60922,Max!$A:$A,0)), IF(OR(INDEX(Max!$D:$D,MATCH(60922,Max!$A:$A,0))=1, INDEX(Max!$D:$D,MATCH(60922,Max!$A:$A,0))=2), INDEX(Max!$D:$D,MATCH(60922,Max!$A:$A,0)), 0), 0)</f>
        <v>2</v>
      </c>
    </row>
    <row r="1575" spans="1:9" ht="15.75" customHeight="1" x14ac:dyDescent="0.2">
      <c r="A1575" s="1">
        <v>19839</v>
      </c>
      <c r="B1575" s="1" t="s">
        <v>276</v>
      </c>
      <c r="C1575" s="1" t="s">
        <v>3616</v>
      </c>
      <c r="D1575" s="1" t="str">
        <f t="shared" si="6"/>
        <v>1</v>
      </c>
      <c r="E1575" s="1" t="s">
        <v>3617</v>
      </c>
      <c r="G1575" s="1">
        <f t="array" ref="G1575">IF(ISNUMBER(MATCH(19839,Camille!$A:$A,0)), IF(OR(INDEX(Camille!$D:$D,MATCH(19839,Camille!$A:$A,0))=1, INDEX(Camille!$D:$D,MATCH(19839,Camille!$A:$A,0))=2), INDEX(Camille!$D:$D,MATCH(19839,Camille!$A:$A,0)), 0), 0)</f>
        <v>0</v>
      </c>
      <c r="H1575" s="1">
        <f t="array" ref="H1575">IF(ISNUMBER(MATCH(19839,Telmo!$A:$A,0)), IF(OR(INDEX(Telmo!$D:$D,MATCH(19839,Telmo!$A:$A,0))=1, INDEX(Telmo!$D:$D,MATCH(19839,Telmo!$A:$A,0))=2), INDEX(Telmo!$D:$D,MATCH(19839,Telmo!$A:$A,0)), 0), 0)</f>
        <v>0</v>
      </c>
      <c r="I1575" s="1">
        <f t="array" ref="I1575">IF(ISNUMBER(MATCH(19839,Max!$A:$A,0)), IF(OR(INDEX(Max!$D:$D,MATCH(19839,Max!$A:$A,0))=1, INDEX(Max!$D:$D,MATCH(19839,Max!$A:$A,0))=2), INDEX(Max!$D:$D,MATCH(19839,Max!$A:$A,0)), 0), 0)</f>
        <v>1</v>
      </c>
    </row>
    <row r="1576" spans="1:9" ht="15.75" customHeight="1" x14ac:dyDescent="0.2">
      <c r="A1576" s="1">
        <v>69259</v>
      </c>
      <c r="B1576" s="1" t="s">
        <v>87</v>
      </c>
      <c r="C1576" s="1" t="s">
        <v>3618</v>
      </c>
      <c r="D1576" s="1" t="str">
        <f t="shared" si="6"/>
        <v>2</v>
      </c>
      <c r="E1576" s="1" t="s">
        <v>3619</v>
      </c>
      <c r="G1576" s="1">
        <f t="array" ref="G1576">IF(ISNUMBER(MATCH(69259,Camille!$A:$A,0)), IF(OR(INDEX(Camille!$D:$D,MATCH(69259,Camille!$A:$A,0))=1, INDEX(Camille!$D:$D,MATCH(69259,Camille!$A:$A,0))=2), INDEX(Camille!$D:$D,MATCH(69259,Camille!$A:$A,0)), 0), 0)</f>
        <v>0</v>
      </c>
      <c r="H1576" s="1">
        <f t="array" ref="H1576">IF(ISNUMBER(MATCH(69259,Telmo!$A:$A,0)), IF(OR(INDEX(Telmo!$D:$D,MATCH(69259,Telmo!$A:$A,0))=1, INDEX(Telmo!$D:$D,MATCH(69259,Telmo!$A:$A,0))=2), INDEX(Telmo!$D:$D,MATCH(69259,Telmo!$A:$A,0)), 0), 0)</f>
        <v>0</v>
      </c>
      <c r="I1576" s="1">
        <f t="array" ref="I1576">IF(ISNUMBER(MATCH(69259,Max!$A:$A,0)), IF(OR(INDEX(Max!$D:$D,MATCH(69259,Max!$A:$A,0))=1, INDEX(Max!$D:$D,MATCH(69259,Max!$A:$A,0))=2), INDEX(Max!$D:$D,MATCH(69259,Max!$A:$A,0)), 0), 0)</f>
        <v>2</v>
      </c>
    </row>
    <row r="1577" spans="1:9" ht="15.75" customHeight="1" x14ac:dyDescent="0.2">
      <c r="A1577" s="1">
        <v>13707</v>
      </c>
      <c r="B1577" s="1" t="s">
        <v>153</v>
      </c>
      <c r="C1577" s="1" t="s">
        <v>3620</v>
      </c>
      <c r="D1577" s="1" t="str">
        <f t="shared" si="6"/>
        <v>2</v>
      </c>
      <c r="E1577" s="1" t="s">
        <v>3621</v>
      </c>
      <c r="G1577" s="1">
        <f t="array" ref="G1577">IF(ISNUMBER(MATCH(13707,Camille!$A:$A,0)), IF(OR(INDEX(Camille!$D:$D,MATCH(13707,Camille!$A:$A,0))=1, INDEX(Camille!$D:$D,MATCH(13707,Camille!$A:$A,0))=2), INDEX(Camille!$D:$D,MATCH(13707,Camille!$A:$A,0)), 0), 0)</f>
        <v>0</v>
      </c>
      <c r="H1577" s="1">
        <f t="array" ref="H1577">IF(ISNUMBER(MATCH(13707,Telmo!$A:$A,0)), IF(OR(INDEX(Telmo!$D:$D,MATCH(13707,Telmo!$A:$A,0))=1, INDEX(Telmo!$D:$D,MATCH(13707,Telmo!$A:$A,0))=2), INDEX(Telmo!$D:$D,MATCH(13707,Telmo!$A:$A,0)), 0), 0)</f>
        <v>0</v>
      </c>
      <c r="I1577" s="1">
        <f t="array" ref="I1577">IF(ISNUMBER(MATCH(13707,Max!$A:$A,0)), IF(OR(INDEX(Max!$D:$D,MATCH(13707,Max!$A:$A,0))=1, INDEX(Max!$D:$D,MATCH(13707,Max!$A:$A,0))=2), INDEX(Max!$D:$D,MATCH(13707,Max!$A:$A,0)), 0), 0)</f>
        <v>2</v>
      </c>
    </row>
    <row r="1578" spans="1:9" ht="15.75" customHeight="1" x14ac:dyDescent="0.2">
      <c r="A1578" s="1">
        <v>7204</v>
      </c>
      <c r="B1578" s="1" t="s">
        <v>1455</v>
      </c>
      <c r="C1578" s="1" t="s">
        <v>3622</v>
      </c>
      <c r="D1578" s="1" t="str">
        <f t="shared" si="6"/>
        <v>2</v>
      </c>
      <c r="E1578" s="1" t="s">
        <v>3623</v>
      </c>
      <c r="G1578" s="1">
        <f t="array" ref="G1578">IF(ISNUMBER(MATCH(7204,Camille!$A:$A,0)), IF(OR(INDEX(Camille!$D:$D,MATCH(7204,Camille!$A:$A,0))=1, INDEX(Camille!$D:$D,MATCH(7204,Camille!$A:$A,0))=2), INDEX(Camille!$D:$D,MATCH(7204,Camille!$A:$A,0)), 0), 0)</f>
        <v>0</v>
      </c>
      <c r="H1578" s="1">
        <f t="array" ref="H1578">IF(ISNUMBER(MATCH(7204,Telmo!$A:$A,0)), IF(OR(INDEX(Telmo!$D:$D,MATCH(7204,Telmo!$A:$A,0))=1, INDEX(Telmo!$D:$D,MATCH(7204,Telmo!$A:$A,0))=2), INDEX(Telmo!$D:$D,MATCH(7204,Telmo!$A:$A,0)), 0), 0)</f>
        <v>0</v>
      </c>
      <c r="I1578" s="1">
        <f t="array" ref="I1578">IF(ISNUMBER(MATCH(7204,Max!$A:$A,0)), IF(OR(INDEX(Max!$D:$D,MATCH(7204,Max!$A:$A,0))=1, INDEX(Max!$D:$D,MATCH(7204,Max!$A:$A,0))=2), INDEX(Max!$D:$D,MATCH(7204,Max!$A:$A,0)), 0), 0)</f>
        <v>2</v>
      </c>
    </row>
    <row r="1579" spans="1:9" ht="15.75" customHeight="1" x14ac:dyDescent="0.2">
      <c r="A1579" s="1">
        <v>35692</v>
      </c>
      <c r="B1579" s="1" t="s">
        <v>794</v>
      </c>
      <c r="C1579" s="1" t="s">
        <v>3624</v>
      </c>
      <c r="D1579" s="1" t="str">
        <f t="shared" si="6"/>
        <v>2</v>
      </c>
      <c r="E1579" s="1" t="s">
        <v>3625</v>
      </c>
      <c r="G1579" s="1">
        <f t="array" ref="G1579">IF(ISNUMBER(MATCH(35692,Camille!$A:$A,0)), IF(OR(INDEX(Camille!$D:$D,MATCH(35692,Camille!$A:$A,0))=1, INDEX(Camille!$D:$D,MATCH(35692,Camille!$A:$A,0))=2), INDEX(Camille!$D:$D,MATCH(35692,Camille!$A:$A,0)), 0), 0)</f>
        <v>0</v>
      </c>
      <c r="H1579" s="1">
        <f t="array" ref="H1579">IF(ISNUMBER(MATCH(35692,Telmo!$A:$A,0)), IF(OR(INDEX(Telmo!$D:$D,MATCH(35692,Telmo!$A:$A,0))=1, INDEX(Telmo!$D:$D,MATCH(35692,Telmo!$A:$A,0))=2), INDEX(Telmo!$D:$D,MATCH(35692,Telmo!$A:$A,0)), 0), 0)</f>
        <v>0</v>
      </c>
      <c r="I1579" s="1">
        <f t="array" ref="I1579">IF(ISNUMBER(MATCH(35692,Max!$A:$A,0)), IF(OR(INDEX(Max!$D:$D,MATCH(35692,Max!$A:$A,0))=1, INDEX(Max!$D:$D,MATCH(35692,Max!$A:$A,0))=2), INDEX(Max!$D:$D,MATCH(35692,Max!$A:$A,0)), 0), 0)</f>
        <v>2</v>
      </c>
    </row>
    <row r="1580" spans="1:9" ht="15.75" customHeight="1" x14ac:dyDescent="0.2">
      <c r="A1580" s="1">
        <v>34964</v>
      </c>
      <c r="B1580" s="1" t="s">
        <v>408</v>
      </c>
      <c r="C1580" s="1" t="s">
        <v>3626</v>
      </c>
      <c r="D1580" s="1" t="str">
        <f t="shared" si="6"/>
        <v>2</v>
      </c>
      <c r="E1580" s="1" t="s">
        <v>3627</v>
      </c>
      <c r="G1580" s="1">
        <f t="array" ref="G1580">IF(ISNUMBER(MATCH(34964,Camille!$A:$A,0)), IF(OR(INDEX(Camille!$D:$D,MATCH(34964,Camille!$A:$A,0))=1, INDEX(Camille!$D:$D,MATCH(34964,Camille!$A:$A,0))=2), INDEX(Camille!$D:$D,MATCH(34964,Camille!$A:$A,0)), 0), 0)</f>
        <v>0</v>
      </c>
      <c r="H1580" s="1">
        <f t="array" ref="H1580">IF(ISNUMBER(MATCH(34964,Telmo!$A:$A,0)), IF(OR(INDEX(Telmo!$D:$D,MATCH(34964,Telmo!$A:$A,0))=1, INDEX(Telmo!$D:$D,MATCH(34964,Telmo!$A:$A,0))=2), INDEX(Telmo!$D:$D,MATCH(34964,Telmo!$A:$A,0)), 0), 0)</f>
        <v>0</v>
      </c>
      <c r="I1580" s="1">
        <f t="array" ref="I1580">IF(ISNUMBER(MATCH(34964,Max!$A:$A,0)), IF(OR(INDEX(Max!$D:$D,MATCH(34964,Max!$A:$A,0))=1, INDEX(Max!$D:$D,MATCH(34964,Max!$A:$A,0))=2), INDEX(Max!$D:$D,MATCH(34964,Max!$A:$A,0)), 0), 0)</f>
        <v>2</v>
      </c>
    </row>
    <row r="1581" spans="1:9" ht="15.75" customHeight="1" x14ac:dyDescent="0.2">
      <c r="A1581" s="1">
        <v>69028</v>
      </c>
      <c r="B1581" s="1" t="s">
        <v>109</v>
      </c>
      <c r="C1581" s="1" t="s">
        <v>3628</v>
      </c>
      <c r="D1581" s="1" t="str">
        <f t="shared" si="6"/>
        <v>2</v>
      </c>
      <c r="E1581" s="1" t="s">
        <v>3629</v>
      </c>
      <c r="G1581" s="1">
        <f t="array" ref="G1581">IF(ISNUMBER(MATCH(69028,Camille!$A:$A,0)), IF(OR(INDEX(Camille!$D:$D,MATCH(69028,Camille!$A:$A,0))=1, INDEX(Camille!$D:$D,MATCH(69028,Camille!$A:$A,0))=2), INDEX(Camille!$D:$D,MATCH(69028,Camille!$A:$A,0)), 0), 0)</f>
        <v>0</v>
      </c>
      <c r="H1581" s="1">
        <f t="array" ref="H1581">IF(ISNUMBER(MATCH(69028,Telmo!$A:$A,0)), IF(OR(INDEX(Telmo!$D:$D,MATCH(69028,Telmo!$A:$A,0))=1, INDEX(Telmo!$D:$D,MATCH(69028,Telmo!$A:$A,0))=2), INDEX(Telmo!$D:$D,MATCH(69028,Telmo!$A:$A,0)), 0), 0)</f>
        <v>0</v>
      </c>
      <c r="I1581" s="1">
        <f t="array" ref="I1581">IF(ISNUMBER(MATCH(69028,Max!$A:$A,0)), IF(OR(INDEX(Max!$D:$D,MATCH(69028,Max!$A:$A,0))=1, INDEX(Max!$D:$D,MATCH(69028,Max!$A:$A,0))=2), INDEX(Max!$D:$D,MATCH(69028,Max!$A:$A,0)), 0), 0)</f>
        <v>2</v>
      </c>
    </row>
    <row r="1582" spans="1:9" ht="15.75" customHeight="1" x14ac:dyDescent="0.2">
      <c r="A1582" s="1">
        <v>43590</v>
      </c>
      <c r="B1582" s="1" t="s">
        <v>3630</v>
      </c>
      <c r="C1582" s="1" t="s">
        <v>3631</v>
      </c>
      <c r="D1582" s="1" t="str">
        <f t="shared" si="6"/>
        <v>1</v>
      </c>
      <c r="E1582" s="1" t="s">
        <v>3632</v>
      </c>
      <c r="G1582" s="1">
        <f t="array" ref="G1582">IF(ISNUMBER(MATCH(43590,Camille!$A:$A,0)), IF(OR(INDEX(Camille!$D:$D,MATCH(43590,Camille!$A:$A,0))=1, INDEX(Camille!$D:$D,MATCH(43590,Camille!$A:$A,0))=2), INDEX(Camille!$D:$D,MATCH(43590,Camille!$A:$A,0)), 0), 0)</f>
        <v>0</v>
      </c>
      <c r="H1582" s="1">
        <f t="array" ref="H1582">IF(ISNUMBER(MATCH(43590,Telmo!$A:$A,0)), IF(OR(INDEX(Telmo!$D:$D,MATCH(43590,Telmo!$A:$A,0))=1, INDEX(Telmo!$D:$D,MATCH(43590,Telmo!$A:$A,0))=2), INDEX(Telmo!$D:$D,MATCH(43590,Telmo!$A:$A,0)), 0), 0)</f>
        <v>0</v>
      </c>
      <c r="I1582" s="1">
        <f t="array" ref="I1582">IF(ISNUMBER(MATCH(43590,Max!$A:$A,0)), IF(OR(INDEX(Max!$D:$D,MATCH(43590,Max!$A:$A,0))=1, INDEX(Max!$D:$D,MATCH(43590,Max!$A:$A,0))=2), INDEX(Max!$D:$D,MATCH(43590,Max!$A:$A,0)), 0), 0)</f>
        <v>1</v>
      </c>
    </row>
    <row r="1583" spans="1:9" ht="15.75" customHeight="1" x14ac:dyDescent="0.2">
      <c r="A1583" s="1">
        <v>17957</v>
      </c>
      <c r="B1583" s="1" t="s">
        <v>1895</v>
      </c>
      <c r="C1583" s="1" t="s">
        <v>3633</v>
      </c>
      <c r="D1583" s="1" t="str">
        <f t="shared" si="6"/>
        <v>2</v>
      </c>
      <c r="E1583" s="1" t="s">
        <v>3634</v>
      </c>
      <c r="G1583" s="1">
        <f t="array" ref="G1583">IF(ISNUMBER(MATCH(17957,Camille!$A:$A,0)), IF(OR(INDEX(Camille!$D:$D,MATCH(17957,Camille!$A:$A,0))=1, INDEX(Camille!$D:$D,MATCH(17957,Camille!$A:$A,0))=2), INDEX(Camille!$D:$D,MATCH(17957,Camille!$A:$A,0)), 0), 0)</f>
        <v>0</v>
      </c>
      <c r="H1583" s="1">
        <f t="array" ref="H1583">IF(ISNUMBER(MATCH(17957,Telmo!$A:$A,0)), IF(OR(INDEX(Telmo!$D:$D,MATCH(17957,Telmo!$A:$A,0))=1, INDEX(Telmo!$D:$D,MATCH(17957,Telmo!$A:$A,0))=2), INDEX(Telmo!$D:$D,MATCH(17957,Telmo!$A:$A,0)), 0), 0)</f>
        <v>0</v>
      </c>
      <c r="I1583" s="1">
        <f t="array" ref="I1583">IF(ISNUMBER(MATCH(17957,Max!$A:$A,0)), IF(OR(INDEX(Max!$D:$D,MATCH(17957,Max!$A:$A,0))=1, INDEX(Max!$D:$D,MATCH(17957,Max!$A:$A,0))=2), INDEX(Max!$D:$D,MATCH(17957,Max!$A:$A,0)), 0), 0)</f>
        <v>2</v>
      </c>
    </row>
    <row r="1584" spans="1:9" ht="15.75" customHeight="1" x14ac:dyDescent="0.2">
      <c r="A1584" s="1">
        <v>35971</v>
      </c>
      <c r="B1584" s="1" t="s">
        <v>191</v>
      </c>
      <c r="C1584" s="1" t="s">
        <v>3635</v>
      </c>
      <c r="D1584" s="1" t="str">
        <f t="shared" si="6"/>
        <v>1</v>
      </c>
      <c r="E1584" s="1" t="s">
        <v>3636</v>
      </c>
      <c r="G1584" s="1">
        <f t="array" ref="G1584">IF(ISNUMBER(MATCH(35971,Camille!$A:$A,0)), IF(OR(INDEX(Camille!$D:$D,MATCH(35971,Camille!$A:$A,0))=1, INDEX(Camille!$D:$D,MATCH(35971,Camille!$A:$A,0))=2), INDEX(Camille!$D:$D,MATCH(35971,Camille!$A:$A,0)), 0), 0)</f>
        <v>0</v>
      </c>
      <c r="H1584" s="1">
        <f t="array" ref="H1584">IF(ISNUMBER(MATCH(35971,Telmo!$A:$A,0)), IF(OR(INDEX(Telmo!$D:$D,MATCH(35971,Telmo!$A:$A,0))=1, INDEX(Telmo!$D:$D,MATCH(35971,Telmo!$A:$A,0))=2), INDEX(Telmo!$D:$D,MATCH(35971,Telmo!$A:$A,0)), 0), 0)</f>
        <v>0</v>
      </c>
      <c r="I1584" s="1">
        <f t="array" ref="I1584">IF(ISNUMBER(MATCH(35971,Max!$A:$A,0)), IF(OR(INDEX(Max!$D:$D,MATCH(35971,Max!$A:$A,0))=1, INDEX(Max!$D:$D,MATCH(35971,Max!$A:$A,0))=2), INDEX(Max!$D:$D,MATCH(35971,Max!$A:$A,0)), 0), 0)</f>
        <v>1</v>
      </c>
    </row>
    <row r="1585" spans="1:9" ht="15.75" customHeight="1" x14ac:dyDescent="0.2">
      <c r="A1585" s="1">
        <v>41242</v>
      </c>
      <c r="B1585" s="1" t="s">
        <v>969</v>
      </c>
      <c r="C1585" s="1" t="s">
        <v>3637</v>
      </c>
      <c r="D1585" s="1" t="str">
        <f t="shared" si="6"/>
        <v>1</v>
      </c>
      <c r="E1585" s="1" t="s">
        <v>3638</v>
      </c>
      <c r="G1585" s="1">
        <f t="array" ref="G1585">IF(ISNUMBER(MATCH(41242,Camille!$A:$A,0)), IF(OR(INDEX(Camille!$D:$D,MATCH(41242,Camille!$A:$A,0))=1, INDEX(Camille!$D:$D,MATCH(41242,Camille!$A:$A,0))=2), INDEX(Camille!$D:$D,MATCH(41242,Camille!$A:$A,0)), 0), 0)</f>
        <v>0</v>
      </c>
      <c r="H1585" s="1">
        <f t="array" ref="H1585">IF(ISNUMBER(MATCH(41242,Telmo!$A:$A,0)), IF(OR(INDEX(Telmo!$D:$D,MATCH(41242,Telmo!$A:$A,0))=1, INDEX(Telmo!$D:$D,MATCH(41242,Telmo!$A:$A,0))=2), INDEX(Telmo!$D:$D,MATCH(41242,Telmo!$A:$A,0)), 0), 0)</f>
        <v>0</v>
      </c>
      <c r="I1585" s="1">
        <f t="array" ref="I1585">IF(ISNUMBER(MATCH(41242,Max!$A:$A,0)), IF(OR(INDEX(Max!$D:$D,MATCH(41242,Max!$A:$A,0))=1, INDEX(Max!$D:$D,MATCH(41242,Max!$A:$A,0))=2), INDEX(Max!$D:$D,MATCH(41242,Max!$A:$A,0)), 0), 0)</f>
        <v>1</v>
      </c>
    </row>
    <row r="1586" spans="1:9" ht="15.75" customHeight="1" x14ac:dyDescent="0.2">
      <c r="A1586" s="1">
        <v>70675</v>
      </c>
      <c r="B1586" s="1" t="s">
        <v>466</v>
      </c>
      <c r="C1586" s="1" t="s">
        <v>3639</v>
      </c>
      <c r="D1586" s="1" t="str">
        <f t="shared" si="6"/>
        <v>2</v>
      </c>
      <c r="E1586" s="1" t="s">
        <v>3640</v>
      </c>
      <c r="G1586" s="1">
        <f t="array" ref="G1586">IF(ISNUMBER(MATCH(70675,Camille!$A:$A,0)), IF(OR(INDEX(Camille!$D:$D,MATCH(70675,Camille!$A:$A,0))=1, INDEX(Camille!$D:$D,MATCH(70675,Camille!$A:$A,0))=2), INDEX(Camille!$D:$D,MATCH(70675,Camille!$A:$A,0)), 0), 0)</f>
        <v>0</v>
      </c>
      <c r="H1586" s="1">
        <f t="array" ref="H1586">IF(ISNUMBER(MATCH(70675,Telmo!$A:$A,0)), IF(OR(INDEX(Telmo!$D:$D,MATCH(70675,Telmo!$A:$A,0))=1, INDEX(Telmo!$D:$D,MATCH(70675,Telmo!$A:$A,0))=2), INDEX(Telmo!$D:$D,MATCH(70675,Telmo!$A:$A,0)), 0), 0)</f>
        <v>0</v>
      </c>
      <c r="I1586" s="1">
        <f t="array" ref="I1586">IF(ISNUMBER(MATCH(70675,Max!$A:$A,0)), IF(OR(INDEX(Max!$D:$D,MATCH(70675,Max!$A:$A,0))=1, INDEX(Max!$D:$D,MATCH(70675,Max!$A:$A,0))=2), INDEX(Max!$D:$D,MATCH(70675,Max!$A:$A,0)), 0), 0)</f>
        <v>2</v>
      </c>
    </row>
    <row r="1587" spans="1:9" ht="15.75" customHeight="1" x14ac:dyDescent="0.2">
      <c r="A1587" s="1">
        <v>67060</v>
      </c>
      <c r="B1587" s="1" t="s">
        <v>11</v>
      </c>
      <c r="C1587" s="1" t="s">
        <v>3641</v>
      </c>
      <c r="D1587" s="1" t="str">
        <f t="shared" si="6"/>
        <v>2</v>
      </c>
      <c r="E1587" s="1" t="s">
        <v>3642</v>
      </c>
      <c r="G1587" s="1">
        <f t="array" ref="G1587">IF(ISNUMBER(MATCH(67060,Camille!$A:$A,0)), IF(OR(INDEX(Camille!$D:$D,MATCH(67060,Camille!$A:$A,0))=1, INDEX(Camille!$D:$D,MATCH(67060,Camille!$A:$A,0))=2), INDEX(Camille!$D:$D,MATCH(67060,Camille!$A:$A,0)), 0), 0)</f>
        <v>0</v>
      </c>
      <c r="H1587" s="1">
        <f t="array" ref="H1587">IF(ISNUMBER(MATCH(67060,Telmo!$A:$A,0)), IF(OR(INDEX(Telmo!$D:$D,MATCH(67060,Telmo!$A:$A,0))=1, INDEX(Telmo!$D:$D,MATCH(67060,Telmo!$A:$A,0))=2), INDEX(Telmo!$D:$D,MATCH(67060,Telmo!$A:$A,0)), 0), 0)</f>
        <v>0</v>
      </c>
      <c r="I1587" s="1">
        <f t="array" ref="I1587">IF(ISNUMBER(MATCH(67060,Max!$A:$A,0)), IF(OR(INDEX(Max!$D:$D,MATCH(67060,Max!$A:$A,0))=1, INDEX(Max!$D:$D,MATCH(67060,Max!$A:$A,0))=2), INDEX(Max!$D:$D,MATCH(67060,Max!$A:$A,0)), 0), 0)</f>
        <v>2</v>
      </c>
    </row>
    <row r="1588" spans="1:9" ht="15.75" customHeight="1" x14ac:dyDescent="0.2">
      <c r="A1588" s="1">
        <v>58965</v>
      </c>
      <c r="B1588" s="1" t="s">
        <v>205</v>
      </c>
      <c r="C1588" s="1" t="s">
        <v>3643</v>
      </c>
      <c r="D1588" s="1" t="str">
        <f t="shared" si="6"/>
        <v>2</v>
      </c>
      <c r="E1588" s="1" t="s">
        <v>3644</v>
      </c>
      <c r="G1588" s="1">
        <f t="array" ref="G1588">IF(ISNUMBER(MATCH(58965,Camille!$A:$A,0)), IF(OR(INDEX(Camille!$D:$D,MATCH(58965,Camille!$A:$A,0))=1, INDEX(Camille!$D:$D,MATCH(58965,Camille!$A:$A,0))=2), INDEX(Camille!$D:$D,MATCH(58965,Camille!$A:$A,0)), 0), 0)</f>
        <v>0</v>
      </c>
      <c r="H1588" s="1">
        <f t="array" ref="H1588">IF(ISNUMBER(MATCH(58965,Telmo!$A:$A,0)), IF(OR(INDEX(Telmo!$D:$D,MATCH(58965,Telmo!$A:$A,0))=1, INDEX(Telmo!$D:$D,MATCH(58965,Telmo!$A:$A,0))=2), INDEX(Telmo!$D:$D,MATCH(58965,Telmo!$A:$A,0)), 0), 0)</f>
        <v>0</v>
      </c>
      <c r="I1588" s="1">
        <f t="array" ref="I1588">IF(ISNUMBER(MATCH(58965,Max!$A:$A,0)), IF(OR(INDEX(Max!$D:$D,MATCH(58965,Max!$A:$A,0))=1, INDEX(Max!$D:$D,MATCH(58965,Max!$A:$A,0))=2), INDEX(Max!$D:$D,MATCH(58965,Max!$A:$A,0)), 0), 0)</f>
        <v>2</v>
      </c>
    </row>
    <row r="1589" spans="1:9" ht="15.75" customHeight="1" x14ac:dyDescent="0.2">
      <c r="A1589" s="1">
        <v>63054</v>
      </c>
      <c r="B1589" s="1" t="s">
        <v>32</v>
      </c>
      <c r="C1589" s="1" t="s">
        <v>3645</v>
      </c>
      <c r="D1589" s="1" t="str">
        <f t="shared" si="6"/>
        <v>2</v>
      </c>
      <c r="E1589" s="1" t="s">
        <v>3646</v>
      </c>
      <c r="G1589" s="1">
        <f t="array" ref="G1589">IF(ISNUMBER(MATCH(63054,Camille!$A:$A,0)), IF(OR(INDEX(Camille!$D:$D,MATCH(63054,Camille!$A:$A,0))=1, INDEX(Camille!$D:$D,MATCH(63054,Camille!$A:$A,0))=2), INDEX(Camille!$D:$D,MATCH(63054,Camille!$A:$A,0)), 0), 0)</f>
        <v>0</v>
      </c>
      <c r="H1589" s="1">
        <f t="array" ref="H1589">IF(ISNUMBER(MATCH(63054,Telmo!$A:$A,0)), IF(OR(INDEX(Telmo!$D:$D,MATCH(63054,Telmo!$A:$A,0))=1, INDEX(Telmo!$D:$D,MATCH(63054,Telmo!$A:$A,0))=2), INDEX(Telmo!$D:$D,MATCH(63054,Telmo!$A:$A,0)), 0), 0)</f>
        <v>0</v>
      </c>
      <c r="I1589" s="1">
        <f t="array" ref="I1589">IF(ISNUMBER(MATCH(63054,Max!$A:$A,0)), IF(OR(INDEX(Max!$D:$D,MATCH(63054,Max!$A:$A,0))=1, INDEX(Max!$D:$D,MATCH(63054,Max!$A:$A,0))=2), INDEX(Max!$D:$D,MATCH(63054,Max!$A:$A,0)), 0), 0)</f>
        <v>2</v>
      </c>
    </row>
    <row r="1590" spans="1:9" ht="15.75" customHeight="1" x14ac:dyDescent="0.2">
      <c r="A1590" s="1">
        <v>13928</v>
      </c>
      <c r="B1590" s="1" t="s">
        <v>103</v>
      </c>
      <c r="C1590" s="1" t="s">
        <v>3647</v>
      </c>
      <c r="D1590" s="1" t="str">
        <f t="shared" si="6"/>
        <v>1</v>
      </c>
      <c r="E1590" s="1" t="s">
        <v>3648</v>
      </c>
      <c r="G1590" s="1">
        <f t="array" ref="G1590">IF(ISNUMBER(MATCH(13928,Camille!$A:$A,0)), IF(OR(INDEX(Camille!$D:$D,MATCH(13928,Camille!$A:$A,0))=1, INDEX(Camille!$D:$D,MATCH(13928,Camille!$A:$A,0))=2), INDEX(Camille!$D:$D,MATCH(13928,Camille!$A:$A,0)), 0), 0)</f>
        <v>0</v>
      </c>
      <c r="H1590" s="1">
        <f t="array" ref="H1590">IF(ISNUMBER(MATCH(13928,Telmo!$A:$A,0)), IF(OR(INDEX(Telmo!$D:$D,MATCH(13928,Telmo!$A:$A,0))=1, INDEX(Telmo!$D:$D,MATCH(13928,Telmo!$A:$A,0))=2), INDEX(Telmo!$D:$D,MATCH(13928,Telmo!$A:$A,0)), 0), 0)</f>
        <v>0</v>
      </c>
      <c r="I1590" s="1">
        <f t="array" ref="I1590">IF(ISNUMBER(MATCH(13928,Max!$A:$A,0)), IF(OR(INDEX(Max!$D:$D,MATCH(13928,Max!$A:$A,0))=1, INDEX(Max!$D:$D,MATCH(13928,Max!$A:$A,0))=2), INDEX(Max!$D:$D,MATCH(13928,Max!$A:$A,0)), 0), 0)</f>
        <v>1</v>
      </c>
    </row>
    <row r="1591" spans="1:9" ht="15.75" customHeight="1" x14ac:dyDescent="0.2">
      <c r="A1591" s="1">
        <v>59478</v>
      </c>
      <c r="B1591" s="1" t="s">
        <v>1167</v>
      </c>
      <c r="C1591" s="1" t="s">
        <v>3649</v>
      </c>
      <c r="D1591" s="1" t="str">
        <f t="shared" si="6"/>
        <v>2</v>
      </c>
      <c r="E1591" s="1" t="s">
        <v>3650</v>
      </c>
      <c r="G1591" s="1">
        <f t="array" ref="G1591">IF(ISNUMBER(MATCH(59478,Camille!$A:$A,0)), IF(OR(INDEX(Camille!$D:$D,MATCH(59478,Camille!$A:$A,0))=1, INDEX(Camille!$D:$D,MATCH(59478,Camille!$A:$A,0))=2), INDEX(Camille!$D:$D,MATCH(59478,Camille!$A:$A,0)), 0), 0)</f>
        <v>0</v>
      </c>
      <c r="H1591" s="1">
        <f t="array" ref="H1591">IF(ISNUMBER(MATCH(59478,Telmo!$A:$A,0)), IF(OR(INDEX(Telmo!$D:$D,MATCH(59478,Telmo!$A:$A,0))=1, INDEX(Telmo!$D:$D,MATCH(59478,Telmo!$A:$A,0))=2), INDEX(Telmo!$D:$D,MATCH(59478,Telmo!$A:$A,0)), 0), 0)</f>
        <v>0</v>
      </c>
      <c r="I1591" s="1">
        <f t="array" ref="I1591">IF(ISNUMBER(MATCH(59478,Max!$A:$A,0)), IF(OR(INDEX(Max!$D:$D,MATCH(59478,Max!$A:$A,0))=1, INDEX(Max!$D:$D,MATCH(59478,Max!$A:$A,0))=2), INDEX(Max!$D:$D,MATCH(59478,Max!$A:$A,0)), 0), 0)</f>
        <v>2</v>
      </c>
    </row>
    <row r="1592" spans="1:9" ht="15.75" customHeight="1" x14ac:dyDescent="0.2">
      <c r="A1592" s="1">
        <v>53210</v>
      </c>
      <c r="B1592" s="1" t="s">
        <v>3651</v>
      </c>
      <c r="C1592" s="1" t="s">
        <v>3652</v>
      </c>
      <c r="D1592" s="1" t="str">
        <f t="shared" si="6"/>
        <v>2</v>
      </c>
      <c r="E1592" s="1" t="s">
        <v>3653</v>
      </c>
      <c r="G1592" s="1">
        <f t="array" ref="G1592">IF(ISNUMBER(MATCH(53210,Camille!$A:$A,0)), IF(OR(INDEX(Camille!$D:$D,MATCH(53210,Camille!$A:$A,0))=1, INDEX(Camille!$D:$D,MATCH(53210,Camille!$A:$A,0))=2), INDEX(Camille!$D:$D,MATCH(53210,Camille!$A:$A,0)), 0), 0)</f>
        <v>0</v>
      </c>
      <c r="H1592" s="1">
        <f t="array" ref="H1592">IF(ISNUMBER(MATCH(53210,Telmo!$A:$A,0)), IF(OR(INDEX(Telmo!$D:$D,MATCH(53210,Telmo!$A:$A,0))=1, INDEX(Telmo!$D:$D,MATCH(53210,Telmo!$A:$A,0))=2), INDEX(Telmo!$D:$D,MATCH(53210,Telmo!$A:$A,0)), 0), 0)</f>
        <v>0</v>
      </c>
      <c r="I1592" s="1">
        <f t="array" ref="I1592">IF(ISNUMBER(MATCH(53210,Max!$A:$A,0)), IF(OR(INDEX(Max!$D:$D,MATCH(53210,Max!$A:$A,0))=1, INDEX(Max!$D:$D,MATCH(53210,Max!$A:$A,0))=2), INDEX(Max!$D:$D,MATCH(53210,Max!$A:$A,0)), 0), 0)</f>
        <v>2</v>
      </c>
    </row>
    <row r="1593" spans="1:9" ht="15.75" customHeight="1" x14ac:dyDescent="0.2">
      <c r="A1593" s="1">
        <v>36382</v>
      </c>
      <c r="B1593" s="1" t="s">
        <v>2777</v>
      </c>
      <c r="C1593" s="1" t="s">
        <v>3654</v>
      </c>
      <c r="D1593" s="1" t="str">
        <f t="shared" si="6"/>
        <v>1</v>
      </c>
      <c r="E1593" s="1" t="s">
        <v>3655</v>
      </c>
      <c r="G1593" s="1">
        <f t="array" ref="G1593">IF(ISNUMBER(MATCH(36382,Camille!$A:$A,0)), IF(OR(INDEX(Camille!$D:$D,MATCH(36382,Camille!$A:$A,0))=1, INDEX(Camille!$D:$D,MATCH(36382,Camille!$A:$A,0))=2), INDEX(Camille!$D:$D,MATCH(36382,Camille!$A:$A,0)), 0), 0)</f>
        <v>0</v>
      </c>
      <c r="H1593" s="1">
        <f t="array" ref="H1593">IF(ISNUMBER(MATCH(36382,Telmo!$A:$A,0)), IF(OR(INDEX(Telmo!$D:$D,MATCH(36382,Telmo!$A:$A,0))=1, INDEX(Telmo!$D:$D,MATCH(36382,Telmo!$A:$A,0))=2), INDEX(Telmo!$D:$D,MATCH(36382,Telmo!$A:$A,0)), 0), 0)</f>
        <v>0</v>
      </c>
      <c r="I1593" s="1">
        <f t="array" ref="I1593">IF(ISNUMBER(MATCH(36382,Max!$A:$A,0)), IF(OR(INDEX(Max!$D:$D,MATCH(36382,Max!$A:$A,0))=1, INDEX(Max!$D:$D,MATCH(36382,Max!$A:$A,0))=2), INDEX(Max!$D:$D,MATCH(36382,Max!$A:$A,0)), 0), 0)</f>
        <v>1</v>
      </c>
    </row>
    <row r="1594" spans="1:9" ht="15.75" customHeight="1" x14ac:dyDescent="0.2">
      <c r="A1594" s="1">
        <v>1359</v>
      </c>
      <c r="B1594" s="1" t="s">
        <v>1468</v>
      </c>
      <c r="C1594" s="1" t="s">
        <v>3656</v>
      </c>
      <c r="D1594" s="1" t="str">
        <f t="shared" si="6"/>
        <v>2</v>
      </c>
      <c r="E1594" s="1" t="s">
        <v>3657</v>
      </c>
      <c r="G1594" s="1">
        <f t="array" ref="G1594">IF(ISNUMBER(MATCH(1359,Camille!$A:$A,0)), IF(OR(INDEX(Camille!$D:$D,MATCH(1359,Camille!$A:$A,0))=1, INDEX(Camille!$D:$D,MATCH(1359,Camille!$A:$A,0))=2), INDEX(Camille!$D:$D,MATCH(1359,Camille!$A:$A,0)), 0), 0)</f>
        <v>0</v>
      </c>
      <c r="H1594" s="1">
        <f t="array" ref="H1594">IF(ISNUMBER(MATCH(1359,Telmo!$A:$A,0)), IF(OR(INDEX(Telmo!$D:$D,MATCH(1359,Telmo!$A:$A,0))=1, INDEX(Telmo!$D:$D,MATCH(1359,Telmo!$A:$A,0))=2), INDEX(Telmo!$D:$D,MATCH(1359,Telmo!$A:$A,0)), 0), 0)</f>
        <v>0</v>
      </c>
      <c r="I1594" s="1">
        <f t="array" ref="I1594">IF(ISNUMBER(MATCH(1359,Max!$A:$A,0)), IF(OR(INDEX(Max!$D:$D,MATCH(1359,Max!$A:$A,0))=1, INDEX(Max!$D:$D,MATCH(1359,Max!$A:$A,0))=2), INDEX(Max!$D:$D,MATCH(1359,Max!$A:$A,0)), 0), 0)</f>
        <v>2</v>
      </c>
    </row>
    <row r="1595" spans="1:9" ht="15.75" customHeight="1" x14ac:dyDescent="0.2">
      <c r="A1595" s="1">
        <v>42071</v>
      </c>
      <c r="B1595" s="1" t="s">
        <v>405</v>
      </c>
      <c r="C1595" s="1" t="s">
        <v>3658</v>
      </c>
      <c r="D1595" s="1" t="str">
        <f t="shared" si="6"/>
        <v>2</v>
      </c>
      <c r="E1595" s="1" t="s">
        <v>3659</v>
      </c>
      <c r="G1595" s="1">
        <f t="array" ref="G1595">IF(ISNUMBER(MATCH(42071,Camille!$A:$A,0)), IF(OR(INDEX(Camille!$D:$D,MATCH(42071,Camille!$A:$A,0))=1, INDEX(Camille!$D:$D,MATCH(42071,Camille!$A:$A,0))=2), INDEX(Camille!$D:$D,MATCH(42071,Camille!$A:$A,0)), 0), 0)</f>
        <v>0</v>
      </c>
      <c r="H1595" s="1">
        <f t="array" ref="H1595">IF(ISNUMBER(MATCH(42071,Telmo!$A:$A,0)), IF(OR(INDEX(Telmo!$D:$D,MATCH(42071,Telmo!$A:$A,0))=1, INDEX(Telmo!$D:$D,MATCH(42071,Telmo!$A:$A,0))=2), INDEX(Telmo!$D:$D,MATCH(42071,Telmo!$A:$A,0)), 0), 0)</f>
        <v>0</v>
      </c>
      <c r="I1595" s="1">
        <f t="array" ref="I1595">IF(ISNUMBER(MATCH(42071,Max!$A:$A,0)), IF(OR(INDEX(Max!$D:$D,MATCH(42071,Max!$A:$A,0))=1, INDEX(Max!$D:$D,MATCH(42071,Max!$A:$A,0))=2), INDEX(Max!$D:$D,MATCH(42071,Max!$A:$A,0)), 0), 0)</f>
        <v>2</v>
      </c>
    </row>
    <row r="1596" spans="1:9" ht="15.75" customHeight="1" x14ac:dyDescent="0.2">
      <c r="A1596" s="1">
        <v>46786</v>
      </c>
      <c r="B1596" s="1" t="s">
        <v>1921</v>
      </c>
      <c r="C1596" s="1" t="s">
        <v>3660</v>
      </c>
      <c r="D1596" s="1" t="str">
        <f t="shared" si="6"/>
        <v>2</v>
      </c>
      <c r="E1596" s="1" t="s">
        <v>3661</v>
      </c>
      <c r="G1596" s="1">
        <f t="array" ref="G1596">IF(ISNUMBER(MATCH(46786,Camille!$A:$A,0)), IF(OR(INDEX(Camille!$D:$D,MATCH(46786,Camille!$A:$A,0))=1, INDEX(Camille!$D:$D,MATCH(46786,Camille!$A:$A,0))=2), INDEX(Camille!$D:$D,MATCH(46786,Camille!$A:$A,0)), 0), 0)</f>
        <v>0</v>
      </c>
      <c r="H1596" s="1">
        <f t="array" ref="H1596">IF(ISNUMBER(MATCH(46786,Telmo!$A:$A,0)), IF(OR(INDEX(Telmo!$D:$D,MATCH(46786,Telmo!$A:$A,0))=1, INDEX(Telmo!$D:$D,MATCH(46786,Telmo!$A:$A,0))=2), INDEX(Telmo!$D:$D,MATCH(46786,Telmo!$A:$A,0)), 0), 0)</f>
        <v>0</v>
      </c>
      <c r="I1596" s="1">
        <f t="array" ref="I1596">IF(ISNUMBER(MATCH(46786,Max!$A:$A,0)), IF(OR(INDEX(Max!$D:$D,MATCH(46786,Max!$A:$A,0))=1, INDEX(Max!$D:$D,MATCH(46786,Max!$A:$A,0))=2), INDEX(Max!$D:$D,MATCH(46786,Max!$A:$A,0)), 0), 0)</f>
        <v>2</v>
      </c>
    </row>
    <row r="1597" spans="1:9" ht="15.75" customHeight="1" x14ac:dyDescent="0.2">
      <c r="A1597" s="1">
        <v>7814</v>
      </c>
      <c r="B1597" s="1" t="s">
        <v>17</v>
      </c>
      <c r="C1597" s="1" t="s">
        <v>3662</v>
      </c>
      <c r="D1597" s="1" t="str">
        <f t="shared" si="6"/>
        <v>2</v>
      </c>
      <c r="E1597" s="1" t="s">
        <v>3663</v>
      </c>
      <c r="G1597" s="1">
        <f t="array" ref="G1597">IF(ISNUMBER(MATCH(7814,Camille!$A:$A,0)), IF(OR(INDEX(Camille!$D:$D,MATCH(7814,Camille!$A:$A,0))=1, INDEX(Camille!$D:$D,MATCH(7814,Camille!$A:$A,0))=2), INDEX(Camille!$D:$D,MATCH(7814,Camille!$A:$A,0)), 0), 0)</f>
        <v>0</v>
      </c>
      <c r="H1597" s="1">
        <f t="array" ref="H1597">IF(ISNUMBER(MATCH(7814,Telmo!$A:$A,0)), IF(OR(INDEX(Telmo!$D:$D,MATCH(7814,Telmo!$A:$A,0))=1, INDEX(Telmo!$D:$D,MATCH(7814,Telmo!$A:$A,0))=2), INDEX(Telmo!$D:$D,MATCH(7814,Telmo!$A:$A,0)), 0), 0)</f>
        <v>0</v>
      </c>
      <c r="I1597" s="1">
        <f t="array" ref="I1597">IF(ISNUMBER(MATCH(7814,Max!$A:$A,0)), IF(OR(INDEX(Max!$D:$D,MATCH(7814,Max!$A:$A,0))=1, INDEX(Max!$D:$D,MATCH(7814,Max!$A:$A,0))=2), INDEX(Max!$D:$D,MATCH(7814,Max!$A:$A,0)), 0), 0)</f>
        <v>2</v>
      </c>
    </row>
    <row r="1598" spans="1:9" ht="15.75" customHeight="1" x14ac:dyDescent="0.2">
      <c r="A1598" s="1">
        <v>67029</v>
      </c>
      <c r="B1598" s="1" t="s">
        <v>991</v>
      </c>
      <c r="C1598" s="1" t="s">
        <v>3664</v>
      </c>
      <c r="D1598" s="1" t="str">
        <f t="shared" si="6"/>
        <v>1</v>
      </c>
      <c r="E1598" s="1" t="s">
        <v>3665</v>
      </c>
      <c r="G1598" s="1">
        <f t="array" ref="G1598">IF(ISNUMBER(MATCH(67029,Camille!$A:$A,0)), IF(OR(INDEX(Camille!$D:$D,MATCH(67029,Camille!$A:$A,0))=1, INDEX(Camille!$D:$D,MATCH(67029,Camille!$A:$A,0))=2), INDEX(Camille!$D:$D,MATCH(67029,Camille!$A:$A,0)), 0), 0)</f>
        <v>0</v>
      </c>
      <c r="H1598" s="1">
        <f t="array" ref="H1598">IF(ISNUMBER(MATCH(67029,Telmo!$A:$A,0)), IF(OR(INDEX(Telmo!$D:$D,MATCH(67029,Telmo!$A:$A,0))=1, INDEX(Telmo!$D:$D,MATCH(67029,Telmo!$A:$A,0))=2), INDEX(Telmo!$D:$D,MATCH(67029,Telmo!$A:$A,0)), 0), 0)</f>
        <v>0</v>
      </c>
      <c r="I1598" s="1">
        <f t="array" ref="I1598">IF(ISNUMBER(MATCH(67029,Max!$A:$A,0)), IF(OR(INDEX(Max!$D:$D,MATCH(67029,Max!$A:$A,0))=1, INDEX(Max!$D:$D,MATCH(67029,Max!$A:$A,0))=2), INDEX(Max!$D:$D,MATCH(67029,Max!$A:$A,0)), 0), 0)</f>
        <v>1</v>
      </c>
    </row>
    <row r="1599" spans="1:9" ht="15.75" customHeight="1" x14ac:dyDescent="0.2">
      <c r="A1599" s="1">
        <v>51990</v>
      </c>
      <c r="B1599" s="1" t="s">
        <v>552</v>
      </c>
      <c r="C1599" s="1" t="s">
        <v>3666</v>
      </c>
      <c r="D1599" s="1" t="str">
        <f t="shared" si="6"/>
        <v>1</v>
      </c>
      <c r="E1599" s="1" t="s">
        <v>3667</v>
      </c>
      <c r="G1599" s="1">
        <f t="array" ref="G1599">IF(ISNUMBER(MATCH(51990,Camille!$A:$A,0)), IF(OR(INDEX(Camille!$D:$D,MATCH(51990,Camille!$A:$A,0))=1, INDEX(Camille!$D:$D,MATCH(51990,Camille!$A:$A,0))=2), INDEX(Camille!$D:$D,MATCH(51990,Camille!$A:$A,0)), 0), 0)</f>
        <v>0</v>
      </c>
      <c r="H1599" s="1">
        <f t="array" ref="H1599">IF(ISNUMBER(MATCH(51990,Telmo!$A:$A,0)), IF(OR(INDEX(Telmo!$D:$D,MATCH(51990,Telmo!$A:$A,0))=1, INDEX(Telmo!$D:$D,MATCH(51990,Telmo!$A:$A,0))=2), INDEX(Telmo!$D:$D,MATCH(51990,Telmo!$A:$A,0)), 0), 0)</f>
        <v>0</v>
      </c>
      <c r="I1599" s="1">
        <f t="array" ref="I1599">IF(ISNUMBER(MATCH(51990,Max!$A:$A,0)), IF(OR(INDEX(Max!$D:$D,MATCH(51990,Max!$A:$A,0))=1, INDEX(Max!$D:$D,MATCH(51990,Max!$A:$A,0))=2), INDEX(Max!$D:$D,MATCH(51990,Max!$A:$A,0)), 0), 0)</f>
        <v>1</v>
      </c>
    </row>
    <row r="1600" spans="1:9" ht="15.75" customHeight="1" x14ac:dyDescent="0.2">
      <c r="A1600" s="1">
        <v>67630</v>
      </c>
      <c r="B1600" s="1" t="s">
        <v>552</v>
      </c>
      <c r="C1600" s="1" t="s">
        <v>3668</v>
      </c>
      <c r="D1600" s="1" t="str">
        <f t="shared" si="6"/>
        <v>1</v>
      </c>
      <c r="E1600" s="1" t="s">
        <v>3669</v>
      </c>
      <c r="G1600" s="1">
        <f t="array" ref="G1600">IF(ISNUMBER(MATCH(67630,Camille!$A:$A,0)), IF(OR(INDEX(Camille!$D:$D,MATCH(67630,Camille!$A:$A,0))=1, INDEX(Camille!$D:$D,MATCH(67630,Camille!$A:$A,0))=2), INDEX(Camille!$D:$D,MATCH(67630,Camille!$A:$A,0)), 0), 0)</f>
        <v>0</v>
      </c>
      <c r="H1600" s="1">
        <f t="array" ref="H1600">IF(ISNUMBER(MATCH(67630,Telmo!$A:$A,0)), IF(OR(INDEX(Telmo!$D:$D,MATCH(67630,Telmo!$A:$A,0))=1, INDEX(Telmo!$D:$D,MATCH(67630,Telmo!$A:$A,0))=2), INDEX(Telmo!$D:$D,MATCH(67630,Telmo!$A:$A,0)), 0), 0)</f>
        <v>0</v>
      </c>
      <c r="I1600" s="1">
        <f t="array" ref="I1600">IF(ISNUMBER(MATCH(67630,Max!$A:$A,0)), IF(OR(INDEX(Max!$D:$D,MATCH(67630,Max!$A:$A,0))=1, INDEX(Max!$D:$D,MATCH(67630,Max!$A:$A,0))=2), INDEX(Max!$D:$D,MATCH(67630,Max!$A:$A,0)), 0), 0)</f>
        <v>1</v>
      </c>
    </row>
    <row r="1601" spans="1:9" ht="15.75" customHeight="1" x14ac:dyDescent="0.2">
      <c r="A1601" s="1">
        <v>6600</v>
      </c>
      <c r="B1601" s="1" t="s">
        <v>129</v>
      </c>
      <c r="C1601" s="1" t="s">
        <v>3670</v>
      </c>
      <c r="D1601" s="1" t="str">
        <f t="shared" si="6"/>
        <v>2</v>
      </c>
      <c r="E1601" s="1" t="s">
        <v>3671</v>
      </c>
      <c r="G1601" s="1">
        <f t="array" ref="G1601">IF(ISNUMBER(MATCH(6600,Camille!$A:$A,0)), IF(OR(INDEX(Camille!$D:$D,MATCH(6600,Camille!$A:$A,0))=1, INDEX(Camille!$D:$D,MATCH(6600,Camille!$A:$A,0))=2), INDEX(Camille!$D:$D,MATCH(6600,Camille!$A:$A,0)), 0), 0)</f>
        <v>0</v>
      </c>
      <c r="H1601" s="1">
        <f t="array" ref="H1601">IF(ISNUMBER(MATCH(6600,Telmo!$A:$A,0)), IF(OR(INDEX(Telmo!$D:$D,MATCH(6600,Telmo!$A:$A,0))=1, INDEX(Telmo!$D:$D,MATCH(6600,Telmo!$A:$A,0))=2), INDEX(Telmo!$D:$D,MATCH(6600,Telmo!$A:$A,0)), 0), 0)</f>
        <v>0</v>
      </c>
      <c r="I1601" s="1">
        <f t="array" ref="I1601">IF(ISNUMBER(MATCH(6600,Max!$A:$A,0)), IF(OR(INDEX(Max!$D:$D,MATCH(6600,Max!$A:$A,0))=1, INDEX(Max!$D:$D,MATCH(6600,Max!$A:$A,0))=2), INDEX(Max!$D:$D,MATCH(6600,Max!$A:$A,0)), 0), 0)</f>
        <v>2</v>
      </c>
    </row>
    <row r="1602" spans="1:9" ht="15.75" customHeight="1" x14ac:dyDescent="0.2">
      <c r="A1602" s="1">
        <v>57939</v>
      </c>
      <c r="B1602" s="1" t="s">
        <v>276</v>
      </c>
      <c r="C1602" s="1" t="s">
        <v>3672</v>
      </c>
      <c r="D1602" s="1" t="str">
        <f t="shared" si="6"/>
        <v>1</v>
      </c>
      <c r="E1602" s="1" t="s">
        <v>3673</v>
      </c>
      <c r="G1602" s="1">
        <f t="array" ref="G1602">IF(ISNUMBER(MATCH(57939,Camille!$A:$A,0)), IF(OR(INDEX(Camille!$D:$D,MATCH(57939,Camille!$A:$A,0))=1, INDEX(Camille!$D:$D,MATCH(57939,Camille!$A:$A,0))=2), INDEX(Camille!$D:$D,MATCH(57939,Camille!$A:$A,0)), 0), 0)</f>
        <v>0</v>
      </c>
      <c r="H1602" s="1">
        <f t="array" ref="H1602">IF(ISNUMBER(MATCH(57939,Telmo!$A:$A,0)), IF(OR(INDEX(Telmo!$D:$D,MATCH(57939,Telmo!$A:$A,0))=1, INDEX(Telmo!$D:$D,MATCH(57939,Telmo!$A:$A,0))=2), INDEX(Telmo!$D:$D,MATCH(57939,Telmo!$A:$A,0)), 0), 0)</f>
        <v>0</v>
      </c>
      <c r="I1602" s="1">
        <f t="array" ref="I1602">IF(ISNUMBER(MATCH(57939,Max!$A:$A,0)), IF(OR(INDEX(Max!$D:$D,MATCH(57939,Max!$A:$A,0))=1, INDEX(Max!$D:$D,MATCH(57939,Max!$A:$A,0))=2), INDEX(Max!$D:$D,MATCH(57939,Max!$A:$A,0)), 0), 0)</f>
        <v>1</v>
      </c>
    </row>
    <row r="1603" spans="1:9" ht="15.75" customHeight="1" x14ac:dyDescent="0.2">
      <c r="A1603" s="1">
        <v>33757</v>
      </c>
      <c r="B1603" s="1" t="s">
        <v>44</v>
      </c>
      <c r="C1603" s="1" t="s">
        <v>3674</v>
      </c>
      <c r="D1603" s="1" t="str">
        <f t="shared" si="6"/>
        <v>2</v>
      </c>
      <c r="E1603" s="1" t="s">
        <v>3675</v>
      </c>
      <c r="G1603" s="1">
        <f t="array" ref="G1603">IF(ISNUMBER(MATCH(33757,Camille!$A:$A,0)), IF(OR(INDEX(Camille!$D:$D,MATCH(33757,Camille!$A:$A,0))=1, INDEX(Camille!$D:$D,MATCH(33757,Camille!$A:$A,0))=2), INDEX(Camille!$D:$D,MATCH(33757,Camille!$A:$A,0)), 0), 0)</f>
        <v>0</v>
      </c>
      <c r="H1603" s="1">
        <f t="array" ref="H1603">IF(ISNUMBER(MATCH(33757,Telmo!$A:$A,0)), IF(OR(INDEX(Telmo!$D:$D,MATCH(33757,Telmo!$A:$A,0))=1, INDEX(Telmo!$D:$D,MATCH(33757,Telmo!$A:$A,0))=2), INDEX(Telmo!$D:$D,MATCH(33757,Telmo!$A:$A,0)), 0), 0)</f>
        <v>0</v>
      </c>
      <c r="I1603" s="1">
        <f t="array" ref="I1603">IF(ISNUMBER(MATCH(33757,Max!$A:$A,0)), IF(OR(INDEX(Max!$D:$D,MATCH(33757,Max!$A:$A,0))=1, INDEX(Max!$D:$D,MATCH(33757,Max!$A:$A,0))=2), INDEX(Max!$D:$D,MATCH(33757,Max!$A:$A,0)), 0), 0)</f>
        <v>2</v>
      </c>
    </row>
    <row r="1604" spans="1:9" ht="15.75" customHeight="1" x14ac:dyDescent="0.2">
      <c r="A1604" s="1">
        <v>63767</v>
      </c>
      <c r="B1604" s="1" t="s">
        <v>3676</v>
      </c>
      <c r="C1604" s="1" t="s">
        <v>3677</v>
      </c>
      <c r="D1604" s="1" t="str">
        <f t="shared" si="6"/>
        <v>2</v>
      </c>
      <c r="E1604" s="1" t="s">
        <v>3678</v>
      </c>
      <c r="G1604" s="1">
        <f t="array" ref="G1604">IF(ISNUMBER(MATCH(63767,Camille!$A:$A,0)), IF(OR(INDEX(Camille!$D:$D,MATCH(63767,Camille!$A:$A,0))=1, INDEX(Camille!$D:$D,MATCH(63767,Camille!$A:$A,0))=2), INDEX(Camille!$D:$D,MATCH(63767,Camille!$A:$A,0)), 0), 0)</f>
        <v>0</v>
      </c>
      <c r="H1604" s="1">
        <f t="array" ref="H1604">IF(ISNUMBER(MATCH(63767,Telmo!$A:$A,0)), IF(OR(INDEX(Telmo!$D:$D,MATCH(63767,Telmo!$A:$A,0))=1, INDEX(Telmo!$D:$D,MATCH(63767,Telmo!$A:$A,0))=2), INDEX(Telmo!$D:$D,MATCH(63767,Telmo!$A:$A,0)), 0), 0)</f>
        <v>0</v>
      </c>
      <c r="I1604" s="1">
        <f t="array" ref="I1604">IF(ISNUMBER(MATCH(63767,Max!$A:$A,0)), IF(OR(INDEX(Max!$D:$D,MATCH(63767,Max!$A:$A,0))=1, INDEX(Max!$D:$D,MATCH(63767,Max!$A:$A,0))=2), INDEX(Max!$D:$D,MATCH(63767,Max!$A:$A,0)), 0), 0)</f>
        <v>2</v>
      </c>
    </row>
    <row r="1605" spans="1:9" ht="15.75" customHeight="1" x14ac:dyDescent="0.2">
      <c r="A1605" s="1">
        <v>63168</v>
      </c>
      <c r="B1605" s="1" t="s">
        <v>153</v>
      </c>
      <c r="C1605" s="1" t="s">
        <v>3679</v>
      </c>
      <c r="D1605" s="1" t="str">
        <f t="shared" si="6"/>
        <v>1</v>
      </c>
      <c r="E1605" s="1" t="s">
        <v>3680</v>
      </c>
      <c r="G1605" s="1">
        <f t="array" ref="G1605">IF(ISNUMBER(MATCH(63168,Camille!$A:$A,0)), IF(OR(INDEX(Camille!$D:$D,MATCH(63168,Camille!$A:$A,0))=1, INDEX(Camille!$D:$D,MATCH(63168,Camille!$A:$A,0))=2), INDEX(Camille!$D:$D,MATCH(63168,Camille!$A:$A,0)), 0), 0)</f>
        <v>0</v>
      </c>
      <c r="H1605" s="1">
        <f t="array" ref="H1605">IF(ISNUMBER(MATCH(63168,Telmo!$A:$A,0)), IF(OR(INDEX(Telmo!$D:$D,MATCH(63168,Telmo!$A:$A,0))=1, INDEX(Telmo!$D:$D,MATCH(63168,Telmo!$A:$A,0))=2), INDEX(Telmo!$D:$D,MATCH(63168,Telmo!$A:$A,0)), 0), 0)</f>
        <v>0</v>
      </c>
      <c r="I1605" s="1">
        <f t="array" ref="I1605">IF(ISNUMBER(MATCH(63168,Max!$A:$A,0)), IF(OR(INDEX(Max!$D:$D,MATCH(63168,Max!$A:$A,0))=1, INDEX(Max!$D:$D,MATCH(63168,Max!$A:$A,0))=2), INDEX(Max!$D:$D,MATCH(63168,Max!$A:$A,0)), 0), 0)</f>
        <v>1</v>
      </c>
    </row>
    <row r="1606" spans="1:9" ht="15.75" customHeight="1" x14ac:dyDescent="0.2">
      <c r="A1606" s="1">
        <v>10725</v>
      </c>
      <c r="B1606" s="1" t="s">
        <v>571</v>
      </c>
      <c r="C1606" s="1" t="s">
        <v>3681</v>
      </c>
      <c r="D1606" s="1" t="str">
        <f t="shared" si="6"/>
        <v>1</v>
      </c>
      <c r="E1606" s="1" t="s">
        <v>3682</v>
      </c>
      <c r="G1606" s="1">
        <f t="array" ref="G1606">IF(ISNUMBER(MATCH(10725,Camille!$A:$A,0)), IF(OR(INDEX(Camille!$D:$D,MATCH(10725,Camille!$A:$A,0))=1, INDEX(Camille!$D:$D,MATCH(10725,Camille!$A:$A,0))=2), INDEX(Camille!$D:$D,MATCH(10725,Camille!$A:$A,0)), 0), 0)</f>
        <v>0</v>
      </c>
      <c r="H1606" s="1">
        <f t="array" ref="H1606">IF(ISNUMBER(MATCH(10725,Telmo!$A:$A,0)), IF(OR(INDEX(Telmo!$D:$D,MATCH(10725,Telmo!$A:$A,0))=1, INDEX(Telmo!$D:$D,MATCH(10725,Telmo!$A:$A,0))=2), INDEX(Telmo!$D:$D,MATCH(10725,Telmo!$A:$A,0)), 0), 0)</f>
        <v>0</v>
      </c>
      <c r="I1606" s="1">
        <f t="array" ref="I1606">IF(ISNUMBER(MATCH(10725,Max!$A:$A,0)), IF(OR(INDEX(Max!$D:$D,MATCH(10725,Max!$A:$A,0))=1, INDEX(Max!$D:$D,MATCH(10725,Max!$A:$A,0))=2), INDEX(Max!$D:$D,MATCH(10725,Max!$A:$A,0)), 0), 0)</f>
        <v>1</v>
      </c>
    </row>
    <row r="1607" spans="1:9" ht="15.75" customHeight="1" x14ac:dyDescent="0.2">
      <c r="A1607" s="1">
        <v>17923</v>
      </c>
      <c r="B1607" s="1" t="s">
        <v>562</v>
      </c>
      <c r="C1607" s="1" t="s">
        <v>3683</v>
      </c>
      <c r="D1607" s="1" t="str">
        <f t="shared" si="6"/>
        <v>2</v>
      </c>
      <c r="E1607" s="1" t="s">
        <v>3684</v>
      </c>
      <c r="G1607" s="1">
        <f t="array" ref="G1607">IF(ISNUMBER(MATCH(17923,Camille!$A:$A,0)), IF(OR(INDEX(Camille!$D:$D,MATCH(17923,Camille!$A:$A,0))=1, INDEX(Camille!$D:$D,MATCH(17923,Camille!$A:$A,0))=2), INDEX(Camille!$D:$D,MATCH(17923,Camille!$A:$A,0)), 0), 0)</f>
        <v>0</v>
      </c>
      <c r="H1607" s="1">
        <f t="array" ref="H1607">IF(ISNUMBER(MATCH(17923,Telmo!$A:$A,0)), IF(OR(INDEX(Telmo!$D:$D,MATCH(17923,Telmo!$A:$A,0))=1, INDEX(Telmo!$D:$D,MATCH(17923,Telmo!$A:$A,0))=2), INDEX(Telmo!$D:$D,MATCH(17923,Telmo!$A:$A,0)), 0), 0)</f>
        <v>0</v>
      </c>
      <c r="I1607" s="1">
        <f t="array" ref="I1607">IF(ISNUMBER(MATCH(17923,Max!$A:$A,0)), IF(OR(INDEX(Max!$D:$D,MATCH(17923,Max!$A:$A,0))=1, INDEX(Max!$D:$D,MATCH(17923,Max!$A:$A,0))=2), INDEX(Max!$D:$D,MATCH(17923,Max!$A:$A,0)), 0), 0)</f>
        <v>2</v>
      </c>
    </row>
    <row r="1608" spans="1:9" ht="15.75" customHeight="1" x14ac:dyDescent="0.2">
      <c r="A1608" s="1">
        <v>61154</v>
      </c>
      <c r="B1608" s="1" t="s">
        <v>3685</v>
      </c>
      <c r="C1608" s="1" t="s">
        <v>3686</v>
      </c>
      <c r="D1608" s="1" t="str">
        <f t="shared" si="6"/>
        <v>1</v>
      </c>
      <c r="E1608" s="1" t="s">
        <v>3687</v>
      </c>
      <c r="G1608" s="1">
        <f t="array" ref="G1608">IF(ISNUMBER(MATCH(61154,Camille!$A:$A,0)), IF(OR(INDEX(Camille!$D:$D,MATCH(61154,Camille!$A:$A,0))=1, INDEX(Camille!$D:$D,MATCH(61154,Camille!$A:$A,0))=2), INDEX(Camille!$D:$D,MATCH(61154,Camille!$A:$A,0)), 0), 0)</f>
        <v>0</v>
      </c>
      <c r="H1608" s="1">
        <f t="array" ref="H1608">IF(ISNUMBER(MATCH(61154,Telmo!$A:$A,0)), IF(OR(INDEX(Telmo!$D:$D,MATCH(61154,Telmo!$A:$A,0))=1, INDEX(Telmo!$D:$D,MATCH(61154,Telmo!$A:$A,0))=2), INDEX(Telmo!$D:$D,MATCH(61154,Telmo!$A:$A,0)), 0), 0)</f>
        <v>0</v>
      </c>
      <c r="I1608" s="1">
        <f t="array" ref="I1608">IF(ISNUMBER(MATCH(61154,Max!$A:$A,0)), IF(OR(INDEX(Max!$D:$D,MATCH(61154,Max!$A:$A,0))=1, INDEX(Max!$D:$D,MATCH(61154,Max!$A:$A,0))=2), INDEX(Max!$D:$D,MATCH(61154,Max!$A:$A,0)), 0), 0)</f>
        <v>1</v>
      </c>
    </row>
    <row r="1609" spans="1:9" ht="15.75" customHeight="1" x14ac:dyDescent="0.2">
      <c r="A1609" s="1">
        <v>68657</v>
      </c>
      <c r="B1609" s="1" t="s">
        <v>103</v>
      </c>
      <c r="C1609" s="1" t="s">
        <v>3688</v>
      </c>
      <c r="D1609" s="1" t="str">
        <f t="shared" si="6"/>
        <v>2</v>
      </c>
      <c r="E1609" s="1" t="s">
        <v>3689</v>
      </c>
      <c r="G1609" s="1">
        <f t="array" ref="G1609">IF(ISNUMBER(MATCH(68657,Camille!$A:$A,0)), IF(OR(INDEX(Camille!$D:$D,MATCH(68657,Camille!$A:$A,0))=1, INDEX(Camille!$D:$D,MATCH(68657,Camille!$A:$A,0))=2), INDEX(Camille!$D:$D,MATCH(68657,Camille!$A:$A,0)), 0), 0)</f>
        <v>0</v>
      </c>
      <c r="H1609" s="1">
        <f t="array" ref="H1609">IF(ISNUMBER(MATCH(68657,Telmo!$A:$A,0)), IF(OR(INDEX(Telmo!$D:$D,MATCH(68657,Telmo!$A:$A,0))=1, INDEX(Telmo!$D:$D,MATCH(68657,Telmo!$A:$A,0))=2), INDEX(Telmo!$D:$D,MATCH(68657,Telmo!$A:$A,0)), 0), 0)</f>
        <v>0</v>
      </c>
      <c r="I1609" s="1">
        <f t="array" ref="I1609">IF(ISNUMBER(MATCH(68657,Max!$A:$A,0)), IF(OR(INDEX(Max!$D:$D,MATCH(68657,Max!$A:$A,0))=1, INDEX(Max!$D:$D,MATCH(68657,Max!$A:$A,0))=2), INDEX(Max!$D:$D,MATCH(68657,Max!$A:$A,0)), 0), 0)</f>
        <v>2</v>
      </c>
    </row>
    <row r="1610" spans="1:9" ht="15.75" customHeight="1" x14ac:dyDescent="0.2">
      <c r="A1610" s="1">
        <v>48575</v>
      </c>
      <c r="B1610" s="1" t="s">
        <v>848</v>
      </c>
      <c r="C1610" s="1" t="s">
        <v>3690</v>
      </c>
      <c r="D1610" s="1" t="str">
        <f t="shared" si="6"/>
        <v>2</v>
      </c>
      <c r="E1610" s="1" t="s">
        <v>3691</v>
      </c>
      <c r="G1610" s="1">
        <f t="array" ref="G1610">IF(ISNUMBER(MATCH(48575,Camille!$A:$A,0)), IF(OR(INDEX(Camille!$D:$D,MATCH(48575,Camille!$A:$A,0))=1, INDEX(Camille!$D:$D,MATCH(48575,Camille!$A:$A,0))=2), INDEX(Camille!$D:$D,MATCH(48575,Camille!$A:$A,0)), 0), 0)</f>
        <v>0</v>
      </c>
      <c r="H1610" s="1">
        <f t="array" ref="H1610">IF(ISNUMBER(MATCH(48575,Telmo!$A:$A,0)), IF(OR(INDEX(Telmo!$D:$D,MATCH(48575,Telmo!$A:$A,0))=1, INDEX(Telmo!$D:$D,MATCH(48575,Telmo!$A:$A,0))=2), INDEX(Telmo!$D:$D,MATCH(48575,Telmo!$A:$A,0)), 0), 0)</f>
        <v>0</v>
      </c>
      <c r="I1610" s="1">
        <f t="array" ref="I1610">IF(ISNUMBER(MATCH(48575,Max!$A:$A,0)), IF(OR(INDEX(Max!$D:$D,MATCH(48575,Max!$A:$A,0))=1, INDEX(Max!$D:$D,MATCH(48575,Max!$A:$A,0))=2), INDEX(Max!$D:$D,MATCH(48575,Max!$A:$A,0)), 0), 0)</f>
        <v>2</v>
      </c>
    </row>
    <row r="1611" spans="1:9" ht="15.75" customHeight="1" x14ac:dyDescent="0.2">
      <c r="A1611" s="1">
        <v>3436</v>
      </c>
      <c r="B1611" s="1" t="s">
        <v>3692</v>
      </c>
      <c r="C1611" s="1" t="s">
        <v>3693</v>
      </c>
      <c r="D1611" s="1" t="str">
        <f t="shared" si="6"/>
        <v>2</v>
      </c>
      <c r="E1611" s="1" t="s">
        <v>3694</v>
      </c>
      <c r="G1611" s="1">
        <f t="array" ref="G1611">IF(ISNUMBER(MATCH(3436,Camille!$A:$A,0)), IF(OR(INDEX(Camille!$D:$D,MATCH(3436,Camille!$A:$A,0))=1, INDEX(Camille!$D:$D,MATCH(3436,Camille!$A:$A,0))=2), INDEX(Camille!$D:$D,MATCH(3436,Camille!$A:$A,0)), 0), 0)</f>
        <v>0</v>
      </c>
      <c r="H1611" s="1">
        <f t="array" ref="H1611">IF(ISNUMBER(MATCH(3436,Telmo!$A:$A,0)), IF(OR(INDEX(Telmo!$D:$D,MATCH(3436,Telmo!$A:$A,0))=1, INDEX(Telmo!$D:$D,MATCH(3436,Telmo!$A:$A,0))=2), INDEX(Telmo!$D:$D,MATCH(3436,Telmo!$A:$A,0)), 0), 0)</f>
        <v>0</v>
      </c>
      <c r="I1611" s="1">
        <f t="array" ref="I1611">IF(ISNUMBER(MATCH(3436,Max!$A:$A,0)), IF(OR(INDEX(Max!$D:$D,MATCH(3436,Max!$A:$A,0))=1, INDEX(Max!$D:$D,MATCH(3436,Max!$A:$A,0))=2), INDEX(Max!$D:$D,MATCH(3436,Max!$A:$A,0)), 0), 0)</f>
        <v>2</v>
      </c>
    </row>
    <row r="1612" spans="1:9" ht="15.75" customHeight="1" x14ac:dyDescent="0.2">
      <c r="A1612" s="1">
        <v>22973</v>
      </c>
      <c r="B1612" s="1" t="s">
        <v>180</v>
      </c>
      <c r="C1612" s="1" t="s">
        <v>3695</v>
      </c>
      <c r="D1612" s="1" t="str">
        <f t="shared" si="6"/>
        <v>2</v>
      </c>
      <c r="E1612" s="1" t="s">
        <v>3696</v>
      </c>
      <c r="G1612" s="1">
        <f t="array" ref="G1612">IF(ISNUMBER(MATCH(22973,Camille!$A:$A,0)), IF(OR(INDEX(Camille!$D:$D,MATCH(22973,Camille!$A:$A,0))=1, INDEX(Camille!$D:$D,MATCH(22973,Camille!$A:$A,0))=2), INDEX(Camille!$D:$D,MATCH(22973,Camille!$A:$A,0)), 0), 0)</f>
        <v>0</v>
      </c>
      <c r="H1612" s="1">
        <f t="array" ref="H1612">IF(ISNUMBER(MATCH(22973,Telmo!$A:$A,0)), IF(OR(INDEX(Telmo!$D:$D,MATCH(22973,Telmo!$A:$A,0))=1, INDEX(Telmo!$D:$D,MATCH(22973,Telmo!$A:$A,0))=2), INDEX(Telmo!$D:$D,MATCH(22973,Telmo!$A:$A,0)), 0), 0)</f>
        <v>0</v>
      </c>
      <c r="I1612" s="1">
        <f t="array" ref="I1612">IF(ISNUMBER(MATCH(22973,Max!$A:$A,0)), IF(OR(INDEX(Max!$D:$D,MATCH(22973,Max!$A:$A,0))=1, INDEX(Max!$D:$D,MATCH(22973,Max!$A:$A,0))=2), INDEX(Max!$D:$D,MATCH(22973,Max!$A:$A,0)), 0), 0)</f>
        <v>2</v>
      </c>
    </row>
    <row r="1613" spans="1:9" ht="15.75" customHeight="1" x14ac:dyDescent="0.2">
      <c r="A1613" s="1">
        <v>1498</v>
      </c>
      <c r="B1613" s="1" t="s">
        <v>3697</v>
      </c>
      <c r="C1613" s="1" t="s">
        <v>3698</v>
      </c>
      <c r="D1613" s="1" t="str">
        <f t="shared" si="6"/>
        <v>1</v>
      </c>
      <c r="E1613" s="1" t="s">
        <v>3699</v>
      </c>
      <c r="G1613" s="1">
        <f t="array" ref="G1613">IF(ISNUMBER(MATCH(1498,Camille!$A:$A,0)), IF(OR(INDEX(Camille!$D:$D,MATCH(1498,Camille!$A:$A,0))=1, INDEX(Camille!$D:$D,MATCH(1498,Camille!$A:$A,0))=2), INDEX(Camille!$D:$D,MATCH(1498,Camille!$A:$A,0)), 0), 0)</f>
        <v>0</v>
      </c>
      <c r="H1613" s="1">
        <f t="array" ref="H1613">IF(ISNUMBER(MATCH(1498,Telmo!$A:$A,0)), IF(OR(INDEX(Telmo!$D:$D,MATCH(1498,Telmo!$A:$A,0))=1, INDEX(Telmo!$D:$D,MATCH(1498,Telmo!$A:$A,0))=2), INDEX(Telmo!$D:$D,MATCH(1498,Telmo!$A:$A,0)), 0), 0)</f>
        <v>0</v>
      </c>
      <c r="I1613" s="1">
        <f t="array" ref="I1613">IF(ISNUMBER(MATCH(1498,Max!$A:$A,0)), IF(OR(INDEX(Max!$D:$D,MATCH(1498,Max!$A:$A,0))=1, INDEX(Max!$D:$D,MATCH(1498,Max!$A:$A,0))=2), INDEX(Max!$D:$D,MATCH(1498,Max!$A:$A,0)), 0), 0)</f>
        <v>1</v>
      </c>
    </row>
    <row r="1614" spans="1:9" ht="15.75" customHeight="1" x14ac:dyDescent="0.2">
      <c r="A1614" s="1">
        <v>37993</v>
      </c>
      <c r="B1614" s="1" t="s">
        <v>32</v>
      </c>
      <c r="C1614" s="1" t="s">
        <v>3700</v>
      </c>
      <c r="D1614" s="1" t="str">
        <f t="shared" si="6"/>
        <v>2</v>
      </c>
      <c r="E1614" s="1" t="s">
        <v>3701</v>
      </c>
      <c r="G1614" s="1">
        <f t="array" ref="G1614">IF(ISNUMBER(MATCH(37993,Camille!$A:$A,0)), IF(OR(INDEX(Camille!$D:$D,MATCH(37993,Camille!$A:$A,0))=1, INDEX(Camille!$D:$D,MATCH(37993,Camille!$A:$A,0))=2), INDEX(Camille!$D:$D,MATCH(37993,Camille!$A:$A,0)), 0), 0)</f>
        <v>0</v>
      </c>
      <c r="H1614" s="1">
        <f t="array" ref="H1614">IF(ISNUMBER(MATCH(37993,Telmo!$A:$A,0)), IF(OR(INDEX(Telmo!$D:$D,MATCH(37993,Telmo!$A:$A,0))=1, INDEX(Telmo!$D:$D,MATCH(37993,Telmo!$A:$A,0))=2), INDEX(Telmo!$D:$D,MATCH(37993,Telmo!$A:$A,0)), 0), 0)</f>
        <v>0</v>
      </c>
      <c r="I1614" s="1">
        <f t="array" ref="I1614">IF(ISNUMBER(MATCH(37993,Max!$A:$A,0)), IF(OR(INDEX(Max!$D:$D,MATCH(37993,Max!$A:$A,0))=1, INDEX(Max!$D:$D,MATCH(37993,Max!$A:$A,0))=2), INDEX(Max!$D:$D,MATCH(37993,Max!$A:$A,0)), 0), 0)</f>
        <v>2</v>
      </c>
    </row>
    <row r="1615" spans="1:9" ht="15.75" customHeight="1" x14ac:dyDescent="0.2">
      <c r="A1615" s="1">
        <v>6445</v>
      </c>
      <c r="B1615" s="1" t="s">
        <v>135</v>
      </c>
      <c r="C1615" s="1" t="s">
        <v>3702</v>
      </c>
      <c r="D1615" s="1" t="str">
        <f t="shared" si="6"/>
        <v>2</v>
      </c>
      <c r="E1615" s="1" t="s">
        <v>3703</v>
      </c>
      <c r="G1615" s="1">
        <f t="array" ref="G1615">IF(ISNUMBER(MATCH(6445,Camille!$A:$A,0)), IF(OR(INDEX(Camille!$D:$D,MATCH(6445,Camille!$A:$A,0))=1, INDEX(Camille!$D:$D,MATCH(6445,Camille!$A:$A,0))=2), INDEX(Camille!$D:$D,MATCH(6445,Camille!$A:$A,0)), 0), 0)</f>
        <v>0</v>
      </c>
      <c r="H1615" s="1">
        <f t="array" ref="H1615">IF(ISNUMBER(MATCH(6445,Telmo!$A:$A,0)), IF(OR(INDEX(Telmo!$D:$D,MATCH(6445,Telmo!$A:$A,0))=1, INDEX(Telmo!$D:$D,MATCH(6445,Telmo!$A:$A,0))=2), INDEX(Telmo!$D:$D,MATCH(6445,Telmo!$A:$A,0)), 0), 0)</f>
        <v>0</v>
      </c>
      <c r="I1615" s="1">
        <f t="array" ref="I1615">IF(ISNUMBER(MATCH(6445,Max!$A:$A,0)), IF(OR(INDEX(Max!$D:$D,MATCH(6445,Max!$A:$A,0))=1, INDEX(Max!$D:$D,MATCH(6445,Max!$A:$A,0))=2), INDEX(Max!$D:$D,MATCH(6445,Max!$A:$A,0)), 0), 0)</f>
        <v>2</v>
      </c>
    </row>
    <row r="1616" spans="1:9" ht="15.75" customHeight="1" x14ac:dyDescent="0.2">
      <c r="A1616" s="1">
        <v>21894</v>
      </c>
      <c r="B1616" s="1" t="s">
        <v>2097</v>
      </c>
      <c r="C1616" s="1" t="s">
        <v>3704</v>
      </c>
      <c r="D1616" s="1" t="str">
        <f t="shared" si="6"/>
        <v>2</v>
      </c>
      <c r="E1616" s="1" t="s">
        <v>3705</v>
      </c>
      <c r="G1616" s="1">
        <f t="array" ref="G1616">IF(ISNUMBER(MATCH(21894,Camille!$A:$A,0)), IF(OR(INDEX(Camille!$D:$D,MATCH(21894,Camille!$A:$A,0))=1, INDEX(Camille!$D:$D,MATCH(21894,Camille!$A:$A,0))=2), INDEX(Camille!$D:$D,MATCH(21894,Camille!$A:$A,0)), 0), 0)</f>
        <v>0</v>
      </c>
      <c r="H1616" s="1">
        <f t="array" ref="H1616">IF(ISNUMBER(MATCH(21894,Telmo!$A:$A,0)), IF(OR(INDEX(Telmo!$D:$D,MATCH(21894,Telmo!$A:$A,0))=1, INDEX(Telmo!$D:$D,MATCH(21894,Telmo!$A:$A,0))=2), INDEX(Telmo!$D:$D,MATCH(21894,Telmo!$A:$A,0)), 0), 0)</f>
        <v>0</v>
      </c>
      <c r="I1616" s="1">
        <f t="array" ref="I1616">IF(ISNUMBER(MATCH(21894,Max!$A:$A,0)), IF(OR(INDEX(Max!$D:$D,MATCH(21894,Max!$A:$A,0))=1, INDEX(Max!$D:$D,MATCH(21894,Max!$A:$A,0))=2), INDEX(Max!$D:$D,MATCH(21894,Max!$A:$A,0)), 0), 0)</f>
        <v>2</v>
      </c>
    </row>
    <row r="1617" spans="1:9" ht="15.75" customHeight="1" x14ac:dyDescent="0.2">
      <c r="A1617" s="1">
        <v>9840</v>
      </c>
      <c r="B1617" s="1" t="s">
        <v>3706</v>
      </c>
      <c r="C1617" s="1" t="s">
        <v>3707</v>
      </c>
      <c r="D1617" s="1" t="str">
        <f t="shared" si="6"/>
        <v>1</v>
      </c>
      <c r="E1617" s="1" t="s">
        <v>3708</v>
      </c>
      <c r="G1617" s="1">
        <f t="array" ref="G1617">IF(ISNUMBER(MATCH(9840,Camille!$A:$A,0)), IF(OR(INDEX(Camille!$D:$D,MATCH(9840,Camille!$A:$A,0))=1, INDEX(Camille!$D:$D,MATCH(9840,Camille!$A:$A,0))=2), INDEX(Camille!$D:$D,MATCH(9840,Camille!$A:$A,0)), 0), 0)</f>
        <v>0</v>
      </c>
      <c r="H1617" s="1">
        <f t="array" ref="H1617">IF(ISNUMBER(MATCH(9840,Telmo!$A:$A,0)), IF(OR(INDEX(Telmo!$D:$D,MATCH(9840,Telmo!$A:$A,0))=1, INDEX(Telmo!$D:$D,MATCH(9840,Telmo!$A:$A,0))=2), INDEX(Telmo!$D:$D,MATCH(9840,Telmo!$A:$A,0)), 0), 0)</f>
        <v>0</v>
      </c>
      <c r="I1617" s="1">
        <f t="array" ref="I1617">IF(ISNUMBER(MATCH(9840,Max!$A:$A,0)), IF(OR(INDEX(Max!$D:$D,MATCH(9840,Max!$A:$A,0))=1, INDEX(Max!$D:$D,MATCH(9840,Max!$A:$A,0))=2), INDEX(Max!$D:$D,MATCH(9840,Max!$A:$A,0)), 0), 0)</f>
        <v>1</v>
      </c>
    </row>
    <row r="1618" spans="1:9" ht="15.75" customHeight="1" x14ac:dyDescent="0.2">
      <c r="A1618" s="1">
        <v>58588</v>
      </c>
      <c r="B1618" s="1" t="s">
        <v>405</v>
      </c>
      <c r="C1618" s="1" t="s">
        <v>3709</v>
      </c>
      <c r="D1618" s="1" t="str">
        <f t="shared" si="6"/>
        <v>2</v>
      </c>
      <c r="E1618" s="1" t="s">
        <v>3710</v>
      </c>
      <c r="G1618" s="1">
        <f t="array" ref="G1618">IF(ISNUMBER(MATCH(58588,Camille!$A:$A,0)), IF(OR(INDEX(Camille!$D:$D,MATCH(58588,Camille!$A:$A,0))=1, INDEX(Camille!$D:$D,MATCH(58588,Camille!$A:$A,0))=2), INDEX(Camille!$D:$D,MATCH(58588,Camille!$A:$A,0)), 0), 0)</f>
        <v>0</v>
      </c>
      <c r="H1618" s="1">
        <f t="array" ref="H1618">IF(ISNUMBER(MATCH(58588,Telmo!$A:$A,0)), IF(OR(INDEX(Telmo!$D:$D,MATCH(58588,Telmo!$A:$A,0))=1, INDEX(Telmo!$D:$D,MATCH(58588,Telmo!$A:$A,0))=2), INDEX(Telmo!$D:$D,MATCH(58588,Telmo!$A:$A,0)), 0), 0)</f>
        <v>0</v>
      </c>
      <c r="I1618" s="1">
        <f t="array" ref="I1618">IF(ISNUMBER(MATCH(58588,Max!$A:$A,0)), IF(OR(INDEX(Max!$D:$D,MATCH(58588,Max!$A:$A,0))=1, INDEX(Max!$D:$D,MATCH(58588,Max!$A:$A,0))=2), INDEX(Max!$D:$D,MATCH(58588,Max!$A:$A,0)), 0), 0)</f>
        <v>2</v>
      </c>
    </row>
    <row r="1619" spans="1:9" ht="15.75" customHeight="1" x14ac:dyDescent="0.2">
      <c r="A1619" s="1">
        <v>14286</v>
      </c>
      <c r="B1619" s="1" t="s">
        <v>342</v>
      </c>
      <c r="C1619" s="1" t="s">
        <v>3711</v>
      </c>
      <c r="D1619" s="1" t="str">
        <f t="shared" si="6"/>
        <v>2</v>
      </c>
      <c r="E1619" s="1" t="s">
        <v>3712</v>
      </c>
      <c r="G1619" s="1">
        <f t="array" ref="G1619">IF(ISNUMBER(MATCH(14286,Camille!$A:$A,0)), IF(OR(INDEX(Camille!$D:$D,MATCH(14286,Camille!$A:$A,0))=1, INDEX(Camille!$D:$D,MATCH(14286,Camille!$A:$A,0))=2), INDEX(Camille!$D:$D,MATCH(14286,Camille!$A:$A,0)), 0), 0)</f>
        <v>0</v>
      </c>
      <c r="H1619" s="1">
        <f t="array" ref="H1619">IF(ISNUMBER(MATCH(14286,Telmo!$A:$A,0)), IF(OR(INDEX(Telmo!$D:$D,MATCH(14286,Telmo!$A:$A,0))=1, INDEX(Telmo!$D:$D,MATCH(14286,Telmo!$A:$A,0))=2), INDEX(Telmo!$D:$D,MATCH(14286,Telmo!$A:$A,0)), 0), 0)</f>
        <v>0</v>
      </c>
      <c r="I1619" s="1">
        <f t="array" ref="I1619">IF(ISNUMBER(MATCH(14286,Max!$A:$A,0)), IF(OR(INDEX(Max!$D:$D,MATCH(14286,Max!$A:$A,0))=1, INDEX(Max!$D:$D,MATCH(14286,Max!$A:$A,0))=2), INDEX(Max!$D:$D,MATCH(14286,Max!$A:$A,0)), 0), 0)</f>
        <v>2</v>
      </c>
    </row>
    <row r="1620" spans="1:9" ht="15.75" customHeight="1" x14ac:dyDescent="0.2">
      <c r="A1620" s="1">
        <v>2814</v>
      </c>
      <c r="B1620" s="1" t="s">
        <v>3713</v>
      </c>
      <c r="C1620" s="1" t="s">
        <v>3714</v>
      </c>
      <c r="D1620" s="1" t="str">
        <f t="shared" si="6"/>
        <v>1</v>
      </c>
      <c r="E1620" s="1" t="s">
        <v>3715</v>
      </c>
      <c r="G1620" s="1">
        <f t="array" ref="G1620">IF(ISNUMBER(MATCH(2814,Camille!$A:$A,0)), IF(OR(INDEX(Camille!$D:$D,MATCH(2814,Camille!$A:$A,0))=1, INDEX(Camille!$D:$D,MATCH(2814,Camille!$A:$A,0))=2), INDEX(Camille!$D:$D,MATCH(2814,Camille!$A:$A,0)), 0), 0)</f>
        <v>0</v>
      </c>
      <c r="H1620" s="1">
        <f t="array" ref="H1620">IF(ISNUMBER(MATCH(2814,Telmo!$A:$A,0)), IF(OR(INDEX(Telmo!$D:$D,MATCH(2814,Telmo!$A:$A,0))=1, INDEX(Telmo!$D:$D,MATCH(2814,Telmo!$A:$A,0))=2), INDEX(Telmo!$D:$D,MATCH(2814,Telmo!$A:$A,0)), 0), 0)</f>
        <v>0</v>
      </c>
      <c r="I1620" s="1">
        <f t="array" ref="I1620">IF(ISNUMBER(MATCH(2814,Max!$A:$A,0)), IF(OR(INDEX(Max!$D:$D,MATCH(2814,Max!$A:$A,0))=1, INDEX(Max!$D:$D,MATCH(2814,Max!$A:$A,0))=2), INDEX(Max!$D:$D,MATCH(2814,Max!$A:$A,0)), 0), 0)</f>
        <v>1</v>
      </c>
    </row>
    <row r="1621" spans="1:9" ht="15.75" customHeight="1" x14ac:dyDescent="0.2">
      <c r="A1621" s="1">
        <v>39162</v>
      </c>
      <c r="B1621" s="1" t="s">
        <v>745</v>
      </c>
      <c r="C1621" s="1" t="s">
        <v>3716</v>
      </c>
      <c r="D1621" s="1" t="str">
        <f t="shared" si="6"/>
        <v>1</v>
      </c>
      <c r="E1621" s="1" t="s">
        <v>3717</v>
      </c>
      <c r="G1621" s="1">
        <f t="array" ref="G1621">IF(ISNUMBER(MATCH(39162,Camille!$A:$A,0)), IF(OR(INDEX(Camille!$D:$D,MATCH(39162,Camille!$A:$A,0))=1, INDEX(Camille!$D:$D,MATCH(39162,Camille!$A:$A,0))=2), INDEX(Camille!$D:$D,MATCH(39162,Camille!$A:$A,0)), 0), 0)</f>
        <v>0</v>
      </c>
      <c r="H1621" s="1">
        <f t="array" ref="H1621">IF(ISNUMBER(MATCH(39162,Telmo!$A:$A,0)), IF(OR(INDEX(Telmo!$D:$D,MATCH(39162,Telmo!$A:$A,0))=1, INDEX(Telmo!$D:$D,MATCH(39162,Telmo!$A:$A,0))=2), INDEX(Telmo!$D:$D,MATCH(39162,Telmo!$A:$A,0)), 0), 0)</f>
        <v>0</v>
      </c>
      <c r="I1621" s="1">
        <f t="array" ref="I1621">IF(ISNUMBER(MATCH(39162,Max!$A:$A,0)), IF(OR(INDEX(Max!$D:$D,MATCH(39162,Max!$A:$A,0))=1, INDEX(Max!$D:$D,MATCH(39162,Max!$A:$A,0))=2), INDEX(Max!$D:$D,MATCH(39162,Max!$A:$A,0)), 0), 0)</f>
        <v>1</v>
      </c>
    </row>
    <row r="1622" spans="1:9" ht="15.75" customHeight="1" x14ac:dyDescent="0.2">
      <c r="A1622" s="1">
        <v>31009</v>
      </c>
      <c r="B1622" s="1" t="s">
        <v>405</v>
      </c>
      <c r="C1622" s="1" t="s">
        <v>3718</v>
      </c>
      <c r="D1622" s="1" t="str">
        <f t="shared" si="6"/>
        <v>2</v>
      </c>
      <c r="E1622" s="1" t="s">
        <v>3719</v>
      </c>
      <c r="G1622" s="1">
        <f t="array" ref="G1622">IF(ISNUMBER(MATCH(31009,Camille!$A:$A,0)), IF(OR(INDEX(Camille!$D:$D,MATCH(31009,Camille!$A:$A,0))=1, INDEX(Camille!$D:$D,MATCH(31009,Camille!$A:$A,0))=2), INDEX(Camille!$D:$D,MATCH(31009,Camille!$A:$A,0)), 0), 0)</f>
        <v>0</v>
      </c>
      <c r="H1622" s="1">
        <f t="array" ref="H1622">IF(ISNUMBER(MATCH(31009,Telmo!$A:$A,0)), IF(OR(INDEX(Telmo!$D:$D,MATCH(31009,Telmo!$A:$A,0))=1, INDEX(Telmo!$D:$D,MATCH(31009,Telmo!$A:$A,0))=2), INDEX(Telmo!$D:$D,MATCH(31009,Telmo!$A:$A,0)), 0), 0)</f>
        <v>0</v>
      </c>
      <c r="I1622" s="1">
        <f t="array" ref="I1622">IF(ISNUMBER(MATCH(31009,Max!$A:$A,0)), IF(OR(INDEX(Max!$D:$D,MATCH(31009,Max!$A:$A,0))=1, INDEX(Max!$D:$D,MATCH(31009,Max!$A:$A,0))=2), INDEX(Max!$D:$D,MATCH(31009,Max!$A:$A,0)), 0), 0)</f>
        <v>2</v>
      </c>
    </row>
    <row r="1623" spans="1:9" ht="15.75" customHeight="1" x14ac:dyDescent="0.2">
      <c r="A1623" s="1">
        <v>67296</v>
      </c>
      <c r="B1623" s="1" t="s">
        <v>167</v>
      </c>
      <c r="C1623" s="1" t="s">
        <v>3720</v>
      </c>
      <c r="D1623" s="1" t="str">
        <f t="shared" si="6"/>
        <v>1</v>
      </c>
      <c r="E1623" s="1" t="s">
        <v>3721</v>
      </c>
      <c r="G1623" s="1">
        <f t="array" ref="G1623">IF(ISNUMBER(MATCH(67296,Camille!$A:$A,0)), IF(OR(INDEX(Camille!$D:$D,MATCH(67296,Camille!$A:$A,0))=1, INDEX(Camille!$D:$D,MATCH(67296,Camille!$A:$A,0))=2), INDEX(Camille!$D:$D,MATCH(67296,Camille!$A:$A,0)), 0), 0)</f>
        <v>0</v>
      </c>
      <c r="H1623" s="1">
        <f t="array" ref="H1623">IF(ISNUMBER(MATCH(67296,Telmo!$A:$A,0)), IF(OR(INDEX(Telmo!$D:$D,MATCH(67296,Telmo!$A:$A,0))=1, INDEX(Telmo!$D:$D,MATCH(67296,Telmo!$A:$A,0))=2), INDEX(Telmo!$D:$D,MATCH(67296,Telmo!$A:$A,0)), 0), 0)</f>
        <v>0</v>
      </c>
      <c r="I1623" s="1">
        <f t="array" ref="I1623">IF(ISNUMBER(MATCH(67296,Max!$A:$A,0)), IF(OR(INDEX(Max!$D:$D,MATCH(67296,Max!$A:$A,0))=1, INDEX(Max!$D:$D,MATCH(67296,Max!$A:$A,0))=2), INDEX(Max!$D:$D,MATCH(67296,Max!$A:$A,0)), 0), 0)</f>
        <v>1</v>
      </c>
    </row>
    <row r="1624" spans="1:9" ht="15.75" customHeight="1" x14ac:dyDescent="0.2">
      <c r="A1624" s="1">
        <v>6649</v>
      </c>
      <c r="B1624" s="1" t="s">
        <v>254</v>
      </c>
      <c r="C1624" s="1" t="s">
        <v>3722</v>
      </c>
      <c r="D1624" s="1" t="str">
        <f t="shared" si="6"/>
        <v>2</v>
      </c>
      <c r="E1624" s="1" t="s">
        <v>3723</v>
      </c>
      <c r="G1624" s="1">
        <f t="array" ref="G1624">IF(ISNUMBER(MATCH(6649,Camille!$A:$A,0)), IF(OR(INDEX(Camille!$D:$D,MATCH(6649,Camille!$A:$A,0))=1, INDEX(Camille!$D:$D,MATCH(6649,Camille!$A:$A,0))=2), INDEX(Camille!$D:$D,MATCH(6649,Camille!$A:$A,0)), 0), 0)</f>
        <v>0</v>
      </c>
      <c r="H1624" s="1">
        <f t="array" ref="H1624">IF(ISNUMBER(MATCH(6649,Telmo!$A:$A,0)), IF(OR(INDEX(Telmo!$D:$D,MATCH(6649,Telmo!$A:$A,0))=1, INDEX(Telmo!$D:$D,MATCH(6649,Telmo!$A:$A,0))=2), INDEX(Telmo!$D:$D,MATCH(6649,Telmo!$A:$A,0)), 0), 0)</f>
        <v>0</v>
      </c>
      <c r="I1624" s="1">
        <f t="array" ref="I1624">IF(ISNUMBER(MATCH(6649,Max!$A:$A,0)), IF(OR(INDEX(Max!$D:$D,MATCH(6649,Max!$A:$A,0))=1, INDEX(Max!$D:$D,MATCH(6649,Max!$A:$A,0))=2), INDEX(Max!$D:$D,MATCH(6649,Max!$A:$A,0)), 0), 0)</f>
        <v>2</v>
      </c>
    </row>
    <row r="1625" spans="1:9" ht="15.75" customHeight="1" x14ac:dyDescent="0.2">
      <c r="A1625" s="1">
        <v>22730</v>
      </c>
      <c r="B1625" s="1" t="s">
        <v>14</v>
      </c>
      <c r="C1625" s="1" t="s">
        <v>3724</v>
      </c>
      <c r="D1625" s="1" t="str">
        <f t="shared" si="6"/>
        <v>1</v>
      </c>
      <c r="E1625" s="1" t="s">
        <v>3725</v>
      </c>
      <c r="G1625" s="1">
        <f t="array" ref="G1625">IF(ISNUMBER(MATCH(22730,Camille!$A:$A,0)), IF(OR(INDEX(Camille!$D:$D,MATCH(22730,Camille!$A:$A,0))=1, INDEX(Camille!$D:$D,MATCH(22730,Camille!$A:$A,0))=2), INDEX(Camille!$D:$D,MATCH(22730,Camille!$A:$A,0)), 0), 0)</f>
        <v>0</v>
      </c>
      <c r="H1625" s="1">
        <f t="array" ref="H1625">IF(ISNUMBER(MATCH(22730,Telmo!$A:$A,0)), IF(OR(INDEX(Telmo!$D:$D,MATCH(22730,Telmo!$A:$A,0))=1, INDEX(Telmo!$D:$D,MATCH(22730,Telmo!$A:$A,0))=2), INDEX(Telmo!$D:$D,MATCH(22730,Telmo!$A:$A,0)), 0), 0)</f>
        <v>0</v>
      </c>
      <c r="I1625" s="1">
        <f t="array" ref="I1625">IF(ISNUMBER(MATCH(22730,Max!$A:$A,0)), IF(OR(INDEX(Max!$D:$D,MATCH(22730,Max!$A:$A,0))=1, INDEX(Max!$D:$D,MATCH(22730,Max!$A:$A,0))=2), INDEX(Max!$D:$D,MATCH(22730,Max!$A:$A,0)), 0), 0)</f>
        <v>1</v>
      </c>
    </row>
    <row r="1626" spans="1:9" ht="15.75" customHeight="1" x14ac:dyDescent="0.2">
      <c r="A1626" s="1">
        <v>37105</v>
      </c>
      <c r="B1626" s="1" t="s">
        <v>931</v>
      </c>
      <c r="C1626" s="1" t="s">
        <v>3726</v>
      </c>
      <c r="D1626" s="1" t="str">
        <f t="shared" si="6"/>
        <v>2</v>
      </c>
      <c r="E1626" s="1" t="s">
        <v>3727</v>
      </c>
      <c r="G1626" s="1">
        <f t="array" ref="G1626">IF(ISNUMBER(MATCH(37105,Camille!$A:$A,0)), IF(OR(INDEX(Camille!$D:$D,MATCH(37105,Camille!$A:$A,0))=1, INDEX(Camille!$D:$D,MATCH(37105,Camille!$A:$A,0))=2), INDEX(Camille!$D:$D,MATCH(37105,Camille!$A:$A,0)), 0), 0)</f>
        <v>0</v>
      </c>
      <c r="H1626" s="1">
        <f t="array" ref="H1626">IF(ISNUMBER(MATCH(37105,Telmo!$A:$A,0)), IF(OR(INDEX(Telmo!$D:$D,MATCH(37105,Telmo!$A:$A,0))=1, INDEX(Telmo!$D:$D,MATCH(37105,Telmo!$A:$A,0))=2), INDEX(Telmo!$D:$D,MATCH(37105,Telmo!$A:$A,0)), 0), 0)</f>
        <v>0</v>
      </c>
      <c r="I1626" s="1">
        <f t="array" ref="I1626">IF(ISNUMBER(MATCH(37105,Max!$A:$A,0)), IF(OR(INDEX(Max!$D:$D,MATCH(37105,Max!$A:$A,0))=1, INDEX(Max!$D:$D,MATCH(37105,Max!$A:$A,0))=2), INDEX(Max!$D:$D,MATCH(37105,Max!$A:$A,0)), 0), 0)</f>
        <v>2</v>
      </c>
    </row>
    <row r="1627" spans="1:9" ht="15.75" customHeight="1" x14ac:dyDescent="0.2">
      <c r="A1627" s="1">
        <v>19812</v>
      </c>
      <c r="B1627" s="1" t="s">
        <v>1501</v>
      </c>
      <c r="C1627" s="1" t="s">
        <v>3728</v>
      </c>
      <c r="D1627" s="1" t="str">
        <f t="shared" si="6"/>
        <v>2</v>
      </c>
      <c r="E1627" s="1" t="s">
        <v>3729</v>
      </c>
      <c r="G1627" s="1">
        <f t="array" ref="G1627">IF(ISNUMBER(MATCH(19812,Camille!$A:$A,0)), IF(OR(INDEX(Camille!$D:$D,MATCH(19812,Camille!$A:$A,0))=1, INDEX(Camille!$D:$D,MATCH(19812,Camille!$A:$A,0))=2), INDEX(Camille!$D:$D,MATCH(19812,Camille!$A:$A,0)), 0), 0)</f>
        <v>0</v>
      </c>
      <c r="H1627" s="1">
        <f t="array" ref="H1627">IF(ISNUMBER(MATCH(19812,Telmo!$A:$A,0)), IF(OR(INDEX(Telmo!$D:$D,MATCH(19812,Telmo!$A:$A,0))=1, INDEX(Telmo!$D:$D,MATCH(19812,Telmo!$A:$A,0))=2), INDEX(Telmo!$D:$D,MATCH(19812,Telmo!$A:$A,0)), 0), 0)</f>
        <v>0</v>
      </c>
      <c r="I1627" s="1">
        <f t="array" ref="I1627">IF(ISNUMBER(MATCH(19812,Max!$A:$A,0)), IF(OR(INDEX(Max!$D:$D,MATCH(19812,Max!$A:$A,0))=1, INDEX(Max!$D:$D,MATCH(19812,Max!$A:$A,0))=2), INDEX(Max!$D:$D,MATCH(19812,Max!$A:$A,0)), 0), 0)</f>
        <v>2</v>
      </c>
    </row>
    <row r="1628" spans="1:9" ht="15.75" customHeight="1" x14ac:dyDescent="0.2">
      <c r="A1628" s="1">
        <v>68331</v>
      </c>
      <c r="B1628" s="1" t="s">
        <v>2003</v>
      </c>
      <c r="C1628" s="1" t="s">
        <v>3730</v>
      </c>
      <c r="D1628" s="1" t="str">
        <f t="shared" si="6"/>
        <v>2</v>
      </c>
      <c r="E1628" s="1" t="s">
        <v>3731</v>
      </c>
      <c r="G1628" s="1">
        <f t="array" ref="G1628">IF(ISNUMBER(MATCH(68331,Camille!$A:$A,0)), IF(OR(INDEX(Camille!$D:$D,MATCH(68331,Camille!$A:$A,0))=1, INDEX(Camille!$D:$D,MATCH(68331,Camille!$A:$A,0))=2), INDEX(Camille!$D:$D,MATCH(68331,Camille!$A:$A,0)), 0), 0)</f>
        <v>0</v>
      </c>
      <c r="H1628" s="1">
        <f t="array" ref="H1628">IF(ISNUMBER(MATCH(68331,Telmo!$A:$A,0)), IF(OR(INDEX(Telmo!$D:$D,MATCH(68331,Telmo!$A:$A,0))=1, INDEX(Telmo!$D:$D,MATCH(68331,Telmo!$A:$A,0))=2), INDEX(Telmo!$D:$D,MATCH(68331,Telmo!$A:$A,0)), 0), 0)</f>
        <v>0</v>
      </c>
      <c r="I1628" s="1">
        <f t="array" ref="I1628">IF(ISNUMBER(MATCH(68331,Max!$A:$A,0)), IF(OR(INDEX(Max!$D:$D,MATCH(68331,Max!$A:$A,0))=1, INDEX(Max!$D:$D,MATCH(68331,Max!$A:$A,0))=2), INDEX(Max!$D:$D,MATCH(68331,Max!$A:$A,0)), 0), 0)</f>
        <v>2</v>
      </c>
    </row>
    <row r="1629" spans="1:9" ht="15.75" customHeight="1" x14ac:dyDescent="0.2">
      <c r="A1629" s="1">
        <v>49160</v>
      </c>
      <c r="B1629" s="1" t="s">
        <v>238</v>
      </c>
      <c r="C1629" s="1" t="s">
        <v>3732</v>
      </c>
      <c r="D1629" s="1" t="str">
        <f t="shared" si="6"/>
        <v>2</v>
      </c>
      <c r="E1629" s="1" t="s">
        <v>3733</v>
      </c>
      <c r="G1629" s="1">
        <f t="array" ref="G1629">IF(ISNUMBER(MATCH(49160,Camille!$A:$A,0)), IF(OR(INDEX(Camille!$D:$D,MATCH(49160,Camille!$A:$A,0))=1, INDEX(Camille!$D:$D,MATCH(49160,Camille!$A:$A,0))=2), INDEX(Camille!$D:$D,MATCH(49160,Camille!$A:$A,0)), 0), 0)</f>
        <v>0</v>
      </c>
      <c r="H1629" s="1">
        <f t="array" ref="H1629">IF(ISNUMBER(MATCH(49160,Telmo!$A:$A,0)), IF(OR(INDEX(Telmo!$D:$D,MATCH(49160,Telmo!$A:$A,0))=1, INDEX(Telmo!$D:$D,MATCH(49160,Telmo!$A:$A,0))=2), INDEX(Telmo!$D:$D,MATCH(49160,Telmo!$A:$A,0)), 0), 0)</f>
        <v>0</v>
      </c>
      <c r="I1629" s="1">
        <f t="array" ref="I1629">IF(ISNUMBER(MATCH(49160,Max!$A:$A,0)), IF(OR(INDEX(Max!$D:$D,MATCH(49160,Max!$A:$A,0))=1, INDEX(Max!$D:$D,MATCH(49160,Max!$A:$A,0))=2), INDEX(Max!$D:$D,MATCH(49160,Max!$A:$A,0)), 0), 0)</f>
        <v>2</v>
      </c>
    </row>
    <row r="1630" spans="1:9" ht="15.75" customHeight="1" x14ac:dyDescent="0.2">
      <c r="A1630" s="1">
        <v>35761</v>
      </c>
      <c r="B1630" s="1" t="s">
        <v>298</v>
      </c>
      <c r="C1630" s="1" t="s">
        <v>3734</v>
      </c>
      <c r="D1630" s="1" t="str">
        <f t="shared" si="6"/>
        <v>1</v>
      </c>
      <c r="E1630" s="1" t="s">
        <v>3735</v>
      </c>
      <c r="G1630" s="1">
        <f t="array" ref="G1630">IF(ISNUMBER(MATCH(35761,Camille!$A:$A,0)), IF(OR(INDEX(Camille!$D:$D,MATCH(35761,Camille!$A:$A,0))=1, INDEX(Camille!$D:$D,MATCH(35761,Camille!$A:$A,0))=2), INDEX(Camille!$D:$D,MATCH(35761,Camille!$A:$A,0)), 0), 0)</f>
        <v>0</v>
      </c>
      <c r="H1630" s="1">
        <f t="array" ref="H1630">IF(ISNUMBER(MATCH(35761,Telmo!$A:$A,0)), IF(OR(INDEX(Telmo!$D:$D,MATCH(35761,Telmo!$A:$A,0))=1, INDEX(Telmo!$D:$D,MATCH(35761,Telmo!$A:$A,0))=2), INDEX(Telmo!$D:$D,MATCH(35761,Telmo!$A:$A,0)), 0), 0)</f>
        <v>0</v>
      </c>
      <c r="I1630" s="1">
        <f t="array" ref="I1630">IF(ISNUMBER(MATCH(35761,Max!$A:$A,0)), IF(OR(INDEX(Max!$D:$D,MATCH(35761,Max!$A:$A,0))=1, INDEX(Max!$D:$D,MATCH(35761,Max!$A:$A,0))=2), INDEX(Max!$D:$D,MATCH(35761,Max!$A:$A,0)), 0), 0)</f>
        <v>1</v>
      </c>
    </row>
    <row r="1631" spans="1:9" ht="15.75" customHeight="1" x14ac:dyDescent="0.2">
      <c r="A1631" s="1">
        <v>27251</v>
      </c>
      <c r="B1631" s="1" t="s">
        <v>3736</v>
      </c>
      <c r="C1631" s="1" t="s">
        <v>3737</v>
      </c>
      <c r="D1631" s="1" t="str">
        <f t="shared" si="6"/>
        <v>1</v>
      </c>
      <c r="E1631" s="1" t="s">
        <v>3738</v>
      </c>
      <c r="G1631" s="1">
        <f t="array" ref="G1631">IF(ISNUMBER(MATCH(27251,Camille!$A:$A,0)), IF(OR(INDEX(Camille!$D:$D,MATCH(27251,Camille!$A:$A,0))=1, INDEX(Camille!$D:$D,MATCH(27251,Camille!$A:$A,0))=2), INDEX(Camille!$D:$D,MATCH(27251,Camille!$A:$A,0)), 0), 0)</f>
        <v>0</v>
      </c>
      <c r="H1631" s="1">
        <f t="array" ref="H1631">IF(ISNUMBER(MATCH(27251,Telmo!$A:$A,0)), IF(OR(INDEX(Telmo!$D:$D,MATCH(27251,Telmo!$A:$A,0))=1, INDEX(Telmo!$D:$D,MATCH(27251,Telmo!$A:$A,0))=2), INDEX(Telmo!$D:$D,MATCH(27251,Telmo!$A:$A,0)), 0), 0)</f>
        <v>0</v>
      </c>
      <c r="I1631" s="1">
        <f t="array" ref="I1631">IF(ISNUMBER(MATCH(27251,Max!$A:$A,0)), IF(OR(INDEX(Max!$D:$D,MATCH(27251,Max!$A:$A,0))=1, INDEX(Max!$D:$D,MATCH(27251,Max!$A:$A,0))=2), INDEX(Max!$D:$D,MATCH(27251,Max!$A:$A,0)), 0), 0)</f>
        <v>1</v>
      </c>
    </row>
    <row r="1632" spans="1:9" ht="15.75" customHeight="1" x14ac:dyDescent="0.2">
      <c r="A1632" s="1">
        <v>15940</v>
      </c>
      <c r="B1632" s="1" t="s">
        <v>326</v>
      </c>
      <c r="C1632" s="1" t="s">
        <v>3739</v>
      </c>
      <c r="D1632" s="1" t="str">
        <f t="shared" si="6"/>
        <v>2</v>
      </c>
      <c r="E1632" s="1" t="s">
        <v>3740</v>
      </c>
      <c r="G1632" s="1">
        <f t="array" ref="G1632">IF(ISNUMBER(MATCH(15940,Camille!$A:$A,0)), IF(OR(INDEX(Camille!$D:$D,MATCH(15940,Camille!$A:$A,0))=1, INDEX(Camille!$D:$D,MATCH(15940,Camille!$A:$A,0))=2), INDEX(Camille!$D:$D,MATCH(15940,Camille!$A:$A,0)), 0), 0)</f>
        <v>0</v>
      </c>
      <c r="H1632" s="1">
        <f t="array" ref="H1632">IF(ISNUMBER(MATCH(15940,Telmo!$A:$A,0)), IF(OR(INDEX(Telmo!$D:$D,MATCH(15940,Telmo!$A:$A,0))=1, INDEX(Telmo!$D:$D,MATCH(15940,Telmo!$A:$A,0))=2), INDEX(Telmo!$D:$D,MATCH(15940,Telmo!$A:$A,0)), 0), 0)</f>
        <v>0</v>
      </c>
      <c r="I1632" s="1">
        <f t="array" ref="I1632">IF(ISNUMBER(MATCH(15940,Max!$A:$A,0)), IF(OR(INDEX(Max!$D:$D,MATCH(15940,Max!$A:$A,0))=1, INDEX(Max!$D:$D,MATCH(15940,Max!$A:$A,0))=2), INDEX(Max!$D:$D,MATCH(15940,Max!$A:$A,0)), 0), 0)</f>
        <v>2</v>
      </c>
    </row>
    <row r="1633" spans="1:9" ht="15.75" customHeight="1" x14ac:dyDescent="0.2">
      <c r="A1633" s="1">
        <v>54599</v>
      </c>
      <c r="B1633" s="1" t="s">
        <v>656</v>
      </c>
      <c r="C1633" s="1" t="s">
        <v>3741</v>
      </c>
      <c r="D1633" s="1" t="str">
        <f t="shared" si="6"/>
        <v>2</v>
      </c>
      <c r="E1633" s="1" t="s">
        <v>3742</v>
      </c>
      <c r="G1633" s="1">
        <f t="array" ref="G1633">IF(ISNUMBER(MATCH(54599,Camille!$A:$A,0)), IF(OR(INDEX(Camille!$D:$D,MATCH(54599,Camille!$A:$A,0))=1, INDEX(Camille!$D:$D,MATCH(54599,Camille!$A:$A,0))=2), INDEX(Camille!$D:$D,MATCH(54599,Camille!$A:$A,0)), 0), 0)</f>
        <v>0</v>
      </c>
      <c r="H1633" s="1">
        <f t="array" ref="H1633">IF(ISNUMBER(MATCH(54599,Telmo!$A:$A,0)), IF(OR(INDEX(Telmo!$D:$D,MATCH(54599,Telmo!$A:$A,0))=1, INDEX(Telmo!$D:$D,MATCH(54599,Telmo!$A:$A,0))=2), INDEX(Telmo!$D:$D,MATCH(54599,Telmo!$A:$A,0)), 0), 0)</f>
        <v>0</v>
      </c>
      <c r="I1633" s="1">
        <f t="array" ref="I1633">IF(ISNUMBER(MATCH(54599,Max!$A:$A,0)), IF(OR(INDEX(Max!$D:$D,MATCH(54599,Max!$A:$A,0))=1, INDEX(Max!$D:$D,MATCH(54599,Max!$A:$A,0))=2), INDEX(Max!$D:$D,MATCH(54599,Max!$A:$A,0)), 0), 0)</f>
        <v>2</v>
      </c>
    </row>
    <row r="1634" spans="1:9" ht="15.75" customHeight="1" x14ac:dyDescent="0.2">
      <c r="A1634" s="1">
        <v>17722</v>
      </c>
      <c r="B1634" s="1" t="s">
        <v>385</v>
      </c>
      <c r="C1634" s="1" t="s">
        <v>3743</v>
      </c>
      <c r="D1634" s="1" t="str">
        <f t="shared" si="6"/>
        <v>2</v>
      </c>
      <c r="E1634" s="1" t="s">
        <v>3744</v>
      </c>
      <c r="G1634" s="1">
        <f t="array" ref="G1634">IF(ISNUMBER(MATCH(17722,Camille!$A:$A,0)), IF(OR(INDEX(Camille!$D:$D,MATCH(17722,Camille!$A:$A,0))=1, INDEX(Camille!$D:$D,MATCH(17722,Camille!$A:$A,0))=2), INDEX(Camille!$D:$D,MATCH(17722,Camille!$A:$A,0)), 0), 0)</f>
        <v>0</v>
      </c>
      <c r="H1634" s="1">
        <f t="array" ref="H1634">IF(ISNUMBER(MATCH(17722,Telmo!$A:$A,0)), IF(OR(INDEX(Telmo!$D:$D,MATCH(17722,Telmo!$A:$A,0))=1, INDEX(Telmo!$D:$D,MATCH(17722,Telmo!$A:$A,0))=2), INDEX(Telmo!$D:$D,MATCH(17722,Telmo!$A:$A,0)), 0), 0)</f>
        <v>0</v>
      </c>
      <c r="I1634" s="1">
        <f t="array" ref="I1634">IF(ISNUMBER(MATCH(17722,Max!$A:$A,0)), IF(OR(INDEX(Max!$D:$D,MATCH(17722,Max!$A:$A,0))=1, INDEX(Max!$D:$D,MATCH(17722,Max!$A:$A,0))=2), INDEX(Max!$D:$D,MATCH(17722,Max!$A:$A,0)), 0), 0)</f>
        <v>2</v>
      </c>
    </row>
    <row r="1635" spans="1:9" ht="15.75" customHeight="1" x14ac:dyDescent="0.2">
      <c r="A1635" s="1">
        <v>65426</v>
      </c>
      <c r="B1635" s="1" t="s">
        <v>11</v>
      </c>
      <c r="C1635" s="1" t="s">
        <v>3745</v>
      </c>
      <c r="D1635" s="1" t="str">
        <f t="shared" si="6"/>
        <v>1</v>
      </c>
      <c r="E1635" s="1" t="s">
        <v>3746</v>
      </c>
      <c r="G1635" s="1">
        <f t="array" ref="G1635">IF(ISNUMBER(MATCH(65426,Camille!$A:$A,0)), IF(OR(INDEX(Camille!$D:$D,MATCH(65426,Camille!$A:$A,0))=1, INDEX(Camille!$D:$D,MATCH(65426,Camille!$A:$A,0))=2), INDEX(Camille!$D:$D,MATCH(65426,Camille!$A:$A,0)), 0), 0)</f>
        <v>0</v>
      </c>
      <c r="H1635" s="1">
        <f t="array" ref="H1635">IF(ISNUMBER(MATCH(65426,Telmo!$A:$A,0)), IF(OR(INDEX(Telmo!$D:$D,MATCH(65426,Telmo!$A:$A,0))=1, INDEX(Telmo!$D:$D,MATCH(65426,Telmo!$A:$A,0))=2), INDEX(Telmo!$D:$D,MATCH(65426,Telmo!$A:$A,0)), 0), 0)</f>
        <v>0</v>
      </c>
      <c r="I1635" s="1">
        <f t="array" ref="I1635">IF(ISNUMBER(MATCH(65426,Max!$A:$A,0)), IF(OR(INDEX(Max!$D:$D,MATCH(65426,Max!$A:$A,0))=1, INDEX(Max!$D:$D,MATCH(65426,Max!$A:$A,0))=2), INDEX(Max!$D:$D,MATCH(65426,Max!$A:$A,0)), 0), 0)</f>
        <v>1</v>
      </c>
    </row>
    <row r="1636" spans="1:9" ht="15.75" customHeight="1" x14ac:dyDescent="0.2">
      <c r="A1636" s="1">
        <v>62152</v>
      </c>
      <c r="B1636" s="1" t="s">
        <v>3747</v>
      </c>
      <c r="C1636" s="1" t="s">
        <v>3748</v>
      </c>
      <c r="D1636" s="1" t="str">
        <f t="shared" si="6"/>
        <v>2</v>
      </c>
      <c r="E1636" s="1" t="s">
        <v>3749</v>
      </c>
      <c r="G1636" s="1">
        <f t="array" ref="G1636">IF(ISNUMBER(MATCH(62152,Camille!$A:$A,0)), IF(OR(INDEX(Camille!$D:$D,MATCH(62152,Camille!$A:$A,0))=1, INDEX(Camille!$D:$D,MATCH(62152,Camille!$A:$A,0))=2), INDEX(Camille!$D:$D,MATCH(62152,Camille!$A:$A,0)), 0), 0)</f>
        <v>0</v>
      </c>
      <c r="H1636" s="1">
        <f t="array" ref="H1636">IF(ISNUMBER(MATCH(62152,Telmo!$A:$A,0)), IF(OR(INDEX(Telmo!$D:$D,MATCH(62152,Telmo!$A:$A,0))=1, INDEX(Telmo!$D:$D,MATCH(62152,Telmo!$A:$A,0))=2), INDEX(Telmo!$D:$D,MATCH(62152,Telmo!$A:$A,0)), 0), 0)</f>
        <v>0</v>
      </c>
      <c r="I1636" s="1">
        <f t="array" ref="I1636">IF(ISNUMBER(MATCH(62152,Max!$A:$A,0)), IF(OR(INDEX(Max!$D:$D,MATCH(62152,Max!$A:$A,0))=1, INDEX(Max!$D:$D,MATCH(62152,Max!$A:$A,0))=2), INDEX(Max!$D:$D,MATCH(62152,Max!$A:$A,0)), 0), 0)</f>
        <v>2</v>
      </c>
    </row>
    <row r="1637" spans="1:9" ht="15.75" customHeight="1" x14ac:dyDescent="0.2">
      <c r="A1637" s="1">
        <v>22828</v>
      </c>
      <c r="B1637" s="1" t="s">
        <v>244</v>
      </c>
      <c r="C1637" s="1" t="s">
        <v>3750</v>
      </c>
      <c r="D1637" s="1" t="str">
        <f t="shared" si="6"/>
        <v>1</v>
      </c>
      <c r="E1637" s="1" t="s">
        <v>3751</v>
      </c>
      <c r="G1637" s="1">
        <f t="array" ref="G1637">IF(ISNUMBER(MATCH(22828,Camille!$A:$A,0)), IF(OR(INDEX(Camille!$D:$D,MATCH(22828,Camille!$A:$A,0))=1, INDEX(Camille!$D:$D,MATCH(22828,Camille!$A:$A,0))=2), INDEX(Camille!$D:$D,MATCH(22828,Camille!$A:$A,0)), 0), 0)</f>
        <v>0</v>
      </c>
      <c r="H1637" s="1">
        <f t="array" ref="H1637">IF(ISNUMBER(MATCH(22828,Telmo!$A:$A,0)), IF(OR(INDEX(Telmo!$D:$D,MATCH(22828,Telmo!$A:$A,0))=1, INDEX(Telmo!$D:$D,MATCH(22828,Telmo!$A:$A,0))=2), INDEX(Telmo!$D:$D,MATCH(22828,Telmo!$A:$A,0)), 0), 0)</f>
        <v>0</v>
      </c>
      <c r="I1637" s="1">
        <f t="array" ref="I1637">IF(ISNUMBER(MATCH(22828,Max!$A:$A,0)), IF(OR(INDEX(Max!$D:$D,MATCH(22828,Max!$A:$A,0))=1, INDEX(Max!$D:$D,MATCH(22828,Max!$A:$A,0))=2), INDEX(Max!$D:$D,MATCH(22828,Max!$A:$A,0)), 0), 0)</f>
        <v>1</v>
      </c>
    </row>
    <row r="1638" spans="1:9" ht="15.75" customHeight="1" x14ac:dyDescent="0.2">
      <c r="A1638" s="1">
        <v>60030</v>
      </c>
      <c r="B1638" s="1" t="s">
        <v>35</v>
      </c>
      <c r="C1638" s="1" t="s">
        <v>3752</v>
      </c>
      <c r="D1638" s="1" t="str">
        <f t="shared" si="6"/>
        <v>2</v>
      </c>
      <c r="E1638" s="1" t="s">
        <v>3753</v>
      </c>
      <c r="G1638" s="1">
        <f t="array" ref="G1638">IF(ISNUMBER(MATCH(60030,Camille!$A:$A,0)), IF(OR(INDEX(Camille!$D:$D,MATCH(60030,Camille!$A:$A,0))=1, INDEX(Camille!$D:$D,MATCH(60030,Camille!$A:$A,0))=2), INDEX(Camille!$D:$D,MATCH(60030,Camille!$A:$A,0)), 0), 0)</f>
        <v>0</v>
      </c>
      <c r="H1638" s="1">
        <f t="array" ref="H1638">IF(ISNUMBER(MATCH(60030,Telmo!$A:$A,0)), IF(OR(INDEX(Telmo!$D:$D,MATCH(60030,Telmo!$A:$A,0))=1, INDEX(Telmo!$D:$D,MATCH(60030,Telmo!$A:$A,0))=2), INDEX(Telmo!$D:$D,MATCH(60030,Telmo!$A:$A,0)), 0), 0)</f>
        <v>0</v>
      </c>
      <c r="I1638" s="1">
        <f t="array" ref="I1638">IF(ISNUMBER(MATCH(60030,Max!$A:$A,0)), IF(OR(INDEX(Max!$D:$D,MATCH(60030,Max!$A:$A,0))=1, INDEX(Max!$D:$D,MATCH(60030,Max!$A:$A,0))=2), INDEX(Max!$D:$D,MATCH(60030,Max!$A:$A,0)), 0), 0)</f>
        <v>2</v>
      </c>
    </row>
    <row r="1639" spans="1:9" ht="15.75" customHeight="1" x14ac:dyDescent="0.2">
      <c r="A1639" s="1">
        <v>70896</v>
      </c>
      <c r="B1639" s="1" t="s">
        <v>751</v>
      </c>
      <c r="C1639" s="1" t="s">
        <v>3754</v>
      </c>
      <c r="D1639" s="1" t="str">
        <f t="shared" si="6"/>
        <v>2</v>
      </c>
      <c r="E1639" s="1" t="s">
        <v>3755</v>
      </c>
      <c r="G1639" s="1">
        <f t="array" ref="G1639">IF(ISNUMBER(MATCH(70896,Camille!$A:$A,0)), IF(OR(INDEX(Camille!$D:$D,MATCH(70896,Camille!$A:$A,0))=1, INDEX(Camille!$D:$D,MATCH(70896,Camille!$A:$A,0))=2), INDEX(Camille!$D:$D,MATCH(70896,Camille!$A:$A,0)), 0), 0)</f>
        <v>0</v>
      </c>
      <c r="H1639" s="1">
        <f t="array" ref="H1639">IF(ISNUMBER(MATCH(70896,Telmo!$A:$A,0)), IF(OR(INDEX(Telmo!$D:$D,MATCH(70896,Telmo!$A:$A,0))=1, INDEX(Telmo!$D:$D,MATCH(70896,Telmo!$A:$A,0))=2), INDEX(Telmo!$D:$D,MATCH(70896,Telmo!$A:$A,0)), 0), 0)</f>
        <v>0</v>
      </c>
      <c r="I1639" s="1">
        <f t="array" ref="I1639">IF(ISNUMBER(MATCH(70896,Max!$A:$A,0)), IF(OR(INDEX(Max!$D:$D,MATCH(70896,Max!$A:$A,0))=1, INDEX(Max!$D:$D,MATCH(70896,Max!$A:$A,0))=2), INDEX(Max!$D:$D,MATCH(70896,Max!$A:$A,0)), 0), 0)</f>
        <v>2</v>
      </c>
    </row>
    <row r="1640" spans="1:9" ht="15.75" customHeight="1" x14ac:dyDescent="0.2">
      <c r="A1640" s="1">
        <v>65608</v>
      </c>
      <c r="B1640" s="1" t="s">
        <v>422</v>
      </c>
      <c r="C1640" s="1" t="s">
        <v>3756</v>
      </c>
      <c r="D1640" s="1" t="str">
        <f t="shared" si="6"/>
        <v>1</v>
      </c>
      <c r="E1640" s="1" t="s">
        <v>3757</v>
      </c>
      <c r="G1640" s="1">
        <f t="array" ref="G1640">IF(ISNUMBER(MATCH(65608,Camille!$A:$A,0)), IF(OR(INDEX(Camille!$D:$D,MATCH(65608,Camille!$A:$A,0))=1, INDEX(Camille!$D:$D,MATCH(65608,Camille!$A:$A,0))=2), INDEX(Camille!$D:$D,MATCH(65608,Camille!$A:$A,0)), 0), 0)</f>
        <v>0</v>
      </c>
      <c r="H1640" s="1">
        <f t="array" ref="H1640">IF(ISNUMBER(MATCH(65608,Telmo!$A:$A,0)), IF(OR(INDEX(Telmo!$D:$D,MATCH(65608,Telmo!$A:$A,0))=1, INDEX(Telmo!$D:$D,MATCH(65608,Telmo!$A:$A,0))=2), INDEX(Telmo!$D:$D,MATCH(65608,Telmo!$A:$A,0)), 0), 0)</f>
        <v>0</v>
      </c>
      <c r="I1640" s="1">
        <f t="array" ref="I1640">IF(ISNUMBER(MATCH(65608,Max!$A:$A,0)), IF(OR(INDEX(Max!$D:$D,MATCH(65608,Max!$A:$A,0))=1, INDEX(Max!$D:$D,MATCH(65608,Max!$A:$A,0))=2), INDEX(Max!$D:$D,MATCH(65608,Max!$A:$A,0)), 0), 0)</f>
        <v>1</v>
      </c>
    </row>
    <row r="1641" spans="1:9" ht="15.75" customHeight="1" x14ac:dyDescent="0.2">
      <c r="A1641" s="1">
        <v>12900</v>
      </c>
      <c r="B1641" s="1" t="s">
        <v>357</v>
      </c>
      <c r="C1641" s="1" t="s">
        <v>3758</v>
      </c>
      <c r="D1641" s="1" t="str">
        <f t="shared" si="6"/>
        <v>2</v>
      </c>
      <c r="E1641" s="1" t="s">
        <v>3759</v>
      </c>
      <c r="G1641" s="1">
        <f t="array" ref="G1641">IF(ISNUMBER(MATCH(12900,Camille!$A:$A,0)), IF(OR(INDEX(Camille!$D:$D,MATCH(12900,Camille!$A:$A,0))=1, INDEX(Camille!$D:$D,MATCH(12900,Camille!$A:$A,0))=2), INDEX(Camille!$D:$D,MATCH(12900,Camille!$A:$A,0)), 0), 0)</f>
        <v>0</v>
      </c>
      <c r="H1641" s="1">
        <f t="array" ref="H1641">IF(ISNUMBER(MATCH(12900,Telmo!$A:$A,0)), IF(OR(INDEX(Telmo!$D:$D,MATCH(12900,Telmo!$A:$A,0))=1, INDEX(Telmo!$D:$D,MATCH(12900,Telmo!$A:$A,0))=2), INDEX(Telmo!$D:$D,MATCH(12900,Telmo!$A:$A,0)), 0), 0)</f>
        <v>0</v>
      </c>
      <c r="I1641" s="1">
        <f t="array" ref="I1641">IF(ISNUMBER(MATCH(12900,Max!$A:$A,0)), IF(OR(INDEX(Max!$D:$D,MATCH(12900,Max!$A:$A,0))=1, INDEX(Max!$D:$D,MATCH(12900,Max!$A:$A,0))=2), INDEX(Max!$D:$D,MATCH(12900,Max!$A:$A,0)), 0), 0)</f>
        <v>2</v>
      </c>
    </row>
    <row r="1642" spans="1:9" ht="15.75" customHeight="1" x14ac:dyDescent="0.2">
      <c r="A1642" s="1">
        <v>207</v>
      </c>
      <c r="B1642" s="1" t="s">
        <v>2831</v>
      </c>
      <c r="C1642" s="1" t="s">
        <v>3760</v>
      </c>
      <c r="D1642" s="1" t="str">
        <f t="shared" si="6"/>
        <v>2</v>
      </c>
      <c r="E1642" s="1" t="s">
        <v>3761</v>
      </c>
      <c r="G1642" s="1">
        <f t="array" ref="G1642">IF(ISNUMBER(MATCH(207,Camille!$A:$A,0)), IF(OR(INDEX(Camille!$D:$D,MATCH(207,Camille!$A:$A,0))=1, INDEX(Camille!$D:$D,MATCH(207,Camille!$A:$A,0))=2), INDEX(Camille!$D:$D,MATCH(207,Camille!$A:$A,0)), 0), 0)</f>
        <v>0</v>
      </c>
      <c r="H1642" s="1">
        <f t="array" ref="H1642">IF(ISNUMBER(MATCH(207,Telmo!$A:$A,0)), IF(OR(INDEX(Telmo!$D:$D,MATCH(207,Telmo!$A:$A,0))=1, INDEX(Telmo!$D:$D,MATCH(207,Telmo!$A:$A,0))=2), INDEX(Telmo!$D:$D,MATCH(207,Telmo!$A:$A,0)), 0), 0)</f>
        <v>0</v>
      </c>
      <c r="I1642" s="1">
        <f t="array" ref="I1642">IF(ISNUMBER(MATCH(207,Max!$A:$A,0)), IF(OR(INDEX(Max!$D:$D,MATCH(207,Max!$A:$A,0))=1, INDEX(Max!$D:$D,MATCH(207,Max!$A:$A,0))=2), INDEX(Max!$D:$D,MATCH(207,Max!$A:$A,0)), 0), 0)</f>
        <v>2</v>
      </c>
    </row>
    <row r="1643" spans="1:9" ht="15.75" customHeight="1" x14ac:dyDescent="0.2">
      <c r="A1643" s="1">
        <v>25876</v>
      </c>
      <c r="B1643" s="1" t="s">
        <v>3630</v>
      </c>
      <c r="C1643" s="1" t="s">
        <v>3762</v>
      </c>
      <c r="D1643" s="1" t="str">
        <f t="shared" si="6"/>
        <v>1</v>
      </c>
      <c r="E1643" s="1" t="s">
        <v>3763</v>
      </c>
      <c r="G1643" s="1">
        <f t="array" ref="G1643">IF(ISNUMBER(MATCH(25876,Camille!$A:$A,0)), IF(OR(INDEX(Camille!$D:$D,MATCH(25876,Camille!$A:$A,0))=1, INDEX(Camille!$D:$D,MATCH(25876,Camille!$A:$A,0))=2), INDEX(Camille!$D:$D,MATCH(25876,Camille!$A:$A,0)), 0), 0)</f>
        <v>0</v>
      </c>
      <c r="H1643" s="1">
        <f t="array" ref="H1643">IF(ISNUMBER(MATCH(25876,Telmo!$A:$A,0)), IF(OR(INDEX(Telmo!$D:$D,MATCH(25876,Telmo!$A:$A,0))=1, INDEX(Telmo!$D:$D,MATCH(25876,Telmo!$A:$A,0))=2), INDEX(Telmo!$D:$D,MATCH(25876,Telmo!$A:$A,0)), 0), 0)</f>
        <v>0</v>
      </c>
      <c r="I1643" s="1">
        <f t="array" ref="I1643">IF(ISNUMBER(MATCH(25876,Max!$A:$A,0)), IF(OR(INDEX(Max!$D:$D,MATCH(25876,Max!$A:$A,0))=1, INDEX(Max!$D:$D,MATCH(25876,Max!$A:$A,0))=2), INDEX(Max!$D:$D,MATCH(25876,Max!$A:$A,0)), 0), 0)</f>
        <v>1</v>
      </c>
    </row>
    <row r="1644" spans="1:9" ht="15.75" customHeight="1" x14ac:dyDescent="0.2">
      <c r="A1644" s="1">
        <v>19118</v>
      </c>
      <c r="B1644" s="1" t="s">
        <v>159</v>
      </c>
      <c r="C1644" s="1" t="s">
        <v>3764</v>
      </c>
      <c r="D1644" s="1" t="str">
        <f t="shared" si="6"/>
        <v>2</v>
      </c>
      <c r="E1644" s="1" t="s">
        <v>3765</v>
      </c>
      <c r="G1644" s="1">
        <f t="array" ref="G1644">IF(ISNUMBER(MATCH(19118,Camille!$A:$A,0)), IF(OR(INDEX(Camille!$D:$D,MATCH(19118,Camille!$A:$A,0))=1, INDEX(Camille!$D:$D,MATCH(19118,Camille!$A:$A,0))=2), INDEX(Camille!$D:$D,MATCH(19118,Camille!$A:$A,0)), 0), 0)</f>
        <v>0</v>
      </c>
      <c r="H1644" s="1">
        <f t="array" ref="H1644">IF(ISNUMBER(MATCH(19118,Telmo!$A:$A,0)), IF(OR(INDEX(Telmo!$D:$D,MATCH(19118,Telmo!$A:$A,0))=1, INDEX(Telmo!$D:$D,MATCH(19118,Telmo!$A:$A,0))=2), INDEX(Telmo!$D:$D,MATCH(19118,Telmo!$A:$A,0)), 0), 0)</f>
        <v>0</v>
      </c>
      <c r="I1644" s="1">
        <f t="array" ref="I1644">IF(ISNUMBER(MATCH(19118,Max!$A:$A,0)), IF(OR(INDEX(Max!$D:$D,MATCH(19118,Max!$A:$A,0))=1, INDEX(Max!$D:$D,MATCH(19118,Max!$A:$A,0))=2), INDEX(Max!$D:$D,MATCH(19118,Max!$A:$A,0)), 0), 0)</f>
        <v>2</v>
      </c>
    </row>
    <row r="1645" spans="1:9" ht="15.75" customHeight="1" x14ac:dyDescent="0.2">
      <c r="A1645" s="1">
        <v>674</v>
      </c>
      <c r="B1645" s="1" t="s">
        <v>103</v>
      </c>
      <c r="C1645" s="1" t="s">
        <v>3766</v>
      </c>
      <c r="D1645" s="1" t="str">
        <f t="shared" si="6"/>
        <v>2</v>
      </c>
      <c r="E1645" s="1" t="s">
        <v>3767</v>
      </c>
      <c r="G1645" s="1">
        <f t="array" ref="G1645">IF(ISNUMBER(MATCH(674,Camille!$A:$A,0)), IF(OR(INDEX(Camille!$D:$D,MATCH(674,Camille!$A:$A,0))=1, INDEX(Camille!$D:$D,MATCH(674,Camille!$A:$A,0))=2), INDEX(Camille!$D:$D,MATCH(674,Camille!$A:$A,0)), 0), 0)</f>
        <v>0</v>
      </c>
      <c r="H1645" s="1">
        <f t="array" ref="H1645">IF(ISNUMBER(MATCH(674,Telmo!$A:$A,0)), IF(OR(INDEX(Telmo!$D:$D,MATCH(674,Telmo!$A:$A,0))=1, INDEX(Telmo!$D:$D,MATCH(674,Telmo!$A:$A,0))=2), INDEX(Telmo!$D:$D,MATCH(674,Telmo!$A:$A,0)), 0), 0)</f>
        <v>0</v>
      </c>
      <c r="I1645" s="1">
        <f t="array" ref="I1645">IF(ISNUMBER(MATCH(674,Max!$A:$A,0)), IF(OR(INDEX(Max!$D:$D,MATCH(674,Max!$A:$A,0))=1, INDEX(Max!$D:$D,MATCH(674,Max!$A:$A,0))=2), INDEX(Max!$D:$D,MATCH(674,Max!$A:$A,0)), 0), 0)</f>
        <v>2</v>
      </c>
    </row>
    <row r="1646" spans="1:9" ht="15.75" customHeight="1" x14ac:dyDescent="0.2">
      <c r="A1646" s="1">
        <v>9538</v>
      </c>
      <c r="B1646" s="1" t="s">
        <v>2247</v>
      </c>
      <c r="C1646" s="1" t="s">
        <v>3768</v>
      </c>
      <c r="D1646" s="1" t="str">
        <f t="shared" si="6"/>
        <v>1</v>
      </c>
      <c r="E1646" s="1" t="s">
        <v>3769</v>
      </c>
      <c r="G1646" s="1">
        <f t="array" ref="G1646">IF(ISNUMBER(MATCH(9538,Camille!$A:$A,0)), IF(OR(INDEX(Camille!$D:$D,MATCH(9538,Camille!$A:$A,0))=1, INDEX(Camille!$D:$D,MATCH(9538,Camille!$A:$A,0))=2), INDEX(Camille!$D:$D,MATCH(9538,Camille!$A:$A,0)), 0), 0)</f>
        <v>0</v>
      </c>
      <c r="H1646" s="1">
        <f t="array" ref="H1646">IF(ISNUMBER(MATCH(9538,Telmo!$A:$A,0)), IF(OR(INDEX(Telmo!$D:$D,MATCH(9538,Telmo!$A:$A,0))=1, INDEX(Telmo!$D:$D,MATCH(9538,Telmo!$A:$A,0))=2), INDEX(Telmo!$D:$D,MATCH(9538,Telmo!$A:$A,0)), 0), 0)</f>
        <v>0</v>
      </c>
      <c r="I1646" s="1">
        <f t="array" ref="I1646">IF(ISNUMBER(MATCH(9538,Max!$A:$A,0)), IF(OR(INDEX(Max!$D:$D,MATCH(9538,Max!$A:$A,0))=1, INDEX(Max!$D:$D,MATCH(9538,Max!$A:$A,0))=2), INDEX(Max!$D:$D,MATCH(9538,Max!$A:$A,0)), 0), 0)</f>
        <v>1</v>
      </c>
    </row>
    <row r="1647" spans="1:9" ht="15.75" customHeight="1" x14ac:dyDescent="0.2">
      <c r="A1647" s="1">
        <v>57238</v>
      </c>
      <c r="B1647" s="1" t="s">
        <v>3770</v>
      </c>
      <c r="C1647" s="1" t="s">
        <v>3771</v>
      </c>
      <c r="D1647" s="1" t="str">
        <f t="shared" si="6"/>
        <v>1</v>
      </c>
      <c r="E1647" s="1" t="s">
        <v>3772</v>
      </c>
      <c r="G1647" s="1">
        <f t="array" ref="G1647">IF(ISNUMBER(MATCH(57238,Camille!$A:$A,0)), IF(OR(INDEX(Camille!$D:$D,MATCH(57238,Camille!$A:$A,0))=1, INDEX(Camille!$D:$D,MATCH(57238,Camille!$A:$A,0))=2), INDEX(Camille!$D:$D,MATCH(57238,Camille!$A:$A,0)), 0), 0)</f>
        <v>0</v>
      </c>
      <c r="H1647" s="1">
        <f t="array" ref="H1647">IF(ISNUMBER(MATCH(57238,Telmo!$A:$A,0)), IF(OR(INDEX(Telmo!$D:$D,MATCH(57238,Telmo!$A:$A,0))=1, INDEX(Telmo!$D:$D,MATCH(57238,Telmo!$A:$A,0))=2), INDEX(Telmo!$D:$D,MATCH(57238,Telmo!$A:$A,0)), 0), 0)</f>
        <v>0</v>
      </c>
      <c r="I1647" s="1">
        <f t="array" ref="I1647">IF(ISNUMBER(MATCH(57238,Max!$A:$A,0)), IF(OR(INDEX(Max!$D:$D,MATCH(57238,Max!$A:$A,0))=1, INDEX(Max!$D:$D,MATCH(57238,Max!$A:$A,0))=2), INDEX(Max!$D:$D,MATCH(57238,Max!$A:$A,0)), 0), 0)</f>
        <v>1</v>
      </c>
    </row>
    <row r="1648" spans="1:9" ht="15.75" customHeight="1" x14ac:dyDescent="0.2">
      <c r="A1648" s="1">
        <v>27804</v>
      </c>
      <c r="B1648" s="1" t="s">
        <v>315</v>
      </c>
      <c r="C1648" s="1" t="s">
        <v>3773</v>
      </c>
      <c r="D1648" s="1" t="str">
        <f t="shared" si="6"/>
        <v>2</v>
      </c>
      <c r="E1648" s="1" t="s">
        <v>3774</v>
      </c>
      <c r="G1648" s="1">
        <f t="array" ref="G1648">IF(ISNUMBER(MATCH(27804,Camille!$A:$A,0)), IF(OR(INDEX(Camille!$D:$D,MATCH(27804,Camille!$A:$A,0))=1, INDEX(Camille!$D:$D,MATCH(27804,Camille!$A:$A,0))=2), INDEX(Camille!$D:$D,MATCH(27804,Camille!$A:$A,0)), 0), 0)</f>
        <v>0</v>
      </c>
      <c r="H1648" s="1">
        <f t="array" ref="H1648">IF(ISNUMBER(MATCH(27804,Telmo!$A:$A,0)), IF(OR(INDEX(Telmo!$D:$D,MATCH(27804,Telmo!$A:$A,0))=1, INDEX(Telmo!$D:$D,MATCH(27804,Telmo!$A:$A,0))=2), INDEX(Telmo!$D:$D,MATCH(27804,Telmo!$A:$A,0)), 0), 0)</f>
        <v>0</v>
      </c>
      <c r="I1648" s="1">
        <f t="array" ref="I1648">IF(ISNUMBER(MATCH(27804,Max!$A:$A,0)), IF(OR(INDEX(Max!$D:$D,MATCH(27804,Max!$A:$A,0))=1, INDEX(Max!$D:$D,MATCH(27804,Max!$A:$A,0))=2), INDEX(Max!$D:$D,MATCH(27804,Max!$A:$A,0)), 0), 0)</f>
        <v>2</v>
      </c>
    </row>
    <row r="1649" spans="1:9" ht="15.75" customHeight="1" x14ac:dyDescent="0.2">
      <c r="A1649" s="1">
        <v>45620</v>
      </c>
      <c r="B1649" s="1" t="s">
        <v>597</v>
      </c>
      <c r="C1649" s="1" t="s">
        <v>3775</v>
      </c>
      <c r="D1649" s="1" t="str">
        <f t="shared" si="6"/>
        <v>2</v>
      </c>
      <c r="E1649" s="1" t="s">
        <v>3776</v>
      </c>
      <c r="G1649" s="1">
        <f t="array" ref="G1649">IF(ISNUMBER(MATCH(45620,Camille!$A:$A,0)), IF(OR(INDEX(Camille!$D:$D,MATCH(45620,Camille!$A:$A,0))=1, INDEX(Camille!$D:$D,MATCH(45620,Camille!$A:$A,0))=2), INDEX(Camille!$D:$D,MATCH(45620,Camille!$A:$A,0)), 0), 0)</f>
        <v>0</v>
      </c>
      <c r="H1649" s="1">
        <f t="array" ref="H1649">IF(ISNUMBER(MATCH(45620,Telmo!$A:$A,0)), IF(OR(INDEX(Telmo!$D:$D,MATCH(45620,Telmo!$A:$A,0))=1, INDEX(Telmo!$D:$D,MATCH(45620,Telmo!$A:$A,0))=2), INDEX(Telmo!$D:$D,MATCH(45620,Telmo!$A:$A,0)), 0), 0)</f>
        <v>0</v>
      </c>
      <c r="I1649" s="1">
        <f t="array" ref="I1649">IF(ISNUMBER(MATCH(45620,Max!$A:$A,0)), IF(OR(INDEX(Max!$D:$D,MATCH(45620,Max!$A:$A,0))=1, INDEX(Max!$D:$D,MATCH(45620,Max!$A:$A,0))=2), INDEX(Max!$D:$D,MATCH(45620,Max!$A:$A,0)), 0), 0)</f>
        <v>2</v>
      </c>
    </row>
    <row r="1650" spans="1:9" ht="15.75" customHeight="1" x14ac:dyDescent="0.2">
      <c r="A1650" s="1">
        <v>46872</v>
      </c>
      <c r="B1650" s="1" t="s">
        <v>95</v>
      </c>
      <c r="C1650" s="1" t="s">
        <v>3777</v>
      </c>
      <c r="D1650" s="1" t="str">
        <f t="shared" si="6"/>
        <v>2</v>
      </c>
      <c r="E1650" s="1" t="s">
        <v>3778</v>
      </c>
      <c r="G1650" s="1">
        <f t="array" ref="G1650">IF(ISNUMBER(MATCH(46872,Camille!$A:$A,0)), IF(OR(INDEX(Camille!$D:$D,MATCH(46872,Camille!$A:$A,0))=1, INDEX(Camille!$D:$D,MATCH(46872,Camille!$A:$A,0))=2), INDEX(Camille!$D:$D,MATCH(46872,Camille!$A:$A,0)), 0), 0)</f>
        <v>0</v>
      </c>
      <c r="H1650" s="1">
        <f t="array" ref="H1650">IF(ISNUMBER(MATCH(46872,Telmo!$A:$A,0)), IF(OR(INDEX(Telmo!$D:$D,MATCH(46872,Telmo!$A:$A,0))=1, INDEX(Telmo!$D:$D,MATCH(46872,Telmo!$A:$A,0))=2), INDEX(Telmo!$D:$D,MATCH(46872,Telmo!$A:$A,0)), 0), 0)</f>
        <v>0</v>
      </c>
      <c r="I1650" s="1">
        <f t="array" ref="I1650">IF(ISNUMBER(MATCH(46872,Max!$A:$A,0)), IF(OR(INDEX(Max!$D:$D,MATCH(46872,Max!$A:$A,0))=1, INDEX(Max!$D:$D,MATCH(46872,Max!$A:$A,0))=2), INDEX(Max!$D:$D,MATCH(46872,Max!$A:$A,0)), 0), 0)</f>
        <v>2</v>
      </c>
    </row>
    <row r="1651" spans="1:9" ht="15.75" customHeight="1" x14ac:dyDescent="0.2">
      <c r="A1651" s="1">
        <v>39389</v>
      </c>
      <c r="B1651" s="1" t="s">
        <v>244</v>
      </c>
      <c r="C1651" s="1" t="s">
        <v>3779</v>
      </c>
      <c r="D1651" s="1" t="str">
        <f t="shared" si="6"/>
        <v>2</v>
      </c>
      <c r="E1651" s="1" t="s">
        <v>3780</v>
      </c>
      <c r="G1651" s="1">
        <f t="array" ref="G1651">IF(ISNUMBER(MATCH(39389,Camille!$A:$A,0)), IF(OR(INDEX(Camille!$D:$D,MATCH(39389,Camille!$A:$A,0))=1, INDEX(Camille!$D:$D,MATCH(39389,Camille!$A:$A,0))=2), INDEX(Camille!$D:$D,MATCH(39389,Camille!$A:$A,0)), 0), 0)</f>
        <v>0</v>
      </c>
      <c r="H1651" s="1">
        <f t="array" ref="H1651">IF(ISNUMBER(MATCH(39389,Telmo!$A:$A,0)), IF(OR(INDEX(Telmo!$D:$D,MATCH(39389,Telmo!$A:$A,0))=1, INDEX(Telmo!$D:$D,MATCH(39389,Telmo!$A:$A,0))=2), INDEX(Telmo!$D:$D,MATCH(39389,Telmo!$A:$A,0)), 0), 0)</f>
        <v>0</v>
      </c>
      <c r="I1651" s="1">
        <f t="array" ref="I1651">IF(ISNUMBER(MATCH(39389,Max!$A:$A,0)), IF(OR(INDEX(Max!$D:$D,MATCH(39389,Max!$A:$A,0))=1, INDEX(Max!$D:$D,MATCH(39389,Max!$A:$A,0))=2), INDEX(Max!$D:$D,MATCH(39389,Max!$A:$A,0)), 0), 0)</f>
        <v>2</v>
      </c>
    </row>
    <row r="1652" spans="1:9" ht="15.75" customHeight="1" x14ac:dyDescent="0.2">
      <c r="A1652" s="1">
        <v>58268</v>
      </c>
      <c r="B1652" s="1" t="s">
        <v>2865</v>
      </c>
      <c r="C1652" s="1" t="s">
        <v>3781</v>
      </c>
      <c r="D1652" s="1" t="str">
        <f t="shared" si="6"/>
        <v>2</v>
      </c>
      <c r="E1652" s="1" t="s">
        <v>3782</v>
      </c>
      <c r="G1652" s="1">
        <f t="array" ref="G1652">IF(ISNUMBER(MATCH(58268,Camille!$A:$A,0)), IF(OR(INDEX(Camille!$D:$D,MATCH(58268,Camille!$A:$A,0))=1, INDEX(Camille!$D:$D,MATCH(58268,Camille!$A:$A,0))=2), INDEX(Camille!$D:$D,MATCH(58268,Camille!$A:$A,0)), 0), 0)</f>
        <v>0</v>
      </c>
      <c r="H1652" s="1">
        <f t="array" ref="H1652">IF(ISNUMBER(MATCH(58268,Telmo!$A:$A,0)), IF(OR(INDEX(Telmo!$D:$D,MATCH(58268,Telmo!$A:$A,0))=1, INDEX(Telmo!$D:$D,MATCH(58268,Telmo!$A:$A,0))=2), INDEX(Telmo!$D:$D,MATCH(58268,Telmo!$A:$A,0)), 0), 0)</f>
        <v>0</v>
      </c>
      <c r="I1652" s="1">
        <f t="array" ref="I1652">IF(ISNUMBER(MATCH(58268,Max!$A:$A,0)), IF(OR(INDEX(Max!$D:$D,MATCH(58268,Max!$A:$A,0))=1, INDEX(Max!$D:$D,MATCH(58268,Max!$A:$A,0))=2), INDEX(Max!$D:$D,MATCH(58268,Max!$A:$A,0)), 0), 0)</f>
        <v>2</v>
      </c>
    </row>
    <row r="1653" spans="1:9" ht="15.75" customHeight="1" x14ac:dyDescent="0.2">
      <c r="A1653" s="1">
        <v>52671</v>
      </c>
      <c r="B1653" s="1" t="s">
        <v>1921</v>
      </c>
      <c r="C1653" s="1" t="s">
        <v>3783</v>
      </c>
      <c r="D1653" s="1" t="str">
        <f t="shared" si="6"/>
        <v>2</v>
      </c>
      <c r="E1653" s="1" t="s">
        <v>3784</v>
      </c>
      <c r="G1653" s="1">
        <f t="array" ref="G1653">IF(ISNUMBER(MATCH(52671,Camille!$A:$A,0)), IF(OR(INDEX(Camille!$D:$D,MATCH(52671,Camille!$A:$A,0))=1, INDEX(Camille!$D:$D,MATCH(52671,Camille!$A:$A,0))=2), INDEX(Camille!$D:$D,MATCH(52671,Camille!$A:$A,0)), 0), 0)</f>
        <v>0</v>
      </c>
      <c r="H1653" s="1">
        <f t="array" ref="H1653">IF(ISNUMBER(MATCH(52671,Telmo!$A:$A,0)), IF(OR(INDEX(Telmo!$D:$D,MATCH(52671,Telmo!$A:$A,0))=1, INDEX(Telmo!$D:$D,MATCH(52671,Telmo!$A:$A,0))=2), INDEX(Telmo!$D:$D,MATCH(52671,Telmo!$A:$A,0)), 0), 0)</f>
        <v>0</v>
      </c>
      <c r="I1653" s="1">
        <f t="array" ref="I1653">IF(ISNUMBER(MATCH(52671,Max!$A:$A,0)), IF(OR(INDEX(Max!$D:$D,MATCH(52671,Max!$A:$A,0))=1, INDEX(Max!$D:$D,MATCH(52671,Max!$A:$A,0))=2), INDEX(Max!$D:$D,MATCH(52671,Max!$A:$A,0)), 0), 0)</f>
        <v>2</v>
      </c>
    </row>
    <row r="1654" spans="1:9" ht="15.75" customHeight="1" x14ac:dyDescent="0.2">
      <c r="A1654" s="1">
        <v>66954</v>
      </c>
      <c r="B1654" s="1" t="s">
        <v>1344</v>
      </c>
      <c r="C1654" s="1" t="s">
        <v>3785</v>
      </c>
      <c r="D1654" s="1" t="str">
        <f t="shared" si="6"/>
        <v>2</v>
      </c>
      <c r="E1654" s="1" t="s">
        <v>3786</v>
      </c>
      <c r="G1654" s="1">
        <f t="array" ref="G1654">IF(ISNUMBER(MATCH(66954,Camille!$A:$A,0)), IF(OR(INDEX(Camille!$D:$D,MATCH(66954,Camille!$A:$A,0))=1, INDEX(Camille!$D:$D,MATCH(66954,Camille!$A:$A,0))=2), INDEX(Camille!$D:$D,MATCH(66954,Camille!$A:$A,0)), 0), 0)</f>
        <v>0</v>
      </c>
      <c r="H1654" s="1">
        <f t="array" ref="H1654">IF(ISNUMBER(MATCH(66954,Telmo!$A:$A,0)), IF(OR(INDEX(Telmo!$D:$D,MATCH(66954,Telmo!$A:$A,0))=1, INDEX(Telmo!$D:$D,MATCH(66954,Telmo!$A:$A,0))=2), INDEX(Telmo!$D:$D,MATCH(66954,Telmo!$A:$A,0)), 0), 0)</f>
        <v>0</v>
      </c>
      <c r="I1654" s="1">
        <f t="array" ref="I1654">IF(ISNUMBER(MATCH(66954,Max!$A:$A,0)), IF(OR(INDEX(Max!$D:$D,MATCH(66954,Max!$A:$A,0))=1, INDEX(Max!$D:$D,MATCH(66954,Max!$A:$A,0))=2), INDEX(Max!$D:$D,MATCH(66954,Max!$A:$A,0)), 0), 0)</f>
        <v>2</v>
      </c>
    </row>
    <row r="1655" spans="1:9" ht="15.75" customHeight="1" x14ac:dyDescent="0.2">
      <c r="A1655" s="1">
        <v>45509</v>
      </c>
      <c r="B1655" s="1" t="s">
        <v>1455</v>
      </c>
      <c r="C1655" s="1" t="s">
        <v>3787</v>
      </c>
      <c r="D1655" s="1" t="str">
        <f t="shared" si="6"/>
        <v>2</v>
      </c>
      <c r="E1655" s="1" t="s">
        <v>3788</v>
      </c>
      <c r="G1655" s="1">
        <f t="array" ref="G1655">IF(ISNUMBER(MATCH(45509,Camille!$A:$A,0)), IF(OR(INDEX(Camille!$D:$D,MATCH(45509,Camille!$A:$A,0))=1, INDEX(Camille!$D:$D,MATCH(45509,Camille!$A:$A,0))=2), INDEX(Camille!$D:$D,MATCH(45509,Camille!$A:$A,0)), 0), 0)</f>
        <v>0</v>
      </c>
      <c r="H1655" s="1">
        <f t="array" ref="H1655">IF(ISNUMBER(MATCH(45509,Telmo!$A:$A,0)), IF(OR(INDEX(Telmo!$D:$D,MATCH(45509,Telmo!$A:$A,0))=1, INDEX(Telmo!$D:$D,MATCH(45509,Telmo!$A:$A,0))=2), INDEX(Telmo!$D:$D,MATCH(45509,Telmo!$A:$A,0)), 0), 0)</f>
        <v>0</v>
      </c>
      <c r="I1655" s="1">
        <f t="array" ref="I1655">IF(ISNUMBER(MATCH(45509,Max!$A:$A,0)), IF(OR(INDEX(Max!$D:$D,MATCH(45509,Max!$A:$A,0))=1, INDEX(Max!$D:$D,MATCH(45509,Max!$A:$A,0))=2), INDEX(Max!$D:$D,MATCH(45509,Max!$A:$A,0)), 0), 0)</f>
        <v>2</v>
      </c>
    </row>
    <row r="1656" spans="1:9" ht="15.75" customHeight="1" x14ac:dyDescent="0.2">
      <c r="A1656" s="1">
        <v>32921</v>
      </c>
      <c r="B1656" s="1" t="s">
        <v>3789</v>
      </c>
      <c r="C1656" s="1" t="s">
        <v>3790</v>
      </c>
      <c r="D1656" s="1" t="str">
        <f t="shared" si="6"/>
        <v>1</v>
      </c>
      <c r="E1656" s="1" t="s">
        <v>3791</v>
      </c>
      <c r="G1656" s="1">
        <f t="array" ref="G1656">IF(ISNUMBER(MATCH(32921,Camille!$A:$A,0)), IF(OR(INDEX(Camille!$D:$D,MATCH(32921,Camille!$A:$A,0))=1, INDEX(Camille!$D:$D,MATCH(32921,Camille!$A:$A,0))=2), INDEX(Camille!$D:$D,MATCH(32921,Camille!$A:$A,0)), 0), 0)</f>
        <v>0</v>
      </c>
      <c r="H1656" s="1">
        <f t="array" ref="H1656">IF(ISNUMBER(MATCH(32921,Telmo!$A:$A,0)), IF(OR(INDEX(Telmo!$D:$D,MATCH(32921,Telmo!$A:$A,0))=1, INDEX(Telmo!$D:$D,MATCH(32921,Telmo!$A:$A,0))=2), INDEX(Telmo!$D:$D,MATCH(32921,Telmo!$A:$A,0)), 0), 0)</f>
        <v>0</v>
      </c>
      <c r="I1656" s="1">
        <f t="array" ref="I1656">IF(ISNUMBER(MATCH(32921,Max!$A:$A,0)), IF(OR(INDEX(Max!$D:$D,MATCH(32921,Max!$A:$A,0))=1, INDEX(Max!$D:$D,MATCH(32921,Max!$A:$A,0))=2), INDEX(Max!$D:$D,MATCH(32921,Max!$A:$A,0)), 0), 0)</f>
        <v>1</v>
      </c>
    </row>
    <row r="1657" spans="1:9" ht="15.75" customHeight="1" x14ac:dyDescent="0.2">
      <c r="A1657" s="1">
        <v>15739</v>
      </c>
      <c r="B1657" s="1" t="s">
        <v>78</v>
      </c>
      <c r="C1657" s="1" t="s">
        <v>3792</v>
      </c>
      <c r="D1657" s="1" t="str">
        <f t="shared" si="6"/>
        <v>2</v>
      </c>
      <c r="E1657" s="1" t="s">
        <v>3793</v>
      </c>
      <c r="G1657" s="1">
        <f t="array" ref="G1657">IF(ISNUMBER(MATCH(15739,Camille!$A:$A,0)), IF(OR(INDEX(Camille!$D:$D,MATCH(15739,Camille!$A:$A,0))=1, INDEX(Camille!$D:$D,MATCH(15739,Camille!$A:$A,0))=2), INDEX(Camille!$D:$D,MATCH(15739,Camille!$A:$A,0)), 0), 0)</f>
        <v>0</v>
      </c>
      <c r="H1657" s="1">
        <f t="array" ref="H1657">IF(ISNUMBER(MATCH(15739,Telmo!$A:$A,0)), IF(OR(INDEX(Telmo!$D:$D,MATCH(15739,Telmo!$A:$A,0))=1, INDEX(Telmo!$D:$D,MATCH(15739,Telmo!$A:$A,0))=2), INDEX(Telmo!$D:$D,MATCH(15739,Telmo!$A:$A,0)), 0), 0)</f>
        <v>0</v>
      </c>
      <c r="I1657" s="1">
        <f t="array" ref="I1657">IF(ISNUMBER(MATCH(15739,Max!$A:$A,0)), IF(OR(INDEX(Max!$D:$D,MATCH(15739,Max!$A:$A,0))=1, INDEX(Max!$D:$D,MATCH(15739,Max!$A:$A,0))=2), INDEX(Max!$D:$D,MATCH(15739,Max!$A:$A,0)), 0), 0)</f>
        <v>2</v>
      </c>
    </row>
    <row r="1658" spans="1:9" ht="15.75" customHeight="1" x14ac:dyDescent="0.2">
      <c r="A1658" s="1">
        <v>21981</v>
      </c>
      <c r="B1658" s="1" t="s">
        <v>32</v>
      </c>
      <c r="C1658" s="1" t="s">
        <v>3794</v>
      </c>
      <c r="D1658" s="1" t="str">
        <f t="shared" si="6"/>
        <v>1</v>
      </c>
      <c r="E1658" s="1" t="s">
        <v>3795</v>
      </c>
      <c r="G1658" s="1">
        <f t="array" ref="G1658">IF(ISNUMBER(MATCH(21981,Camille!$A:$A,0)), IF(OR(INDEX(Camille!$D:$D,MATCH(21981,Camille!$A:$A,0))=1, INDEX(Camille!$D:$D,MATCH(21981,Camille!$A:$A,0))=2), INDEX(Camille!$D:$D,MATCH(21981,Camille!$A:$A,0)), 0), 0)</f>
        <v>0</v>
      </c>
      <c r="H1658" s="1">
        <f t="array" ref="H1658">IF(ISNUMBER(MATCH(21981,Telmo!$A:$A,0)), IF(OR(INDEX(Telmo!$D:$D,MATCH(21981,Telmo!$A:$A,0))=1, INDEX(Telmo!$D:$D,MATCH(21981,Telmo!$A:$A,0))=2), INDEX(Telmo!$D:$D,MATCH(21981,Telmo!$A:$A,0)), 0), 0)</f>
        <v>0</v>
      </c>
      <c r="I1658" s="1">
        <f t="array" ref="I1658">IF(ISNUMBER(MATCH(21981,Max!$A:$A,0)), IF(OR(INDEX(Max!$D:$D,MATCH(21981,Max!$A:$A,0))=1, INDEX(Max!$D:$D,MATCH(21981,Max!$A:$A,0))=2), INDEX(Max!$D:$D,MATCH(21981,Max!$A:$A,0)), 0), 0)</f>
        <v>1</v>
      </c>
    </row>
    <row r="1659" spans="1:9" ht="15.75" customHeight="1" x14ac:dyDescent="0.2">
      <c r="A1659" s="1">
        <v>17271</v>
      </c>
      <c r="B1659" s="1" t="s">
        <v>430</v>
      </c>
      <c r="C1659" s="1" t="s">
        <v>3796</v>
      </c>
      <c r="D1659" s="1" t="str">
        <f t="shared" si="6"/>
        <v>1</v>
      </c>
      <c r="E1659" s="1" t="s">
        <v>3797</v>
      </c>
      <c r="G1659" s="1">
        <f t="array" ref="G1659">IF(ISNUMBER(MATCH(17271,Camille!$A:$A,0)), IF(OR(INDEX(Camille!$D:$D,MATCH(17271,Camille!$A:$A,0))=1, INDEX(Camille!$D:$D,MATCH(17271,Camille!$A:$A,0))=2), INDEX(Camille!$D:$D,MATCH(17271,Camille!$A:$A,0)), 0), 0)</f>
        <v>0</v>
      </c>
      <c r="H1659" s="1">
        <f t="array" ref="H1659">IF(ISNUMBER(MATCH(17271,Telmo!$A:$A,0)), IF(OR(INDEX(Telmo!$D:$D,MATCH(17271,Telmo!$A:$A,0))=1, INDEX(Telmo!$D:$D,MATCH(17271,Telmo!$A:$A,0))=2), INDEX(Telmo!$D:$D,MATCH(17271,Telmo!$A:$A,0)), 0), 0)</f>
        <v>0</v>
      </c>
      <c r="I1659" s="1">
        <f t="array" ref="I1659">IF(ISNUMBER(MATCH(17271,Max!$A:$A,0)), IF(OR(INDEX(Max!$D:$D,MATCH(17271,Max!$A:$A,0))=1, INDEX(Max!$D:$D,MATCH(17271,Max!$A:$A,0))=2), INDEX(Max!$D:$D,MATCH(17271,Max!$A:$A,0)), 0), 0)</f>
        <v>1</v>
      </c>
    </row>
    <row r="1660" spans="1:9" ht="15.75" customHeight="1" x14ac:dyDescent="0.2">
      <c r="A1660" s="1">
        <v>28175</v>
      </c>
      <c r="B1660" s="1" t="s">
        <v>180</v>
      </c>
      <c r="C1660" s="1" t="s">
        <v>3798</v>
      </c>
      <c r="D1660" s="1" t="str">
        <f t="shared" si="6"/>
        <v>2</v>
      </c>
      <c r="E1660" s="1" t="s">
        <v>3799</v>
      </c>
      <c r="G1660" s="1">
        <f t="array" ref="G1660">IF(ISNUMBER(MATCH(28175,Camille!$A:$A,0)), IF(OR(INDEX(Camille!$D:$D,MATCH(28175,Camille!$A:$A,0))=1, INDEX(Camille!$D:$D,MATCH(28175,Camille!$A:$A,0))=2), INDEX(Camille!$D:$D,MATCH(28175,Camille!$A:$A,0)), 0), 0)</f>
        <v>0</v>
      </c>
      <c r="H1660" s="1">
        <f t="array" ref="H1660">IF(ISNUMBER(MATCH(28175,Telmo!$A:$A,0)), IF(OR(INDEX(Telmo!$D:$D,MATCH(28175,Telmo!$A:$A,0))=1, INDEX(Telmo!$D:$D,MATCH(28175,Telmo!$A:$A,0))=2), INDEX(Telmo!$D:$D,MATCH(28175,Telmo!$A:$A,0)), 0), 0)</f>
        <v>0</v>
      </c>
      <c r="I1660" s="1">
        <f t="array" ref="I1660">IF(ISNUMBER(MATCH(28175,Max!$A:$A,0)), IF(OR(INDEX(Max!$D:$D,MATCH(28175,Max!$A:$A,0))=1, INDEX(Max!$D:$D,MATCH(28175,Max!$A:$A,0))=2), INDEX(Max!$D:$D,MATCH(28175,Max!$A:$A,0)), 0), 0)</f>
        <v>2</v>
      </c>
    </row>
    <row r="1661" spans="1:9" ht="15.75" customHeight="1" x14ac:dyDescent="0.2">
      <c r="A1661" s="1">
        <v>50631</v>
      </c>
      <c r="B1661" s="1" t="s">
        <v>244</v>
      </c>
      <c r="C1661" s="1" t="s">
        <v>3800</v>
      </c>
      <c r="D1661" s="1" t="str">
        <f t="shared" si="6"/>
        <v>1</v>
      </c>
      <c r="E1661" s="1" t="s">
        <v>3801</v>
      </c>
      <c r="G1661" s="1">
        <f t="array" ref="G1661">IF(ISNUMBER(MATCH(50631,Camille!$A:$A,0)), IF(OR(INDEX(Camille!$D:$D,MATCH(50631,Camille!$A:$A,0))=1, INDEX(Camille!$D:$D,MATCH(50631,Camille!$A:$A,0))=2), INDEX(Camille!$D:$D,MATCH(50631,Camille!$A:$A,0)), 0), 0)</f>
        <v>0</v>
      </c>
      <c r="H1661" s="1">
        <f t="array" ref="H1661">IF(ISNUMBER(MATCH(50631,Telmo!$A:$A,0)), IF(OR(INDEX(Telmo!$D:$D,MATCH(50631,Telmo!$A:$A,0))=1, INDEX(Telmo!$D:$D,MATCH(50631,Telmo!$A:$A,0))=2), INDEX(Telmo!$D:$D,MATCH(50631,Telmo!$A:$A,0)), 0), 0)</f>
        <v>0</v>
      </c>
      <c r="I1661" s="1">
        <f t="array" ref="I1661">IF(ISNUMBER(MATCH(50631,Max!$A:$A,0)), IF(OR(INDEX(Max!$D:$D,MATCH(50631,Max!$A:$A,0))=1, INDEX(Max!$D:$D,MATCH(50631,Max!$A:$A,0))=2), INDEX(Max!$D:$D,MATCH(50631,Max!$A:$A,0)), 0), 0)</f>
        <v>1</v>
      </c>
    </row>
    <row r="1662" spans="1:9" ht="15.75" customHeight="1" x14ac:dyDescent="0.2">
      <c r="A1662" s="1">
        <v>50274</v>
      </c>
      <c r="B1662" s="1" t="s">
        <v>254</v>
      </c>
      <c r="C1662" s="1" t="s">
        <v>3802</v>
      </c>
      <c r="D1662" s="1" t="str">
        <f t="shared" si="6"/>
        <v>1</v>
      </c>
      <c r="E1662" s="1" t="s">
        <v>3803</v>
      </c>
      <c r="G1662" s="1">
        <f t="array" ref="G1662">IF(ISNUMBER(MATCH(50274,Camille!$A:$A,0)), IF(OR(INDEX(Camille!$D:$D,MATCH(50274,Camille!$A:$A,0))=1, INDEX(Camille!$D:$D,MATCH(50274,Camille!$A:$A,0))=2), INDEX(Camille!$D:$D,MATCH(50274,Camille!$A:$A,0)), 0), 0)</f>
        <v>0</v>
      </c>
      <c r="H1662" s="1">
        <f t="array" ref="H1662">IF(ISNUMBER(MATCH(50274,Telmo!$A:$A,0)), IF(OR(INDEX(Telmo!$D:$D,MATCH(50274,Telmo!$A:$A,0))=1, INDEX(Telmo!$D:$D,MATCH(50274,Telmo!$A:$A,0))=2), INDEX(Telmo!$D:$D,MATCH(50274,Telmo!$A:$A,0)), 0), 0)</f>
        <v>0</v>
      </c>
      <c r="I1662" s="1">
        <f t="array" ref="I1662">IF(ISNUMBER(MATCH(50274,Max!$A:$A,0)), IF(OR(INDEX(Max!$D:$D,MATCH(50274,Max!$A:$A,0))=1, INDEX(Max!$D:$D,MATCH(50274,Max!$A:$A,0))=2), INDEX(Max!$D:$D,MATCH(50274,Max!$A:$A,0)), 0), 0)</f>
        <v>1</v>
      </c>
    </row>
    <row r="1663" spans="1:9" ht="15.75" customHeight="1" x14ac:dyDescent="0.2">
      <c r="A1663" s="1">
        <v>66332</v>
      </c>
      <c r="B1663" s="1" t="s">
        <v>3804</v>
      </c>
      <c r="C1663" s="1" t="s">
        <v>3805</v>
      </c>
      <c r="D1663" s="1" t="str">
        <f t="shared" si="6"/>
        <v>2</v>
      </c>
      <c r="E1663" s="1" t="s">
        <v>3806</v>
      </c>
      <c r="G1663" s="1">
        <f t="array" ref="G1663">IF(ISNUMBER(MATCH(66332,Camille!$A:$A,0)), IF(OR(INDEX(Camille!$D:$D,MATCH(66332,Camille!$A:$A,0))=1, INDEX(Camille!$D:$D,MATCH(66332,Camille!$A:$A,0))=2), INDEX(Camille!$D:$D,MATCH(66332,Camille!$A:$A,0)), 0), 0)</f>
        <v>0</v>
      </c>
      <c r="H1663" s="1">
        <f t="array" ref="H1663">IF(ISNUMBER(MATCH(66332,Telmo!$A:$A,0)), IF(OR(INDEX(Telmo!$D:$D,MATCH(66332,Telmo!$A:$A,0))=1, INDEX(Telmo!$D:$D,MATCH(66332,Telmo!$A:$A,0))=2), INDEX(Telmo!$D:$D,MATCH(66332,Telmo!$A:$A,0)), 0), 0)</f>
        <v>0</v>
      </c>
      <c r="I1663" s="1">
        <f t="array" ref="I1663">IF(ISNUMBER(MATCH(66332,Max!$A:$A,0)), IF(OR(INDEX(Max!$D:$D,MATCH(66332,Max!$A:$A,0))=1, INDEX(Max!$D:$D,MATCH(66332,Max!$A:$A,0))=2), INDEX(Max!$D:$D,MATCH(66332,Max!$A:$A,0)), 0), 0)</f>
        <v>2</v>
      </c>
    </row>
    <row r="1664" spans="1:9" ht="15.75" customHeight="1" x14ac:dyDescent="0.2">
      <c r="A1664" s="1">
        <v>59738</v>
      </c>
      <c r="B1664" s="1" t="s">
        <v>1819</v>
      </c>
      <c r="C1664" s="1" t="s">
        <v>3807</v>
      </c>
      <c r="D1664" s="1" t="str">
        <f t="shared" si="6"/>
        <v>1</v>
      </c>
      <c r="E1664" s="1" t="s">
        <v>3808</v>
      </c>
      <c r="G1664" s="1">
        <f t="array" ref="G1664">IF(ISNUMBER(MATCH(59738,Camille!$A:$A,0)), IF(OR(INDEX(Camille!$D:$D,MATCH(59738,Camille!$A:$A,0))=1, INDEX(Camille!$D:$D,MATCH(59738,Camille!$A:$A,0))=2), INDEX(Camille!$D:$D,MATCH(59738,Camille!$A:$A,0)), 0), 0)</f>
        <v>0</v>
      </c>
      <c r="H1664" s="1">
        <f t="array" ref="H1664">IF(ISNUMBER(MATCH(59738,Telmo!$A:$A,0)), IF(OR(INDEX(Telmo!$D:$D,MATCH(59738,Telmo!$A:$A,0))=1, INDEX(Telmo!$D:$D,MATCH(59738,Telmo!$A:$A,0))=2), INDEX(Telmo!$D:$D,MATCH(59738,Telmo!$A:$A,0)), 0), 0)</f>
        <v>0</v>
      </c>
      <c r="I1664" s="1">
        <f t="array" ref="I1664">IF(ISNUMBER(MATCH(59738,Max!$A:$A,0)), IF(OR(INDEX(Max!$D:$D,MATCH(59738,Max!$A:$A,0))=1, INDEX(Max!$D:$D,MATCH(59738,Max!$A:$A,0))=2), INDEX(Max!$D:$D,MATCH(59738,Max!$A:$A,0)), 0), 0)</f>
        <v>1</v>
      </c>
    </row>
    <row r="1665" spans="1:9" ht="15.75" customHeight="1" x14ac:dyDescent="0.2">
      <c r="A1665" s="1">
        <v>60424</v>
      </c>
      <c r="B1665" s="1" t="s">
        <v>159</v>
      </c>
      <c r="C1665" s="1" t="s">
        <v>3809</v>
      </c>
      <c r="D1665" s="1" t="str">
        <f t="shared" si="6"/>
        <v>2</v>
      </c>
      <c r="E1665" s="1" t="s">
        <v>3810</v>
      </c>
      <c r="G1665" s="1">
        <f t="array" ref="G1665">IF(ISNUMBER(MATCH(60424,Camille!$A:$A,0)), IF(OR(INDEX(Camille!$D:$D,MATCH(60424,Camille!$A:$A,0))=1, INDEX(Camille!$D:$D,MATCH(60424,Camille!$A:$A,0))=2), INDEX(Camille!$D:$D,MATCH(60424,Camille!$A:$A,0)), 0), 0)</f>
        <v>0</v>
      </c>
      <c r="H1665" s="1">
        <f t="array" ref="H1665">IF(ISNUMBER(MATCH(60424,Telmo!$A:$A,0)), IF(OR(INDEX(Telmo!$D:$D,MATCH(60424,Telmo!$A:$A,0))=1, INDEX(Telmo!$D:$D,MATCH(60424,Telmo!$A:$A,0))=2), INDEX(Telmo!$D:$D,MATCH(60424,Telmo!$A:$A,0)), 0), 0)</f>
        <v>0</v>
      </c>
      <c r="I1665" s="1">
        <f t="array" ref="I1665">IF(ISNUMBER(MATCH(60424,Max!$A:$A,0)), IF(OR(INDEX(Max!$D:$D,MATCH(60424,Max!$A:$A,0))=1, INDEX(Max!$D:$D,MATCH(60424,Max!$A:$A,0))=2), INDEX(Max!$D:$D,MATCH(60424,Max!$A:$A,0)), 0), 0)</f>
        <v>2</v>
      </c>
    </row>
    <row r="1666" spans="1:9" ht="15.75" customHeight="1" x14ac:dyDescent="0.2">
      <c r="A1666" s="1">
        <v>58592</v>
      </c>
      <c r="B1666" s="1" t="s">
        <v>3811</v>
      </c>
      <c r="C1666" s="1" t="s">
        <v>3812</v>
      </c>
      <c r="D1666" s="1" t="str">
        <f t="shared" si="6"/>
        <v>1</v>
      </c>
      <c r="E1666" s="1" t="s">
        <v>3813</v>
      </c>
      <c r="G1666" s="1">
        <f t="array" ref="G1666">IF(ISNUMBER(MATCH(58592,Camille!$A:$A,0)), IF(OR(INDEX(Camille!$D:$D,MATCH(58592,Camille!$A:$A,0))=1, INDEX(Camille!$D:$D,MATCH(58592,Camille!$A:$A,0))=2), INDEX(Camille!$D:$D,MATCH(58592,Camille!$A:$A,0)), 0), 0)</f>
        <v>0</v>
      </c>
      <c r="H1666" s="1">
        <f t="array" ref="H1666">IF(ISNUMBER(MATCH(58592,Telmo!$A:$A,0)), IF(OR(INDEX(Telmo!$D:$D,MATCH(58592,Telmo!$A:$A,0))=1, INDEX(Telmo!$D:$D,MATCH(58592,Telmo!$A:$A,0))=2), INDEX(Telmo!$D:$D,MATCH(58592,Telmo!$A:$A,0)), 0), 0)</f>
        <v>0</v>
      </c>
      <c r="I1666" s="1">
        <f t="array" ref="I1666">IF(ISNUMBER(MATCH(58592,Max!$A:$A,0)), IF(OR(INDEX(Max!$D:$D,MATCH(58592,Max!$A:$A,0))=1, INDEX(Max!$D:$D,MATCH(58592,Max!$A:$A,0))=2), INDEX(Max!$D:$D,MATCH(58592,Max!$A:$A,0)), 0), 0)</f>
        <v>1</v>
      </c>
    </row>
    <row r="1667" spans="1:9" ht="15.75" customHeight="1" x14ac:dyDescent="0.2">
      <c r="A1667" s="1">
        <v>11369</v>
      </c>
      <c r="B1667" s="1" t="s">
        <v>180</v>
      </c>
      <c r="C1667" s="1" t="s">
        <v>3814</v>
      </c>
      <c r="D1667" s="1" t="str">
        <f t="shared" si="6"/>
        <v>2</v>
      </c>
      <c r="E1667" s="1" t="s">
        <v>3815</v>
      </c>
      <c r="G1667" s="1">
        <f t="array" ref="G1667">IF(ISNUMBER(MATCH(11369,Camille!$A:$A,0)), IF(OR(INDEX(Camille!$D:$D,MATCH(11369,Camille!$A:$A,0))=1, INDEX(Camille!$D:$D,MATCH(11369,Camille!$A:$A,0))=2), INDEX(Camille!$D:$D,MATCH(11369,Camille!$A:$A,0)), 0), 0)</f>
        <v>0</v>
      </c>
      <c r="H1667" s="1">
        <f t="array" ref="H1667">IF(ISNUMBER(MATCH(11369,Telmo!$A:$A,0)), IF(OR(INDEX(Telmo!$D:$D,MATCH(11369,Telmo!$A:$A,0))=1, INDEX(Telmo!$D:$D,MATCH(11369,Telmo!$A:$A,0))=2), INDEX(Telmo!$D:$D,MATCH(11369,Telmo!$A:$A,0)), 0), 0)</f>
        <v>0</v>
      </c>
      <c r="I1667" s="1">
        <f t="array" ref="I1667">IF(ISNUMBER(MATCH(11369,Max!$A:$A,0)), IF(OR(INDEX(Max!$D:$D,MATCH(11369,Max!$A:$A,0))=1, INDEX(Max!$D:$D,MATCH(11369,Max!$A:$A,0))=2), INDEX(Max!$D:$D,MATCH(11369,Max!$A:$A,0)), 0), 0)</f>
        <v>2</v>
      </c>
    </row>
    <row r="1668" spans="1:9" ht="15.75" customHeight="1" x14ac:dyDescent="0.2">
      <c r="A1668" s="1">
        <v>13634</v>
      </c>
      <c r="B1668" s="1" t="s">
        <v>3816</v>
      </c>
      <c r="C1668" s="1" t="s">
        <v>3817</v>
      </c>
      <c r="D1668" s="1" t="str">
        <f t="shared" si="6"/>
        <v>2</v>
      </c>
      <c r="E1668" s="1" t="s">
        <v>3818</v>
      </c>
      <c r="G1668" s="1">
        <f t="array" ref="G1668">IF(ISNUMBER(MATCH(13634,Camille!$A:$A,0)), IF(OR(INDEX(Camille!$D:$D,MATCH(13634,Camille!$A:$A,0))=1, INDEX(Camille!$D:$D,MATCH(13634,Camille!$A:$A,0))=2), INDEX(Camille!$D:$D,MATCH(13634,Camille!$A:$A,0)), 0), 0)</f>
        <v>0</v>
      </c>
      <c r="H1668" s="1">
        <f t="array" ref="H1668">IF(ISNUMBER(MATCH(13634,Telmo!$A:$A,0)), IF(OR(INDEX(Telmo!$D:$D,MATCH(13634,Telmo!$A:$A,0))=1, INDEX(Telmo!$D:$D,MATCH(13634,Telmo!$A:$A,0))=2), INDEX(Telmo!$D:$D,MATCH(13634,Telmo!$A:$A,0)), 0), 0)</f>
        <v>0</v>
      </c>
      <c r="I1668" s="1">
        <f t="array" ref="I1668">IF(ISNUMBER(MATCH(13634,Max!$A:$A,0)), IF(OR(INDEX(Max!$D:$D,MATCH(13634,Max!$A:$A,0))=1, INDEX(Max!$D:$D,MATCH(13634,Max!$A:$A,0))=2), INDEX(Max!$D:$D,MATCH(13634,Max!$A:$A,0)), 0), 0)</f>
        <v>2</v>
      </c>
    </row>
    <row r="1669" spans="1:9" ht="15.75" customHeight="1" x14ac:dyDescent="0.2">
      <c r="A1669" s="1">
        <v>57956</v>
      </c>
      <c r="B1669" s="1" t="s">
        <v>3819</v>
      </c>
      <c r="C1669" s="1" t="s">
        <v>3820</v>
      </c>
      <c r="D1669" s="1" t="str">
        <f t="shared" si="6"/>
        <v>2</v>
      </c>
      <c r="E1669" s="1" t="s">
        <v>3821</v>
      </c>
      <c r="G1669" s="1">
        <f t="array" ref="G1669">IF(ISNUMBER(MATCH(57956,Camille!$A:$A,0)), IF(OR(INDEX(Camille!$D:$D,MATCH(57956,Camille!$A:$A,0))=1, INDEX(Camille!$D:$D,MATCH(57956,Camille!$A:$A,0))=2), INDEX(Camille!$D:$D,MATCH(57956,Camille!$A:$A,0)), 0), 0)</f>
        <v>0</v>
      </c>
      <c r="H1669" s="1">
        <f t="array" ref="H1669">IF(ISNUMBER(MATCH(57956,Telmo!$A:$A,0)), IF(OR(INDEX(Telmo!$D:$D,MATCH(57956,Telmo!$A:$A,0))=1, INDEX(Telmo!$D:$D,MATCH(57956,Telmo!$A:$A,0))=2), INDEX(Telmo!$D:$D,MATCH(57956,Telmo!$A:$A,0)), 0), 0)</f>
        <v>0</v>
      </c>
      <c r="I1669" s="1">
        <f t="array" ref="I1669">IF(ISNUMBER(MATCH(57956,Max!$A:$A,0)), IF(OR(INDEX(Max!$D:$D,MATCH(57956,Max!$A:$A,0))=1, INDEX(Max!$D:$D,MATCH(57956,Max!$A:$A,0))=2), INDEX(Max!$D:$D,MATCH(57956,Max!$A:$A,0)), 0), 0)</f>
        <v>2</v>
      </c>
    </row>
    <row r="1670" spans="1:9" ht="15.75" customHeight="1" x14ac:dyDescent="0.2">
      <c r="A1670" s="1">
        <v>65202</v>
      </c>
      <c r="B1670" s="1" t="s">
        <v>1123</v>
      </c>
      <c r="C1670" s="1" t="s">
        <v>3822</v>
      </c>
      <c r="D1670" s="1" t="str">
        <f t="shared" si="6"/>
        <v>1</v>
      </c>
      <c r="E1670" s="1" t="s">
        <v>3823</v>
      </c>
      <c r="G1670" s="1">
        <f t="array" ref="G1670">IF(ISNUMBER(MATCH(65202,Camille!$A:$A,0)), IF(OR(INDEX(Camille!$D:$D,MATCH(65202,Camille!$A:$A,0))=1, INDEX(Camille!$D:$D,MATCH(65202,Camille!$A:$A,0))=2), INDEX(Camille!$D:$D,MATCH(65202,Camille!$A:$A,0)), 0), 0)</f>
        <v>0</v>
      </c>
      <c r="H1670" s="1">
        <f t="array" ref="H1670">IF(ISNUMBER(MATCH(65202,Telmo!$A:$A,0)), IF(OR(INDEX(Telmo!$D:$D,MATCH(65202,Telmo!$A:$A,0))=1, INDEX(Telmo!$D:$D,MATCH(65202,Telmo!$A:$A,0))=2), INDEX(Telmo!$D:$D,MATCH(65202,Telmo!$A:$A,0)), 0), 0)</f>
        <v>0</v>
      </c>
      <c r="I1670" s="1">
        <f t="array" ref="I1670">IF(ISNUMBER(MATCH(65202,Max!$A:$A,0)), IF(OR(INDEX(Max!$D:$D,MATCH(65202,Max!$A:$A,0))=1, INDEX(Max!$D:$D,MATCH(65202,Max!$A:$A,0))=2), INDEX(Max!$D:$D,MATCH(65202,Max!$A:$A,0)), 0), 0)</f>
        <v>1</v>
      </c>
    </row>
    <row r="1671" spans="1:9" ht="15.75" customHeight="1" x14ac:dyDescent="0.2">
      <c r="A1671" s="1">
        <v>56376</v>
      </c>
      <c r="B1671" s="1" t="s">
        <v>3824</v>
      </c>
      <c r="C1671" s="1" t="s">
        <v>3825</v>
      </c>
      <c r="D1671" s="1" t="str">
        <f t="shared" si="6"/>
        <v>1</v>
      </c>
      <c r="E1671" s="1" t="s">
        <v>3826</v>
      </c>
      <c r="G1671" s="1">
        <f t="array" ref="G1671">IF(ISNUMBER(MATCH(56376,Camille!$A:$A,0)), IF(OR(INDEX(Camille!$D:$D,MATCH(56376,Camille!$A:$A,0))=1, INDEX(Camille!$D:$D,MATCH(56376,Camille!$A:$A,0))=2), INDEX(Camille!$D:$D,MATCH(56376,Camille!$A:$A,0)), 0), 0)</f>
        <v>0</v>
      </c>
      <c r="H1671" s="1">
        <f t="array" ref="H1671">IF(ISNUMBER(MATCH(56376,Telmo!$A:$A,0)), IF(OR(INDEX(Telmo!$D:$D,MATCH(56376,Telmo!$A:$A,0))=1, INDEX(Telmo!$D:$D,MATCH(56376,Telmo!$A:$A,0))=2), INDEX(Telmo!$D:$D,MATCH(56376,Telmo!$A:$A,0)), 0), 0)</f>
        <v>0</v>
      </c>
      <c r="I1671" s="1">
        <f t="array" ref="I1671">IF(ISNUMBER(MATCH(56376,Max!$A:$A,0)), IF(OR(INDEX(Max!$D:$D,MATCH(56376,Max!$A:$A,0))=1, INDEX(Max!$D:$D,MATCH(56376,Max!$A:$A,0))=2), INDEX(Max!$D:$D,MATCH(56376,Max!$A:$A,0)), 0), 0)</f>
        <v>1</v>
      </c>
    </row>
    <row r="1672" spans="1:9" ht="15.75" customHeight="1" x14ac:dyDescent="0.2">
      <c r="A1672" s="1">
        <v>19903</v>
      </c>
      <c r="B1672" s="1" t="s">
        <v>457</v>
      </c>
      <c r="C1672" s="1" t="s">
        <v>3827</v>
      </c>
      <c r="D1672" s="1" t="str">
        <f t="shared" si="6"/>
        <v>2</v>
      </c>
      <c r="E1672" s="1" t="s">
        <v>3828</v>
      </c>
      <c r="G1672" s="1">
        <f t="array" ref="G1672">IF(ISNUMBER(MATCH(19903,Camille!$A:$A,0)), IF(OR(INDEX(Camille!$D:$D,MATCH(19903,Camille!$A:$A,0))=1, INDEX(Camille!$D:$D,MATCH(19903,Camille!$A:$A,0))=2), INDEX(Camille!$D:$D,MATCH(19903,Camille!$A:$A,0)), 0), 0)</f>
        <v>0</v>
      </c>
      <c r="H1672" s="1">
        <f t="array" ref="H1672">IF(ISNUMBER(MATCH(19903,Telmo!$A:$A,0)), IF(OR(INDEX(Telmo!$D:$D,MATCH(19903,Telmo!$A:$A,0))=1, INDEX(Telmo!$D:$D,MATCH(19903,Telmo!$A:$A,0))=2), INDEX(Telmo!$D:$D,MATCH(19903,Telmo!$A:$A,0)), 0), 0)</f>
        <v>0</v>
      </c>
      <c r="I1672" s="1">
        <f t="array" ref="I1672">IF(ISNUMBER(MATCH(19903,Max!$A:$A,0)), IF(OR(INDEX(Max!$D:$D,MATCH(19903,Max!$A:$A,0))=1, INDEX(Max!$D:$D,MATCH(19903,Max!$A:$A,0))=2), INDEX(Max!$D:$D,MATCH(19903,Max!$A:$A,0)), 0), 0)</f>
        <v>2</v>
      </c>
    </row>
    <row r="1673" spans="1:9" ht="15.75" customHeight="1" x14ac:dyDescent="0.2">
      <c r="A1673" s="1">
        <v>53979</v>
      </c>
      <c r="B1673" s="1" t="s">
        <v>1965</v>
      </c>
      <c r="C1673" s="1" t="s">
        <v>3829</v>
      </c>
      <c r="D1673" s="1" t="str">
        <f t="shared" si="6"/>
        <v>2</v>
      </c>
      <c r="E1673" s="1" t="s">
        <v>3830</v>
      </c>
      <c r="G1673" s="1">
        <f t="array" ref="G1673">IF(ISNUMBER(MATCH(53979,Camille!$A:$A,0)), IF(OR(INDEX(Camille!$D:$D,MATCH(53979,Camille!$A:$A,0))=1, INDEX(Camille!$D:$D,MATCH(53979,Camille!$A:$A,0))=2), INDEX(Camille!$D:$D,MATCH(53979,Camille!$A:$A,0)), 0), 0)</f>
        <v>0</v>
      </c>
      <c r="H1673" s="1">
        <f t="array" ref="H1673">IF(ISNUMBER(MATCH(53979,Telmo!$A:$A,0)), IF(OR(INDEX(Telmo!$D:$D,MATCH(53979,Telmo!$A:$A,0))=1, INDEX(Telmo!$D:$D,MATCH(53979,Telmo!$A:$A,0))=2), INDEX(Telmo!$D:$D,MATCH(53979,Telmo!$A:$A,0)), 0), 0)</f>
        <v>0</v>
      </c>
      <c r="I1673" s="1">
        <f t="array" ref="I1673">IF(ISNUMBER(MATCH(53979,Max!$A:$A,0)), IF(OR(INDEX(Max!$D:$D,MATCH(53979,Max!$A:$A,0))=1, INDEX(Max!$D:$D,MATCH(53979,Max!$A:$A,0))=2), INDEX(Max!$D:$D,MATCH(53979,Max!$A:$A,0)), 0), 0)</f>
        <v>2</v>
      </c>
    </row>
    <row r="1674" spans="1:9" ht="15.75" customHeight="1" x14ac:dyDescent="0.2">
      <c r="A1674" s="1">
        <v>12865</v>
      </c>
      <c r="B1674" s="1" t="s">
        <v>2777</v>
      </c>
      <c r="C1674" s="1" t="s">
        <v>3831</v>
      </c>
      <c r="D1674" s="1" t="str">
        <f t="shared" si="6"/>
        <v>2</v>
      </c>
      <c r="E1674" s="1" t="s">
        <v>3832</v>
      </c>
      <c r="G1674" s="1">
        <f t="array" ref="G1674">IF(ISNUMBER(MATCH(12865,Camille!$A:$A,0)), IF(OR(INDEX(Camille!$D:$D,MATCH(12865,Camille!$A:$A,0))=1, INDEX(Camille!$D:$D,MATCH(12865,Camille!$A:$A,0))=2), INDEX(Camille!$D:$D,MATCH(12865,Camille!$A:$A,0)), 0), 0)</f>
        <v>0</v>
      </c>
      <c r="H1674" s="1">
        <f t="array" ref="H1674">IF(ISNUMBER(MATCH(12865,Telmo!$A:$A,0)), IF(OR(INDEX(Telmo!$D:$D,MATCH(12865,Telmo!$A:$A,0))=1, INDEX(Telmo!$D:$D,MATCH(12865,Telmo!$A:$A,0))=2), INDEX(Telmo!$D:$D,MATCH(12865,Telmo!$A:$A,0)), 0), 0)</f>
        <v>0</v>
      </c>
      <c r="I1674" s="1">
        <f t="array" ref="I1674">IF(ISNUMBER(MATCH(12865,Max!$A:$A,0)), IF(OR(INDEX(Max!$D:$D,MATCH(12865,Max!$A:$A,0))=1, INDEX(Max!$D:$D,MATCH(12865,Max!$A:$A,0))=2), INDEX(Max!$D:$D,MATCH(12865,Max!$A:$A,0)), 0), 0)</f>
        <v>2</v>
      </c>
    </row>
    <row r="1675" spans="1:9" ht="15.75" customHeight="1" x14ac:dyDescent="0.2">
      <c r="A1675" s="1">
        <v>45529</v>
      </c>
      <c r="B1675" s="1" t="s">
        <v>129</v>
      </c>
      <c r="C1675" s="1" t="s">
        <v>3833</v>
      </c>
      <c r="D1675" s="1" t="str">
        <f t="shared" si="6"/>
        <v>2</v>
      </c>
      <c r="E1675" s="1" t="s">
        <v>3834</v>
      </c>
      <c r="G1675" s="1">
        <f t="array" ref="G1675">IF(ISNUMBER(MATCH(45529,Camille!$A:$A,0)), IF(OR(INDEX(Camille!$D:$D,MATCH(45529,Camille!$A:$A,0))=1, INDEX(Camille!$D:$D,MATCH(45529,Camille!$A:$A,0))=2), INDEX(Camille!$D:$D,MATCH(45529,Camille!$A:$A,0)), 0), 0)</f>
        <v>0</v>
      </c>
      <c r="H1675" s="1">
        <f t="array" ref="H1675">IF(ISNUMBER(MATCH(45529,Telmo!$A:$A,0)), IF(OR(INDEX(Telmo!$D:$D,MATCH(45529,Telmo!$A:$A,0))=1, INDEX(Telmo!$D:$D,MATCH(45529,Telmo!$A:$A,0))=2), INDEX(Telmo!$D:$D,MATCH(45529,Telmo!$A:$A,0)), 0), 0)</f>
        <v>0</v>
      </c>
      <c r="I1675" s="1">
        <f t="array" ref="I1675">IF(ISNUMBER(MATCH(45529,Max!$A:$A,0)), IF(OR(INDEX(Max!$D:$D,MATCH(45529,Max!$A:$A,0))=1, INDEX(Max!$D:$D,MATCH(45529,Max!$A:$A,0))=2), INDEX(Max!$D:$D,MATCH(45529,Max!$A:$A,0)), 0), 0)</f>
        <v>2</v>
      </c>
    </row>
    <row r="1676" spans="1:9" ht="15.75" customHeight="1" x14ac:dyDescent="0.2">
      <c r="A1676" s="1">
        <v>38466</v>
      </c>
      <c r="B1676" s="1" t="s">
        <v>3835</v>
      </c>
      <c r="C1676" s="1" t="s">
        <v>3836</v>
      </c>
      <c r="D1676" s="1" t="str">
        <f t="shared" si="6"/>
        <v>2</v>
      </c>
      <c r="E1676" s="1" t="s">
        <v>3837</v>
      </c>
      <c r="G1676" s="1">
        <f t="array" ref="G1676">IF(ISNUMBER(MATCH(38466,Camille!$A:$A,0)), IF(OR(INDEX(Camille!$D:$D,MATCH(38466,Camille!$A:$A,0))=1, INDEX(Camille!$D:$D,MATCH(38466,Camille!$A:$A,0))=2), INDEX(Camille!$D:$D,MATCH(38466,Camille!$A:$A,0)), 0), 0)</f>
        <v>0</v>
      </c>
      <c r="H1676" s="1">
        <f t="array" ref="H1676">IF(ISNUMBER(MATCH(38466,Telmo!$A:$A,0)), IF(OR(INDEX(Telmo!$D:$D,MATCH(38466,Telmo!$A:$A,0))=1, INDEX(Telmo!$D:$D,MATCH(38466,Telmo!$A:$A,0))=2), INDEX(Telmo!$D:$D,MATCH(38466,Telmo!$A:$A,0)), 0), 0)</f>
        <v>0</v>
      </c>
      <c r="I1676" s="1">
        <f t="array" ref="I1676">IF(ISNUMBER(MATCH(38466,Max!$A:$A,0)), IF(OR(INDEX(Max!$D:$D,MATCH(38466,Max!$A:$A,0))=1, INDEX(Max!$D:$D,MATCH(38466,Max!$A:$A,0))=2), INDEX(Max!$D:$D,MATCH(38466,Max!$A:$A,0)), 0), 0)</f>
        <v>2</v>
      </c>
    </row>
    <row r="1677" spans="1:9" ht="15.75" customHeight="1" x14ac:dyDescent="0.2">
      <c r="A1677" s="1">
        <v>41139</v>
      </c>
      <c r="B1677" s="1" t="s">
        <v>639</v>
      </c>
      <c r="C1677" s="1" t="s">
        <v>3838</v>
      </c>
      <c r="D1677" s="1" t="str">
        <f t="shared" si="6"/>
        <v>2</v>
      </c>
      <c r="E1677" s="1" t="s">
        <v>3839</v>
      </c>
      <c r="G1677" s="1">
        <f t="array" ref="G1677">IF(ISNUMBER(MATCH(41139,Camille!$A:$A,0)), IF(OR(INDEX(Camille!$D:$D,MATCH(41139,Camille!$A:$A,0))=1, INDEX(Camille!$D:$D,MATCH(41139,Camille!$A:$A,0))=2), INDEX(Camille!$D:$D,MATCH(41139,Camille!$A:$A,0)), 0), 0)</f>
        <v>0</v>
      </c>
      <c r="H1677" s="1">
        <f t="array" ref="H1677">IF(ISNUMBER(MATCH(41139,Telmo!$A:$A,0)), IF(OR(INDEX(Telmo!$D:$D,MATCH(41139,Telmo!$A:$A,0))=1, INDEX(Telmo!$D:$D,MATCH(41139,Telmo!$A:$A,0))=2), INDEX(Telmo!$D:$D,MATCH(41139,Telmo!$A:$A,0)), 0), 0)</f>
        <v>0</v>
      </c>
      <c r="I1677" s="1">
        <f t="array" ref="I1677">IF(ISNUMBER(MATCH(41139,Max!$A:$A,0)), IF(OR(INDEX(Max!$D:$D,MATCH(41139,Max!$A:$A,0))=1, INDEX(Max!$D:$D,MATCH(41139,Max!$A:$A,0))=2), INDEX(Max!$D:$D,MATCH(41139,Max!$A:$A,0)), 0), 0)</f>
        <v>2</v>
      </c>
    </row>
    <row r="1678" spans="1:9" ht="15.75" customHeight="1" x14ac:dyDescent="0.2">
      <c r="A1678" s="1">
        <v>53503</v>
      </c>
      <c r="B1678" s="1" t="s">
        <v>2599</v>
      </c>
      <c r="C1678" s="1" t="s">
        <v>3840</v>
      </c>
      <c r="D1678" s="1" t="str">
        <f t="shared" si="6"/>
        <v>2</v>
      </c>
      <c r="E1678" s="1" t="s">
        <v>3841</v>
      </c>
      <c r="G1678" s="1">
        <f t="array" ref="G1678">IF(ISNUMBER(MATCH(53503,Camille!$A:$A,0)), IF(OR(INDEX(Camille!$D:$D,MATCH(53503,Camille!$A:$A,0))=1, INDEX(Camille!$D:$D,MATCH(53503,Camille!$A:$A,0))=2), INDEX(Camille!$D:$D,MATCH(53503,Camille!$A:$A,0)), 0), 0)</f>
        <v>0</v>
      </c>
      <c r="H1678" s="1">
        <f t="array" ref="H1678">IF(ISNUMBER(MATCH(53503,Telmo!$A:$A,0)), IF(OR(INDEX(Telmo!$D:$D,MATCH(53503,Telmo!$A:$A,0))=1, INDEX(Telmo!$D:$D,MATCH(53503,Telmo!$A:$A,0))=2), INDEX(Telmo!$D:$D,MATCH(53503,Telmo!$A:$A,0)), 0), 0)</f>
        <v>0</v>
      </c>
      <c r="I1678" s="1">
        <f t="array" ref="I1678">IF(ISNUMBER(MATCH(53503,Max!$A:$A,0)), IF(OR(INDEX(Max!$D:$D,MATCH(53503,Max!$A:$A,0))=1, INDEX(Max!$D:$D,MATCH(53503,Max!$A:$A,0))=2), INDEX(Max!$D:$D,MATCH(53503,Max!$A:$A,0)), 0), 0)</f>
        <v>2</v>
      </c>
    </row>
    <row r="1679" spans="1:9" ht="15.75" customHeight="1" x14ac:dyDescent="0.2">
      <c r="A1679" s="1">
        <v>26516</v>
      </c>
      <c r="B1679" s="1" t="s">
        <v>1021</v>
      </c>
      <c r="C1679" s="1" t="s">
        <v>3842</v>
      </c>
      <c r="D1679" s="1" t="str">
        <f t="shared" si="6"/>
        <v>2</v>
      </c>
      <c r="E1679" s="1" t="s">
        <v>3843</v>
      </c>
      <c r="G1679" s="1">
        <f t="array" ref="G1679">IF(ISNUMBER(MATCH(26516,Camille!$A:$A,0)), IF(OR(INDEX(Camille!$D:$D,MATCH(26516,Camille!$A:$A,0))=1, INDEX(Camille!$D:$D,MATCH(26516,Camille!$A:$A,0))=2), INDEX(Camille!$D:$D,MATCH(26516,Camille!$A:$A,0)), 0), 0)</f>
        <v>0</v>
      </c>
      <c r="H1679" s="1">
        <f t="array" ref="H1679">IF(ISNUMBER(MATCH(26516,Telmo!$A:$A,0)), IF(OR(INDEX(Telmo!$D:$D,MATCH(26516,Telmo!$A:$A,0))=1, INDEX(Telmo!$D:$D,MATCH(26516,Telmo!$A:$A,0))=2), INDEX(Telmo!$D:$D,MATCH(26516,Telmo!$A:$A,0)), 0), 0)</f>
        <v>0</v>
      </c>
      <c r="I1679" s="1">
        <f t="array" ref="I1679">IF(ISNUMBER(MATCH(26516,Max!$A:$A,0)), IF(OR(INDEX(Max!$D:$D,MATCH(26516,Max!$A:$A,0))=1, INDEX(Max!$D:$D,MATCH(26516,Max!$A:$A,0))=2), INDEX(Max!$D:$D,MATCH(26516,Max!$A:$A,0)), 0), 0)</f>
        <v>2</v>
      </c>
    </row>
    <row r="1680" spans="1:9" ht="15.75" customHeight="1" x14ac:dyDescent="0.2">
      <c r="A1680" s="1">
        <v>69080</v>
      </c>
      <c r="B1680" s="1" t="s">
        <v>906</v>
      </c>
      <c r="C1680" s="1" t="s">
        <v>3844</v>
      </c>
      <c r="D1680" s="1" t="str">
        <f t="shared" si="6"/>
        <v>2</v>
      </c>
      <c r="E1680" s="1" t="s">
        <v>3845</v>
      </c>
      <c r="G1680" s="1">
        <f t="array" ref="G1680">IF(ISNUMBER(MATCH(69080,Camille!$A:$A,0)), IF(OR(INDEX(Camille!$D:$D,MATCH(69080,Camille!$A:$A,0))=1, INDEX(Camille!$D:$D,MATCH(69080,Camille!$A:$A,0))=2), INDEX(Camille!$D:$D,MATCH(69080,Camille!$A:$A,0)), 0), 0)</f>
        <v>0</v>
      </c>
      <c r="H1680" s="1">
        <f t="array" ref="H1680">IF(ISNUMBER(MATCH(69080,Telmo!$A:$A,0)), IF(OR(INDEX(Telmo!$D:$D,MATCH(69080,Telmo!$A:$A,0))=1, INDEX(Telmo!$D:$D,MATCH(69080,Telmo!$A:$A,0))=2), INDEX(Telmo!$D:$D,MATCH(69080,Telmo!$A:$A,0)), 0), 0)</f>
        <v>0</v>
      </c>
      <c r="I1680" s="1">
        <f t="array" ref="I1680">IF(ISNUMBER(MATCH(69080,Max!$A:$A,0)), IF(OR(INDEX(Max!$D:$D,MATCH(69080,Max!$A:$A,0))=1, INDEX(Max!$D:$D,MATCH(69080,Max!$A:$A,0))=2), INDEX(Max!$D:$D,MATCH(69080,Max!$A:$A,0)), 0), 0)</f>
        <v>2</v>
      </c>
    </row>
    <row r="1681" spans="1:9" ht="15.75" customHeight="1" x14ac:dyDescent="0.2">
      <c r="A1681" s="1">
        <v>56419</v>
      </c>
      <c r="B1681" s="1" t="s">
        <v>1569</v>
      </c>
      <c r="C1681" s="1" t="s">
        <v>3846</v>
      </c>
      <c r="D1681" s="1" t="str">
        <f t="shared" si="6"/>
        <v>1</v>
      </c>
      <c r="E1681" s="1" t="s">
        <v>3847</v>
      </c>
      <c r="G1681" s="1">
        <f t="array" ref="G1681">IF(ISNUMBER(MATCH(56419,Camille!$A:$A,0)), IF(OR(INDEX(Camille!$D:$D,MATCH(56419,Camille!$A:$A,0))=1, INDEX(Camille!$D:$D,MATCH(56419,Camille!$A:$A,0))=2), INDEX(Camille!$D:$D,MATCH(56419,Camille!$A:$A,0)), 0), 0)</f>
        <v>0</v>
      </c>
      <c r="H1681" s="1">
        <f t="array" ref="H1681">IF(ISNUMBER(MATCH(56419,Telmo!$A:$A,0)), IF(OR(INDEX(Telmo!$D:$D,MATCH(56419,Telmo!$A:$A,0))=1, INDEX(Telmo!$D:$D,MATCH(56419,Telmo!$A:$A,0))=2), INDEX(Telmo!$D:$D,MATCH(56419,Telmo!$A:$A,0)), 0), 0)</f>
        <v>0</v>
      </c>
      <c r="I1681" s="1">
        <f t="array" ref="I1681">IF(ISNUMBER(MATCH(56419,Max!$A:$A,0)), IF(OR(INDEX(Max!$D:$D,MATCH(56419,Max!$A:$A,0))=1, INDEX(Max!$D:$D,MATCH(56419,Max!$A:$A,0))=2), INDEX(Max!$D:$D,MATCH(56419,Max!$A:$A,0)), 0), 0)</f>
        <v>1</v>
      </c>
    </row>
    <row r="1682" spans="1:9" ht="15.75" customHeight="1" x14ac:dyDescent="0.2">
      <c r="A1682" s="1">
        <v>50431</v>
      </c>
      <c r="B1682" s="1" t="s">
        <v>144</v>
      </c>
      <c r="C1682" s="1" t="s">
        <v>3848</v>
      </c>
      <c r="D1682" s="1" t="str">
        <f t="shared" si="6"/>
        <v>1</v>
      </c>
      <c r="E1682" s="1" t="s">
        <v>3849</v>
      </c>
      <c r="G1682" s="1">
        <f t="array" ref="G1682">IF(ISNUMBER(MATCH(50431,Camille!$A:$A,0)), IF(OR(INDEX(Camille!$D:$D,MATCH(50431,Camille!$A:$A,0))=1, INDEX(Camille!$D:$D,MATCH(50431,Camille!$A:$A,0))=2), INDEX(Camille!$D:$D,MATCH(50431,Camille!$A:$A,0)), 0), 0)</f>
        <v>0</v>
      </c>
      <c r="H1682" s="1">
        <f t="array" ref="H1682">IF(ISNUMBER(MATCH(50431,Telmo!$A:$A,0)), IF(OR(INDEX(Telmo!$D:$D,MATCH(50431,Telmo!$A:$A,0))=1, INDEX(Telmo!$D:$D,MATCH(50431,Telmo!$A:$A,0))=2), INDEX(Telmo!$D:$D,MATCH(50431,Telmo!$A:$A,0)), 0), 0)</f>
        <v>0</v>
      </c>
      <c r="I1682" s="1">
        <f t="array" ref="I1682">IF(ISNUMBER(MATCH(50431,Max!$A:$A,0)), IF(OR(INDEX(Max!$D:$D,MATCH(50431,Max!$A:$A,0))=1, INDEX(Max!$D:$D,MATCH(50431,Max!$A:$A,0))=2), INDEX(Max!$D:$D,MATCH(50431,Max!$A:$A,0)), 0), 0)</f>
        <v>1</v>
      </c>
    </row>
    <row r="1683" spans="1:9" ht="15.75" customHeight="1" x14ac:dyDescent="0.2">
      <c r="A1683" s="1">
        <v>16822</v>
      </c>
      <c r="B1683" s="1" t="s">
        <v>3850</v>
      </c>
      <c r="C1683" s="1" t="s">
        <v>3851</v>
      </c>
      <c r="D1683" s="1" t="str">
        <f t="shared" si="6"/>
        <v>2</v>
      </c>
      <c r="E1683" s="1" t="s">
        <v>3852</v>
      </c>
      <c r="G1683" s="1">
        <f t="array" ref="G1683">IF(ISNUMBER(MATCH(16822,Camille!$A:$A,0)), IF(OR(INDEX(Camille!$D:$D,MATCH(16822,Camille!$A:$A,0))=1, INDEX(Camille!$D:$D,MATCH(16822,Camille!$A:$A,0))=2), INDEX(Camille!$D:$D,MATCH(16822,Camille!$A:$A,0)), 0), 0)</f>
        <v>0</v>
      </c>
      <c r="H1683" s="1">
        <f t="array" ref="H1683">IF(ISNUMBER(MATCH(16822,Telmo!$A:$A,0)), IF(OR(INDEX(Telmo!$D:$D,MATCH(16822,Telmo!$A:$A,0))=1, INDEX(Telmo!$D:$D,MATCH(16822,Telmo!$A:$A,0))=2), INDEX(Telmo!$D:$D,MATCH(16822,Telmo!$A:$A,0)), 0), 0)</f>
        <v>0</v>
      </c>
      <c r="I1683" s="1">
        <f t="array" ref="I1683">IF(ISNUMBER(MATCH(16822,Max!$A:$A,0)), IF(OR(INDEX(Max!$D:$D,MATCH(16822,Max!$A:$A,0))=1, INDEX(Max!$D:$D,MATCH(16822,Max!$A:$A,0))=2), INDEX(Max!$D:$D,MATCH(16822,Max!$A:$A,0)), 0), 0)</f>
        <v>2</v>
      </c>
    </row>
    <row r="1684" spans="1:9" ht="15.75" customHeight="1" x14ac:dyDescent="0.2">
      <c r="A1684" s="1">
        <v>58175</v>
      </c>
      <c r="B1684" s="1" t="s">
        <v>3853</v>
      </c>
      <c r="C1684" s="1" t="s">
        <v>3854</v>
      </c>
      <c r="D1684" s="1" t="str">
        <f t="shared" si="6"/>
        <v>1</v>
      </c>
      <c r="E1684" s="1" t="s">
        <v>3855</v>
      </c>
      <c r="G1684" s="1">
        <f t="array" ref="G1684">IF(ISNUMBER(MATCH(58175,Camille!$A:$A,0)), IF(OR(INDEX(Camille!$D:$D,MATCH(58175,Camille!$A:$A,0))=1, INDEX(Camille!$D:$D,MATCH(58175,Camille!$A:$A,0))=2), INDEX(Camille!$D:$D,MATCH(58175,Camille!$A:$A,0)), 0), 0)</f>
        <v>0</v>
      </c>
      <c r="H1684" s="1">
        <f t="array" ref="H1684">IF(ISNUMBER(MATCH(58175,Telmo!$A:$A,0)), IF(OR(INDEX(Telmo!$D:$D,MATCH(58175,Telmo!$A:$A,0))=1, INDEX(Telmo!$D:$D,MATCH(58175,Telmo!$A:$A,0))=2), INDEX(Telmo!$D:$D,MATCH(58175,Telmo!$A:$A,0)), 0), 0)</f>
        <v>0</v>
      </c>
      <c r="I1684" s="1">
        <f t="array" ref="I1684">IF(ISNUMBER(MATCH(58175,Max!$A:$A,0)), IF(OR(INDEX(Max!$D:$D,MATCH(58175,Max!$A:$A,0))=1, INDEX(Max!$D:$D,MATCH(58175,Max!$A:$A,0))=2), INDEX(Max!$D:$D,MATCH(58175,Max!$A:$A,0)), 0), 0)</f>
        <v>1</v>
      </c>
    </row>
    <row r="1685" spans="1:9" ht="15.75" customHeight="1" x14ac:dyDescent="0.2">
      <c r="A1685" s="1">
        <v>52112</v>
      </c>
      <c r="B1685" s="1" t="s">
        <v>3856</v>
      </c>
      <c r="C1685" s="1" t="s">
        <v>3857</v>
      </c>
      <c r="D1685" s="1" t="str">
        <f t="shared" si="6"/>
        <v>2</v>
      </c>
      <c r="E1685" s="1" t="s">
        <v>3858</v>
      </c>
      <c r="G1685" s="1">
        <f t="array" ref="G1685">IF(ISNUMBER(MATCH(52112,Camille!$A:$A,0)), IF(OR(INDEX(Camille!$D:$D,MATCH(52112,Camille!$A:$A,0))=1, INDEX(Camille!$D:$D,MATCH(52112,Camille!$A:$A,0))=2), INDEX(Camille!$D:$D,MATCH(52112,Camille!$A:$A,0)), 0), 0)</f>
        <v>0</v>
      </c>
      <c r="H1685" s="1">
        <f t="array" ref="H1685">IF(ISNUMBER(MATCH(52112,Telmo!$A:$A,0)), IF(OR(INDEX(Telmo!$D:$D,MATCH(52112,Telmo!$A:$A,0))=1, INDEX(Telmo!$D:$D,MATCH(52112,Telmo!$A:$A,0))=2), INDEX(Telmo!$D:$D,MATCH(52112,Telmo!$A:$A,0)), 0), 0)</f>
        <v>0</v>
      </c>
      <c r="I1685" s="1">
        <f t="array" ref="I1685">IF(ISNUMBER(MATCH(52112,Max!$A:$A,0)), IF(OR(INDEX(Max!$D:$D,MATCH(52112,Max!$A:$A,0))=1, INDEX(Max!$D:$D,MATCH(52112,Max!$A:$A,0))=2), INDEX(Max!$D:$D,MATCH(52112,Max!$A:$A,0)), 0), 0)</f>
        <v>2</v>
      </c>
    </row>
    <row r="1686" spans="1:9" ht="15.75" customHeight="1" x14ac:dyDescent="0.2">
      <c r="A1686" s="1">
        <v>32492</v>
      </c>
      <c r="B1686" s="1" t="s">
        <v>3859</v>
      </c>
      <c r="C1686" s="1" t="s">
        <v>3860</v>
      </c>
      <c r="D1686" s="1" t="str">
        <f t="shared" si="6"/>
        <v>2</v>
      </c>
      <c r="E1686" s="1" t="s">
        <v>3861</v>
      </c>
      <c r="G1686" s="1">
        <f t="array" ref="G1686">IF(ISNUMBER(MATCH(32492,Camille!$A:$A,0)), IF(OR(INDEX(Camille!$D:$D,MATCH(32492,Camille!$A:$A,0))=1, INDEX(Camille!$D:$D,MATCH(32492,Camille!$A:$A,0))=2), INDEX(Camille!$D:$D,MATCH(32492,Camille!$A:$A,0)), 0), 0)</f>
        <v>0</v>
      </c>
      <c r="H1686" s="1">
        <f t="array" ref="H1686">IF(ISNUMBER(MATCH(32492,Telmo!$A:$A,0)), IF(OR(INDEX(Telmo!$D:$D,MATCH(32492,Telmo!$A:$A,0))=1, INDEX(Telmo!$D:$D,MATCH(32492,Telmo!$A:$A,0))=2), INDEX(Telmo!$D:$D,MATCH(32492,Telmo!$A:$A,0)), 0), 0)</f>
        <v>0</v>
      </c>
      <c r="I1686" s="1">
        <f t="array" ref="I1686">IF(ISNUMBER(MATCH(32492,Max!$A:$A,0)), IF(OR(INDEX(Max!$D:$D,MATCH(32492,Max!$A:$A,0))=1, INDEX(Max!$D:$D,MATCH(32492,Max!$A:$A,0))=2), INDEX(Max!$D:$D,MATCH(32492,Max!$A:$A,0)), 0), 0)</f>
        <v>2</v>
      </c>
    </row>
    <row r="1687" spans="1:9" ht="15.75" customHeight="1" x14ac:dyDescent="0.2">
      <c r="A1687" s="1">
        <v>40568</v>
      </c>
      <c r="B1687" s="1" t="s">
        <v>268</v>
      </c>
      <c r="C1687" s="1" t="s">
        <v>3862</v>
      </c>
      <c r="D1687" s="1" t="str">
        <f t="shared" si="6"/>
        <v>2</v>
      </c>
      <c r="E1687" s="1" t="s">
        <v>3863</v>
      </c>
      <c r="G1687" s="1">
        <f t="array" ref="G1687">IF(ISNUMBER(MATCH(40568,Camille!$A:$A,0)), IF(OR(INDEX(Camille!$D:$D,MATCH(40568,Camille!$A:$A,0))=1, INDEX(Camille!$D:$D,MATCH(40568,Camille!$A:$A,0))=2), INDEX(Camille!$D:$D,MATCH(40568,Camille!$A:$A,0)), 0), 0)</f>
        <v>0</v>
      </c>
      <c r="H1687" s="1">
        <f t="array" ref="H1687">IF(ISNUMBER(MATCH(40568,Telmo!$A:$A,0)), IF(OR(INDEX(Telmo!$D:$D,MATCH(40568,Telmo!$A:$A,0))=1, INDEX(Telmo!$D:$D,MATCH(40568,Telmo!$A:$A,0))=2), INDEX(Telmo!$D:$D,MATCH(40568,Telmo!$A:$A,0)), 0), 0)</f>
        <v>0</v>
      </c>
      <c r="I1687" s="1">
        <f t="array" ref="I1687">IF(ISNUMBER(MATCH(40568,Max!$A:$A,0)), IF(OR(INDEX(Max!$D:$D,MATCH(40568,Max!$A:$A,0))=1, INDEX(Max!$D:$D,MATCH(40568,Max!$A:$A,0))=2), INDEX(Max!$D:$D,MATCH(40568,Max!$A:$A,0)), 0), 0)</f>
        <v>2</v>
      </c>
    </row>
    <row r="1688" spans="1:9" ht="15.75" customHeight="1" x14ac:dyDescent="0.2">
      <c r="A1688" s="1">
        <v>44190</v>
      </c>
      <c r="B1688" s="1" t="s">
        <v>931</v>
      </c>
      <c r="C1688" s="1" t="s">
        <v>3864</v>
      </c>
      <c r="D1688" s="1" t="str">
        <f t="shared" si="6"/>
        <v>1</v>
      </c>
      <c r="E1688" s="1" t="s">
        <v>3865</v>
      </c>
      <c r="G1688" s="1">
        <f t="array" ref="G1688">IF(ISNUMBER(MATCH(44190,Camille!$A:$A,0)), IF(OR(INDEX(Camille!$D:$D,MATCH(44190,Camille!$A:$A,0))=1, INDEX(Camille!$D:$D,MATCH(44190,Camille!$A:$A,0))=2), INDEX(Camille!$D:$D,MATCH(44190,Camille!$A:$A,0)), 0), 0)</f>
        <v>0</v>
      </c>
      <c r="H1688" s="1">
        <f t="array" ref="H1688">IF(ISNUMBER(MATCH(44190,Telmo!$A:$A,0)), IF(OR(INDEX(Telmo!$D:$D,MATCH(44190,Telmo!$A:$A,0))=1, INDEX(Telmo!$D:$D,MATCH(44190,Telmo!$A:$A,0))=2), INDEX(Telmo!$D:$D,MATCH(44190,Telmo!$A:$A,0)), 0), 0)</f>
        <v>0</v>
      </c>
      <c r="I1688" s="1">
        <f t="array" ref="I1688">IF(ISNUMBER(MATCH(44190,Max!$A:$A,0)), IF(OR(INDEX(Max!$D:$D,MATCH(44190,Max!$A:$A,0))=1, INDEX(Max!$D:$D,MATCH(44190,Max!$A:$A,0))=2), INDEX(Max!$D:$D,MATCH(44190,Max!$A:$A,0)), 0), 0)</f>
        <v>1</v>
      </c>
    </row>
    <row r="1689" spans="1:9" ht="15.75" customHeight="1" x14ac:dyDescent="0.2">
      <c r="A1689" s="1">
        <v>6872</v>
      </c>
      <c r="B1689" s="1" t="s">
        <v>3866</v>
      </c>
      <c r="C1689" s="1" t="s">
        <v>3867</v>
      </c>
      <c r="D1689" s="1" t="str">
        <f t="shared" si="6"/>
        <v>2</v>
      </c>
      <c r="E1689" s="1" t="s">
        <v>3868</v>
      </c>
      <c r="G1689" s="1">
        <f t="array" ref="G1689">IF(ISNUMBER(MATCH(6872,Camille!$A:$A,0)), IF(OR(INDEX(Camille!$D:$D,MATCH(6872,Camille!$A:$A,0))=1, INDEX(Camille!$D:$D,MATCH(6872,Camille!$A:$A,0))=2), INDEX(Camille!$D:$D,MATCH(6872,Camille!$A:$A,0)), 0), 0)</f>
        <v>0</v>
      </c>
      <c r="H1689" s="1">
        <f t="array" ref="H1689">IF(ISNUMBER(MATCH(6872,Telmo!$A:$A,0)), IF(OR(INDEX(Telmo!$D:$D,MATCH(6872,Telmo!$A:$A,0))=1, INDEX(Telmo!$D:$D,MATCH(6872,Telmo!$A:$A,0))=2), INDEX(Telmo!$D:$D,MATCH(6872,Telmo!$A:$A,0)), 0), 0)</f>
        <v>0</v>
      </c>
      <c r="I1689" s="1">
        <f t="array" ref="I1689">IF(ISNUMBER(MATCH(6872,Max!$A:$A,0)), IF(OR(INDEX(Max!$D:$D,MATCH(6872,Max!$A:$A,0))=1, INDEX(Max!$D:$D,MATCH(6872,Max!$A:$A,0))=2), INDEX(Max!$D:$D,MATCH(6872,Max!$A:$A,0)), 0), 0)</f>
        <v>2</v>
      </c>
    </row>
    <row r="1690" spans="1:9" ht="15.75" customHeight="1" x14ac:dyDescent="0.2">
      <c r="A1690" s="1">
        <v>50908</v>
      </c>
      <c r="B1690" s="1" t="s">
        <v>848</v>
      </c>
      <c r="C1690" s="1" t="s">
        <v>3869</v>
      </c>
      <c r="D1690" s="1" t="str">
        <f t="shared" si="6"/>
        <v>1</v>
      </c>
      <c r="E1690" s="1" t="s">
        <v>3870</v>
      </c>
      <c r="G1690" s="1">
        <f t="array" ref="G1690">IF(ISNUMBER(MATCH(50908,Camille!$A:$A,0)), IF(OR(INDEX(Camille!$D:$D,MATCH(50908,Camille!$A:$A,0))=1, INDEX(Camille!$D:$D,MATCH(50908,Camille!$A:$A,0))=2), INDEX(Camille!$D:$D,MATCH(50908,Camille!$A:$A,0)), 0), 0)</f>
        <v>0</v>
      </c>
      <c r="H1690" s="1">
        <f t="array" ref="H1690">IF(ISNUMBER(MATCH(50908,Telmo!$A:$A,0)), IF(OR(INDEX(Telmo!$D:$D,MATCH(50908,Telmo!$A:$A,0))=1, INDEX(Telmo!$D:$D,MATCH(50908,Telmo!$A:$A,0))=2), INDEX(Telmo!$D:$D,MATCH(50908,Telmo!$A:$A,0)), 0), 0)</f>
        <v>0</v>
      </c>
      <c r="I1690" s="1">
        <f t="array" ref="I1690">IF(ISNUMBER(MATCH(50908,Max!$A:$A,0)), IF(OR(INDEX(Max!$D:$D,MATCH(50908,Max!$A:$A,0))=1, INDEX(Max!$D:$D,MATCH(50908,Max!$A:$A,0))=2), INDEX(Max!$D:$D,MATCH(50908,Max!$A:$A,0)), 0), 0)</f>
        <v>1</v>
      </c>
    </row>
    <row r="1691" spans="1:9" ht="15.75" customHeight="1" x14ac:dyDescent="0.2">
      <c r="A1691" s="1">
        <v>112</v>
      </c>
      <c r="B1691" s="1" t="s">
        <v>90</v>
      </c>
      <c r="C1691" s="1" t="s">
        <v>3871</v>
      </c>
      <c r="D1691" s="1" t="str">
        <f t="shared" si="6"/>
        <v>2</v>
      </c>
      <c r="E1691" s="1" t="s">
        <v>3872</v>
      </c>
      <c r="G1691" s="1">
        <f t="array" ref="G1691">IF(ISNUMBER(MATCH(112,Camille!$A:$A,0)), IF(OR(INDEX(Camille!$D:$D,MATCH(112,Camille!$A:$A,0))=1, INDEX(Camille!$D:$D,MATCH(112,Camille!$A:$A,0))=2), INDEX(Camille!$D:$D,MATCH(112,Camille!$A:$A,0)), 0), 0)</f>
        <v>0</v>
      </c>
      <c r="H1691" s="1">
        <f t="array" ref="H1691">IF(ISNUMBER(MATCH(112,Telmo!$A:$A,0)), IF(OR(INDEX(Telmo!$D:$D,MATCH(112,Telmo!$A:$A,0))=1, INDEX(Telmo!$D:$D,MATCH(112,Telmo!$A:$A,0))=2), INDEX(Telmo!$D:$D,MATCH(112,Telmo!$A:$A,0)), 0), 0)</f>
        <v>0</v>
      </c>
      <c r="I1691" s="1">
        <f t="array" ref="I1691">IF(ISNUMBER(MATCH(112,Max!$A:$A,0)), IF(OR(INDEX(Max!$D:$D,MATCH(112,Max!$A:$A,0))=1, INDEX(Max!$D:$D,MATCH(112,Max!$A:$A,0))=2), INDEX(Max!$D:$D,MATCH(112,Max!$A:$A,0)), 0), 0)</f>
        <v>2</v>
      </c>
    </row>
    <row r="1692" spans="1:9" ht="15.75" customHeight="1" x14ac:dyDescent="0.2">
      <c r="A1692" s="1">
        <v>3333</v>
      </c>
      <c r="B1692" s="1" t="s">
        <v>87</v>
      </c>
      <c r="C1692" s="1" t="s">
        <v>3873</v>
      </c>
      <c r="D1692" s="1" t="str">
        <f t="shared" si="6"/>
        <v>2</v>
      </c>
      <c r="E1692" s="1" t="s">
        <v>3874</v>
      </c>
      <c r="G1692" s="1">
        <f t="array" ref="G1692">IF(ISNUMBER(MATCH(3333,Camille!$A:$A,0)), IF(OR(INDEX(Camille!$D:$D,MATCH(3333,Camille!$A:$A,0))=1, INDEX(Camille!$D:$D,MATCH(3333,Camille!$A:$A,0))=2), INDEX(Camille!$D:$D,MATCH(3333,Camille!$A:$A,0)), 0), 0)</f>
        <v>0</v>
      </c>
      <c r="H1692" s="1">
        <f t="array" ref="H1692">IF(ISNUMBER(MATCH(3333,Telmo!$A:$A,0)), IF(OR(INDEX(Telmo!$D:$D,MATCH(3333,Telmo!$A:$A,0))=1, INDEX(Telmo!$D:$D,MATCH(3333,Telmo!$A:$A,0))=2), INDEX(Telmo!$D:$D,MATCH(3333,Telmo!$A:$A,0)), 0), 0)</f>
        <v>0</v>
      </c>
      <c r="I1692" s="1">
        <f t="array" ref="I1692">IF(ISNUMBER(MATCH(3333,Max!$A:$A,0)), IF(OR(INDEX(Max!$D:$D,MATCH(3333,Max!$A:$A,0))=1, INDEX(Max!$D:$D,MATCH(3333,Max!$A:$A,0))=2), INDEX(Max!$D:$D,MATCH(3333,Max!$A:$A,0)), 0), 0)</f>
        <v>2</v>
      </c>
    </row>
    <row r="1693" spans="1:9" ht="15.75" customHeight="1" x14ac:dyDescent="0.2">
      <c r="A1693" s="1">
        <v>29303</v>
      </c>
      <c r="B1693" s="1" t="s">
        <v>3875</v>
      </c>
      <c r="C1693" s="1" t="s">
        <v>3876</v>
      </c>
      <c r="D1693" s="1" t="str">
        <f t="shared" si="6"/>
        <v>2</v>
      </c>
      <c r="E1693" s="1" t="s">
        <v>3877</v>
      </c>
      <c r="G1693" s="1">
        <f t="array" ref="G1693">IF(ISNUMBER(MATCH(29303,Camille!$A:$A,0)), IF(OR(INDEX(Camille!$D:$D,MATCH(29303,Camille!$A:$A,0))=1, INDEX(Camille!$D:$D,MATCH(29303,Camille!$A:$A,0))=2), INDEX(Camille!$D:$D,MATCH(29303,Camille!$A:$A,0)), 0), 0)</f>
        <v>0</v>
      </c>
      <c r="H1693" s="1">
        <f t="array" ref="H1693">IF(ISNUMBER(MATCH(29303,Telmo!$A:$A,0)), IF(OR(INDEX(Telmo!$D:$D,MATCH(29303,Telmo!$A:$A,0))=1, INDEX(Telmo!$D:$D,MATCH(29303,Telmo!$A:$A,0))=2), INDEX(Telmo!$D:$D,MATCH(29303,Telmo!$A:$A,0)), 0), 0)</f>
        <v>0</v>
      </c>
      <c r="I1693" s="1">
        <f t="array" ref="I1693">IF(ISNUMBER(MATCH(29303,Max!$A:$A,0)), IF(OR(INDEX(Max!$D:$D,MATCH(29303,Max!$A:$A,0))=1, INDEX(Max!$D:$D,MATCH(29303,Max!$A:$A,0))=2), INDEX(Max!$D:$D,MATCH(29303,Max!$A:$A,0)), 0), 0)</f>
        <v>2</v>
      </c>
    </row>
    <row r="1694" spans="1:9" ht="15.75" customHeight="1" x14ac:dyDescent="0.2">
      <c r="A1694" s="1">
        <v>56738</v>
      </c>
      <c r="B1694" s="1" t="s">
        <v>129</v>
      </c>
      <c r="C1694" s="1" t="s">
        <v>3878</v>
      </c>
      <c r="D1694" s="1" t="str">
        <f t="shared" si="6"/>
        <v>2</v>
      </c>
      <c r="E1694" s="1" t="s">
        <v>3879</v>
      </c>
      <c r="G1694" s="1">
        <f t="array" ref="G1694">IF(ISNUMBER(MATCH(56738,Camille!$A:$A,0)), IF(OR(INDEX(Camille!$D:$D,MATCH(56738,Camille!$A:$A,0))=1, INDEX(Camille!$D:$D,MATCH(56738,Camille!$A:$A,0))=2), INDEX(Camille!$D:$D,MATCH(56738,Camille!$A:$A,0)), 0), 0)</f>
        <v>0</v>
      </c>
      <c r="H1694" s="1">
        <f t="array" ref="H1694">IF(ISNUMBER(MATCH(56738,Telmo!$A:$A,0)), IF(OR(INDEX(Telmo!$D:$D,MATCH(56738,Telmo!$A:$A,0))=1, INDEX(Telmo!$D:$D,MATCH(56738,Telmo!$A:$A,0))=2), INDEX(Telmo!$D:$D,MATCH(56738,Telmo!$A:$A,0)), 0), 0)</f>
        <v>0</v>
      </c>
      <c r="I1694" s="1">
        <f t="array" ref="I1694">IF(ISNUMBER(MATCH(56738,Max!$A:$A,0)), IF(OR(INDEX(Max!$D:$D,MATCH(56738,Max!$A:$A,0))=1, INDEX(Max!$D:$D,MATCH(56738,Max!$A:$A,0))=2), INDEX(Max!$D:$D,MATCH(56738,Max!$A:$A,0)), 0), 0)</f>
        <v>2</v>
      </c>
    </row>
    <row r="1695" spans="1:9" ht="15.75" customHeight="1" x14ac:dyDescent="0.2">
      <c r="A1695" s="1">
        <v>57287</v>
      </c>
      <c r="B1695" s="1" t="s">
        <v>408</v>
      </c>
      <c r="C1695" s="1" t="s">
        <v>3880</v>
      </c>
      <c r="D1695" s="1" t="str">
        <f t="shared" si="6"/>
        <v>2</v>
      </c>
      <c r="E1695" s="1" t="s">
        <v>3881</v>
      </c>
      <c r="G1695" s="1">
        <f t="array" ref="G1695">IF(ISNUMBER(MATCH(57287,Camille!$A:$A,0)), IF(OR(INDEX(Camille!$D:$D,MATCH(57287,Camille!$A:$A,0))=1, INDEX(Camille!$D:$D,MATCH(57287,Camille!$A:$A,0))=2), INDEX(Camille!$D:$D,MATCH(57287,Camille!$A:$A,0)), 0), 0)</f>
        <v>0</v>
      </c>
      <c r="H1695" s="1">
        <f t="array" ref="H1695">IF(ISNUMBER(MATCH(57287,Telmo!$A:$A,0)), IF(OR(INDEX(Telmo!$D:$D,MATCH(57287,Telmo!$A:$A,0))=1, INDEX(Telmo!$D:$D,MATCH(57287,Telmo!$A:$A,0))=2), INDEX(Telmo!$D:$D,MATCH(57287,Telmo!$A:$A,0)), 0), 0)</f>
        <v>0</v>
      </c>
      <c r="I1695" s="1">
        <f t="array" ref="I1695">IF(ISNUMBER(MATCH(57287,Max!$A:$A,0)), IF(OR(INDEX(Max!$D:$D,MATCH(57287,Max!$A:$A,0))=1, INDEX(Max!$D:$D,MATCH(57287,Max!$A:$A,0))=2), INDEX(Max!$D:$D,MATCH(57287,Max!$A:$A,0)), 0), 0)</f>
        <v>2</v>
      </c>
    </row>
    <row r="1696" spans="1:9" ht="15.75" customHeight="1" x14ac:dyDescent="0.2">
      <c r="A1696" s="1">
        <v>29455</v>
      </c>
      <c r="B1696" s="1" t="s">
        <v>11</v>
      </c>
      <c r="C1696" s="1" t="s">
        <v>3882</v>
      </c>
      <c r="D1696" s="1" t="str">
        <f t="shared" si="6"/>
        <v>2</v>
      </c>
      <c r="E1696" s="1" t="s">
        <v>3883</v>
      </c>
      <c r="G1696" s="1">
        <f t="array" ref="G1696">IF(ISNUMBER(MATCH(29455,Camille!$A:$A,0)), IF(OR(INDEX(Camille!$D:$D,MATCH(29455,Camille!$A:$A,0))=1, INDEX(Camille!$D:$D,MATCH(29455,Camille!$A:$A,0))=2), INDEX(Camille!$D:$D,MATCH(29455,Camille!$A:$A,0)), 0), 0)</f>
        <v>0</v>
      </c>
      <c r="H1696" s="1">
        <f t="array" ref="H1696">IF(ISNUMBER(MATCH(29455,Telmo!$A:$A,0)), IF(OR(INDEX(Telmo!$D:$D,MATCH(29455,Telmo!$A:$A,0))=1, INDEX(Telmo!$D:$D,MATCH(29455,Telmo!$A:$A,0))=2), INDEX(Telmo!$D:$D,MATCH(29455,Telmo!$A:$A,0)), 0), 0)</f>
        <v>0</v>
      </c>
      <c r="I1696" s="1">
        <f t="array" ref="I1696">IF(ISNUMBER(MATCH(29455,Max!$A:$A,0)), IF(OR(INDEX(Max!$D:$D,MATCH(29455,Max!$A:$A,0))=1, INDEX(Max!$D:$D,MATCH(29455,Max!$A:$A,0))=2), INDEX(Max!$D:$D,MATCH(29455,Max!$A:$A,0)), 0), 0)</f>
        <v>2</v>
      </c>
    </row>
    <row r="1697" spans="1:9" ht="15.75" customHeight="1" x14ac:dyDescent="0.2">
      <c r="A1697" s="1">
        <v>39750</v>
      </c>
      <c r="B1697" s="1" t="s">
        <v>485</v>
      </c>
      <c r="C1697" s="1" t="s">
        <v>3884</v>
      </c>
      <c r="D1697" s="1" t="str">
        <f t="shared" si="6"/>
        <v>1</v>
      </c>
      <c r="E1697" s="1" t="s">
        <v>3885</v>
      </c>
      <c r="G1697" s="1">
        <f t="array" ref="G1697">IF(ISNUMBER(MATCH(39750,Camille!$A:$A,0)), IF(OR(INDEX(Camille!$D:$D,MATCH(39750,Camille!$A:$A,0))=1, INDEX(Camille!$D:$D,MATCH(39750,Camille!$A:$A,0))=2), INDEX(Camille!$D:$D,MATCH(39750,Camille!$A:$A,0)), 0), 0)</f>
        <v>0</v>
      </c>
      <c r="H1697" s="1">
        <f t="array" ref="H1697">IF(ISNUMBER(MATCH(39750,Telmo!$A:$A,0)), IF(OR(INDEX(Telmo!$D:$D,MATCH(39750,Telmo!$A:$A,0))=1, INDEX(Telmo!$D:$D,MATCH(39750,Telmo!$A:$A,0))=2), INDEX(Telmo!$D:$D,MATCH(39750,Telmo!$A:$A,0)), 0), 0)</f>
        <v>0</v>
      </c>
      <c r="I1697" s="1">
        <f t="array" ref="I1697">IF(ISNUMBER(MATCH(39750,Max!$A:$A,0)), IF(OR(INDEX(Max!$D:$D,MATCH(39750,Max!$A:$A,0))=1, INDEX(Max!$D:$D,MATCH(39750,Max!$A:$A,0))=2), INDEX(Max!$D:$D,MATCH(39750,Max!$A:$A,0)), 0), 0)</f>
        <v>1</v>
      </c>
    </row>
    <row r="1698" spans="1:9" ht="15.75" customHeight="1" x14ac:dyDescent="0.2">
      <c r="A1698" s="1">
        <v>9448</v>
      </c>
      <c r="B1698" s="1" t="s">
        <v>301</v>
      </c>
      <c r="C1698" s="1" t="s">
        <v>3886</v>
      </c>
      <c r="D1698" s="1" t="str">
        <f t="shared" si="6"/>
        <v>1</v>
      </c>
      <c r="E1698" s="1" t="s">
        <v>3887</v>
      </c>
      <c r="G1698" s="1">
        <f t="array" ref="G1698">IF(ISNUMBER(MATCH(9448,Camille!$A:$A,0)), IF(OR(INDEX(Camille!$D:$D,MATCH(9448,Camille!$A:$A,0))=1, INDEX(Camille!$D:$D,MATCH(9448,Camille!$A:$A,0))=2), INDEX(Camille!$D:$D,MATCH(9448,Camille!$A:$A,0)), 0), 0)</f>
        <v>0</v>
      </c>
      <c r="H1698" s="1">
        <f t="array" ref="H1698">IF(ISNUMBER(MATCH(9448,Telmo!$A:$A,0)), IF(OR(INDEX(Telmo!$D:$D,MATCH(9448,Telmo!$A:$A,0))=1, INDEX(Telmo!$D:$D,MATCH(9448,Telmo!$A:$A,0))=2), INDEX(Telmo!$D:$D,MATCH(9448,Telmo!$A:$A,0)), 0), 0)</f>
        <v>0</v>
      </c>
      <c r="I1698" s="1">
        <f t="array" ref="I1698">IF(ISNUMBER(MATCH(9448,Max!$A:$A,0)), IF(OR(INDEX(Max!$D:$D,MATCH(9448,Max!$A:$A,0))=1, INDEX(Max!$D:$D,MATCH(9448,Max!$A:$A,0))=2), INDEX(Max!$D:$D,MATCH(9448,Max!$A:$A,0)), 0), 0)</f>
        <v>1</v>
      </c>
    </row>
    <row r="1699" spans="1:9" ht="15.75" customHeight="1" x14ac:dyDescent="0.2">
      <c r="A1699" s="1">
        <v>1638</v>
      </c>
      <c r="B1699" s="1" t="s">
        <v>23</v>
      </c>
      <c r="C1699" s="1" t="s">
        <v>3888</v>
      </c>
      <c r="D1699" s="1" t="str">
        <f t="shared" si="6"/>
        <v>2</v>
      </c>
      <c r="E1699" s="1" t="s">
        <v>3889</v>
      </c>
      <c r="G1699" s="1">
        <f t="array" ref="G1699">IF(ISNUMBER(MATCH(1638,Camille!$A:$A,0)), IF(OR(INDEX(Camille!$D:$D,MATCH(1638,Camille!$A:$A,0))=1, INDEX(Camille!$D:$D,MATCH(1638,Camille!$A:$A,0))=2), INDEX(Camille!$D:$D,MATCH(1638,Camille!$A:$A,0)), 0), 0)</f>
        <v>0</v>
      </c>
      <c r="H1699" s="1">
        <f t="array" ref="H1699">IF(ISNUMBER(MATCH(1638,Telmo!$A:$A,0)), IF(OR(INDEX(Telmo!$D:$D,MATCH(1638,Telmo!$A:$A,0))=1, INDEX(Telmo!$D:$D,MATCH(1638,Telmo!$A:$A,0))=2), INDEX(Telmo!$D:$D,MATCH(1638,Telmo!$A:$A,0)), 0), 0)</f>
        <v>0</v>
      </c>
      <c r="I1699" s="1">
        <f t="array" ref="I1699">IF(ISNUMBER(MATCH(1638,Max!$A:$A,0)), IF(OR(INDEX(Max!$D:$D,MATCH(1638,Max!$A:$A,0))=1, INDEX(Max!$D:$D,MATCH(1638,Max!$A:$A,0))=2), INDEX(Max!$D:$D,MATCH(1638,Max!$A:$A,0)), 0), 0)</f>
        <v>2</v>
      </c>
    </row>
    <row r="1700" spans="1:9" ht="15.75" customHeight="1" x14ac:dyDescent="0.2">
      <c r="A1700" s="1">
        <v>57272</v>
      </c>
      <c r="B1700" s="1" t="s">
        <v>3890</v>
      </c>
      <c r="C1700" s="1" t="s">
        <v>3891</v>
      </c>
      <c r="D1700" s="1" t="str">
        <f t="shared" si="6"/>
        <v>2</v>
      </c>
      <c r="E1700" s="1" t="s">
        <v>3892</v>
      </c>
      <c r="G1700" s="1">
        <f t="array" ref="G1700">IF(ISNUMBER(MATCH(57272,Camille!$A:$A,0)), IF(OR(INDEX(Camille!$D:$D,MATCH(57272,Camille!$A:$A,0))=1, INDEX(Camille!$D:$D,MATCH(57272,Camille!$A:$A,0))=2), INDEX(Camille!$D:$D,MATCH(57272,Camille!$A:$A,0)), 0), 0)</f>
        <v>0</v>
      </c>
      <c r="H1700" s="1">
        <f t="array" ref="H1700">IF(ISNUMBER(MATCH(57272,Telmo!$A:$A,0)), IF(OR(INDEX(Telmo!$D:$D,MATCH(57272,Telmo!$A:$A,0))=1, INDEX(Telmo!$D:$D,MATCH(57272,Telmo!$A:$A,0))=2), INDEX(Telmo!$D:$D,MATCH(57272,Telmo!$A:$A,0)), 0), 0)</f>
        <v>0</v>
      </c>
      <c r="I1700" s="1">
        <f t="array" ref="I1700">IF(ISNUMBER(MATCH(57272,Max!$A:$A,0)), IF(OR(INDEX(Max!$D:$D,MATCH(57272,Max!$A:$A,0))=1, INDEX(Max!$D:$D,MATCH(57272,Max!$A:$A,0))=2), INDEX(Max!$D:$D,MATCH(57272,Max!$A:$A,0)), 0), 0)</f>
        <v>2</v>
      </c>
    </row>
    <row r="1701" spans="1:9" ht="15.75" customHeight="1" x14ac:dyDescent="0.2">
      <c r="A1701" s="1">
        <v>64395</v>
      </c>
      <c r="B1701" s="1" t="s">
        <v>167</v>
      </c>
      <c r="C1701" s="1" t="s">
        <v>3893</v>
      </c>
      <c r="D1701" s="1" t="str">
        <f t="shared" si="6"/>
        <v>1</v>
      </c>
      <c r="E1701" s="1" t="s">
        <v>3894</v>
      </c>
      <c r="G1701" s="1">
        <f t="array" ref="G1701">IF(ISNUMBER(MATCH(64395,Camille!$A:$A,0)), IF(OR(INDEX(Camille!$D:$D,MATCH(64395,Camille!$A:$A,0))=1, INDEX(Camille!$D:$D,MATCH(64395,Camille!$A:$A,0))=2), INDEX(Camille!$D:$D,MATCH(64395,Camille!$A:$A,0)), 0), 0)</f>
        <v>0</v>
      </c>
      <c r="H1701" s="1">
        <f t="array" ref="H1701">IF(ISNUMBER(MATCH(64395,Telmo!$A:$A,0)), IF(OR(INDEX(Telmo!$D:$D,MATCH(64395,Telmo!$A:$A,0))=1, INDEX(Telmo!$D:$D,MATCH(64395,Telmo!$A:$A,0))=2), INDEX(Telmo!$D:$D,MATCH(64395,Telmo!$A:$A,0)), 0), 0)</f>
        <v>0</v>
      </c>
      <c r="I1701" s="1">
        <f t="array" ref="I1701">IF(ISNUMBER(MATCH(64395,Max!$A:$A,0)), IF(OR(INDEX(Max!$D:$D,MATCH(64395,Max!$A:$A,0))=1, INDEX(Max!$D:$D,MATCH(64395,Max!$A:$A,0))=2), INDEX(Max!$D:$D,MATCH(64395,Max!$A:$A,0)), 0), 0)</f>
        <v>1</v>
      </c>
    </row>
    <row r="1702" spans="1:9" ht="15.75" customHeight="1" x14ac:dyDescent="0.2">
      <c r="A1702" s="1">
        <v>62484</v>
      </c>
      <c r="B1702" s="1" t="s">
        <v>276</v>
      </c>
      <c r="C1702" s="1" t="s">
        <v>3895</v>
      </c>
      <c r="D1702" s="1" t="str">
        <f t="shared" si="6"/>
        <v>1</v>
      </c>
      <c r="E1702" s="1" t="s">
        <v>3896</v>
      </c>
      <c r="G1702" s="1">
        <f t="array" ref="G1702">IF(ISNUMBER(MATCH(62484,Camille!$A:$A,0)), IF(OR(INDEX(Camille!$D:$D,MATCH(62484,Camille!$A:$A,0))=1, INDEX(Camille!$D:$D,MATCH(62484,Camille!$A:$A,0))=2), INDEX(Camille!$D:$D,MATCH(62484,Camille!$A:$A,0)), 0), 0)</f>
        <v>0</v>
      </c>
      <c r="H1702" s="1">
        <f t="array" ref="H1702">IF(ISNUMBER(MATCH(62484,Telmo!$A:$A,0)), IF(OR(INDEX(Telmo!$D:$D,MATCH(62484,Telmo!$A:$A,0))=1, INDEX(Telmo!$D:$D,MATCH(62484,Telmo!$A:$A,0))=2), INDEX(Telmo!$D:$D,MATCH(62484,Telmo!$A:$A,0)), 0), 0)</f>
        <v>0</v>
      </c>
      <c r="I1702" s="1">
        <f t="array" ref="I1702">IF(ISNUMBER(MATCH(62484,Max!$A:$A,0)), IF(OR(INDEX(Max!$D:$D,MATCH(62484,Max!$A:$A,0))=1, INDEX(Max!$D:$D,MATCH(62484,Max!$A:$A,0))=2), INDEX(Max!$D:$D,MATCH(62484,Max!$A:$A,0)), 0), 0)</f>
        <v>1</v>
      </c>
    </row>
    <row r="1703" spans="1:9" ht="15.75" customHeight="1" x14ac:dyDescent="0.2">
      <c r="A1703" s="1">
        <v>39166</v>
      </c>
      <c r="B1703" s="1" t="s">
        <v>3897</v>
      </c>
      <c r="C1703" s="1" t="s">
        <v>3898</v>
      </c>
      <c r="D1703" s="1" t="str">
        <f t="shared" si="6"/>
        <v>2</v>
      </c>
      <c r="E1703" s="1" t="s">
        <v>3899</v>
      </c>
      <c r="G1703" s="1">
        <f t="array" ref="G1703">IF(ISNUMBER(MATCH(39166,Camille!$A:$A,0)), IF(OR(INDEX(Camille!$D:$D,MATCH(39166,Camille!$A:$A,0))=1, INDEX(Camille!$D:$D,MATCH(39166,Camille!$A:$A,0))=2), INDEX(Camille!$D:$D,MATCH(39166,Camille!$A:$A,0)), 0), 0)</f>
        <v>0</v>
      </c>
      <c r="H1703" s="1">
        <f t="array" ref="H1703">IF(ISNUMBER(MATCH(39166,Telmo!$A:$A,0)), IF(OR(INDEX(Telmo!$D:$D,MATCH(39166,Telmo!$A:$A,0))=1, INDEX(Telmo!$D:$D,MATCH(39166,Telmo!$A:$A,0))=2), INDEX(Telmo!$D:$D,MATCH(39166,Telmo!$A:$A,0)), 0), 0)</f>
        <v>0</v>
      </c>
      <c r="I1703" s="1">
        <f t="array" ref="I1703">IF(ISNUMBER(MATCH(39166,Max!$A:$A,0)), IF(OR(INDEX(Max!$D:$D,MATCH(39166,Max!$A:$A,0))=1, INDEX(Max!$D:$D,MATCH(39166,Max!$A:$A,0))=2), INDEX(Max!$D:$D,MATCH(39166,Max!$A:$A,0)), 0), 0)</f>
        <v>2</v>
      </c>
    </row>
    <row r="1704" spans="1:9" ht="15.75" customHeight="1" x14ac:dyDescent="0.2">
      <c r="A1704" s="1">
        <v>42753</v>
      </c>
      <c r="B1704" s="1" t="s">
        <v>3900</v>
      </c>
      <c r="C1704" s="1" t="s">
        <v>3901</v>
      </c>
      <c r="D1704" s="1" t="str">
        <f t="shared" si="6"/>
        <v>2</v>
      </c>
      <c r="E1704" s="1" t="s">
        <v>3902</v>
      </c>
      <c r="G1704" s="1">
        <f t="array" ref="G1704">IF(ISNUMBER(MATCH(42753,Camille!$A:$A,0)), IF(OR(INDEX(Camille!$D:$D,MATCH(42753,Camille!$A:$A,0))=1, INDEX(Camille!$D:$D,MATCH(42753,Camille!$A:$A,0))=2), INDEX(Camille!$D:$D,MATCH(42753,Camille!$A:$A,0)), 0), 0)</f>
        <v>0</v>
      </c>
      <c r="H1704" s="1">
        <f t="array" ref="H1704">IF(ISNUMBER(MATCH(42753,Telmo!$A:$A,0)), IF(OR(INDEX(Telmo!$D:$D,MATCH(42753,Telmo!$A:$A,0))=1, INDEX(Telmo!$D:$D,MATCH(42753,Telmo!$A:$A,0))=2), INDEX(Telmo!$D:$D,MATCH(42753,Telmo!$A:$A,0)), 0), 0)</f>
        <v>0</v>
      </c>
      <c r="I1704" s="1">
        <f t="array" ref="I1704">IF(ISNUMBER(MATCH(42753,Max!$A:$A,0)), IF(OR(INDEX(Max!$D:$D,MATCH(42753,Max!$A:$A,0))=1, INDEX(Max!$D:$D,MATCH(42753,Max!$A:$A,0))=2), INDEX(Max!$D:$D,MATCH(42753,Max!$A:$A,0)), 0), 0)</f>
        <v>2</v>
      </c>
    </row>
    <row r="1705" spans="1:9" ht="15.75" customHeight="1" x14ac:dyDescent="0.2">
      <c r="A1705" s="1">
        <v>22289</v>
      </c>
      <c r="B1705" s="1" t="s">
        <v>3903</v>
      </c>
      <c r="C1705" s="1" t="s">
        <v>3904</v>
      </c>
      <c r="D1705" s="1" t="str">
        <f t="shared" si="6"/>
        <v>2</v>
      </c>
      <c r="E1705" s="1" t="s">
        <v>3905</v>
      </c>
      <c r="G1705" s="1">
        <f t="array" ref="G1705">IF(ISNUMBER(MATCH(22289,Camille!$A:$A,0)), IF(OR(INDEX(Camille!$D:$D,MATCH(22289,Camille!$A:$A,0))=1, INDEX(Camille!$D:$D,MATCH(22289,Camille!$A:$A,0))=2), INDEX(Camille!$D:$D,MATCH(22289,Camille!$A:$A,0)), 0), 0)</f>
        <v>0</v>
      </c>
      <c r="H1705" s="1">
        <f t="array" ref="H1705">IF(ISNUMBER(MATCH(22289,Telmo!$A:$A,0)), IF(OR(INDEX(Telmo!$D:$D,MATCH(22289,Telmo!$A:$A,0))=1, INDEX(Telmo!$D:$D,MATCH(22289,Telmo!$A:$A,0))=2), INDEX(Telmo!$D:$D,MATCH(22289,Telmo!$A:$A,0)), 0), 0)</f>
        <v>0</v>
      </c>
      <c r="I1705" s="1">
        <f t="array" ref="I1705">IF(ISNUMBER(MATCH(22289,Max!$A:$A,0)), IF(OR(INDEX(Max!$D:$D,MATCH(22289,Max!$A:$A,0))=1, INDEX(Max!$D:$D,MATCH(22289,Max!$A:$A,0))=2), INDEX(Max!$D:$D,MATCH(22289,Max!$A:$A,0)), 0), 0)</f>
        <v>2</v>
      </c>
    </row>
    <row r="1706" spans="1:9" ht="15.75" customHeight="1" x14ac:dyDescent="0.2">
      <c r="A1706" s="1">
        <v>17730</v>
      </c>
      <c r="B1706" s="1" t="s">
        <v>1669</v>
      </c>
      <c r="C1706" s="1" t="s">
        <v>3906</v>
      </c>
      <c r="D1706" s="1" t="str">
        <f t="shared" si="6"/>
        <v>2</v>
      </c>
      <c r="E1706" s="1" t="s">
        <v>3907</v>
      </c>
      <c r="G1706" s="1">
        <f t="array" ref="G1706">IF(ISNUMBER(MATCH(17730,Camille!$A:$A,0)), IF(OR(INDEX(Camille!$D:$D,MATCH(17730,Camille!$A:$A,0))=1, INDEX(Camille!$D:$D,MATCH(17730,Camille!$A:$A,0))=2), INDEX(Camille!$D:$D,MATCH(17730,Camille!$A:$A,0)), 0), 0)</f>
        <v>0</v>
      </c>
      <c r="H1706" s="1">
        <f t="array" ref="H1706">IF(ISNUMBER(MATCH(17730,Telmo!$A:$A,0)), IF(OR(INDEX(Telmo!$D:$D,MATCH(17730,Telmo!$A:$A,0))=1, INDEX(Telmo!$D:$D,MATCH(17730,Telmo!$A:$A,0))=2), INDEX(Telmo!$D:$D,MATCH(17730,Telmo!$A:$A,0)), 0), 0)</f>
        <v>0</v>
      </c>
      <c r="I1706" s="1">
        <f t="array" ref="I1706">IF(ISNUMBER(MATCH(17730,Max!$A:$A,0)), IF(OR(INDEX(Max!$D:$D,MATCH(17730,Max!$A:$A,0))=1, INDEX(Max!$D:$D,MATCH(17730,Max!$A:$A,0))=2), INDEX(Max!$D:$D,MATCH(17730,Max!$A:$A,0)), 0), 0)</f>
        <v>2</v>
      </c>
    </row>
    <row r="1707" spans="1:9" ht="15.75" customHeight="1" x14ac:dyDescent="0.2">
      <c r="A1707" s="1">
        <v>40709</v>
      </c>
      <c r="B1707" s="1" t="s">
        <v>185</v>
      </c>
      <c r="C1707" s="1" t="s">
        <v>3908</v>
      </c>
      <c r="D1707" s="1" t="str">
        <f t="shared" si="6"/>
        <v>1</v>
      </c>
      <c r="E1707" s="1" t="s">
        <v>3909</v>
      </c>
      <c r="G1707" s="1">
        <f t="array" ref="G1707">IF(ISNUMBER(MATCH(40709,Camille!$A:$A,0)), IF(OR(INDEX(Camille!$D:$D,MATCH(40709,Camille!$A:$A,0))=1, INDEX(Camille!$D:$D,MATCH(40709,Camille!$A:$A,0))=2), INDEX(Camille!$D:$D,MATCH(40709,Camille!$A:$A,0)), 0), 0)</f>
        <v>0</v>
      </c>
      <c r="H1707" s="1">
        <f t="array" ref="H1707">IF(ISNUMBER(MATCH(40709,Telmo!$A:$A,0)), IF(OR(INDEX(Telmo!$D:$D,MATCH(40709,Telmo!$A:$A,0))=1, INDEX(Telmo!$D:$D,MATCH(40709,Telmo!$A:$A,0))=2), INDEX(Telmo!$D:$D,MATCH(40709,Telmo!$A:$A,0)), 0), 0)</f>
        <v>0</v>
      </c>
      <c r="I1707" s="1">
        <f t="array" ref="I1707">IF(ISNUMBER(MATCH(40709,Max!$A:$A,0)), IF(OR(INDEX(Max!$D:$D,MATCH(40709,Max!$A:$A,0))=1, INDEX(Max!$D:$D,MATCH(40709,Max!$A:$A,0))=2), INDEX(Max!$D:$D,MATCH(40709,Max!$A:$A,0)), 0), 0)</f>
        <v>1</v>
      </c>
    </row>
    <row r="1708" spans="1:9" ht="15.75" customHeight="1" x14ac:dyDescent="0.2">
      <c r="A1708" s="1">
        <v>239</v>
      </c>
      <c r="B1708" s="1" t="s">
        <v>276</v>
      </c>
      <c r="C1708" s="1" t="s">
        <v>3910</v>
      </c>
      <c r="D1708" s="1" t="str">
        <f t="shared" si="6"/>
        <v>2</v>
      </c>
      <c r="E1708" s="1" t="s">
        <v>3911</v>
      </c>
      <c r="G1708" s="1">
        <f t="array" ref="G1708">IF(ISNUMBER(MATCH(239,Camille!$A:$A,0)), IF(OR(INDEX(Camille!$D:$D,MATCH(239,Camille!$A:$A,0))=1, INDEX(Camille!$D:$D,MATCH(239,Camille!$A:$A,0))=2), INDEX(Camille!$D:$D,MATCH(239,Camille!$A:$A,0)), 0), 0)</f>
        <v>0</v>
      </c>
      <c r="H1708" s="1">
        <f t="array" ref="H1708">IF(ISNUMBER(MATCH(239,Telmo!$A:$A,0)), IF(OR(INDEX(Telmo!$D:$D,MATCH(239,Telmo!$A:$A,0))=1, INDEX(Telmo!$D:$D,MATCH(239,Telmo!$A:$A,0))=2), INDEX(Telmo!$D:$D,MATCH(239,Telmo!$A:$A,0)), 0), 0)</f>
        <v>0</v>
      </c>
      <c r="I1708" s="1">
        <f t="array" ref="I1708">IF(ISNUMBER(MATCH(239,Max!$A:$A,0)), IF(OR(INDEX(Max!$D:$D,MATCH(239,Max!$A:$A,0))=1, INDEX(Max!$D:$D,MATCH(239,Max!$A:$A,0))=2), INDEX(Max!$D:$D,MATCH(239,Max!$A:$A,0)), 0), 0)</f>
        <v>2</v>
      </c>
    </row>
    <row r="1709" spans="1:9" ht="15.75" customHeight="1" x14ac:dyDescent="0.2">
      <c r="A1709" s="1">
        <v>50904</v>
      </c>
      <c r="B1709" s="1" t="s">
        <v>354</v>
      </c>
      <c r="C1709" s="1" t="s">
        <v>3912</v>
      </c>
      <c r="D1709" s="1" t="str">
        <f t="shared" si="6"/>
        <v>2</v>
      </c>
      <c r="E1709" s="1" t="s">
        <v>3913</v>
      </c>
      <c r="G1709" s="1">
        <f t="array" ref="G1709">IF(ISNUMBER(MATCH(50904,Camille!$A:$A,0)), IF(OR(INDEX(Camille!$D:$D,MATCH(50904,Camille!$A:$A,0))=1, INDEX(Camille!$D:$D,MATCH(50904,Camille!$A:$A,0))=2), INDEX(Camille!$D:$D,MATCH(50904,Camille!$A:$A,0)), 0), 0)</f>
        <v>0</v>
      </c>
      <c r="H1709" s="1">
        <f t="array" ref="H1709">IF(ISNUMBER(MATCH(50904,Telmo!$A:$A,0)), IF(OR(INDEX(Telmo!$D:$D,MATCH(50904,Telmo!$A:$A,0))=1, INDEX(Telmo!$D:$D,MATCH(50904,Telmo!$A:$A,0))=2), INDEX(Telmo!$D:$D,MATCH(50904,Telmo!$A:$A,0)), 0), 0)</f>
        <v>0</v>
      </c>
      <c r="I1709" s="1">
        <f t="array" ref="I1709">IF(ISNUMBER(MATCH(50904,Max!$A:$A,0)), IF(OR(INDEX(Max!$D:$D,MATCH(50904,Max!$A:$A,0))=1, INDEX(Max!$D:$D,MATCH(50904,Max!$A:$A,0))=2), INDEX(Max!$D:$D,MATCH(50904,Max!$A:$A,0)), 0), 0)</f>
        <v>2</v>
      </c>
    </row>
    <row r="1710" spans="1:9" ht="15.75" customHeight="1" x14ac:dyDescent="0.2">
      <c r="A1710" s="1">
        <v>59603</v>
      </c>
      <c r="B1710" s="1" t="s">
        <v>32</v>
      </c>
      <c r="C1710" s="1" t="s">
        <v>3914</v>
      </c>
      <c r="D1710" s="1" t="str">
        <f t="shared" si="6"/>
        <v>2</v>
      </c>
      <c r="E1710" s="1" t="s">
        <v>3915</v>
      </c>
      <c r="G1710" s="1">
        <f t="array" ref="G1710">IF(ISNUMBER(MATCH(59603,Camille!$A:$A,0)), IF(OR(INDEX(Camille!$D:$D,MATCH(59603,Camille!$A:$A,0))=1, INDEX(Camille!$D:$D,MATCH(59603,Camille!$A:$A,0))=2), INDEX(Camille!$D:$D,MATCH(59603,Camille!$A:$A,0)), 0), 0)</f>
        <v>0</v>
      </c>
      <c r="H1710" s="1">
        <f t="array" ref="H1710">IF(ISNUMBER(MATCH(59603,Telmo!$A:$A,0)), IF(OR(INDEX(Telmo!$D:$D,MATCH(59603,Telmo!$A:$A,0))=1, INDEX(Telmo!$D:$D,MATCH(59603,Telmo!$A:$A,0))=2), INDEX(Telmo!$D:$D,MATCH(59603,Telmo!$A:$A,0)), 0), 0)</f>
        <v>0</v>
      </c>
      <c r="I1710" s="1">
        <f t="array" ref="I1710">IF(ISNUMBER(MATCH(59603,Max!$A:$A,0)), IF(OR(INDEX(Max!$D:$D,MATCH(59603,Max!$A:$A,0))=1, INDEX(Max!$D:$D,MATCH(59603,Max!$A:$A,0))=2), INDEX(Max!$D:$D,MATCH(59603,Max!$A:$A,0)), 0), 0)</f>
        <v>2</v>
      </c>
    </row>
    <row r="1711" spans="1:9" ht="15.75" customHeight="1" x14ac:dyDescent="0.2">
      <c r="A1711" s="1">
        <v>34412</v>
      </c>
      <c r="B1711" s="1" t="s">
        <v>194</v>
      </c>
      <c r="C1711" s="1" t="s">
        <v>3916</v>
      </c>
      <c r="D1711" s="1" t="str">
        <f t="shared" si="6"/>
        <v>2</v>
      </c>
      <c r="E1711" s="1" t="s">
        <v>3917</v>
      </c>
      <c r="G1711" s="1">
        <f t="array" ref="G1711">IF(ISNUMBER(MATCH(34412,Camille!$A:$A,0)), IF(OR(INDEX(Camille!$D:$D,MATCH(34412,Camille!$A:$A,0))=1, INDEX(Camille!$D:$D,MATCH(34412,Camille!$A:$A,0))=2), INDEX(Camille!$D:$D,MATCH(34412,Camille!$A:$A,0)), 0), 0)</f>
        <v>0</v>
      </c>
      <c r="H1711" s="1">
        <f t="array" ref="H1711">IF(ISNUMBER(MATCH(34412,Telmo!$A:$A,0)), IF(OR(INDEX(Telmo!$D:$D,MATCH(34412,Telmo!$A:$A,0))=1, INDEX(Telmo!$D:$D,MATCH(34412,Telmo!$A:$A,0))=2), INDEX(Telmo!$D:$D,MATCH(34412,Telmo!$A:$A,0)), 0), 0)</f>
        <v>0</v>
      </c>
      <c r="I1711" s="1">
        <f t="array" ref="I1711">IF(ISNUMBER(MATCH(34412,Max!$A:$A,0)), IF(OR(INDEX(Max!$D:$D,MATCH(34412,Max!$A:$A,0))=1, INDEX(Max!$D:$D,MATCH(34412,Max!$A:$A,0))=2), INDEX(Max!$D:$D,MATCH(34412,Max!$A:$A,0)), 0), 0)</f>
        <v>2</v>
      </c>
    </row>
    <row r="1712" spans="1:9" ht="15.75" customHeight="1" x14ac:dyDescent="0.2">
      <c r="A1712" s="1">
        <v>9627</v>
      </c>
      <c r="B1712" s="1" t="s">
        <v>205</v>
      </c>
      <c r="C1712" s="1" t="s">
        <v>3918</v>
      </c>
      <c r="D1712" s="1" t="str">
        <f t="shared" si="6"/>
        <v>2</v>
      </c>
      <c r="E1712" s="1" t="s">
        <v>3919</v>
      </c>
      <c r="G1712" s="1">
        <f t="array" ref="G1712">IF(ISNUMBER(MATCH(9627,Camille!$A:$A,0)), IF(OR(INDEX(Camille!$D:$D,MATCH(9627,Camille!$A:$A,0))=1, INDEX(Camille!$D:$D,MATCH(9627,Camille!$A:$A,0))=2), INDEX(Camille!$D:$D,MATCH(9627,Camille!$A:$A,0)), 0), 0)</f>
        <v>0</v>
      </c>
      <c r="H1712" s="1">
        <f t="array" ref="H1712">IF(ISNUMBER(MATCH(9627,Telmo!$A:$A,0)), IF(OR(INDEX(Telmo!$D:$D,MATCH(9627,Telmo!$A:$A,0))=1, INDEX(Telmo!$D:$D,MATCH(9627,Telmo!$A:$A,0))=2), INDEX(Telmo!$D:$D,MATCH(9627,Telmo!$A:$A,0)), 0), 0)</f>
        <v>0</v>
      </c>
      <c r="I1712" s="1">
        <f t="array" ref="I1712">IF(ISNUMBER(MATCH(9627,Max!$A:$A,0)), IF(OR(INDEX(Max!$D:$D,MATCH(9627,Max!$A:$A,0))=1, INDEX(Max!$D:$D,MATCH(9627,Max!$A:$A,0))=2), INDEX(Max!$D:$D,MATCH(9627,Max!$A:$A,0)), 0), 0)</f>
        <v>2</v>
      </c>
    </row>
    <row r="1713" spans="1:9" ht="15.75" customHeight="1" x14ac:dyDescent="0.2">
      <c r="A1713" s="1">
        <v>71271</v>
      </c>
      <c r="B1713" s="1" t="s">
        <v>1788</v>
      </c>
      <c r="C1713" s="1" t="s">
        <v>3920</v>
      </c>
      <c r="D1713" s="1" t="str">
        <f t="shared" si="6"/>
        <v>2</v>
      </c>
      <c r="E1713" s="1" t="s">
        <v>3921</v>
      </c>
      <c r="G1713" s="1">
        <f t="array" ref="G1713">IF(ISNUMBER(MATCH(71271,Camille!$A:$A,0)), IF(OR(INDEX(Camille!$D:$D,MATCH(71271,Camille!$A:$A,0))=1, INDEX(Camille!$D:$D,MATCH(71271,Camille!$A:$A,0))=2), INDEX(Camille!$D:$D,MATCH(71271,Camille!$A:$A,0)), 0), 0)</f>
        <v>0</v>
      </c>
      <c r="H1713" s="1">
        <f t="array" ref="H1713">IF(ISNUMBER(MATCH(71271,Telmo!$A:$A,0)), IF(OR(INDEX(Telmo!$D:$D,MATCH(71271,Telmo!$A:$A,0))=1, INDEX(Telmo!$D:$D,MATCH(71271,Telmo!$A:$A,0))=2), INDEX(Telmo!$D:$D,MATCH(71271,Telmo!$A:$A,0)), 0), 0)</f>
        <v>0</v>
      </c>
      <c r="I1713" s="1">
        <f t="array" ref="I1713">IF(ISNUMBER(MATCH(71271,Max!$A:$A,0)), IF(OR(INDEX(Max!$D:$D,MATCH(71271,Max!$A:$A,0))=1, INDEX(Max!$D:$D,MATCH(71271,Max!$A:$A,0))=2), INDEX(Max!$D:$D,MATCH(71271,Max!$A:$A,0)), 0), 0)</f>
        <v>2</v>
      </c>
    </row>
    <row r="1714" spans="1:9" ht="15.75" customHeight="1" x14ac:dyDescent="0.2">
      <c r="A1714" s="1">
        <v>50740</v>
      </c>
      <c r="B1714" s="1" t="s">
        <v>3922</v>
      </c>
      <c r="C1714" s="1" t="s">
        <v>3923</v>
      </c>
      <c r="D1714" s="1" t="str">
        <f t="shared" si="6"/>
        <v>2</v>
      </c>
      <c r="E1714" s="1" t="s">
        <v>3924</v>
      </c>
      <c r="G1714" s="1">
        <f t="array" ref="G1714">IF(ISNUMBER(MATCH(50740,Camille!$A:$A,0)), IF(OR(INDEX(Camille!$D:$D,MATCH(50740,Camille!$A:$A,0))=1, INDEX(Camille!$D:$D,MATCH(50740,Camille!$A:$A,0))=2), INDEX(Camille!$D:$D,MATCH(50740,Camille!$A:$A,0)), 0), 0)</f>
        <v>0</v>
      </c>
      <c r="H1714" s="1">
        <f t="array" ref="H1714">IF(ISNUMBER(MATCH(50740,Telmo!$A:$A,0)), IF(OR(INDEX(Telmo!$D:$D,MATCH(50740,Telmo!$A:$A,0))=1, INDEX(Telmo!$D:$D,MATCH(50740,Telmo!$A:$A,0))=2), INDEX(Telmo!$D:$D,MATCH(50740,Telmo!$A:$A,0)), 0), 0)</f>
        <v>0</v>
      </c>
      <c r="I1714" s="1">
        <f t="array" ref="I1714">IF(ISNUMBER(MATCH(50740,Max!$A:$A,0)), IF(OR(INDEX(Max!$D:$D,MATCH(50740,Max!$A:$A,0))=1, INDEX(Max!$D:$D,MATCH(50740,Max!$A:$A,0))=2), INDEX(Max!$D:$D,MATCH(50740,Max!$A:$A,0)), 0), 0)</f>
        <v>2</v>
      </c>
    </row>
    <row r="1715" spans="1:9" ht="15.75" customHeight="1" x14ac:dyDescent="0.2">
      <c r="A1715" s="1">
        <v>36704</v>
      </c>
      <c r="B1715" s="1" t="s">
        <v>425</v>
      </c>
      <c r="C1715" s="1" t="s">
        <v>3925</v>
      </c>
      <c r="D1715" s="1" t="str">
        <f t="shared" si="6"/>
        <v>2</v>
      </c>
      <c r="E1715" s="1" t="s">
        <v>3926</v>
      </c>
      <c r="G1715" s="1">
        <f t="array" ref="G1715">IF(ISNUMBER(MATCH(36704,Camille!$A:$A,0)), IF(OR(INDEX(Camille!$D:$D,MATCH(36704,Camille!$A:$A,0))=1, INDEX(Camille!$D:$D,MATCH(36704,Camille!$A:$A,0))=2), INDEX(Camille!$D:$D,MATCH(36704,Camille!$A:$A,0)), 0), 0)</f>
        <v>0</v>
      </c>
      <c r="H1715" s="1">
        <f t="array" ref="H1715">IF(ISNUMBER(MATCH(36704,Telmo!$A:$A,0)), IF(OR(INDEX(Telmo!$D:$D,MATCH(36704,Telmo!$A:$A,0))=1, INDEX(Telmo!$D:$D,MATCH(36704,Telmo!$A:$A,0))=2), INDEX(Telmo!$D:$D,MATCH(36704,Telmo!$A:$A,0)), 0), 0)</f>
        <v>0</v>
      </c>
      <c r="I1715" s="1">
        <f t="array" ref="I1715">IF(ISNUMBER(MATCH(36704,Max!$A:$A,0)), IF(OR(INDEX(Max!$D:$D,MATCH(36704,Max!$A:$A,0))=1, INDEX(Max!$D:$D,MATCH(36704,Max!$A:$A,0))=2), INDEX(Max!$D:$D,MATCH(36704,Max!$A:$A,0)), 0), 0)</f>
        <v>2</v>
      </c>
    </row>
    <row r="1716" spans="1:9" ht="15.75" customHeight="1" x14ac:dyDescent="0.2">
      <c r="A1716" s="1">
        <v>46162</v>
      </c>
      <c r="B1716" s="1" t="s">
        <v>345</v>
      </c>
      <c r="C1716" s="1" t="s">
        <v>3927</v>
      </c>
      <c r="D1716" s="1" t="str">
        <f t="shared" si="6"/>
        <v>1</v>
      </c>
      <c r="E1716" s="1" t="s">
        <v>3928</v>
      </c>
      <c r="G1716" s="1">
        <f t="array" ref="G1716">IF(ISNUMBER(MATCH(46162,Camille!$A:$A,0)), IF(OR(INDEX(Camille!$D:$D,MATCH(46162,Camille!$A:$A,0))=1, INDEX(Camille!$D:$D,MATCH(46162,Camille!$A:$A,0))=2), INDEX(Camille!$D:$D,MATCH(46162,Camille!$A:$A,0)), 0), 0)</f>
        <v>0</v>
      </c>
      <c r="H1716" s="1">
        <f t="array" ref="H1716">IF(ISNUMBER(MATCH(46162,Telmo!$A:$A,0)), IF(OR(INDEX(Telmo!$D:$D,MATCH(46162,Telmo!$A:$A,0))=1, INDEX(Telmo!$D:$D,MATCH(46162,Telmo!$A:$A,0))=2), INDEX(Telmo!$D:$D,MATCH(46162,Telmo!$A:$A,0)), 0), 0)</f>
        <v>0</v>
      </c>
      <c r="I1716" s="1">
        <f t="array" ref="I1716">IF(ISNUMBER(MATCH(46162,Max!$A:$A,0)), IF(OR(INDEX(Max!$D:$D,MATCH(46162,Max!$A:$A,0))=1, INDEX(Max!$D:$D,MATCH(46162,Max!$A:$A,0))=2), INDEX(Max!$D:$D,MATCH(46162,Max!$A:$A,0)), 0), 0)</f>
        <v>1</v>
      </c>
    </row>
    <row r="1717" spans="1:9" ht="15.75" customHeight="1" x14ac:dyDescent="0.2">
      <c r="A1717" s="1">
        <v>33476</v>
      </c>
      <c r="B1717" s="1" t="s">
        <v>109</v>
      </c>
      <c r="C1717" s="1" t="s">
        <v>3929</v>
      </c>
      <c r="D1717" s="1" t="str">
        <f t="shared" si="6"/>
        <v>2</v>
      </c>
      <c r="E1717" s="1" t="s">
        <v>3930</v>
      </c>
      <c r="G1717" s="1">
        <f t="array" ref="G1717">IF(ISNUMBER(MATCH(33476,Camille!$A:$A,0)), IF(OR(INDEX(Camille!$D:$D,MATCH(33476,Camille!$A:$A,0))=1, INDEX(Camille!$D:$D,MATCH(33476,Camille!$A:$A,0))=2), INDEX(Camille!$D:$D,MATCH(33476,Camille!$A:$A,0)), 0), 0)</f>
        <v>0</v>
      </c>
      <c r="H1717" s="1">
        <f t="array" ref="H1717">IF(ISNUMBER(MATCH(33476,Telmo!$A:$A,0)), IF(OR(INDEX(Telmo!$D:$D,MATCH(33476,Telmo!$A:$A,0))=1, INDEX(Telmo!$D:$D,MATCH(33476,Telmo!$A:$A,0))=2), INDEX(Telmo!$D:$D,MATCH(33476,Telmo!$A:$A,0)), 0), 0)</f>
        <v>0</v>
      </c>
      <c r="I1717" s="1">
        <f t="array" ref="I1717">IF(ISNUMBER(MATCH(33476,Max!$A:$A,0)), IF(OR(INDEX(Max!$D:$D,MATCH(33476,Max!$A:$A,0))=1, INDEX(Max!$D:$D,MATCH(33476,Max!$A:$A,0))=2), INDEX(Max!$D:$D,MATCH(33476,Max!$A:$A,0)), 0), 0)</f>
        <v>2</v>
      </c>
    </row>
    <row r="1718" spans="1:9" ht="15.75" customHeight="1" x14ac:dyDescent="0.2">
      <c r="A1718" s="1">
        <v>9087</v>
      </c>
      <c r="B1718" s="1" t="s">
        <v>298</v>
      </c>
      <c r="C1718" s="1" t="s">
        <v>3931</v>
      </c>
      <c r="D1718" s="1" t="str">
        <f t="shared" si="6"/>
        <v>1</v>
      </c>
      <c r="E1718" s="1" t="s">
        <v>3932</v>
      </c>
      <c r="G1718" s="1">
        <f t="array" ref="G1718">IF(ISNUMBER(MATCH(9087,Camille!$A:$A,0)), IF(OR(INDEX(Camille!$D:$D,MATCH(9087,Camille!$A:$A,0))=1, INDEX(Camille!$D:$D,MATCH(9087,Camille!$A:$A,0))=2), INDEX(Camille!$D:$D,MATCH(9087,Camille!$A:$A,0)), 0), 0)</f>
        <v>0</v>
      </c>
      <c r="H1718" s="1">
        <f t="array" ref="H1718">IF(ISNUMBER(MATCH(9087,Telmo!$A:$A,0)), IF(OR(INDEX(Telmo!$D:$D,MATCH(9087,Telmo!$A:$A,0))=1, INDEX(Telmo!$D:$D,MATCH(9087,Telmo!$A:$A,0))=2), INDEX(Telmo!$D:$D,MATCH(9087,Telmo!$A:$A,0)), 0), 0)</f>
        <v>0</v>
      </c>
      <c r="I1718" s="1">
        <f t="array" ref="I1718">IF(ISNUMBER(MATCH(9087,Max!$A:$A,0)), IF(OR(INDEX(Max!$D:$D,MATCH(9087,Max!$A:$A,0))=1, INDEX(Max!$D:$D,MATCH(9087,Max!$A:$A,0))=2), INDEX(Max!$D:$D,MATCH(9087,Max!$A:$A,0)), 0), 0)</f>
        <v>1</v>
      </c>
    </row>
    <row r="1719" spans="1:9" ht="15.75" customHeight="1" x14ac:dyDescent="0.2">
      <c r="A1719" s="1">
        <v>52668</v>
      </c>
      <c r="B1719" s="1" t="s">
        <v>144</v>
      </c>
      <c r="C1719" s="1" t="s">
        <v>3933</v>
      </c>
      <c r="D1719" s="1" t="str">
        <f t="shared" si="6"/>
        <v>2</v>
      </c>
      <c r="E1719" s="1" t="s">
        <v>3934</v>
      </c>
      <c r="G1719" s="1">
        <f t="array" ref="G1719">IF(ISNUMBER(MATCH(52668,Camille!$A:$A,0)), IF(OR(INDEX(Camille!$D:$D,MATCH(52668,Camille!$A:$A,0))=1, INDEX(Camille!$D:$D,MATCH(52668,Camille!$A:$A,0))=2), INDEX(Camille!$D:$D,MATCH(52668,Camille!$A:$A,0)), 0), 0)</f>
        <v>0</v>
      </c>
      <c r="H1719" s="1">
        <f t="array" ref="H1719">IF(ISNUMBER(MATCH(52668,Telmo!$A:$A,0)), IF(OR(INDEX(Telmo!$D:$D,MATCH(52668,Telmo!$A:$A,0))=1, INDEX(Telmo!$D:$D,MATCH(52668,Telmo!$A:$A,0))=2), INDEX(Telmo!$D:$D,MATCH(52668,Telmo!$A:$A,0)), 0), 0)</f>
        <v>0</v>
      </c>
      <c r="I1719" s="1">
        <f t="array" ref="I1719">IF(ISNUMBER(MATCH(52668,Max!$A:$A,0)), IF(OR(INDEX(Max!$D:$D,MATCH(52668,Max!$A:$A,0))=1, INDEX(Max!$D:$D,MATCH(52668,Max!$A:$A,0))=2), INDEX(Max!$D:$D,MATCH(52668,Max!$A:$A,0)), 0), 0)</f>
        <v>2</v>
      </c>
    </row>
    <row r="1720" spans="1:9" ht="15.75" customHeight="1" x14ac:dyDescent="0.2">
      <c r="A1720" s="1">
        <v>26722</v>
      </c>
      <c r="B1720" s="1" t="s">
        <v>2797</v>
      </c>
      <c r="C1720" s="1" t="s">
        <v>3935</v>
      </c>
      <c r="D1720" s="1" t="str">
        <f t="shared" si="6"/>
        <v>1</v>
      </c>
      <c r="E1720" s="1" t="s">
        <v>3936</v>
      </c>
      <c r="G1720" s="1">
        <f t="array" ref="G1720">IF(ISNUMBER(MATCH(26722,Camille!$A:$A,0)), IF(OR(INDEX(Camille!$D:$D,MATCH(26722,Camille!$A:$A,0))=1, INDEX(Camille!$D:$D,MATCH(26722,Camille!$A:$A,0))=2), INDEX(Camille!$D:$D,MATCH(26722,Camille!$A:$A,0)), 0), 0)</f>
        <v>0</v>
      </c>
      <c r="H1720" s="1">
        <f t="array" ref="H1720">IF(ISNUMBER(MATCH(26722,Telmo!$A:$A,0)), IF(OR(INDEX(Telmo!$D:$D,MATCH(26722,Telmo!$A:$A,0))=1, INDEX(Telmo!$D:$D,MATCH(26722,Telmo!$A:$A,0))=2), INDEX(Telmo!$D:$D,MATCH(26722,Telmo!$A:$A,0)), 0), 0)</f>
        <v>0</v>
      </c>
      <c r="I1720" s="1">
        <f t="array" ref="I1720">IF(ISNUMBER(MATCH(26722,Max!$A:$A,0)), IF(OR(INDEX(Max!$D:$D,MATCH(26722,Max!$A:$A,0))=1, INDEX(Max!$D:$D,MATCH(26722,Max!$A:$A,0))=2), INDEX(Max!$D:$D,MATCH(26722,Max!$A:$A,0)), 0), 0)</f>
        <v>1</v>
      </c>
    </row>
    <row r="1721" spans="1:9" ht="15.75" customHeight="1" x14ac:dyDescent="0.2">
      <c r="A1721" s="1">
        <v>33372</v>
      </c>
      <c r="B1721" s="1" t="s">
        <v>3937</v>
      </c>
      <c r="C1721" s="1" t="s">
        <v>3938</v>
      </c>
      <c r="D1721" s="1" t="str">
        <f t="shared" si="6"/>
        <v>1</v>
      </c>
      <c r="E1721" s="1" t="s">
        <v>3939</v>
      </c>
      <c r="G1721" s="1">
        <f t="array" ref="G1721">IF(ISNUMBER(MATCH(33372,Camille!$A:$A,0)), IF(OR(INDEX(Camille!$D:$D,MATCH(33372,Camille!$A:$A,0))=1, INDEX(Camille!$D:$D,MATCH(33372,Camille!$A:$A,0))=2), INDEX(Camille!$D:$D,MATCH(33372,Camille!$A:$A,0)), 0), 0)</f>
        <v>0</v>
      </c>
      <c r="H1721" s="1">
        <f t="array" ref="H1721">IF(ISNUMBER(MATCH(33372,Telmo!$A:$A,0)), IF(OR(INDEX(Telmo!$D:$D,MATCH(33372,Telmo!$A:$A,0))=1, INDEX(Telmo!$D:$D,MATCH(33372,Telmo!$A:$A,0))=2), INDEX(Telmo!$D:$D,MATCH(33372,Telmo!$A:$A,0)), 0), 0)</f>
        <v>0</v>
      </c>
      <c r="I1721" s="1">
        <f t="array" ref="I1721">IF(ISNUMBER(MATCH(33372,Max!$A:$A,0)), IF(OR(INDEX(Max!$D:$D,MATCH(33372,Max!$A:$A,0))=1, INDEX(Max!$D:$D,MATCH(33372,Max!$A:$A,0))=2), INDEX(Max!$D:$D,MATCH(33372,Max!$A:$A,0)), 0), 0)</f>
        <v>1</v>
      </c>
    </row>
    <row r="1722" spans="1:9" ht="15.75" customHeight="1" x14ac:dyDescent="0.2">
      <c r="A1722" s="1">
        <v>23337</v>
      </c>
      <c r="B1722" s="1" t="s">
        <v>336</v>
      </c>
      <c r="C1722" s="1" t="s">
        <v>3940</v>
      </c>
      <c r="D1722" s="1" t="str">
        <f t="shared" si="6"/>
        <v>2</v>
      </c>
      <c r="E1722" s="1" t="s">
        <v>3941</v>
      </c>
      <c r="G1722" s="1">
        <f t="array" ref="G1722">IF(ISNUMBER(MATCH(23337,Camille!$A:$A,0)), IF(OR(INDEX(Camille!$D:$D,MATCH(23337,Camille!$A:$A,0))=1, INDEX(Camille!$D:$D,MATCH(23337,Camille!$A:$A,0))=2), INDEX(Camille!$D:$D,MATCH(23337,Camille!$A:$A,0)), 0), 0)</f>
        <v>0</v>
      </c>
      <c r="H1722" s="1">
        <f t="array" ref="H1722">IF(ISNUMBER(MATCH(23337,Telmo!$A:$A,0)), IF(OR(INDEX(Telmo!$D:$D,MATCH(23337,Telmo!$A:$A,0))=1, INDEX(Telmo!$D:$D,MATCH(23337,Telmo!$A:$A,0))=2), INDEX(Telmo!$D:$D,MATCH(23337,Telmo!$A:$A,0)), 0), 0)</f>
        <v>0</v>
      </c>
      <c r="I1722" s="1">
        <f t="array" ref="I1722">IF(ISNUMBER(MATCH(23337,Max!$A:$A,0)), IF(OR(INDEX(Max!$D:$D,MATCH(23337,Max!$A:$A,0))=1, INDEX(Max!$D:$D,MATCH(23337,Max!$A:$A,0))=2), INDEX(Max!$D:$D,MATCH(23337,Max!$A:$A,0)), 0), 0)</f>
        <v>2</v>
      </c>
    </row>
    <row r="1723" spans="1:9" ht="15.75" customHeight="1" x14ac:dyDescent="0.2">
      <c r="A1723" s="1">
        <v>68080</v>
      </c>
      <c r="B1723" s="1" t="s">
        <v>399</v>
      </c>
      <c r="C1723" s="1" t="s">
        <v>3942</v>
      </c>
      <c r="D1723" s="1" t="str">
        <f t="shared" si="6"/>
        <v>2</v>
      </c>
      <c r="E1723" s="1" t="s">
        <v>3943</v>
      </c>
      <c r="G1723" s="1">
        <f t="array" ref="G1723">IF(ISNUMBER(MATCH(68080,Camille!$A:$A,0)), IF(OR(INDEX(Camille!$D:$D,MATCH(68080,Camille!$A:$A,0))=1, INDEX(Camille!$D:$D,MATCH(68080,Camille!$A:$A,0))=2), INDEX(Camille!$D:$D,MATCH(68080,Camille!$A:$A,0)), 0), 0)</f>
        <v>0</v>
      </c>
      <c r="H1723" s="1">
        <f t="array" ref="H1723">IF(ISNUMBER(MATCH(68080,Telmo!$A:$A,0)), IF(OR(INDEX(Telmo!$D:$D,MATCH(68080,Telmo!$A:$A,0))=1, INDEX(Telmo!$D:$D,MATCH(68080,Telmo!$A:$A,0))=2), INDEX(Telmo!$D:$D,MATCH(68080,Telmo!$A:$A,0)), 0), 0)</f>
        <v>0</v>
      </c>
      <c r="I1723" s="1">
        <f t="array" ref="I1723">IF(ISNUMBER(MATCH(68080,Max!$A:$A,0)), IF(OR(INDEX(Max!$D:$D,MATCH(68080,Max!$A:$A,0))=1, INDEX(Max!$D:$D,MATCH(68080,Max!$A:$A,0))=2), INDEX(Max!$D:$D,MATCH(68080,Max!$A:$A,0)), 0), 0)</f>
        <v>2</v>
      </c>
    </row>
    <row r="1724" spans="1:9" ht="15.75" customHeight="1" x14ac:dyDescent="0.2">
      <c r="A1724" s="1">
        <v>25113</v>
      </c>
      <c r="B1724" s="1" t="s">
        <v>144</v>
      </c>
      <c r="C1724" s="1" t="s">
        <v>3944</v>
      </c>
      <c r="D1724" s="1" t="str">
        <f t="shared" si="6"/>
        <v>2</v>
      </c>
      <c r="E1724" s="1" t="s">
        <v>3945</v>
      </c>
      <c r="G1724" s="1">
        <f t="array" ref="G1724">IF(ISNUMBER(MATCH(25113,Camille!$A:$A,0)), IF(OR(INDEX(Camille!$D:$D,MATCH(25113,Camille!$A:$A,0))=1, INDEX(Camille!$D:$D,MATCH(25113,Camille!$A:$A,0))=2), INDEX(Camille!$D:$D,MATCH(25113,Camille!$A:$A,0)), 0), 0)</f>
        <v>0</v>
      </c>
      <c r="H1724" s="1">
        <f t="array" ref="H1724">IF(ISNUMBER(MATCH(25113,Telmo!$A:$A,0)), IF(OR(INDEX(Telmo!$D:$D,MATCH(25113,Telmo!$A:$A,0))=1, INDEX(Telmo!$D:$D,MATCH(25113,Telmo!$A:$A,0))=2), INDEX(Telmo!$D:$D,MATCH(25113,Telmo!$A:$A,0)), 0), 0)</f>
        <v>0</v>
      </c>
      <c r="I1724" s="1">
        <f t="array" ref="I1724">IF(ISNUMBER(MATCH(25113,Max!$A:$A,0)), IF(OR(INDEX(Max!$D:$D,MATCH(25113,Max!$A:$A,0))=1, INDEX(Max!$D:$D,MATCH(25113,Max!$A:$A,0))=2), INDEX(Max!$D:$D,MATCH(25113,Max!$A:$A,0)), 0), 0)</f>
        <v>2</v>
      </c>
    </row>
    <row r="1725" spans="1:9" ht="15.75" customHeight="1" x14ac:dyDescent="0.2">
      <c r="A1725" s="1">
        <v>7668</v>
      </c>
      <c r="B1725" s="1" t="s">
        <v>3946</v>
      </c>
      <c r="C1725" s="1" t="s">
        <v>3947</v>
      </c>
      <c r="D1725" s="1" t="str">
        <f t="shared" si="6"/>
        <v>2</v>
      </c>
      <c r="E1725" s="1" t="s">
        <v>3948</v>
      </c>
      <c r="G1725" s="1">
        <f t="array" ref="G1725">IF(ISNUMBER(MATCH(7668,Camille!$A:$A,0)), IF(OR(INDEX(Camille!$D:$D,MATCH(7668,Camille!$A:$A,0))=1, INDEX(Camille!$D:$D,MATCH(7668,Camille!$A:$A,0))=2), INDEX(Camille!$D:$D,MATCH(7668,Camille!$A:$A,0)), 0), 0)</f>
        <v>0</v>
      </c>
      <c r="H1725" s="1">
        <f t="array" ref="H1725">IF(ISNUMBER(MATCH(7668,Telmo!$A:$A,0)), IF(OR(INDEX(Telmo!$D:$D,MATCH(7668,Telmo!$A:$A,0))=1, INDEX(Telmo!$D:$D,MATCH(7668,Telmo!$A:$A,0))=2), INDEX(Telmo!$D:$D,MATCH(7668,Telmo!$A:$A,0)), 0), 0)</f>
        <v>0</v>
      </c>
      <c r="I1725" s="1">
        <f t="array" ref="I1725">IF(ISNUMBER(MATCH(7668,Max!$A:$A,0)), IF(OR(INDEX(Max!$D:$D,MATCH(7668,Max!$A:$A,0))=1, INDEX(Max!$D:$D,MATCH(7668,Max!$A:$A,0))=2), INDEX(Max!$D:$D,MATCH(7668,Max!$A:$A,0)), 0), 0)</f>
        <v>2</v>
      </c>
    </row>
    <row r="1726" spans="1:9" ht="15.75" customHeight="1" x14ac:dyDescent="0.2">
      <c r="A1726" s="1">
        <v>9449</v>
      </c>
      <c r="B1726" s="1" t="s">
        <v>336</v>
      </c>
      <c r="C1726" s="1" t="s">
        <v>3949</v>
      </c>
      <c r="D1726" s="1" t="str">
        <f t="shared" si="6"/>
        <v>2</v>
      </c>
      <c r="E1726" s="1" t="s">
        <v>3950</v>
      </c>
      <c r="G1726" s="1">
        <f t="array" ref="G1726">IF(ISNUMBER(MATCH(9449,Camille!$A:$A,0)), IF(OR(INDEX(Camille!$D:$D,MATCH(9449,Camille!$A:$A,0))=1, INDEX(Camille!$D:$D,MATCH(9449,Camille!$A:$A,0))=2), INDEX(Camille!$D:$D,MATCH(9449,Camille!$A:$A,0)), 0), 0)</f>
        <v>0</v>
      </c>
      <c r="H1726" s="1">
        <f t="array" ref="H1726">IF(ISNUMBER(MATCH(9449,Telmo!$A:$A,0)), IF(OR(INDEX(Telmo!$D:$D,MATCH(9449,Telmo!$A:$A,0))=1, INDEX(Telmo!$D:$D,MATCH(9449,Telmo!$A:$A,0))=2), INDEX(Telmo!$D:$D,MATCH(9449,Telmo!$A:$A,0)), 0), 0)</f>
        <v>0</v>
      </c>
      <c r="I1726" s="1">
        <f t="array" ref="I1726">IF(ISNUMBER(MATCH(9449,Max!$A:$A,0)), IF(OR(INDEX(Max!$D:$D,MATCH(9449,Max!$A:$A,0))=1, INDEX(Max!$D:$D,MATCH(9449,Max!$A:$A,0))=2), INDEX(Max!$D:$D,MATCH(9449,Max!$A:$A,0)), 0), 0)</f>
        <v>2</v>
      </c>
    </row>
    <row r="1727" spans="1:9" ht="15.75" customHeight="1" x14ac:dyDescent="0.2">
      <c r="A1727" s="1">
        <v>61782</v>
      </c>
      <c r="B1727" s="1" t="s">
        <v>3951</v>
      </c>
      <c r="C1727" s="1" t="s">
        <v>3952</v>
      </c>
      <c r="D1727" s="1" t="str">
        <f t="shared" si="6"/>
        <v>2</v>
      </c>
      <c r="E1727" s="1" t="s">
        <v>3953</v>
      </c>
      <c r="G1727" s="1">
        <f t="array" ref="G1727">IF(ISNUMBER(MATCH(61782,Camille!$A:$A,0)), IF(OR(INDEX(Camille!$D:$D,MATCH(61782,Camille!$A:$A,0))=1, INDEX(Camille!$D:$D,MATCH(61782,Camille!$A:$A,0))=2), INDEX(Camille!$D:$D,MATCH(61782,Camille!$A:$A,0)), 0), 0)</f>
        <v>0</v>
      </c>
      <c r="H1727" s="1">
        <f t="array" ref="H1727">IF(ISNUMBER(MATCH(61782,Telmo!$A:$A,0)), IF(OR(INDEX(Telmo!$D:$D,MATCH(61782,Telmo!$A:$A,0))=1, INDEX(Telmo!$D:$D,MATCH(61782,Telmo!$A:$A,0))=2), INDEX(Telmo!$D:$D,MATCH(61782,Telmo!$A:$A,0)), 0), 0)</f>
        <v>0</v>
      </c>
      <c r="I1727" s="1">
        <f t="array" ref="I1727">IF(ISNUMBER(MATCH(61782,Max!$A:$A,0)), IF(OR(INDEX(Max!$D:$D,MATCH(61782,Max!$A:$A,0))=1, INDEX(Max!$D:$D,MATCH(61782,Max!$A:$A,0))=2), INDEX(Max!$D:$D,MATCH(61782,Max!$A:$A,0)), 0), 0)</f>
        <v>2</v>
      </c>
    </row>
    <row r="1728" spans="1:9" ht="15.75" customHeight="1" x14ac:dyDescent="0.2">
      <c r="A1728" s="1">
        <v>42042</v>
      </c>
      <c r="B1728" s="1" t="s">
        <v>259</v>
      </c>
      <c r="C1728" s="1" t="s">
        <v>3954</v>
      </c>
      <c r="D1728" s="1" t="str">
        <f t="shared" si="6"/>
        <v>2</v>
      </c>
      <c r="E1728" s="1" t="s">
        <v>3955</v>
      </c>
      <c r="G1728" s="1">
        <f t="array" ref="G1728">IF(ISNUMBER(MATCH(42042,Camille!$A:$A,0)), IF(OR(INDEX(Camille!$D:$D,MATCH(42042,Camille!$A:$A,0))=1, INDEX(Camille!$D:$D,MATCH(42042,Camille!$A:$A,0))=2), INDEX(Camille!$D:$D,MATCH(42042,Camille!$A:$A,0)), 0), 0)</f>
        <v>0</v>
      </c>
      <c r="H1728" s="1">
        <f t="array" ref="H1728">IF(ISNUMBER(MATCH(42042,Telmo!$A:$A,0)), IF(OR(INDEX(Telmo!$D:$D,MATCH(42042,Telmo!$A:$A,0))=1, INDEX(Telmo!$D:$D,MATCH(42042,Telmo!$A:$A,0))=2), INDEX(Telmo!$D:$D,MATCH(42042,Telmo!$A:$A,0)), 0), 0)</f>
        <v>0</v>
      </c>
      <c r="I1728" s="1">
        <f t="array" ref="I1728">IF(ISNUMBER(MATCH(42042,Max!$A:$A,0)), IF(OR(INDEX(Max!$D:$D,MATCH(42042,Max!$A:$A,0))=1, INDEX(Max!$D:$D,MATCH(42042,Max!$A:$A,0))=2), INDEX(Max!$D:$D,MATCH(42042,Max!$A:$A,0)), 0), 0)</f>
        <v>2</v>
      </c>
    </row>
    <row r="1729" spans="1:9" ht="15.75" customHeight="1" x14ac:dyDescent="0.2">
      <c r="A1729" s="1">
        <v>41440</v>
      </c>
      <c r="B1729" s="1" t="s">
        <v>863</v>
      </c>
      <c r="C1729" s="1" t="s">
        <v>3956</v>
      </c>
      <c r="D1729" s="1" t="str">
        <f t="shared" si="6"/>
        <v>1</v>
      </c>
      <c r="E1729" s="1" t="s">
        <v>3957</v>
      </c>
      <c r="G1729" s="1">
        <f t="array" ref="G1729">IF(ISNUMBER(MATCH(41440,Camille!$A:$A,0)), IF(OR(INDEX(Camille!$D:$D,MATCH(41440,Camille!$A:$A,0))=1, INDEX(Camille!$D:$D,MATCH(41440,Camille!$A:$A,0))=2), INDEX(Camille!$D:$D,MATCH(41440,Camille!$A:$A,0)), 0), 0)</f>
        <v>0</v>
      </c>
      <c r="H1729" s="1">
        <f t="array" ref="H1729">IF(ISNUMBER(MATCH(41440,Telmo!$A:$A,0)), IF(OR(INDEX(Telmo!$D:$D,MATCH(41440,Telmo!$A:$A,0))=1, INDEX(Telmo!$D:$D,MATCH(41440,Telmo!$A:$A,0))=2), INDEX(Telmo!$D:$D,MATCH(41440,Telmo!$A:$A,0)), 0), 0)</f>
        <v>0</v>
      </c>
      <c r="I1729" s="1">
        <f t="array" ref="I1729">IF(ISNUMBER(MATCH(41440,Max!$A:$A,0)), IF(OR(INDEX(Max!$D:$D,MATCH(41440,Max!$A:$A,0))=1, INDEX(Max!$D:$D,MATCH(41440,Max!$A:$A,0))=2), INDEX(Max!$D:$D,MATCH(41440,Max!$A:$A,0)), 0), 0)</f>
        <v>1</v>
      </c>
    </row>
    <row r="1730" spans="1:9" ht="15.75" customHeight="1" x14ac:dyDescent="0.2">
      <c r="A1730" s="1">
        <v>19620</v>
      </c>
      <c r="B1730" s="1" t="s">
        <v>430</v>
      </c>
      <c r="C1730" s="1" t="s">
        <v>3958</v>
      </c>
      <c r="D1730" s="1" t="str">
        <f t="shared" si="6"/>
        <v>2</v>
      </c>
      <c r="E1730" s="1" t="s">
        <v>3959</v>
      </c>
      <c r="G1730" s="1">
        <f t="array" ref="G1730">IF(ISNUMBER(MATCH(19620,Camille!$A:$A,0)), IF(OR(INDEX(Camille!$D:$D,MATCH(19620,Camille!$A:$A,0))=1, INDEX(Camille!$D:$D,MATCH(19620,Camille!$A:$A,0))=2), INDEX(Camille!$D:$D,MATCH(19620,Camille!$A:$A,0)), 0), 0)</f>
        <v>0</v>
      </c>
      <c r="H1730" s="1">
        <f t="array" ref="H1730">IF(ISNUMBER(MATCH(19620,Telmo!$A:$A,0)), IF(OR(INDEX(Telmo!$D:$D,MATCH(19620,Telmo!$A:$A,0))=1, INDEX(Telmo!$D:$D,MATCH(19620,Telmo!$A:$A,0))=2), INDEX(Telmo!$D:$D,MATCH(19620,Telmo!$A:$A,0)), 0), 0)</f>
        <v>0</v>
      </c>
      <c r="I1730" s="1">
        <f t="array" ref="I1730">IF(ISNUMBER(MATCH(19620,Max!$A:$A,0)), IF(OR(INDEX(Max!$D:$D,MATCH(19620,Max!$A:$A,0))=1, INDEX(Max!$D:$D,MATCH(19620,Max!$A:$A,0))=2), INDEX(Max!$D:$D,MATCH(19620,Max!$A:$A,0)), 0), 0)</f>
        <v>2</v>
      </c>
    </row>
    <row r="1731" spans="1:9" ht="15.75" customHeight="1" x14ac:dyDescent="0.2">
      <c r="A1731" s="1">
        <v>12807</v>
      </c>
      <c r="B1731" s="1" t="s">
        <v>3960</v>
      </c>
      <c r="C1731" s="1" t="s">
        <v>3961</v>
      </c>
      <c r="D1731" s="1" t="str">
        <f t="shared" si="6"/>
        <v>2</v>
      </c>
      <c r="E1731" s="1" t="s">
        <v>3962</v>
      </c>
      <c r="G1731" s="1">
        <f t="array" ref="G1731">IF(ISNUMBER(MATCH(12807,Camille!$A:$A,0)), IF(OR(INDEX(Camille!$D:$D,MATCH(12807,Camille!$A:$A,0))=1, INDEX(Camille!$D:$D,MATCH(12807,Camille!$A:$A,0))=2), INDEX(Camille!$D:$D,MATCH(12807,Camille!$A:$A,0)), 0), 0)</f>
        <v>0</v>
      </c>
      <c r="H1731" s="1">
        <f t="array" ref="H1731">IF(ISNUMBER(MATCH(12807,Telmo!$A:$A,0)), IF(OR(INDEX(Telmo!$D:$D,MATCH(12807,Telmo!$A:$A,0))=1, INDEX(Telmo!$D:$D,MATCH(12807,Telmo!$A:$A,0))=2), INDEX(Telmo!$D:$D,MATCH(12807,Telmo!$A:$A,0)), 0), 0)</f>
        <v>0</v>
      </c>
      <c r="I1731" s="1">
        <f t="array" ref="I1731">IF(ISNUMBER(MATCH(12807,Max!$A:$A,0)), IF(OR(INDEX(Max!$D:$D,MATCH(12807,Max!$A:$A,0))=1, INDEX(Max!$D:$D,MATCH(12807,Max!$A:$A,0))=2), INDEX(Max!$D:$D,MATCH(12807,Max!$A:$A,0)), 0), 0)</f>
        <v>2</v>
      </c>
    </row>
    <row r="1732" spans="1:9" ht="15.75" customHeight="1" x14ac:dyDescent="0.2">
      <c r="A1732" s="1">
        <v>68699</v>
      </c>
      <c r="B1732" s="1" t="s">
        <v>3393</v>
      </c>
      <c r="C1732" s="1" t="s">
        <v>3963</v>
      </c>
      <c r="D1732" s="1" t="str">
        <f t="shared" si="6"/>
        <v>2</v>
      </c>
      <c r="E1732" s="1" t="s">
        <v>3964</v>
      </c>
      <c r="G1732" s="1">
        <f t="array" ref="G1732">IF(ISNUMBER(MATCH(68699,Camille!$A:$A,0)), IF(OR(INDEX(Camille!$D:$D,MATCH(68699,Camille!$A:$A,0))=1, INDEX(Camille!$D:$D,MATCH(68699,Camille!$A:$A,0))=2), INDEX(Camille!$D:$D,MATCH(68699,Camille!$A:$A,0)), 0), 0)</f>
        <v>0</v>
      </c>
      <c r="H1732" s="1">
        <f t="array" ref="H1732">IF(ISNUMBER(MATCH(68699,Telmo!$A:$A,0)), IF(OR(INDEX(Telmo!$D:$D,MATCH(68699,Telmo!$A:$A,0))=1, INDEX(Telmo!$D:$D,MATCH(68699,Telmo!$A:$A,0))=2), INDEX(Telmo!$D:$D,MATCH(68699,Telmo!$A:$A,0)), 0), 0)</f>
        <v>0</v>
      </c>
      <c r="I1732" s="1">
        <f t="array" ref="I1732">IF(ISNUMBER(MATCH(68699,Max!$A:$A,0)), IF(OR(INDEX(Max!$D:$D,MATCH(68699,Max!$A:$A,0))=1, INDEX(Max!$D:$D,MATCH(68699,Max!$A:$A,0))=2), INDEX(Max!$D:$D,MATCH(68699,Max!$A:$A,0)), 0), 0)</f>
        <v>2</v>
      </c>
    </row>
    <row r="1733" spans="1:9" ht="15.75" customHeight="1" x14ac:dyDescent="0.2">
      <c r="A1733" s="1">
        <v>27329</v>
      </c>
      <c r="B1733" s="1" t="s">
        <v>1669</v>
      </c>
      <c r="C1733" s="1" t="s">
        <v>3965</v>
      </c>
      <c r="D1733" s="1" t="str">
        <f t="shared" si="6"/>
        <v>2</v>
      </c>
      <c r="E1733" s="1" t="s">
        <v>3966</v>
      </c>
      <c r="G1733" s="1">
        <f t="array" ref="G1733">IF(ISNUMBER(MATCH(27329,Camille!$A:$A,0)), IF(OR(INDEX(Camille!$D:$D,MATCH(27329,Camille!$A:$A,0))=1, INDEX(Camille!$D:$D,MATCH(27329,Camille!$A:$A,0))=2), INDEX(Camille!$D:$D,MATCH(27329,Camille!$A:$A,0)), 0), 0)</f>
        <v>0</v>
      </c>
      <c r="H1733" s="1">
        <f t="array" ref="H1733">IF(ISNUMBER(MATCH(27329,Telmo!$A:$A,0)), IF(OR(INDEX(Telmo!$D:$D,MATCH(27329,Telmo!$A:$A,0))=1, INDEX(Telmo!$D:$D,MATCH(27329,Telmo!$A:$A,0))=2), INDEX(Telmo!$D:$D,MATCH(27329,Telmo!$A:$A,0)), 0), 0)</f>
        <v>0</v>
      </c>
      <c r="I1733" s="1">
        <f t="array" ref="I1733">IF(ISNUMBER(MATCH(27329,Max!$A:$A,0)), IF(OR(INDEX(Max!$D:$D,MATCH(27329,Max!$A:$A,0))=1, INDEX(Max!$D:$D,MATCH(27329,Max!$A:$A,0))=2), INDEX(Max!$D:$D,MATCH(27329,Max!$A:$A,0)), 0), 0)</f>
        <v>2</v>
      </c>
    </row>
    <row r="1734" spans="1:9" ht="15.75" customHeight="1" x14ac:dyDescent="0.2">
      <c r="A1734" s="1">
        <v>32476</v>
      </c>
      <c r="B1734" s="1" t="s">
        <v>301</v>
      </c>
      <c r="C1734" s="1" t="s">
        <v>3967</v>
      </c>
      <c r="D1734" s="1" t="str">
        <f t="shared" si="6"/>
        <v>1</v>
      </c>
      <c r="E1734" s="1" t="s">
        <v>3968</v>
      </c>
      <c r="G1734" s="1">
        <f t="array" ref="G1734">IF(ISNUMBER(MATCH(32476,Camille!$A:$A,0)), IF(OR(INDEX(Camille!$D:$D,MATCH(32476,Camille!$A:$A,0))=1, INDEX(Camille!$D:$D,MATCH(32476,Camille!$A:$A,0))=2), INDEX(Camille!$D:$D,MATCH(32476,Camille!$A:$A,0)), 0), 0)</f>
        <v>0</v>
      </c>
      <c r="H1734" s="1">
        <f t="array" ref="H1734">IF(ISNUMBER(MATCH(32476,Telmo!$A:$A,0)), IF(OR(INDEX(Telmo!$D:$D,MATCH(32476,Telmo!$A:$A,0))=1, INDEX(Telmo!$D:$D,MATCH(32476,Telmo!$A:$A,0))=2), INDEX(Telmo!$D:$D,MATCH(32476,Telmo!$A:$A,0)), 0), 0)</f>
        <v>0</v>
      </c>
      <c r="I1734" s="1">
        <f t="array" ref="I1734">IF(ISNUMBER(MATCH(32476,Max!$A:$A,0)), IF(OR(INDEX(Max!$D:$D,MATCH(32476,Max!$A:$A,0))=1, INDEX(Max!$D:$D,MATCH(32476,Max!$A:$A,0))=2), INDEX(Max!$D:$D,MATCH(32476,Max!$A:$A,0)), 0), 0)</f>
        <v>1</v>
      </c>
    </row>
    <row r="1735" spans="1:9" ht="15.75" customHeight="1" x14ac:dyDescent="0.2">
      <c r="A1735" s="1">
        <v>85</v>
      </c>
      <c r="B1735" s="1" t="s">
        <v>172</v>
      </c>
      <c r="C1735" s="1" t="s">
        <v>3969</v>
      </c>
      <c r="D1735" s="1" t="str">
        <f t="shared" si="6"/>
        <v>2</v>
      </c>
      <c r="E1735" s="1" t="s">
        <v>3970</v>
      </c>
      <c r="G1735" s="1">
        <f t="array" ref="G1735">IF(ISNUMBER(MATCH(85,Camille!$A:$A,0)), IF(OR(INDEX(Camille!$D:$D,MATCH(85,Camille!$A:$A,0))=1, INDEX(Camille!$D:$D,MATCH(85,Camille!$A:$A,0))=2), INDEX(Camille!$D:$D,MATCH(85,Camille!$A:$A,0)), 0), 0)</f>
        <v>0</v>
      </c>
      <c r="H1735" s="1">
        <f t="array" ref="H1735">IF(ISNUMBER(MATCH(85,Telmo!$A:$A,0)), IF(OR(INDEX(Telmo!$D:$D,MATCH(85,Telmo!$A:$A,0))=1, INDEX(Telmo!$D:$D,MATCH(85,Telmo!$A:$A,0))=2), INDEX(Telmo!$D:$D,MATCH(85,Telmo!$A:$A,0)), 0), 0)</f>
        <v>0</v>
      </c>
      <c r="I1735" s="1">
        <f t="array" ref="I1735">IF(ISNUMBER(MATCH(85,Max!$A:$A,0)), IF(OR(INDEX(Max!$D:$D,MATCH(85,Max!$A:$A,0))=1, INDEX(Max!$D:$D,MATCH(85,Max!$A:$A,0))=2), INDEX(Max!$D:$D,MATCH(85,Max!$A:$A,0)), 0), 0)</f>
        <v>2</v>
      </c>
    </row>
    <row r="1736" spans="1:9" ht="15.75" customHeight="1" x14ac:dyDescent="0.2">
      <c r="A1736" s="1">
        <v>45421</v>
      </c>
      <c r="B1736" s="1" t="s">
        <v>129</v>
      </c>
      <c r="C1736" s="1" t="s">
        <v>3971</v>
      </c>
      <c r="D1736" s="1" t="str">
        <f t="shared" si="6"/>
        <v>2</v>
      </c>
      <c r="E1736" s="1" t="s">
        <v>3972</v>
      </c>
      <c r="G1736" s="1">
        <f t="array" ref="G1736">IF(ISNUMBER(MATCH(45421,Camille!$A:$A,0)), IF(OR(INDEX(Camille!$D:$D,MATCH(45421,Camille!$A:$A,0))=1, INDEX(Camille!$D:$D,MATCH(45421,Camille!$A:$A,0))=2), INDEX(Camille!$D:$D,MATCH(45421,Camille!$A:$A,0)), 0), 0)</f>
        <v>0</v>
      </c>
      <c r="H1736" s="1">
        <f t="array" ref="H1736">IF(ISNUMBER(MATCH(45421,Telmo!$A:$A,0)), IF(OR(INDEX(Telmo!$D:$D,MATCH(45421,Telmo!$A:$A,0))=1, INDEX(Telmo!$D:$D,MATCH(45421,Telmo!$A:$A,0))=2), INDEX(Telmo!$D:$D,MATCH(45421,Telmo!$A:$A,0)), 0), 0)</f>
        <v>0</v>
      </c>
      <c r="I1736" s="1">
        <f t="array" ref="I1736">IF(ISNUMBER(MATCH(45421,Max!$A:$A,0)), IF(OR(INDEX(Max!$D:$D,MATCH(45421,Max!$A:$A,0))=1, INDEX(Max!$D:$D,MATCH(45421,Max!$A:$A,0))=2), INDEX(Max!$D:$D,MATCH(45421,Max!$A:$A,0)), 0), 0)</f>
        <v>2</v>
      </c>
    </row>
    <row r="1737" spans="1:9" ht="15.75" customHeight="1" x14ac:dyDescent="0.2">
      <c r="A1737" s="1">
        <v>69858</v>
      </c>
      <c r="B1737" s="1" t="s">
        <v>991</v>
      </c>
      <c r="C1737" s="1" t="s">
        <v>3973</v>
      </c>
      <c r="D1737" s="1" t="str">
        <f t="shared" si="6"/>
        <v>2</v>
      </c>
      <c r="E1737" s="1" t="s">
        <v>3974</v>
      </c>
      <c r="G1737" s="1">
        <f t="array" ref="G1737">IF(ISNUMBER(MATCH(69858,Camille!$A:$A,0)), IF(OR(INDEX(Camille!$D:$D,MATCH(69858,Camille!$A:$A,0))=1, INDEX(Camille!$D:$D,MATCH(69858,Camille!$A:$A,0))=2), INDEX(Camille!$D:$D,MATCH(69858,Camille!$A:$A,0)), 0), 0)</f>
        <v>0</v>
      </c>
      <c r="H1737" s="1">
        <f t="array" ref="H1737">IF(ISNUMBER(MATCH(69858,Telmo!$A:$A,0)), IF(OR(INDEX(Telmo!$D:$D,MATCH(69858,Telmo!$A:$A,0))=1, INDEX(Telmo!$D:$D,MATCH(69858,Telmo!$A:$A,0))=2), INDEX(Telmo!$D:$D,MATCH(69858,Telmo!$A:$A,0)), 0), 0)</f>
        <v>0</v>
      </c>
      <c r="I1737" s="1">
        <f t="array" ref="I1737">IF(ISNUMBER(MATCH(69858,Max!$A:$A,0)), IF(OR(INDEX(Max!$D:$D,MATCH(69858,Max!$A:$A,0))=1, INDEX(Max!$D:$D,MATCH(69858,Max!$A:$A,0))=2), INDEX(Max!$D:$D,MATCH(69858,Max!$A:$A,0)), 0), 0)</f>
        <v>2</v>
      </c>
    </row>
    <row r="1738" spans="1:9" ht="15.75" customHeight="1" x14ac:dyDescent="0.2">
      <c r="A1738" s="1">
        <v>6028</v>
      </c>
      <c r="B1738" s="1" t="s">
        <v>215</v>
      </c>
      <c r="C1738" s="1" t="s">
        <v>3975</v>
      </c>
      <c r="D1738" s="1" t="str">
        <f t="shared" si="6"/>
        <v>2</v>
      </c>
      <c r="E1738" s="1" t="s">
        <v>3976</v>
      </c>
      <c r="G1738" s="1">
        <f t="array" ref="G1738">IF(ISNUMBER(MATCH(6028,Camille!$A:$A,0)), IF(OR(INDEX(Camille!$D:$D,MATCH(6028,Camille!$A:$A,0))=1, INDEX(Camille!$D:$D,MATCH(6028,Camille!$A:$A,0))=2), INDEX(Camille!$D:$D,MATCH(6028,Camille!$A:$A,0)), 0), 0)</f>
        <v>0</v>
      </c>
      <c r="H1738" s="1">
        <f t="array" ref="H1738">IF(ISNUMBER(MATCH(6028,Telmo!$A:$A,0)), IF(OR(INDEX(Telmo!$D:$D,MATCH(6028,Telmo!$A:$A,0))=1, INDEX(Telmo!$D:$D,MATCH(6028,Telmo!$A:$A,0))=2), INDEX(Telmo!$D:$D,MATCH(6028,Telmo!$A:$A,0)), 0), 0)</f>
        <v>0</v>
      </c>
      <c r="I1738" s="1">
        <f t="array" ref="I1738">IF(ISNUMBER(MATCH(6028,Max!$A:$A,0)), IF(OR(INDEX(Max!$D:$D,MATCH(6028,Max!$A:$A,0))=1, INDEX(Max!$D:$D,MATCH(6028,Max!$A:$A,0))=2), INDEX(Max!$D:$D,MATCH(6028,Max!$A:$A,0)), 0), 0)</f>
        <v>2</v>
      </c>
    </row>
    <row r="1739" spans="1:9" ht="15.75" customHeight="1" x14ac:dyDescent="0.2">
      <c r="A1739" s="1">
        <v>45783</v>
      </c>
      <c r="B1739" s="1" t="s">
        <v>1347</v>
      </c>
      <c r="C1739" s="1" t="s">
        <v>3977</v>
      </c>
      <c r="D1739" s="1" t="str">
        <f t="shared" si="6"/>
        <v>2</v>
      </c>
      <c r="E1739" s="1" t="s">
        <v>3978</v>
      </c>
      <c r="G1739" s="1">
        <f t="array" ref="G1739">IF(ISNUMBER(MATCH(45783,Camille!$A:$A,0)), IF(OR(INDEX(Camille!$D:$D,MATCH(45783,Camille!$A:$A,0))=1, INDEX(Camille!$D:$D,MATCH(45783,Camille!$A:$A,0))=2), INDEX(Camille!$D:$D,MATCH(45783,Camille!$A:$A,0)), 0), 0)</f>
        <v>0</v>
      </c>
      <c r="H1739" s="1">
        <f t="array" ref="H1739">IF(ISNUMBER(MATCH(45783,Telmo!$A:$A,0)), IF(OR(INDEX(Telmo!$D:$D,MATCH(45783,Telmo!$A:$A,0))=1, INDEX(Telmo!$D:$D,MATCH(45783,Telmo!$A:$A,0))=2), INDEX(Telmo!$D:$D,MATCH(45783,Telmo!$A:$A,0)), 0), 0)</f>
        <v>0</v>
      </c>
      <c r="I1739" s="1">
        <f t="array" ref="I1739">IF(ISNUMBER(MATCH(45783,Max!$A:$A,0)), IF(OR(INDEX(Max!$D:$D,MATCH(45783,Max!$A:$A,0))=1, INDEX(Max!$D:$D,MATCH(45783,Max!$A:$A,0))=2), INDEX(Max!$D:$D,MATCH(45783,Max!$A:$A,0)), 0), 0)</f>
        <v>2</v>
      </c>
    </row>
    <row r="1740" spans="1:9" ht="15.75" customHeight="1" x14ac:dyDescent="0.2">
      <c r="A1740" s="1">
        <v>3298</v>
      </c>
      <c r="B1740" s="1" t="s">
        <v>17</v>
      </c>
      <c r="C1740" s="1" t="s">
        <v>3979</v>
      </c>
      <c r="D1740" s="1" t="str">
        <f t="shared" si="6"/>
        <v>2</v>
      </c>
      <c r="E1740" s="1" t="s">
        <v>3980</v>
      </c>
      <c r="G1740" s="1">
        <f t="array" ref="G1740">IF(ISNUMBER(MATCH(3298,Camille!$A:$A,0)), IF(OR(INDEX(Camille!$D:$D,MATCH(3298,Camille!$A:$A,0))=1, INDEX(Camille!$D:$D,MATCH(3298,Camille!$A:$A,0))=2), INDEX(Camille!$D:$D,MATCH(3298,Camille!$A:$A,0)), 0), 0)</f>
        <v>0</v>
      </c>
      <c r="H1740" s="1">
        <f t="array" ref="H1740">IF(ISNUMBER(MATCH(3298,Telmo!$A:$A,0)), IF(OR(INDEX(Telmo!$D:$D,MATCH(3298,Telmo!$A:$A,0))=1, INDEX(Telmo!$D:$D,MATCH(3298,Telmo!$A:$A,0))=2), INDEX(Telmo!$D:$D,MATCH(3298,Telmo!$A:$A,0)), 0), 0)</f>
        <v>0</v>
      </c>
      <c r="I1740" s="1">
        <f t="array" ref="I1740">IF(ISNUMBER(MATCH(3298,Max!$A:$A,0)), IF(OR(INDEX(Max!$D:$D,MATCH(3298,Max!$A:$A,0))=1, INDEX(Max!$D:$D,MATCH(3298,Max!$A:$A,0))=2), INDEX(Max!$D:$D,MATCH(3298,Max!$A:$A,0)), 0), 0)</f>
        <v>2</v>
      </c>
    </row>
    <row r="1741" spans="1:9" ht="15.75" customHeight="1" x14ac:dyDescent="0.2">
      <c r="A1741" s="1">
        <v>21820</v>
      </c>
      <c r="B1741" s="1" t="s">
        <v>3097</v>
      </c>
      <c r="C1741" s="1" t="s">
        <v>3981</v>
      </c>
      <c r="D1741" s="1" t="str">
        <f t="shared" si="6"/>
        <v>2</v>
      </c>
      <c r="E1741" s="1" t="s">
        <v>3982</v>
      </c>
      <c r="G1741" s="1">
        <f t="array" ref="G1741">IF(ISNUMBER(MATCH(21820,Camille!$A:$A,0)), IF(OR(INDEX(Camille!$D:$D,MATCH(21820,Camille!$A:$A,0))=1, INDEX(Camille!$D:$D,MATCH(21820,Camille!$A:$A,0))=2), INDEX(Camille!$D:$D,MATCH(21820,Camille!$A:$A,0)), 0), 0)</f>
        <v>0</v>
      </c>
      <c r="H1741" s="1">
        <f t="array" ref="H1741">IF(ISNUMBER(MATCH(21820,Telmo!$A:$A,0)), IF(OR(INDEX(Telmo!$D:$D,MATCH(21820,Telmo!$A:$A,0))=1, INDEX(Telmo!$D:$D,MATCH(21820,Telmo!$A:$A,0))=2), INDEX(Telmo!$D:$D,MATCH(21820,Telmo!$A:$A,0)), 0), 0)</f>
        <v>0</v>
      </c>
      <c r="I1741" s="1">
        <f t="array" ref="I1741">IF(ISNUMBER(MATCH(21820,Max!$A:$A,0)), IF(OR(INDEX(Max!$D:$D,MATCH(21820,Max!$A:$A,0))=1, INDEX(Max!$D:$D,MATCH(21820,Max!$A:$A,0))=2), INDEX(Max!$D:$D,MATCH(21820,Max!$A:$A,0)), 0), 0)</f>
        <v>2</v>
      </c>
    </row>
    <row r="1742" spans="1:9" ht="15.75" customHeight="1" x14ac:dyDescent="0.2">
      <c r="A1742" s="1">
        <v>1543</v>
      </c>
      <c r="B1742" s="1" t="s">
        <v>906</v>
      </c>
      <c r="C1742" s="1" t="s">
        <v>3983</v>
      </c>
      <c r="D1742" s="1" t="str">
        <f t="shared" si="6"/>
        <v>2</v>
      </c>
      <c r="E1742" s="1" t="s">
        <v>3984</v>
      </c>
      <c r="G1742" s="1">
        <f t="array" ref="G1742">IF(ISNUMBER(MATCH(1543,Camille!$A:$A,0)), IF(OR(INDEX(Camille!$D:$D,MATCH(1543,Camille!$A:$A,0))=1, INDEX(Camille!$D:$D,MATCH(1543,Camille!$A:$A,0))=2), INDEX(Camille!$D:$D,MATCH(1543,Camille!$A:$A,0)), 0), 0)</f>
        <v>0</v>
      </c>
      <c r="H1742" s="1">
        <f t="array" ref="H1742">IF(ISNUMBER(MATCH(1543,Telmo!$A:$A,0)), IF(OR(INDEX(Telmo!$D:$D,MATCH(1543,Telmo!$A:$A,0))=1, INDEX(Telmo!$D:$D,MATCH(1543,Telmo!$A:$A,0))=2), INDEX(Telmo!$D:$D,MATCH(1543,Telmo!$A:$A,0)), 0), 0)</f>
        <v>0</v>
      </c>
      <c r="I1742" s="1">
        <f t="array" ref="I1742">IF(ISNUMBER(MATCH(1543,Max!$A:$A,0)), IF(OR(INDEX(Max!$D:$D,MATCH(1543,Max!$A:$A,0))=1, INDEX(Max!$D:$D,MATCH(1543,Max!$A:$A,0))=2), INDEX(Max!$D:$D,MATCH(1543,Max!$A:$A,0)), 0), 0)</f>
        <v>2</v>
      </c>
    </row>
    <row r="1743" spans="1:9" ht="15.75" customHeight="1" x14ac:dyDescent="0.2">
      <c r="A1743" s="1">
        <v>2998</v>
      </c>
      <c r="B1743" s="1" t="s">
        <v>345</v>
      </c>
      <c r="C1743" s="1" t="s">
        <v>3985</v>
      </c>
      <c r="D1743" s="1" t="str">
        <f t="shared" si="6"/>
        <v>1</v>
      </c>
      <c r="E1743" s="1" t="s">
        <v>3986</v>
      </c>
      <c r="G1743" s="1">
        <f t="array" ref="G1743">IF(ISNUMBER(MATCH(2998,Camille!$A:$A,0)), IF(OR(INDEX(Camille!$D:$D,MATCH(2998,Camille!$A:$A,0))=1, INDEX(Camille!$D:$D,MATCH(2998,Camille!$A:$A,0))=2), INDEX(Camille!$D:$D,MATCH(2998,Camille!$A:$A,0)), 0), 0)</f>
        <v>0</v>
      </c>
      <c r="H1743" s="1">
        <f t="array" ref="H1743">IF(ISNUMBER(MATCH(2998,Telmo!$A:$A,0)), IF(OR(INDEX(Telmo!$D:$D,MATCH(2998,Telmo!$A:$A,0))=1, INDEX(Telmo!$D:$D,MATCH(2998,Telmo!$A:$A,0))=2), INDEX(Telmo!$D:$D,MATCH(2998,Telmo!$A:$A,0)), 0), 0)</f>
        <v>0</v>
      </c>
      <c r="I1743" s="1">
        <f t="array" ref="I1743">IF(ISNUMBER(MATCH(2998,Max!$A:$A,0)), IF(OR(INDEX(Max!$D:$D,MATCH(2998,Max!$A:$A,0))=1, INDEX(Max!$D:$D,MATCH(2998,Max!$A:$A,0))=2), INDEX(Max!$D:$D,MATCH(2998,Max!$A:$A,0)), 0), 0)</f>
        <v>1</v>
      </c>
    </row>
    <row r="1744" spans="1:9" ht="15.75" customHeight="1" x14ac:dyDescent="0.2">
      <c r="A1744" s="1">
        <v>56250</v>
      </c>
      <c r="B1744" s="1" t="s">
        <v>1333</v>
      </c>
      <c r="C1744" s="1" t="s">
        <v>3987</v>
      </c>
      <c r="D1744" s="1" t="str">
        <f t="shared" si="6"/>
        <v>1</v>
      </c>
      <c r="E1744" s="1" t="s">
        <v>3988</v>
      </c>
      <c r="G1744" s="1">
        <f t="array" ref="G1744">IF(ISNUMBER(MATCH(56250,Camille!$A:$A,0)), IF(OR(INDEX(Camille!$D:$D,MATCH(56250,Camille!$A:$A,0))=1, INDEX(Camille!$D:$D,MATCH(56250,Camille!$A:$A,0))=2), INDEX(Camille!$D:$D,MATCH(56250,Camille!$A:$A,0)), 0), 0)</f>
        <v>0</v>
      </c>
      <c r="H1744" s="1">
        <f t="array" ref="H1744">IF(ISNUMBER(MATCH(56250,Telmo!$A:$A,0)), IF(OR(INDEX(Telmo!$D:$D,MATCH(56250,Telmo!$A:$A,0))=1, INDEX(Telmo!$D:$D,MATCH(56250,Telmo!$A:$A,0))=2), INDEX(Telmo!$D:$D,MATCH(56250,Telmo!$A:$A,0)), 0), 0)</f>
        <v>0</v>
      </c>
      <c r="I1744" s="1">
        <f t="array" ref="I1744">IF(ISNUMBER(MATCH(56250,Max!$A:$A,0)), IF(OR(INDEX(Max!$D:$D,MATCH(56250,Max!$A:$A,0))=1, INDEX(Max!$D:$D,MATCH(56250,Max!$A:$A,0))=2), INDEX(Max!$D:$D,MATCH(56250,Max!$A:$A,0)), 0), 0)</f>
        <v>1</v>
      </c>
    </row>
    <row r="1745" spans="1:9" ht="15.75" customHeight="1" x14ac:dyDescent="0.2">
      <c r="A1745" s="1">
        <v>36907</v>
      </c>
      <c r="B1745" s="1" t="s">
        <v>552</v>
      </c>
      <c r="C1745" s="1" t="s">
        <v>3989</v>
      </c>
      <c r="D1745" s="1" t="str">
        <f t="shared" si="6"/>
        <v>2</v>
      </c>
      <c r="E1745" s="1" t="s">
        <v>3990</v>
      </c>
      <c r="G1745" s="1">
        <f t="array" ref="G1745">IF(ISNUMBER(MATCH(36907,Camille!$A:$A,0)), IF(OR(INDEX(Camille!$D:$D,MATCH(36907,Camille!$A:$A,0))=1, INDEX(Camille!$D:$D,MATCH(36907,Camille!$A:$A,0))=2), INDEX(Camille!$D:$D,MATCH(36907,Camille!$A:$A,0)), 0), 0)</f>
        <v>0</v>
      </c>
      <c r="H1745" s="1">
        <f t="array" ref="H1745">IF(ISNUMBER(MATCH(36907,Telmo!$A:$A,0)), IF(OR(INDEX(Telmo!$D:$D,MATCH(36907,Telmo!$A:$A,0))=1, INDEX(Telmo!$D:$D,MATCH(36907,Telmo!$A:$A,0))=2), INDEX(Telmo!$D:$D,MATCH(36907,Telmo!$A:$A,0)), 0), 0)</f>
        <v>0</v>
      </c>
      <c r="I1745" s="1">
        <f t="array" ref="I1745">IF(ISNUMBER(MATCH(36907,Max!$A:$A,0)), IF(OR(INDEX(Max!$D:$D,MATCH(36907,Max!$A:$A,0))=1, INDEX(Max!$D:$D,MATCH(36907,Max!$A:$A,0))=2), INDEX(Max!$D:$D,MATCH(36907,Max!$A:$A,0)), 0), 0)</f>
        <v>2</v>
      </c>
    </row>
    <row r="1746" spans="1:9" ht="15.75" customHeight="1" x14ac:dyDescent="0.2">
      <c r="A1746" s="1">
        <v>49415</v>
      </c>
      <c r="B1746" s="1" t="s">
        <v>3991</v>
      </c>
      <c r="C1746" s="1" t="s">
        <v>3992</v>
      </c>
      <c r="D1746" s="1" t="str">
        <f t="shared" si="6"/>
        <v>2</v>
      </c>
      <c r="E1746" s="1" t="s">
        <v>3993</v>
      </c>
      <c r="G1746" s="1">
        <f t="array" ref="G1746">IF(ISNUMBER(MATCH(49415,Camille!$A:$A,0)), IF(OR(INDEX(Camille!$D:$D,MATCH(49415,Camille!$A:$A,0))=1, INDEX(Camille!$D:$D,MATCH(49415,Camille!$A:$A,0))=2), INDEX(Camille!$D:$D,MATCH(49415,Camille!$A:$A,0)), 0), 0)</f>
        <v>0</v>
      </c>
      <c r="H1746" s="1">
        <f t="array" ref="H1746">IF(ISNUMBER(MATCH(49415,Telmo!$A:$A,0)), IF(OR(INDEX(Telmo!$D:$D,MATCH(49415,Telmo!$A:$A,0))=1, INDEX(Telmo!$D:$D,MATCH(49415,Telmo!$A:$A,0))=2), INDEX(Telmo!$D:$D,MATCH(49415,Telmo!$A:$A,0)), 0), 0)</f>
        <v>0</v>
      </c>
      <c r="I1746" s="1">
        <f t="array" ref="I1746">IF(ISNUMBER(MATCH(49415,Max!$A:$A,0)), IF(OR(INDEX(Max!$D:$D,MATCH(49415,Max!$A:$A,0))=1, INDEX(Max!$D:$D,MATCH(49415,Max!$A:$A,0))=2), INDEX(Max!$D:$D,MATCH(49415,Max!$A:$A,0)), 0), 0)</f>
        <v>2</v>
      </c>
    </row>
    <row r="1747" spans="1:9" ht="15.75" customHeight="1" x14ac:dyDescent="0.2">
      <c r="A1747" s="1">
        <v>67386</v>
      </c>
      <c r="B1747" s="1" t="s">
        <v>906</v>
      </c>
      <c r="C1747" s="1" t="s">
        <v>3994</v>
      </c>
      <c r="D1747" s="1" t="str">
        <f t="shared" si="6"/>
        <v>2</v>
      </c>
      <c r="E1747" s="1" t="s">
        <v>3995</v>
      </c>
      <c r="G1747" s="1">
        <f t="array" ref="G1747">IF(ISNUMBER(MATCH(67386,Camille!$A:$A,0)), IF(OR(INDEX(Camille!$D:$D,MATCH(67386,Camille!$A:$A,0))=1, INDEX(Camille!$D:$D,MATCH(67386,Camille!$A:$A,0))=2), INDEX(Camille!$D:$D,MATCH(67386,Camille!$A:$A,0)), 0), 0)</f>
        <v>0</v>
      </c>
      <c r="H1747" s="1">
        <f t="array" ref="H1747">IF(ISNUMBER(MATCH(67386,Telmo!$A:$A,0)), IF(OR(INDEX(Telmo!$D:$D,MATCH(67386,Telmo!$A:$A,0))=1, INDEX(Telmo!$D:$D,MATCH(67386,Telmo!$A:$A,0))=2), INDEX(Telmo!$D:$D,MATCH(67386,Telmo!$A:$A,0)), 0), 0)</f>
        <v>0</v>
      </c>
      <c r="I1747" s="1">
        <f t="array" ref="I1747">IF(ISNUMBER(MATCH(67386,Max!$A:$A,0)), IF(OR(INDEX(Max!$D:$D,MATCH(67386,Max!$A:$A,0))=1, INDEX(Max!$D:$D,MATCH(67386,Max!$A:$A,0))=2), INDEX(Max!$D:$D,MATCH(67386,Max!$A:$A,0)), 0), 0)</f>
        <v>2</v>
      </c>
    </row>
    <row r="1748" spans="1:9" ht="15.75" customHeight="1" x14ac:dyDescent="0.2">
      <c r="A1748" s="1">
        <v>29012</v>
      </c>
      <c r="B1748" s="1" t="s">
        <v>188</v>
      </c>
      <c r="C1748" s="1" t="s">
        <v>3996</v>
      </c>
      <c r="D1748" s="1" t="str">
        <f t="shared" si="6"/>
        <v>2</v>
      </c>
      <c r="E1748" s="1" t="s">
        <v>3997</v>
      </c>
      <c r="G1748" s="1">
        <f t="array" ref="G1748">IF(ISNUMBER(MATCH(29012,Camille!$A:$A,0)), IF(OR(INDEX(Camille!$D:$D,MATCH(29012,Camille!$A:$A,0))=1, INDEX(Camille!$D:$D,MATCH(29012,Camille!$A:$A,0))=2), INDEX(Camille!$D:$D,MATCH(29012,Camille!$A:$A,0)), 0), 0)</f>
        <v>0</v>
      </c>
      <c r="H1748" s="1">
        <f t="array" ref="H1748">IF(ISNUMBER(MATCH(29012,Telmo!$A:$A,0)), IF(OR(INDEX(Telmo!$D:$D,MATCH(29012,Telmo!$A:$A,0))=1, INDEX(Telmo!$D:$D,MATCH(29012,Telmo!$A:$A,0))=2), INDEX(Telmo!$D:$D,MATCH(29012,Telmo!$A:$A,0)), 0), 0)</f>
        <v>0</v>
      </c>
      <c r="I1748" s="1">
        <f t="array" ref="I1748">IF(ISNUMBER(MATCH(29012,Max!$A:$A,0)), IF(OR(INDEX(Max!$D:$D,MATCH(29012,Max!$A:$A,0))=1, INDEX(Max!$D:$D,MATCH(29012,Max!$A:$A,0))=2), INDEX(Max!$D:$D,MATCH(29012,Max!$A:$A,0)), 0), 0)</f>
        <v>2</v>
      </c>
    </row>
    <row r="1749" spans="1:9" ht="15.75" customHeight="1" x14ac:dyDescent="0.2">
      <c r="A1749" s="1">
        <v>19740</v>
      </c>
      <c r="B1749" s="1" t="s">
        <v>819</v>
      </c>
      <c r="C1749" s="1" t="s">
        <v>3998</v>
      </c>
      <c r="D1749" s="1" t="str">
        <f t="shared" si="6"/>
        <v>2</v>
      </c>
      <c r="E1749" s="1" t="s">
        <v>3999</v>
      </c>
      <c r="G1749" s="1">
        <f t="array" ref="G1749">IF(ISNUMBER(MATCH(19740,Camille!$A:$A,0)), IF(OR(INDEX(Camille!$D:$D,MATCH(19740,Camille!$A:$A,0))=1, INDEX(Camille!$D:$D,MATCH(19740,Camille!$A:$A,0))=2), INDEX(Camille!$D:$D,MATCH(19740,Camille!$A:$A,0)), 0), 0)</f>
        <v>0</v>
      </c>
      <c r="H1749" s="1">
        <f t="array" ref="H1749">IF(ISNUMBER(MATCH(19740,Telmo!$A:$A,0)), IF(OR(INDEX(Telmo!$D:$D,MATCH(19740,Telmo!$A:$A,0))=1, INDEX(Telmo!$D:$D,MATCH(19740,Telmo!$A:$A,0))=2), INDEX(Telmo!$D:$D,MATCH(19740,Telmo!$A:$A,0)), 0), 0)</f>
        <v>0</v>
      </c>
      <c r="I1749" s="1">
        <f t="array" ref="I1749">IF(ISNUMBER(MATCH(19740,Max!$A:$A,0)), IF(OR(INDEX(Max!$D:$D,MATCH(19740,Max!$A:$A,0))=1, INDEX(Max!$D:$D,MATCH(19740,Max!$A:$A,0))=2), INDEX(Max!$D:$D,MATCH(19740,Max!$A:$A,0)), 0), 0)</f>
        <v>2</v>
      </c>
    </row>
    <row r="1750" spans="1:9" ht="15.75" customHeight="1" x14ac:dyDescent="0.2">
      <c r="A1750" s="1">
        <v>15147</v>
      </c>
      <c r="B1750" s="1" t="s">
        <v>191</v>
      </c>
      <c r="C1750" s="1" t="s">
        <v>4000</v>
      </c>
      <c r="D1750" s="1" t="str">
        <f t="shared" si="6"/>
        <v>2</v>
      </c>
      <c r="E1750" s="1" t="s">
        <v>4001</v>
      </c>
      <c r="G1750" s="1">
        <f t="array" ref="G1750">IF(ISNUMBER(MATCH(15147,Camille!$A:$A,0)), IF(OR(INDEX(Camille!$D:$D,MATCH(15147,Camille!$A:$A,0))=1, INDEX(Camille!$D:$D,MATCH(15147,Camille!$A:$A,0))=2), INDEX(Camille!$D:$D,MATCH(15147,Camille!$A:$A,0)), 0), 0)</f>
        <v>0</v>
      </c>
      <c r="H1750" s="1">
        <f t="array" ref="H1750">IF(ISNUMBER(MATCH(15147,Telmo!$A:$A,0)), IF(OR(INDEX(Telmo!$D:$D,MATCH(15147,Telmo!$A:$A,0))=1, INDEX(Telmo!$D:$D,MATCH(15147,Telmo!$A:$A,0))=2), INDEX(Telmo!$D:$D,MATCH(15147,Telmo!$A:$A,0)), 0), 0)</f>
        <v>0</v>
      </c>
      <c r="I1750" s="1">
        <f t="array" ref="I1750">IF(ISNUMBER(MATCH(15147,Max!$A:$A,0)), IF(OR(INDEX(Max!$D:$D,MATCH(15147,Max!$A:$A,0))=1, INDEX(Max!$D:$D,MATCH(15147,Max!$A:$A,0))=2), INDEX(Max!$D:$D,MATCH(15147,Max!$A:$A,0)), 0), 0)</f>
        <v>2</v>
      </c>
    </row>
    <row r="1751" spans="1:9" ht="15.75" customHeight="1" x14ac:dyDescent="0.2">
      <c r="A1751" s="1">
        <v>36942</v>
      </c>
      <c r="B1751" s="1" t="s">
        <v>4002</v>
      </c>
      <c r="C1751" s="1" t="s">
        <v>4003</v>
      </c>
      <c r="D1751" s="1" t="str">
        <f t="shared" si="6"/>
        <v>2</v>
      </c>
      <c r="E1751" s="1" t="s">
        <v>4004</v>
      </c>
      <c r="G1751" s="1">
        <f t="array" ref="G1751">IF(ISNUMBER(MATCH(36942,Camille!$A:$A,0)), IF(OR(INDEX(Camille!$D:$D,MATCH(36942,Camille!$A:$A,0))=1, INDEX(Camille!$D:$D,MATCH(36942,Camille!$A:$A,0))=2), INDEX(Camille!$D:$D,MATCH(36942,Camille!$A:$A,0)), 0), 0)</f>
        <v>0</v>
      </c>
      <c r="H1751" s="1">
        <f t="array" ref="H1751">IF(ISNUMBER(MATCH(36942,Telmo!$A:$A,0)), IF(OR(INDEX(Telmo!$D:$D,MATCH(36942,Telmo!$A:$A,0))=1, INDEX(Telmo!$D:$D,MATCH(36942,Telmo!$A:$A,0))=2), INDEX(Telmo!$D:$D,MATCH(36942,Telmo!$A:$A,0)), 0), 0)</f>
        <v>0</v>
      </c>
      <c r="I1751" s="1">
        <f t="array" ref="I1751">IF(ISNUMBER(MATCH(36942,Max!$A:$A,0)), IF(OR(INDEX(Max!$D:$D,MATCH(36942,Max!$A:$A,0))=1, INDEX(Max!$D:$D,MATCH(36942,Max!$A:$A,0))=2), INDEX(Max!$D:$D,MATCH(36942,Max!$A:$A,0)), 0), 0)</f>
        <v>2</v>
      </c>
    </row>
    <row r="1752" spans="1:9" ht="15.75" customHeight="1" x14ac:dyDescent="0.2">
      <c r="A1752" s="1">
        <v>29792</v>
      </c>
      <c r="B1752" s="1" t="s">
        <v>4005</v>
      </c>
      <c r="C1752" s="1" t="s">
        <v>4006</v>
      </c>
      <c r="D1752" s="1" t="str">
        <f t="shared" si="6"/>
        <v>1</v>
      </c>
      <c r="E1752" s="1" t="s">
        <v>4007</v>
      </c>
      <c r="G1752" s="1">
        <f t="array" ref="G1752">IF(ISNUMBER(MATCH(29792,Camille!$A:$A,0)), IF(OR(INDEX(Camille!$D:$D,MATCH(29792,Camille!$A:$A,0))=1, INDEX(Camille!$D:$D,MATCH(29792,Camille!$A:$A,0))=2), INDEX(Camille!$D:$D,MATCH(29792,Camille!$A:$A,0)), 0), 0)</f>
        <v>0</v>
      </c>
      <c r="H1752" s="1">
        <f t="array" ref="H1752">IF(ISNUMBER(MATCH(29792,Telmo!$A:$A,0)), IF(OR(INDEX(Telmo!$D:$D,MATCH(29792,Telmo!$A:$A,0))=1, INDEX(Telmo!$D:$D,MATCH(29792,Telmo!$A:$A,0))=2), INDEX(Telmo!$D:$D,MATCH(29792,Telmo!$A:$A,0)), 0), 0)</f>
        <v>0</v>
      </c>
      <c r="I1752" s="1">
        <f t="array" ref="I1752">IF(ISNUMBER(MATCH(29792,Max!$A:$A,0)), IF(OR(INDEX(Max!$D:$D,MATCH(29792,Max!$A:$A,0))=1, INDEX(Max!$D:$D,MATCH(29792,Max!$A:$A,0))=2), INDEX(Max!$D:$D,MATCH(29792,Max!$A:$A,0)), 0), 0)</f>
        <v>1</v>
      </c>
    </row>
    <row r="1753" spans="1:9" ht="15.75" customHeight="1" x14ac:dyDescent="0.2">
      <c r="A1753" s="1">
        <v>6203</v>
      </c>
      <c r="B1753" s="1" t="s">
        <v>408</v>
      </c>
      <c r="C1753" s="1" t="s">
        <v>4008</v>
      </c>
      <c r="D1753" s="1" t="str">
        <f t="shared" si="6"/>
        <v>2</v>
      </c>
      <c r="E1753" s="1" t="s">
        <v>4009</v>
      </c>
      <c r="G1753" s="1">
        <f t="array" ref="G1753">IF(ISNUMBER(MATCH(6203,Camille!$A:$A,0)), IF(OR(INDEX(Camille!$D:$D,MATCH(6203,Camille!$A:$A,0))=1, INDEX(Camille!$D:$D,MATCH(6203,Camille!$A:$A,0))=2), INDEX(Camille!$D:$D,MATCH(6203,Camille!$A:$A,0)), 0), 0)</f>
        <v>0</v>
      </c>
      <c r="H1753" s="1">
        <f t="array" ref="H1753">IF(ISNUMBER(MATCH(6203,Telmo!$A:$A,0)), IF(OR(INDEX(Telmo!$D:$D,MATCH(6203,Telmo!$A:$A,0))=1, INDEX(Telmo!$D:$D,MATCH(6203,Telmo!$A:$A,0))=2), INDEX(Telmo!$D:$D,MATCH(6203,Telmo!$A:$A,0)), 0), 0)</f>
        <v>0</v>
      </c>
      <c r="I1753" s="1">
        <f t="array" ref="I1753">IF(ISNUMBER(MATCH(6203,Max!$A:$A,0)), IF(OR(INDEX(Max!$D:$D,MATCH(6203,Max!$A:$A,0))=1, INDEX(Max!$D:$D,MATCH(6203,Max!$A:$A,0))=2), INDEX(Max!$D:$D,MATCH(6203,Max!$A:$A,0)), 0), 0)</f>
        <v>2</v>
      </c>
    </row>
    <row r="1754" spans="1:9" ht="15.75" customHeight="1" x14ac:dyDescent="0.2">
      <c r="A1754" s="1">
        <v>8062</v>
      </c>
      <c r="B1754" s="1" t="s">
        <v>153</v>
      </c>
      <c r="C1754" s="1" t="s">
        <v>4010</v>
      </c>
      <c r="D1754" s="1" t="str">
        <f t="shared" si="6"/>
        <v>2</v>
      </c>
      <c r="E1754" s="1" t="s">
        <v>4011</v>
      </c>
      <c r="G1754" s="1">
        <f t="array" ref="G1754">IF(ISNUMBER(MATCH(8062,Camille!$A:$A,0)), IF(OR(INDEX(Camille!$D:$D,MATCH(8062,Camille!$A:$A,0))=1, INDEX(Camille!$D:$D,MATCH(8062,Camille!$A:$A,0))=2), INDEX(Camille!$D:$D,MATCH(8062,Camille!$A:$A,0)), 0), 0)</f>
        <v>0</v>
      </c>
      <c r="H1754" s="1">
        <f t="array" ref="H1754">IF(ISNUMBER(MATCH(8062,Telmo!$A:$A,0)), IF(OR(INDEX(Telmo!$D:$D,MATCH(8062,Telmo!$A:$A,0))=1, INDEX(Telmo!$D:$D,MATCH(8062,Telmo!$A:$A,0))=2), INDEX(Telmo!$D:$D,MATCH(8062,Telmo!$A:$A,0)), 0), 0)</f>
        <v>0</v>
      </c>
      <c r="I1754" s="1">
        <f t="array" ref="I1754">IF(ISNUMBER(MATCH(8062,Max!$A:$A,0)), IF(OR(INDEX(Max!$D:$D,MATCH(8062,Max!$A:$A,0))=1, INDEX(Max!$D:$D,MATCH(8062,Max!$A:$A,0))=2), INDEX(Max!$D:$D,MATCH(8062,Max!$A:$A,0)), 0), 0)</f>
        <v>2</v>
      </c>
    </row>
    <row r="1755" spans="1:9" ht="15.75" customHeight="1" x14ac:dyDescent="0.2">
      <c r="A1755" s="1">
        <v>71531</v>
      </c>
      <c r="B1755" s="1" t="s">
        <v>307</v>
      </c>
      <c r="C1755" s="1" t="s">
        <v>4012</v>
      </c>
      <c r="D1755" s="1" t="str">
        <f t="shared" si="6"/>
        <v>2</v>
      </c>
      <c r="E1755" s="1" t="s">
        <v>4013</v>
      </c>
      <c r="G1755" s="1">
        <f t="array" ref="G1755">IF(ISNUMBER(MATCH(71531,Camille!$A:$A,0)), IF(OR(INDEX(Camille!$D:$D,MATCH(71531,Camille!$A:$A,0))=1, INDEX(Camille!$D:$D,MATCH(71531,Camille!$A:$A,0))=2), INDEX(Camille!$D:$D,MATCH(71531,Camille!$A:$A,0)), 0), 0)</f>
        <v>0</v>
      </c>
      <c r="H1755" s="1">
        <f t="array" ref="H1755">IF(ISNUMBER(MATCH(71531,Telmo!$A:$A,0)), IF(OR(INDEX(Telmo!$D:$D,MATCH(71531,Telmo!$A:$A,0))=1, INDEX(Telmo!$D:$D,MATCH(71531,Telmo!$A:$A,0))=2), INDEX(Telmo!$D:$D,MATCH(71531,Telmo!$A:$A,0)), 0), 0)</f>
        <v>0</v>
      </c>
      <c r="I1755" s="1">
        <f t="array" ref="I1755">IF(ISNUMBER(MATCH(71531,Max!$A:$A,0)), IF(OR(INDEX(Max!$D:$D,MATCH(71531,Max!$A:$A,0))=1, INDEX(Max!$D:$D,MATCH(71531,Max!$A:$A,0))=2), INDEX(Max!$D:$D,MATCH(71531,Max!$A:$A,0)), 0), 0)</f>
        <v>2</v>
      </c>
    </row>
    <row r="1756" spans="1:9" ht="15.75" customHeight="1" x14ac:dyDescent="0.2">
      <c r="A1756" s="1">
        <v>18697</v>
      </c>
      <c r="B1756" s="1" t="s">
        <v>268</v>
      </c>
      <c r="C1756" s="1" t="s">
        <v>4014</v>
      </c>
      <c r="D1756" s="1" t="str">
        <f t="shared" si="6"/>
        <v>1</v>
      </c>
      <c r="E1756" s="1" t="s">
        <v>4015</v>
      </c>
      <c r="G1756" s="1">
        <f t="array" ref="G1756">IF(ISNUMBER(MATCH(18697,Camille!$A:$A,0)), IF(OR(INDEX(Camille!$D:$D,MATCH(18697,Camille!$A:$A,0))=1, INDEX(Camille!$D:$D,MATCH(18697,Camille!$A:$A,0))=2), INDEX(Camille!$D:$D,MATCH(18697,Camille!$A:$A,0)), 0), 0)</f>
        <v>0</v>
      </c>
      <c r="H1756" s="1">
        <f t="array" ref="H1756">IF(ISNUMBER(MATCH(18697,Telmo!$A:$A,0)), IF(OR(INDEX(Telmo!$D:$D,MATCH(18697,Telmo!$A:$A,0))=1, INDEX(Telmo!$D:$D,MATCH(18697,Telmo!$A:$A,0))=2), INDEX(Telmo!$D:$D,MATCH(18697,Telmo!$A:$A,0)), 0), 0)</f>
        <v>0</v>
      </c>
      <c r="I1756" s="1">
        <f t="array" ref="I1756">IF(ISNUMBER(MATCH(18697,Max!$A:$A,0)), IF(OR(INDEX(Max!$D:$D,MATCH(18697,Max!$A:$A,0))=1, INDEX(Max!$D:$D,MATCH(18697,Max!$A:$A,0))=2), INDEX(Max!$D:$D,MATCH(18697,Max!$A:$A,0)), 0), 0)</f>
        <v>1</v>
      </c>
    </row>
    <row r="1757" spans="1:9" ht="15.75" customHeight="1" x14ac:dyDescent="0.2">
      <c r="A1757" s="1">
        <v>64701</v>
      </c>
      <c r="B1757" s="1" t="s">
        <v>2645</v>
      </c>
      <c r="C1757" s="1" t="s">
        <v>4016</v>
      </c>
      <c r="D1757" s="1" t="str">
        <f t="shared" si="6"/>
        <v>2</v>
      </c>
      <c r="E1757" s="1" t="s">
        <v>4017</v>
      </c>
      <c r="G1757" s="1">
        <f t="array" ref="G1757">IF(ISNUMBER(MATCH(64701,Camille!$A:$A,0)), IF(OR(INDEX(Camille!$D:$D,MATCH(64701,Camille!$A:$A,0))=1, INDEX(Camille!$D:$D,MATCH(64701,Camille!$A:$A,0))=2), INDEX(Camille!$D:$D,MATCH(64701,Camille!$A:$A,0)), 0), 0)</f>
        <v>0</v>
      </c>
      <c r="H1757" s="1">
        <f t="array" ref="H1757">IF(ISNUMBER(MATCH(64701,Telmo!$A:$A,0)), IF(OR(INDEX(Telmo!$D:$D,MATCH(64701,Telmo!$A:$A,0))=1, INDEX(Telmo!$D:$D,MATCH(64701,Telmo!$A:$A,0))=2), INDEX(Telmo!$D:$D,MATCH(64701,Telmo!$A:$A,0)), 0), 0)</f>
        <v>0</v>
      </c>
      <c r="I1757" s="1">
        <f t="array" ref="I1757">IF(ISNUMBER(MATCH(64701,Max!$A:$A,0)), IF(OR(INDEX(Max!$D:$D,MATCH(64701,Max!$A:$A,0))=1, INDEX(Max!$D:$D,MATCH(64701,Max!$A:$A,0))=2), INDEX(Max!$D:$D,MATCH(64701,Max!$A:$A,0)), 0), 0)</f>
        <v>2</v>
      </c>
    </row>
    <row r="1758" spans="1:9" ht="15.75" customHeight="1" x14ac:dyDescent="0.2">
      <c r="A1758" s="1">
        <v>57298</v>
      </c>
      <c r="B1758" s="1" t="s">
        <v>233</v>
      </c>
      <c r="C1758" s="1" t="s">
        <v>4018</v>
      </c>
      <c r="D1758" s="1" t="str">
        <f t="shared" si="6"/>
        <v>2</v>
      </c>
      <c r="E1758" s="1" t="s">
        <v>4019</v>
      </c>
      <c r="G1758" s="1">
        <f t="array" ref="G1758">IF(ISNUMBER(MATCH(57298,Camille!$A:$A,0)), IF(OR(INDEX(Camille!$D:$D,MATCH(57298,Camille!$A:$A,0))=1, INDEX(Camille!$D:$D,MATCH(57298,Camille!$A:$A,0))=2), INDEX(Camille!$D:$D,MATCH(57298,Camille!$A:$A,0)), 0), 0)</f>
        <v>0</v>
      </c>
      <c r="H1758" s="1">
        <f t="array" ref="H1758">IF(ISNUMBER(MATCH(57298,Telmo!$A:$A,0)), IF(OR(INDEX(Telmo!$D:$D,MATCH(57298,Telmo!$A:$A,0))=1, INDEX(Telmo!$D:$D,MATCH(57298,Telmo!$A:$A,0))=2), INDEX(Telmo!$D:$D,MATCH(57298,Telmo!$A:$A,0)), 0), 0)</f>
        <v>0</v>
      </c>
      <c r="I1758" s="1">
        <f t="array" ref="I1758">IF(ISNUMBER(MATCH(57298,Max!$A:$A,0)), IF(OR(INDEX(Max!$D:$D,MATCH(57298,Max!$A:$A,0))=1, INDEX(Max!$D:$D,MATCH(57298,Max!$A:$A,0))=2), INDEX(Max!$D:$D,MATCH(57298,Max!$A:$A,0)), 0), 0)</f>
        <v>2</v>
      </c>
    </row>
    <row r="1759" spans="1:9" ht="15.75" customHeight="1" x14ac:dyDescent="0.2">
      <c r="A1759" s="1">
        <v>65793</v>
      </c>
      <c r="B1759" s="1" t="s">
        <v>4020</v>
      </c>
      <c r="C1759" s="1" t="s">
        <v>4021</v>
      </c>
      <c r="D1759" s="1" t="str">
        <f t="shared" si="6"/>
        <v>1</v>
      </c>
      <c r="E1759" s="1" t="s">
        <v>4022</v>
      </c>
      <c r="G1759" s="1">
        <f t="array" ref="G1759">IF(ISNUMBER(MATCH(65793,Camille!$A:$A,0)), IF(OR(INDEX(Camille!$D:$D,MATCH(65793,Camille!$A:$A,0))=1, INDEX(Camille!$D:$D,MATCH(65793,Camille!$A:$A,0))=2), INDEX(Camille!$D:$D,MATCH(65793,Camille!$A:$A,0)), 0), 0)</f>
        <v>0</v>
      </c>
      <c r="H1759" s="1">
        <f t="array" ref="H1759">IF(ISNUMBER(MATCH(65793,Telmo!$A:$A,0)), IF(OR(INDEX(Telmo!$D:$D,MATCH(65793,Telmo!$A:$A,0))=1, INDEX(Telmo!$D:$D,MATCH(65793,Telmo!$A:$A,0))=2), INDEX(Telmo!$D:$D,MATCH(65793,Telmo!$A:$A,0)), 0), 0)</f>
        <v>0</v>
      </c>
      <c r="I1759" s="1">
        <f t="array" ref="I1759">IF(ISNUMBER(MATCH(65793,Max!$A:$A,0)), IF(OR(INDEX(Max!$D:$D,MATCH(65793,Max!$A:$A,0))=1, INDEX(Max!$D:$D,MATCH(65793,Max!$A:$A,0))=2), INDEX(Max!$D:$D,MATCH(65793,Max!$A:$A,0)), 0), 0)</f>
        <v>1</v>
      </c>
    </row>
    <row r="1760" spans="1:9" ht="15.75" customHeight="1" x14ac:dyDescent="0.2">
      <c r="A1760" s="1">
        <v>47737</v>
      </c>
      <c r="B1760" s="1" t="s">
        <v>1307</v>
      </c>
      <c r="C1760" s="1" t="s">
        <v>4023</v>
      </c>
      <c r="D1760" s="1" t="str">
        <f t="shared" si="6"/>
        <v>2</v>
      </c>
      <c r="E1760" s="1" t="s">
        <v>4024</v>
      </c>
      <c r="G1760" s="1">
        <f t="array" ref="G1760">IF(ISNUMBER(MATCH(47737,Camille!$A:$A,0)), IF(OR(INDEX(Camille!$D:$D,MATCH(47737,Camille!$A:$A,0))=1, INDEX(Camille!$D:$D,MATCH(47737,Camille!$A:$A,0))=2), INDEX(Camille!$D:$D,MATCH(47737,Camille!$A:$A,0)), 0), 0)</f>
        <v>0</v>
      </c>
      <c r="H1760" s="1">
        <f t="array" ref="H1760">IF(ISNUMBER(MATCH(47737,Telmo!$A:$A,0)), IF(OR(INDEX(Telmo!$D:$D,MATCH(47737,Telmo!$A:$A,0))=1, INDEX(Telmo!$D:$D,MATCH(47737,Telmo!$A:$A,0))=2), INDEX(Telmo!$D:$D,MATCH(47737,Telmo!$A:$A,0)), 0), 0)</f>
        <v>0</v>
      </c>
      <c r="I1760" s="1">
        <f t="array" ref="I1760">IF(ISNUMBER(MATCH(47737,Max!$A:$A,0)), IF(OR(INDEX(Max!$D:$D,MATCH(47737,Max!$A:$A,0))=1, INDEX(Max!$D:$D,MATCH(47737,Max!$A:$A,0))=2), INDEX(Max!$D:$D,MATCH(47737,Max!$A:$A,0)), 0), 0)</f>
        <v>2</v>
      </c>
    </row>
    <row r="1761" spans="1:9" ht="15.75" customHeight="1" x14ac:dyDescent="0.2">
      <c r="A1761" s="1">
        <v>15967</v>
      </c>
      <c r="B1761" s="1" t="s">
        <v>1657</v>
      </c>
      <c r="C1761" s="1" t="s">
        <v>4025</v>
      </c>
      <c r="D1761" s="1" t="str">
        <f t="shared" si="6"/>
        <v>2</v>
      </c>
      <c r="E1761" s="1" t="s">
        <v>4026</v>
      </c>
      <c r="G1761" s="1">
        <f t="array" ref="G1761">IF(ISNUMBER(MATCH(15967,Camille!$A:$A,0)), IF(OR(INDEX(Camille!$D:$D,MATCH(15967,Camille!$A:$A,0))=1, INDEX(Camille!$D:$D,MATCH(15967,Camille!$A:$A,0))=2), INDEX(Camille!$D:$D,MATCH(15967,Camille!$A:$A,0)), 0), 0)</f>
        <v>0</v>
      </c>
      <c r="H1761" s="1">
        <f t="array" ref="H1761">IF(ISNUMBER(MATCH(15967,Telmo!$A:$A,0)), IF(OR(INDEX(Telmo!$D:$D,MATCH(15967,Telmo!$A:$A,0))=1, INDEX(Telmo!$D:$D,MATCH(15967,Telmo!$A:$A,0))=2), INDEX(Telmo!$D:$D,MATCH(15967,Telmo!$A:$A,0)), 0), 0)</f>
        <v>0</v>
      </c>
      <c r="I1761" s="1">
        <f t="array" ref="I1761">IF(ISNUMBER(MATCH(15967,Max!$A:$A,0)), IF(OR(INDEX(Max!$D:$D,MATCH(15967,Max!$A:$A,0))=1, INDEX(Max!$D:$D,MATCH(15967,Max!$A:$A,0))=2), INDEX(Max!$D:$D,MATCH(15967,Max!$A:$A,0)), 0), 0)</f>
        <v>2</v>
      </c>
    </row>
    <row r="1762" spans="1:9" ht="15.75" customHeight="1" x14ac:dyDescent="0.2">
      <c r="A1762" s="1">
        <v>11734</v>
      </c>
      <c r="B1762" s="1" t="s">
        <v>4027</v>
      </c>
      <c r="C1762" s="1" t="s">
        <v>4028</v>
      </c>
      <c r="D1762" s="1" t="str">
        <f t="shared" si="6"/>
        <v>1</v>
      </c>
      <c r="E1762" s="1" t="s">
        <v>4029</v>
      </c>
      <c r="G1762" s="1">
        <f t="array" ref="G1762">IF(ISNUMBER(MATCH(11734,Camille!$A:$A,0)), IF(OR(INDEX(Camille!$D:$D,MATCH(11734,Camille!$A:$A,0))=1, INDEX(Camille!$D:$D,MATCH(11734,Camille!$A:$A,0))=2), INDEX(Camille!$D:$D,MATCH(11734,Camille!$A:$A,0)), 0), 0)</f>
        <v>0</v>
      </c>
      <c r="H1762" s="1">
        <f t="array" ref="H1762">IF(ISNUMBER(MATCH(11734,Telmo!$A:$A,0)), IF(OR(INDEX(Telmo!$D:$D,MATCH(11734,Telmo!$A:$A,0))=1, INDEX(Telmo!$D:$D,MATCH(11734,Telmo!$A:$A,0))=2), INDEX(Telmo!$D:$D,MATCH(11734,Telmo!$A:$A,0)), 0), 0)</f>
        <v>0</v>
      </c>
      <c r="I1762" s="1">
        <f t="array" ref="I1762">IF(ISNUMBER(MATCH(11734,Max!$A:$A,0)), IF(OR(INDEX(Max!$D:$D,MATCH(11734,Max!$A:$A,0))=1, INDEX(Max!$D:$D,MATCH(11734,Max!$A:$A,0))=2), INDEX(Max!$D:$D,MATCH(11734,Max!$A:$A,0)), 0), 0)</f>
        <v>1</v>
      </c>
    </row>
    <row r="1763" spans="1:9" ht="15.75" customHeight="1" x14ac:dyDescent="0.2">
      <c r="A1763" s="1">
        <v>71454</v>
      </c>
      <c r="B1763" s="1" t="s">
        <v>906</v>
      </c>
      <c r="C1763" s="1" t="s">
        <v>4030</v>
      </c>
      <c r="D1763" s="1" t="str">
        <f t="shared" si="6"/>
        <v>2</v>
      </c>
      <c r="E1763" s="1" t="s">
        <v>4031</v>
      </c>
      <c r="G1763" s="1">
        <f t="array" ref="G1763">IF(ISNUMBER(MATCH(71454,Camille!$A:$A,0)), IF(OR(INDEX(Camille!$D:$D,MATCH(71454,Camille!$A:$A,0))=1, INDEX(Camille!$D:$D,MATCH(71454,Camille!$A:$A,0))=2), INDEX(Camille!$D:$D,MATCH(71454,Camille!$A:$A,0)), 0), 0)</f>
        <v>0</v>
      </c>
      <c r="H1763" s="1">
        <f t="array" ref="H1763">IF(ISNUMBER(MATCH(71454,Telmo!$A:$A,0)), IF(OR(INDEX(Telmo!$D:$D,MATCH(71454,Telmo!$A:$A,0))=1, INDEX(Telmo!$D:$D,MATCH(71454,Telmo!$A:$A,0))=2), INDEX(Telmo!$D:$D,MATCH(71454,Telmo!$A:$A,0)), 0), 0)</f>
        <v>0</v>
      </c>
      <c r="I1763" s="1">
        <f t="array" ref="I1763">IF(ISNUMBER(MATCH(71454,Max!$A:$A,0)), IF(OR(INDEX(Max!$D:$D,MATCH(71454,Max!$A:$A,0))=1, INDEX(Max!$D:$D,MATCH(71454,Max!$A:$A,0))=2), INDEX(Max!$D:$D,MATCH(71454,Max!$A:$A,0)), 0), 0)</f>
        <v>2</v>
      </c>
    </row>
    <row r="1764" spans="1:9" ht="15.75" customHeight="1" x14ac:dyDescent="0.2">
      <c r="A1764" s="1">
        <v>49257</v>
      </c>
      <c r="B1764" s="1" t="s">
        <v>315</v>
      </c>
      <c r="C1764" s="1" t="s">
        <v>4032</v>
      </c>
      <c r="D1764" s="1" t="str">
        <f t="shared" si="6"/>
        <v>2</v>
      </c>
      <c r="E1764" s="1" t="s">
        <v>4033</v>
      </c>
      <c r="G1764" s="1">
        <f t="array" ref="G1764">IF(ISNUMBER(MATCH(49257,Camille!$A:$A,0)), IF(OR(INDEX(Camille!$D:$D,MATCH(49257,Camille!$A:$A,0))=1, INDEX(Camille!$D:$D,MATCH(49257,Camille!$A:$A,0))=2), INDEX(Camille!$D:$D,MATCH(49257,Camille!$A:$A,0)), 0), 0)</f>
        <v>0</v>
      </c>
      <c r="H1764" s="1">
        <f t="array" ref="H1764">IF(ISNUMBER(MATCH(49257,Telmo!$A:$A,0)), IF(OR(INDEX(Telmo!$D:$D,MATCH(49257,Telmo!$A:$A,0))=1, INDEX(Telmo!$D:$D,MATCH(49257,Telmo!$A:$A,0))=2), INDEX(Telmo!$D:$D,MATCH(49257,Telmo!$A:$A,0)), 0), 0)</f>
        <v>0</v>
      </c>
      <c r="I1764" s="1">
        <f t="array" ref="I1764">IF(ISNUMBER(MATCH(49257,Max!$A:$A,0)), IF(OR(INDEX(Max!$D:$D,MATCH(49257,Max!$A:$A,0))=1, INDEX(Max!$D:$D,MATCH(49257,Max!$A:$A,0))=2), INDEX(Max!$D:$D,MATCH(49257,Max!$A:$A,0)), 0), 0)</f>
        <v>2</v>
      </c>
    </row>
    <row r="1765" spans="1:9" ht="15.75" customHeight="1" x14ac:dyDescent="0.2">
      <c r="A1765" s="1">
        <v>59068</v>
      </c>
      <c r="B1765" s="1" t="s">
        <v>906</v>
      </c>
      <c r="C1765" s="1" t="s">
        <v>4034</v>
      </c>
      <c r="D1765" s="1" t="str">
        <f t="shared" si="6"/>
        <v>2</v>
      </c>
      <c r="E1765" s="1" t="s">
        <v>4035</v>
      </c>
      <c r="G1765" s="1">
        <f t="array" ref="G1765">IF(ISNUMBER(MATCH(59068,Camille!$A:$A,0)), IF(OR(INDEX(Camille!$D:$D,MATCH(59068,Camille!$A:$A,0))=1, INDEX(Camille!$D:$D,MATCH(59068,Camille!$A:$A,0))=2), INDEX(Camille!$D:$D,MATCH(59068,Camille!$A:$A,0)), 0), 0)</f>
        <v>0</v>
      </c>
      <c r="H1765" s="1">
        <f t="array" ref="H1765">IF(ISNUMBER(MATCH(59068,Telmo!$A:$A,0)), IF(OR(INDEX(Telmo!$D:$D,MATCH(59068,Telmo!$A:$A,0))=1, INDEX(Telmo!$D:$D,MATCH(59068,Telmo!$A:$A,0))=2), INDEX(Telmo!$D:$D,MATCH(59068,Telmo!$A:$A,0)), 0), 0)</f>
        <v>0</v>
      </c>
      <c r="I1765" s="1">
        <f t="array" ref="I1765">IF(ISNUMBER(MATCH(59068,Max!$A:$A,0)), IF(OR(INDEX(Max!$D:$D,MATCH(59068,Max!$A:$A,0))=1, INDEX(Max!$D:$D,MATCH(59068,Max!$A:$A,0))=2), INDEX(Max!$D:$D,MATCH(59068,Max!$A:$A,0)), 0), 0)</f>
        <v>2</v>
      </c>
    </row>
    <row r="1766" spans="1:9" ht="15.75" customHeight="1" x14ac:dyDescent="0.2">
      <c r="A1766" s="1">
        <v>4387</v>
      </c>
      <c r="B1766" s="1" t="s">
        <v>4036</v>
      </c>
      <c r="C1766" s="1" t="s">
        <v>4037</v>
      </c>
      <c r="D1766" s="1" t="str">
        <f t="shared" si="6"/>
        <v>1</v>
      </c>
      <c r="E1766" s="1" t="s">
        <v>4038</v>
      </c>
      <c r="G1766" s="1">
        <f t="array" ref="G1766">IF(ISNUMBER(MATCH(4387,Camille!$A:$A,0)), IF(OR(INDEX(Camille!$D:$D,MATCH(4387,Camille!$A:$A,0))=1, INDEX(Camille!$D:$D,MATCH(4387,Camille!$A:$A,0))=2), INDEX(Camille!$D:$D,MATCH(4387,Camille!$A:$A,0)), 0), 0)</f>
        <v>0</v>
      </c>
      <c r="H1766" s="1">
        <f t="array" ref="H1766">IF(ISNUMBER(MATCH(4387,Telmo!$A:$A,0)), IF(OR(INDEX(Telmo!$D:$D,MATCH(4387,Telmo!$A:$A,0))=1, INDEX(Telmo!$D:$D,MATCH(4387,Telmo!$A:$A,0))=2), INDEX(Telmo!$D:$D,MATCH(4387,Telmo!$A:$A,0)), 0), 0)</f>
        <v>0</v>
      </c>
      <c r="I1766" s="1">
        <f t="array" ref="I1766">IF(ISNUMBER(MATCH(4387,Max!$A:$A,0)), IF(OR(INDEX(Max!$D:$D,MATCH(4387,Max!$A:$A,0))=1, INDEX(Max!$D:$D,MATCH(4387,Max!$A:$A,0))=2), INDEX(Max!$D:$D,MATCH(4387,Max!$A:$A,0)), 0), 0)</f>
        <v>1</v>
      </c>
    </row>
    <row r="1767" spans="1:9" ht="15.75" customHeight="1" x14ac:dyDescent="0.2">
      <c r="A1767" s="1">
        <v>43549</v>
      </c>
      <c r="B1767" s="1" t="s">
        <v>301</v>
      </c>
      <c r="C1767" s="1" t="s">
        <v>4039</v>
      </c>
      <c r="D1767" s="1" t="str">
        <f t="shared" si="6"/>
        <v>2</v>
      </c>
      <c r="E1767" s="1" t="s">
        <v>4040</v>
      </c>
      <c r="G1767" s="1">
        <f t="array" ref="G1767">IF(ISNUMBER(MATCH(43549,Camille!$A:$A,0)), IF(OR(INDEX(Camille!$D:$D,MATCH(43549,Camille!$A:$A,0))=1, INDEX(Camille!$D:$D,MATCH(43549,Camille!$A:$A,0))=2), INDEX(Camille!$D:$D,MATCH(43549,Camille!$A:$A,0)), 0), 0)</f>
        <v>0</v>
      </c>
      <c r="H1767" s="1">
        <f t="array" ref="H1767">IF(ISNUMBER(MATCH(43549,Telmo!$A:$A,0)), IF(OR(INDEX(Telmo!$D:$D,MATCH(43549,Telmo!$A:$A,0))=1, INDEX(Telmo!$D:$D,MATCH(43549,Telmo!$A:$A,0))=2), INDEX(Telmo!$D:$D,MATCH(43549,Telmo!$A:$A,0)), 0), 0)</f>
        <v>0</v>
      </c>
      <c r="I1767" s="1">
        <f t="array" ref="I1767">IF(ISNUMBER(MATCH(43549,Max!$A:$A,0)), IF(OR(INDEX(Max!$D:$D,MATCH(43549,Max!$A:$A,0))=1, INDEX(Max!$D:$D,MATCH(43549,Max!$A:$A,0))=2), INDEX(Max!$D:$D,MATCH(43549,Max!$A:$A,0)), 0), 0)</f>
        <v>2</v>
      </c>
    </row>
    <row r="1768" spans="1:9" ht="15.75" customHeight="1" x14ac:dyDescent="0.2">
      <c r="A1768" s="1">
        <v>50440</v>
      </c>
      <c r="B1768" s="1" t="s">
        <v>4002</v>
      </c>
      <c r="C1768" s="1" t="s">
        <v>4041</v>
      </c>
      <c r="D1768" s="1" t="str">
        <f t="shared" si="6"/>
        <v>2</v>
      </c>
      <c r="E1768" s="1" t="s">
        <v>4042</v>
      </c>
      <c r="G1768" s="1">
        <f t="array" ref="G1768">IF(ISNUMBER(MATCH(50440,Camille!$A:$A,0)), IF(OR(INDEX(Camille!$D:$D,MATCH(50440,Camille!$A:$A,0))=1, INDEX(Camille!$D:$D,MATCH(50440,Camille!$A:$A,0))=2), INDEX(Camille!$D:$D,MATCH(50440,Camille!$A:$A,0)), 0), 0)</f>
        <v>0</v>
      </c>
      <c r="H1768" s="1">
        <f t="array" ref="H1768">IF(ISNUMBER(MATCH(50440,Telmo!$A:$A,0)), IF(OR(INDEX(Telmo!$D:$D,MATCH(50440,Telmo!$A:$A,0))=1, INDEX(Telmo!$D:$D,MATCH(50440,Telmo!$A:$A,0))=2), INDEX(Telmo!$D:$D,MATCH(50440,Telmo!$A:$A,0)), 0), 0)</f>
        <v>0</v>
      </c>
      <c r="I1768" s="1">
        <f t="array" ref="I1768">IF(ISNUMBER(MATCH(50440,Max!$A:$A,0)), IF(OR(INDEX(Max!$D:$D,MATCH(50440,Max!$A:$A,0))=1, INDEX(Max!$D:$D,MATCH(50440,Max!$A:$A,0))=2), INDEX(Max!$D:$D,MATCH(50440,Max!$A:$A,0)), 0), 0)</f>
        <v>2</v>
      </c>
    </row>
    <row r="1769" spans="1:9" ht="15.75" customHeight="1" x14ac:dyDescent="0.2">
      <c r="A1769" s="1">
        <v>11574</v>
      </c>
      <c r="B1769" s="1" t="s">
        <v>524</v>
      </c>
      <c r="C1769" s="1" t="s">
        <v>4043</v>
      </c>
      <c r="D1769" s="1" t="str">
        <f t="shared" si="6"/>
        <v>2</v>
      </c>
      <c r="E1769" s="1" t="s">
        <v>4044</v>
      </c>
      <c r="G1769" s="1">
        <f t="array" ref="G1769">IF(ISNUMBER(MATCH(11574,Camille!$A:$A,0)), IF(OR(INDEX(Camille!$D:$D,MATCH(11574,Camille!$A:$A,0))=1, INDEX(Camille!$D:$D,MATCH(11574,Camille!$A:$A,0))=2), INDEX(Camille!$D:$D,MATCH(11574,Camille!$A:$A,0)), 0), 0)</f>
        <v>0</v>
      </c>
      <c r="H1769" s="1">
        <f t="array" ref="H1769">IF(ISNUMBER(MATCH(11574,Telmo!$A:$A,0)), IF(OR(INDEX(Telmo!$D:$D,MATCH(11574,Telmo!$A:$A,0))=1, INDEX(Telmo!$D:$D,MATCH(11574,Telmo!$A:$A,0))=2), INDEX(Telmo!$D:$D,MATCH(11574,Telmo!$A:$A,0)), 0), 0)</f>
        <v>0</v>
      </c>
      <c r="I1769" s="1">
        <f t="array" ref="I1769">IF(ISNUMBER(MATCH(11574,Max!$A:$A,0)), IF(OR(INDEX(Max!$D:$D,MATCH(11574,Max!$A:$A,0))=1, INDEX(Max!$D:$D,MATCH(11574,Max!$A:$A,0))=2), INDEX(Max!$D:$D,MATCH(11574,Max!$A:$A,0)), 0), 0)</f>
        <v>2</v>
      </c>
    </row>
    <row r="1770" spans="1:9" ht="15.75" customHeight="1" x14ac:dyDescent="0.2">
      <c r="A1770" s="1">
        <v>42212</v>
      </c>
      <c r="B1770" s="1" t="s">
        <v>466</v>
      </c>
      <c r="C1770" s="1" t="s">
        <v>4045</v>
      </c>
      <c r="D1770" s="1" t="str">
        <f t="shared" si="6"/>
        <v>2</v>
      </c>
      <c r="E1770" s="1" t="s">
        <v>4046</v>
      </c>
      <c r="G1770" s="1">
        <f t="array" ref="G1770">IF(ISNUMBER(MATCH(42212,Camille!$A:$A,0)), IF(OR(INDEX(Camille!$D:$D,MATCH(42212,Camille!$A:$A,0))=1, INDEX(Camille!$D:$D,MATCH(42212,Camille!$A:$A,0))=2), INDEX(Camille!$D:$D,MATCH(42212,Camille!$A:$A,0)), 0), 0)</f>
        <v>0</v>
      </c>
      <c r="H1770" s="1">
        <f t="array" ref="H1770">IF(ISNUMBER(MATCH(42212,Telmo!$A:$A,0)), IF(OR(INDEX(Telmo!$D:$D,MATCH(42212,Telmo!$A:$A,0))=1, INDEX(Telmo!$D:$D,MATCH(42212,Telmo!$A:$A,0))=2), INDEX(Telmo!$D:$D,MATCH(42212,Telmo!$A:$A,0)), 0), 0)</f>
        <v>0</v>
      </c>
      <c r="I1770" s="1">
        <f t="array" ref="I1770">IF(ISNUMBER(MATCH(42212,Max!$A:$A,0)), IF(OR(INDEX(Max!$D:$D,MATCH(42212,Max!$A:$A,0))=1, INDEX(Max!$D:$D,MATCH(42212,Max!$A:$A,0))=2), INDEX(Max!$D:$D,MATCH(42212,Max!$A:$A,0)), 0), 0)</f>
        <v>2</v>
      </c>
    </row>
    <row r="1771" spans="1:9" ht="15.75" customHeight="1" x14ac:dyDescent="0.2">
      <c r="A1771" s="1">
        <v>54649</v>
      </c>
      <c r="B1771" s="1" t="s">
        <v>144</v>
      </c>
      <c r="C1771" s="1" t="s">
        <v>4047</v>
      </c>
      <c r="D1771" s="1" t="str">
        <f t="shared" si="6"/>
        <v>2</v>
      </c>
      <c r="E1771" s="1" t="s">
        <v>4048</v>
      </c>
      <c r="G1771" s="1">
        <f t="array" ref="G1771">IF(ISNUMBER(MATCH(54649,Camille!$A:$A,0)), IF(OR(INDEX(Camille!$D:$D,MATCH(54649,Camille!$A:$A,0))=1, INDEX(Camille!$D:$D,MATCH(54649,Camille!$A:$A,0))=2), INDEX(Camille!$D:$D,MATCH(54649,Camille!$A:$A,0)), 0), 0)</f>
        <v>0</v>
      </c>
      <c r="H1771" s="1">
        <f t="array" ref="H1771">IF(ISNUMBER(MATCH(54649,Telmo!$A:$A,0)), IF(OR(INDEX(Telmo!$D:$D,MATCH(54649,Telmo!$A:$A,0))=1, INDEX(Telmo!$D:$D,MATCH(54649,Telmo!$A:$A,0))=2), INDEX(Telmo!$D:$D,MATCH(54649,Telmo!$A:$A,0)), 0), 0)</f>
        <v>0</v>
      </c>
      <c r="I1771" s="1">
        <f t="array" ref="I1771">IF(ISNUMBER(MATCH(54649,Max!$A:$A,0)), IF(OR(INDEX(Max!$D:$D,MATCH(54649,Max!$A:$A,0))=1, INDEX(Max!$D:$D,MATCH(54649,Max!$A:$A,0))=2), INDEX(Max!$D:$D,MATCH(54649,Max!$A:$A,0)), 0), 0)</f>
        <v>2</v>
      </c>
    </row>
    <row r="1772" spans="1:9" ht="15.75" customHeight="1" x14ac:dyDescent="0.2">
      <c r="A1772" s="1">
        <v>19514</v>
      </c>
      <c r="B1772" s="1" t="s">
        <v>399</v>
      </c>
      <c r="C1772" s="1" t="s">
        <v>4049</v>
      </c>
      <c r="D1772" s="1" t="str">
        <f t="shared" si="6"/>
        <v>2</v>
      </c>
      <c r="E1772" s="1" t="s">
        <v>4050</v>
      </c>
      <c r="G1772" s="1">
        <f t="array" ref="G1772">IF(ISNUMBER(MATCH(19514,Camille!$A:$A,0)), IF(OR(INDEX(Camille!$D:$D,MATCH(19514,Camille!$A:$A,0))=1, INDEX(Camille!$D:$D,MATCH(19514,Camille!$A:$A,0))=2), INDEX(Camille!$D:$D,MATCH(19514,Camille!$A:$A,0)), 0), 0)</f>
        <v>0</v>
      </c>
      <c r="H1772" s="1">
        <f t="array" ref="H1772">IF(ISNUMBER(MATCH(19514,Telmo!$A:$A,0)), IF(OR(INDEX(Telmo!$D:$D,MATCH(19514,Telmo!$A:$A,0))=1, INDEX(Telmo!$D:$D,MATCH(19514,Telmo!$A:$A,0))=2), INDEX(Telmo!$D:$D,MATCH(19514,Telmo!$A:$A,0)), 0), 0)</f>
        <v>0</v>
      </c>
      <c r="I1772" s="1">
        <f t="array" ref="I1772">IF(ISNUMBER(MATCH(19514,Max!$A:$A,0)), IF(OR(INDEX(Max!$D:$D,MATCH(19514,Max!$A:$A,0))=1, INDEX(Max!$D:$D,MATCH(19514,Max!$A:$A,0))=2), INDEX(Max!$D:$D,MATCH(19514,Max!$A:$A,0)), 0), 0)</f>
        <v>2</v>
      </c>
    </row>
    <row r="1773" spans="1:9" ht="15.75" customHeight="1" x14ac:dyDescent="0.2">
      <c r="A1773" s="1">
        <v>1371</v>
      </c>
      <c r="B1773" s="1" t="s">
        <v>552</v>
      </c>
      <c r="C1773" s="1" t="s">
        <v>4051</v>
      </c>
      <c r="D1773" s="1" t="str">
        <f t="shared" si="6"/>
        <v>1</v>
      </c>
      <c r="E1773" s="1" t="s">
        <v>4052</v>
      </c>
      <c r="G1773" s="1">
        <f t="array" ref="G1773">IF(ISNUMBER(MATCH(1371,Camille!$A:$A,0)), IF(OR(INDEX(Camille!$D:$D,MATCH(1371,Camille!$A:$A,0))=1, INDEX(Camille!$D:$D,MATCH(1371,Camille!$A:$A,0))=2), INDEX(Camille!$D:$D,MATCH(1371,Camille!$A:$A,0)), 0), 0)</f>
        <v>0</v>
      </c>
      <c r="H1773" s="1">
        <f t="array" ref="H1773">IF(ISNUMBER(MATCH(1371,Telmo!$A:$A,0)), IF(OR(INDEX(Telmo!$D:$D,MATCH(1371,Telmo!$A:$A,0))=1, INDEX(Telmo!$D:$D,MATCH(1371,Telmo!$A:$A,0))=2), INDEX(Telmo!$D:$D,MATCH(1371,Telmo!$A:$A,0)), 0), 0)</f>
        <v>0</v>
      </c>
      <c r="I1773" s="1">
        <f t="array" ref="I1773">IF(ISNUMBER(MATCH(1371,Max!$A:$A,0)), IF(OR(INDEX(Max!$D:$D,MATCH(1371,Max!$A:$A,0))=1, INDEX(Max!$D:$D,MATCH(1371,Max!$A:$A,0))=2), INDEX(Max!$D:$D,MATCH(1371,Max!$A:$A,0)), 0), 0)</f>
        <v>1</v>
      </c>
    </row>
    <row r="1774" spans="1:9" ht="15.75" customHeight="1" x14ac:dyDescent="0.2">
      <c r="A1774" s="1">
        <v>52906</v>
      </c>
      <c r="B1774" s="1" t="s">
        <v>2259</v>
      </c>
      <c r="C1774" s="1" t="s">
        <v>4053</v>
      </c>
      <c r="D1774" s="1" t="str">
        <f t="shared" si="6"/>
        <v>2</v>
      </c>
      <c r="E1774" s="1" t="s">
        <v>4054</v>
      </c>
      <c r="G1774" s="1">
        <f t="array" ref="G1774">IF(ISNUMBER(MATCH(52906,Camille!$A:$A,0)), IF(OR(INDEX(Camille!$D:$D,MATCH(52906,Camille!$A:$A,0))=1, INDEX(Camille!$D:$D,MATCH(52906,Camille!$A:$A,0))=2), INDEX(Camille!$D:$D,MATCH(52906,Camille!$A:$A,0)), 0), 0)</f>
        <v>0</v>
      </c>
      <c r="H1774" s="1">
        <f t="array" ref="H1774">IF(ISNUMBER(MATCH(52906,Telmo!$A:$A,0)), IF(OR(INDEX(Telmo!$D:$D,MATCH(52906,Telmo!$A:$A,0))=1, INDEX(Telmo!$D:$D,MATCH(52906,Telmo!$A:$A,0))=2), INDEX(Telmo!$D:$D,MATCH(52906,Telmo!$A:$A,0)), 0), 0)</f>
        <v>0</v>
      </c>
      <c r="I1774" s="1">
        <f t="array" ref="I1774">IF(ISNUMBER(MATCH(52906,Max!$A:$A,0)), IF(OR(INDEX(Max!$D:$D,MATCH(52906,Max!$A:$A,0))=1, INDEX(Max!$D:$D,MATCH(52906,Max!$A:$A,0))=2), INDEX(Max!$D:$D,MATCH(52906,Max!$A:$A,0)), 0), 0)</f>
        <v>2</v>
      </c>
    </row>
    <row r="1775" spans="1:9" ht="15.75" customHeight="1" x14ac:dyDescent="0.2">
      <c r="A1775" s="1">
        <v>34227</v>
      </c>
      <c r="B1775" s="1" t="s">
        <v>268</v>
      </c>
      <c r="C1775" s="1" t="s">
        <v>4055</v>
      </c>
      <c r="D1775" s="1" t="str">
        <f t="shared" si="6"/>
        <v>2</v>
      </c>
      <c r="E1775" s="1" t="s">
        <v>4056</v>
      </c>
      <c r="G1775" s="1">
        <f t="array" ref="G1775">IF(ISNUMBER(MATCH(34227,Camille!$A:$A,0)), IF(OR(INDEX(Camille!$D:$D,MATCH(34227,Camille!$A:$A,0))=1, INDEX(Camille!$D:$D,MATCH(34227,Camille!$A:$A,0))=2), INDEX(Camille!$D:$D,MATCH(34227,Camille!$A:$A,0)), 0), 0)</f>
        <v>0</v>
      </c>
      <c r="H1775" s="1">
        <f t="array" ref="H1775">IF(ISNUMBER(MATCH(34227,Telmo!$A:$A,0)), IF(OR(INDEX(Telmo!$D:$D,MATCH(34227,Telmo!$A:$A,0))=1, INDEX(Telmo!$D:$D,MATCH(34227,Telmo!$A:$A,0))=2), INDEX(Telmo!$D:$D,MATCH(34227,Telmo!$A:$A,0)), 0), 0)</f>
        <v>0</v>
      </c>
      <c r="I1775" s="1">
        <f t="array" ref="I1775">IF(ISNUMBER(MATCH(34227,Max!$A:$A,0)), IF(OR(INDEX(Max!$D:$D,MATCH(34227,Max!$A:$A,0))=1, INDEX(Max!$D:$D,MATCH(34227,Max!$A:$A,0))=2), INDEX(Max!$D:$D,MATCH(34227,Max!$A:$A,0)), 0), 0)</f>
        <v>2</v>
      </c>
    </row>
    <row r="1776" spans="1:9" ht="15.75" customHeight="1" x14ac:dyDescent="0.2">
      <c r="A1776" s="1">
        <v>28787</v>
      </c>
      <c r="B1776" s="1" t="s">
        <v>336</v>
      </c>
      <c r="C1776" s="1" t="s">
        <v>4057</v>
      </c>
      <c r="D1776" s="1" t="str">
        <f t="shared" si="6"/>
        <v>2</v>
      </c>
      <c r="E1776" s="1" t="s">
        <v>4058</v>
      </c>
      <c r="G1776" s="1">
        <f t="array" ref="G1776">IF(ISNUMBER(MATCH(28787,Camille!$A:$A,0)), IF(OR(INDEX(Camille!$D:$D,MATCH(28787,Camille!$A:$A,0))=1, INDEX(Camille!$D:$D,MATCH(28787,Camille!$A:$A,0))=2), INDEX(Camille!$D:$D,MATCH(28787,Camille!$A:$A,0)), 0), 0)</f>
        <v>0</v>
      </c>
      <c r="H1776" s="1">
        <f t="array" ref="H1776">IF(ISNUMBER(MATCH(28787,Telmo!$A:$A,0)), IF(OR(INDEX(Telmo!$D:$D,MATCH(28787,Telmo!$A:$A,0))=1, INDEX(Telmo!$D:$D,MATCH(28787,Telmo!$A:$A,0))=2), INDEX(Telmo!$D:$D,MATCH(28787,Telmo!$A:$A,0)), 0), 0)</f>
        <v>0</v>
      </c>
      <c r="I1776" s="1">
        <f t="array" ref="I1776">IF(ISNUMBER(MATCH(28787,Max!$A:$A,0)), IF(OR(INDEX(Max!$D:$D,MATCH(28787,Max!$A:$A,0))=1, INDEX(Max!$D:$D,MATCH(28787,Max!$A:$A,0))=2), INDEX(Max!$D:$D,MATCH(28787,Max!$A:$A,0)), 0), 0)</f>
        <v>2</v>
      </c>
    </row>
    <row r="1777" spans="1:9" ht="15.75" customHeight="1" x14ac:dyDescent="0.2">
      <c r="A1777" s="1">
        <v>50298</v>
      </c>
      <c r="B1777" s="1" t="s">
        <v>4059</v>
      </c>
      <c r="C1777" s="1" t="s">
        <v>4060</v>
      </c>
      <c r="D1777" s="1" t="str">
        <f t="shared" si="6"/>
        <v>2</v>
      </c>
      <c r="E1777" s="1" t="s">
        <v>4061</v>
      </c>
      <c r="G1777" s="1">
        <f t="array" ref="G1777">IF(ISNUMBER(MATCH(50298,Camille!$A:$A,0)), IF(OR(INDEX(Camille!$D:$D,MATCH(50298,Camille!$A:$A,0))=1, INDEX(Camille!$D:$D,MATCH(50298,Camille!$A:$A,0))=2), INDEX(Camille!$D:$D,MATCH(50298,Camille!$A:$A,0)), 0), 0)</f>
        <v>0</v>
      </c>
      <c r="H1777" s="1">
        <f t="array" ref="H1777">IF(ISNUMBER(MATCH(50298,Telmo!$A:$A,0)), IF(OR(INDEX(Telmo!$D:$D,MATCH(50298,Telmo!$A:$A,0))=1, INDEX(Telmo!$D:$D,MATCH(50298,Telmo!$A:$A,0))=2), INDEX(Telmo!$D:$D,MATCH(50298,Telmo!$A:$A,0)), 0), 0)</f>
        <v>0</v>
      </c>
      <c r="I1777" s="1">
        <f t="array" ref="I1777">IF(ISNUMBER(MATCH(50298,Max!$A:$A,0)), IF(OR(INDEX(Max!$D:$D,MATCH(50298,Max!$A:$A,0))=1, INDEX(Max!$D:$D,MATCH(50298,Max!$A:$A,0))=2), INDEX(Max!$D:$D,MATCH(50298,Max!$A:$A,0)), 0), 0)</f>
        <v>2</v>
      </c>
    </row>
    <row r="1778" spans="1:9" ht="15.75" customHeight="1" x14ac:dyDescent="0.2">
      <c r="A1778" s="1">
        <v>58781</v>
      </c>
      <c r="B1778" s="1" t="s">
        <v>188</v>
      </c>
      <c r="C1778" s="1" t="s">
        <v>4062</v>
      </c>
      <c r="D1778" s="1" t="str">
        <f t="shared" si="6"/>
        <v>2</v>
      </c>
      <c r="E1778" s="1" t="s">
        <v>4063</v>
      </c>
      <c r="G1778" s="1">
        <f t="array" ref="G1778">IF(ISNUMBER(MATCH(58781,Camille!$A:$A,0)), IF(OR(INDEX(Camille!$D:$D,MATCH(58781,Camille!$A:$A,0))=1, INDEX(Camille!$D:$D,MATCH(58781,Camille!$A:$A,0))=2), INDEX(Camille!$D:$D,MATCH(58781,Camille!$A:$A,0)), 0), 0)</f>
        <v>0</v>
      </c>
      <c r="H1778" s="1">
        <f t="array" ref="H1778">IF(ISNUMBER(MATCH(58781,Telmo!$A:$A,0)), IF(OR(INDEX(Telmo!$D:$D,MATCH(58781,Telmo!$A:$A,0))=1, INDEX(Telmo!$D:$D,MATCH(58781,Telmo!$A:$A,0))=2), INDEX(Telmo!$D:$D,MATCH(58781,Telmo!$A:$A,0)), 0), 0)</f>
        <v>0</v>
      </c>
      <c r="I1778" s="1">
        <f t="array" ref="I1778">IF(ISNUMBER(MATCH(58781,Max!$A:$A,0)), IF(OR(INDEX(Max!$D:$D,MATCH(58781,Max!$A:$A,0))=1, INDEX(Max!$D:$D,MATCH(58781,Max!$A:$A,0))=2), INDEX(Max!$D:$D,MATCH(58781,Max!$A:$A,0)), 0), 0)</f>
        <v>2</v>
      </c>
    </row>
    <row r="1779" spans="1:9" ht="15.75" customHeight="1" x14ac:dyDescent="0.2">
      <c r="A1779" s="1">
        <v>16675</v>
      </c>
      <c r="B1779" s="1" t="s">
        <v>4064</v>
      </c>
      <c r="C1779" s="1" t="s">
        <v>4065</v>
      </c>
      <c r="D1779" s="1" t="str">
        <f t="shared" si="6"/>
        <v>2</v>
      </c>
      <c r="E1779" s="1" t="s">
        <v>4066</v>
      </c>
      <c r="G1779" s="1">
        <f t="array" ref="G1779">IF(ISNUMBER(MATCH(16675,Camille!$A:$A,0)), IF(OR(INDEX(Camille!$D:$D,MATCH(16675,Camille!$A:$A,0))=1, INDEX(Camille!$D:$D,MATCH(16675,Camille!$A:$A,0))=2), INDEX(Camille!$D:$D,MATCH(16675,Camille!$A:$A,0)), 0), 0)</f>
        <v>0</v>
      </c>
      <c r="H1779" s="1">
        <f t="array" ref="H1779">IF(ISNUMBER(MATCH(16675,Telmo!$A:$A,0)), IF(OR(INDEX(Telmo!$D:$D,MATCH(16675,Telmo!$A:$A,0))=1, INDEX(Telmo!$D:$D,MATCH(16675,Telmo!$A:$A,0))=2), INDEX(Telmo!$D:$D,MATCH(16675,Telmo!$A:$A,0)), 0), 0)</f>
        <v>0</v>
      </c>
      <c r="I1779" s="1">
        <f t="array" ref="I1779">IF(ISNUMBER(MATCH(16675,Max!$A:$A,0)), IF(OR(INDEX(Max!$D:$D,MATCH(16675,Max!$A:$A,0))=1, INDEX(Max!$D:$D,MATCH(16675,Max!$A:$A,0))=2), INDEX(Max!$D:$D,MATCH(16675,Max!$A:$A,0)), 0), 0)</f>
        <v>2</v>
      </c>
    </row>
    <row r="1780" spans="1:9" ht="15.75" customHeight="1" x14ac:dyDescent="0.2">
      <c r="A1780" s="1">
        <v>5517</v>
      </c>
      <c r="B1780" s="1" t="s">
        <v>2599</v>
      </c>
      <c r="C1780" s="1" t="s">
        <v>4067</v>
      </c>
      <c r="D1780" s="1" t="str">
        <f t="shared" si="6"/>
        <v>1</v>
      </c>
      <c r="E1780" s="1" t="s">
        <v>4068</v>
      </c>
      <c r="G1780" s="1">
        <f t="array" ref="G1780">IF(ISNUMBER(MATCH(5517,Camille!$A:$A,0)), IF(OR(INDEX(Camille!$D:$D,MATCH(5517,Camille!$A:$A,0))=1, INDEX(Camille!$D:$D,MATCH(5517,Camille!$A:$A,0))=2), INDEX(Camille!$D:$D,MATCH(5517,Camille!$A:$A,0)), 0), 0)</f>
        <v>0</v>
      </c>
      <c r="H1780" s="1">
        <f t="array" ref="H1780">IF(ISNUMBER(MATCH(5517,Telmo!$A:$A,0)), IF(OR(INDEX(Telmo!$D:$D,MATCH(5517,Telmo!$A:$A,0))=1, INDEX(Telmo!$D:$D,MATCH(5517,Telmo!$A:$A,0))=2), INDEX(Telmo!$D:$D,MATCH(5517,Telmo!$A:$A,0)), 0), 0)</f>
        <v>0</v>
      </c>
      <c r="I1780" s="1">
        <f t="array" ref="I1780">IF(ISNUMBER(MATCH(5517,Max!$A:$A,0)), IF(OR(INDEX(Max!$D:$D,MATCH(5517,Max!$A:$A,0))=1, INDEX(Max!$D:$D,MATCH(5517,Max!$A:$A,0))=2), INDEX(Max!$D:$D,MATCH(5517,Max!$A:$A,0)), 0), 0)</f>
        <v>1</v>
      </c>
    </row>
    <row r="1781" spans="1:9" ht="15.75" customHeight="1" x14ac:dyDescent="0.2">
      <c r="A1781" s="1">
        <v>25588</v>
      </c>
      <c r="B1781" s="1" t="s">
        <v>129</v>
      </c>
      <c r="C1781" s="1" t="s">
        <v>4069</v>
      </c>
      <c r="D1781" s="1" t="str">
        <f t="shared" si="6"/>
        <v>2</v>
      </c>
      <c r="E1781" s="1" t="s">
        <v>4070</v>
      </c>
      <c r="G1781" s="1">
        <f t="array" ref="G1781">IF(ISNUMBER(MATCH(25588,Camille!$A:$A,0)), IF(OR(INDEX(Camille!$D:$D,MATCH(25588,Camille!$A:$A,0))=1, INDEX(Camille!$D:$D,MATCH(25588,Camille!$A:$A,0))=2), INDEX(Camille!$D:$D,MATCH(25588,Camille!$A:$A,0)), 0), 0)</f>
        <v>0</v>
      </c>
      <c r="H1781" s="1">
        <f t="array" ref="H1781">IF(ISNUMBER(MATCH(25588,Telmo!$A:$A,0)), IF(OR(INDEX(Telmo!$D:$D,MATCH(25588,Telmo!$A:$A,0))=1, INDEX(Telmo!$D:$D,MATCH(25588,Telmo!$A:$A,0))=2), INDEX(Telmo!$D:$D,MATCH(25588,Telmo!$A:$A,0)), 0), 0)</f>
        <v>0</v>
      </c>
      <c r="I1781" s="1">
        <f t="array" ref="I1781">IF(ISNUMBER(MATCH(25588,Max!$A:$A,0)), IF(OR(INDEX(Max!$D:$D,MATCH(25588,Max!$A:$A,0))=1, INDEX(Max!$D:$D,MATCH(25588,Max!$A:$A,0))=2), INDEX(Max!$D:$D,MATCH(25588,Max!$A:$A,0)), 0), 0)</f>
        <v>2</v>
      </c>
    </row>
    <row r="1782" spans="1:9" ht="15.75" customHeight="1" x14ac:dyDescent="0.2">
      <c r="A1782" s="1">
        <v>50071</v>
      </c>
      <c r="B1782" s="1" t="s">
        <v>14</v>
      </c>
      <c r="C1782" s="1" t="s">
        <v>4071</v>
      </c>
      <c r="D1782" s="1" t="str">
        <f t="shared" si="6"/>
        <v>2</v>
      </c>
      <c r="E1782" s="1" t="s">
        <v>4072</v>
      </c>
      <c r="G1782" s="1">
        <f t="array" ref="G1782">IF(ISNUMBER(MATCH(50071,Camille!$A:$A,0)), IF(OR(INDEX(Camille!$D:$D,MATCH(50071,Camille!$A:$A,0))=1, INDEX(Camille!$D:$D,MATCH(50071,Camille!$A:$A,0))=2), INDEX(Camille!$D:$D,MATCH(50071,Camille!$A:$A,0)), 0), 0)</f>
        <v>0</v>
      </c>
      <c r="H1782" s="1">
        <f t="array" ref="H1782">IF(ISNUMBER(MATCH(50071,Telmo!$A:$A,0)), IF(OR(INDEX(Telmo!$D:$D,MATCH(50071,Telmo!$A:$A,0))=1, INDEX(Telmo!$D:$D,MATCH(50071,Telmo!$A:$A,0))=2), INDEX(Telmo!$D:$D,MATCH(50071,Telmo!$A:$A,0)), 0), 0)</f>
        <v>0</v>
      </c>
      <c r="I1782" s="1">
        <f t="array" ref="I1782">IF(ISNUMBER(MATCH(50071,Max!$A:$A,0)), IF(OR(INDEX(Max!$D:$D,MATCH(50071,Max!$A:$A,0))=1, INDEX(Max!$D:$D,MATCH(50071,Max!$A:$A,0))=2), INDEX(Max!$D:$D,MATCH(50071,Max!$A:$A,0)), 0), 0)</f>
        <v>2</v>
      </c>
    </row>
    <row r="1783" spans="1:9" ht="15.75" customHeight="1" x14ac:dyDescent="0.2">
      <c r="A1783" s="1">
        <v>65772</v>
      </c>
      <c r="B1783" s="1" t="s">
        <v>268</v>
      </c>
      <c r="C1783" s="1" t="s">
        <v>4073</v>
      </c>
      <c r="D1783" s="1" t="str">
        <f t="shared" si="6"/>
        <v>1</v>
      </c>
      <c r="E1783" s="1" t="s">
        <v>4074</v>
      </c>
      <c r="G1783" s="1">
        <f t="array" ref="G1783">IF(ISNUMBER(MATCH(65772,Camille!$A:$A,0)), IF(OR(INDEX(Camille!$D:$D,MATCH(65772,Camille!$A:$A,0))=1, INDEX(Camille!$D:$D,MATCH(65772,Camille!$A:$A,0))=2), INDEX(Camille!$D:$D,MATCH(65772,Camille!$A:$A,0)), 0), 0)</f>
        <v>0</v>
      </c>
      <c r="H1783" s="1">
        <f t="array" ref="H1783">IF(ISNUMBER(MATCH(65772,Telmo!$A:$A,0)), IF(OR(INDEX(Telmo!$D:$D,MATCH(65772,Telmo!$A:$A,0))=1, INDEX(Telmo!$D:$D,MATCH(65772,Telmo!$A:$A,0))=2), INDEX(Telmo!$D:$D,MATCH(65772,Telmo!$A:$A,0)), 0), 0)</f>
        <v>0</v>
      </c>
      <c r="I1783" s="1">
        <f t="array" ref="I1783">IF(ISNUMBER(MATCH(65772,Max!$A:$A,0)), IF(OR(INDEX(Max!$D:$D,MATCH(65772,Max!$A:$A,0))=1, INDEX(Max!$D:$D,MATCH(65772,Max!$A:$A,0))=2), INDEX(Max!$D:$D,MATCH(65772,Max!$A:$A,0)), 0), 0)</f>
        <v>1</v>
      </c>
    </row>
    <row r="1784" spans="1:9" ht="15.75" customHeight="1" x14ac:dyDescent="0.2">
      <c r="A1784" s="1">
        <v>1455</v>
      </c>
      <c r="B1784" s="1" t="s">
        <v>172</v>
      </c>
      <c r="C1784" s="1" t="s">
        <v>4075</v>
      </c>
      <c r="D1784" s="1" t="str">
        <f t="shared" si="6"/>
        <v>2</v>
      </c>
      <c r="E1784" s="1" t="s">
        <v>4076</v>
      </c>
      <c r="G1784" s="1">
        <f t="array" ref="G1784">IF(ISNUMBER(MATCH(1455,Camille!$A:$A,0)), IF(OR(INDEX(Camille!$D:$D,MATCH(1455,Camille!$A:$A,0))=1, INDEX(Camille!$D:$D,MATCH(1455,Camille!$A:$A,0))=2), INDEX(Camille!$D:$D,MATCH(1455,Camille!$A:$A,0)), 0), 0)</f>
        <v>0</v>
      </c>
      <c r="H1784" s="1">
        <f t="array" ref="H1784">IF(ISNUMBER(MATCH(1455,Telmo!$A:$A,0)), IF(OR(INDEX(Telmo!$D:$D,MATCH(1455,Telmo!$A:$A,0))=1, INDEX(Telmo!$D:$D,MATCH(1455,Telmo!$A:$A,0))=2), INDEX(Telmo!$D:$D,MATCH(1455,Telmo!$A:$A,0)), 0), 0)</f>
        <v>0</v>
      </c>
      <c r="I1784" s="1">
        <f t="array" ref="I1784">IF(ISNUMBER(MATCH(1455,Max!$A:$A,0)), IF(OR(INDEX(Max!$D:$D,MATCH(1455,Max!$A:$A,0))=1, INDEX(Max!$D:$D,MATCH(1455,Max!$A:$A,0))=2), INDEX(Max!$D:$D,MATCH(1455,Max!$A:$A,0)), 0), 0)</f>
        <v>2</v>
      </c>
    </row>
    <row r="1785" spans="1:9" ht="15.75" customHeight="1" x14ac:dyDescent="0.2">
      <c r="A1785" s="1">
        <v>27108</v>
      </c>
      <c r="B1785" s="1" t="s">
        <v>109</v>
      </c>
      <c r="C1785" s="1" t="s">
        <v>4077</v>
      </c>
      <c r="D1785" s="1" t="str">
        <f t="shared" si="6"/>
        <v>2</v>
      </c>
      <c r="E1785" s="1" t="s">
        <v>4078</v>
      </c>
      <c r="G1785" s="1">
        <f t="array" ref="G1785">IF(ISNUMBER(MATCH(27108,Camille!$A:$A,0)), IF(OR(INDEX(Camille!$D:$D,MATCH(27108,Camille!$A:$A,0))=1, INDEX(Camille!$D:$D,MATCH(27108,Camille!$A:$A,0))=2), INDEX(Camille!$D:$D,MATCH(27108,Camille!$A:$A,0)), 0), 0)</f>
        <v>0</v>
      </c>
      <c r="H1785" s="1">
        <f t="array" ref="H1785">IF(ISNUMBER(MATCH(27108,Telmo!$A:$A,0)), IF(OR(INDEX(Telmo!$D:$D,MATCH(27108,Telmo!$A:$A,0))=1, INDEX(Telmo!$D:$D,MATCH(27108,Telmo!$A:$A,0))=2), INDEX(Telmo!$D:$D,MATCH(27108,Telmo!$A:$A,0)), 0), 0)</f>
        <v>0</v>
      </c>
      <c r="I1785" s="1">
        <f t="array" ref="I1785">IF(ISNUMBER(MATCH(27108,Max!$A:$A,0)), IF(OR(INDEX(Max!$D:$D,MATCH(27108,Max!$A:$A,0))=1, INDEX(Max!$D:$D,MATCH(27108,Max!$A:$A,0))=2), INDEX(Max!$D:$D,MATCH(27108,Max!$A:$A,0)), 0), 0)</f>
        <v>2</v>
      </c>
    </row>
    <row r="1786" spans="1:9" ht="15.75" customHeight="1" x14ac:dyDescent="0.2">
      <c r="A1786" s="1">
        <v>51201</v>
      </c>
      <c r="B1786" s="1" t="s">
        <v>552</v>
      </c>
      <c r="C1786" s="1" t="s">
        <v>4079</v>
      </c>
      <c r="D1786" s="1" t="str">
        <f t="shared" si="6"/>
        <v>1</v>
      </c>
      <c r="E1786" s="1" t="s">
        <v>4080</v>
      </c>
      <c r="G1786" s="1">
        <f t="array" ref="G1786">IF(ISNUMBER(MATCH(51201,Camille!$A:$A,0)), IF(OR(INDEX(Camille!$D:$D,MATCH(51201,Camille!$A:$A,0))=1, INDEX(Camille!$D:$D,MATCH(51201,Camille!$A:$A,0))=2), INDEX(Camille!$D:$D,MATCH(51201,Camille!$A:$A,0)), 0), 0)</f>
        <v>0</v>
      </c>
      <c r="H1786" s="1">
        <f t="array" ref="H1786">IF(ISNUMBER(MATCH(51201,Telmo!$A:$A,0)), IF(OR(INDEX(Telmo!$D:$D,MATCH(51201,Telmo!$A:$A,0))=1, INDEX(Telmo!$D:$D,MATCH(51201,Telmo!$A:$A,0))=2), INDEX(Telmo!$D:$D,MATCH(51201,Telmo!$A:$A,0)), 0), 0)</f>
        <v>0</v>
      </c>
      <c r="I1786" s="1">
        <f t="array" ref="I1786">IF(ISNUMBER(MATCH(51201,Max!$A:$A,0)), IF(OR(INDEX(Max!$D:$D,MATCH(51201,Max!$A:$A,0))=1, INDEX(Max!$D:$D,MATCH(51201,Max!$A:$A,0))=2), INDEX(Max!$D:$D,MATCH(51201,Max!$A:$A,0)), 0), 0)</f>
        <v>1</v>
      </c>
    </row>
    <row r="1787" spans="1:9" ht="15.75" customHeight="1" x14ac:dyDescent="0.2">
      <c r="A1787" s="1">
        <v>49533</v>
      </c>
      <c r="B1787" s="1" t="s">
        <v>405</v>
      </c>
      <c r="C1787" s="1" t="s">
        <v>4081</v>
      </c>
      <c r="D1787" s="1" t="str">
        <f t="shared" si="6"/>
        <v>2</v>
      </c>
      <c r="E1787" s="1" t="s">
        <v>4082</v>
      </c>
      <c r="G1787" s="1">
        <f t="array" ref="G1787">IF(ISNUMBER(MATCH(49533,Camille!$A:$A,0)), IF(OR(INDEX(Camille!$D:$D,MATCH(49533,Camille!$A:$A,0))=1, INDEX(Camille!$D:$D,MATCH(49533,Camille!$A:$A,0))=2), INDEX(Camille!$D:$D,MATCH(49533,Camille!$A:$A,0)), 0), 0)</f>
        <v>0</v>
      </c>
      <c r="H1787" s="1">
        <f t="array" ref="H1787">IF(ISNUMBER(MATCH(49533,Telmo!$A:$A,0)), IF(OR(INDEX(Telmo!$D:$D,MATCH(49533,Telmo!$A:$A,0))=1, INDEX(Telmo!$D:$D,MATCH(49533,Telmo!$A:$A,0))=2), INDEX(Telmo!$D:$D,MATCH(49533,Telmo!$A:$A,0)), 0), 0)</f>
        <v>0</v>
      </c>
      <c r="I1787" s="1">
        <f t="array" ref="I1787">IF(ISNUMBER(MATCH(49533,Max!$A:$A,0)), IF(OR(INDEX(Max!$D:$D,MATCH(49533,Max!$A:$A,0))=1, INDEX(Max!$D:$D,MATCH(49533,Max!$A:$A,0))=2), INDEX(Max!$D:$D,MATCH(49533,Max!$A:$A,0)), 0), 0)</f>
        <v>2</v>
      </c>
    </row>
    <row r="1788" spans="1:9" ht="15.75" customHeight="1" x14ac:dyDescent="0.2">
      <c r="A1788" s="1">
        <v>1975</v>
      </c>
      <c r="B1788" s="1" t="s">
        <v>336</v>
      </c>
      <c r="C1788" s="1" t="s">
        <v>4083</v>
      </c>
      <c r="D1788" s="1" t="str">
        <f t="shared" si="6"/>
        <v>1</v>
      </c>
      <c r="E1788" s="1" t="s">
        <v>4084</v>
      </c>
      <c r="G1788" s="1">
        <f t="array" ref="G1788">IF(ISNUMBER(MATCH(1975,Camille!$A:$A,0)), IF(OR(INDEX(Camille!$D:$D,MATCH(1975,Camille!$A:$A,0))=1, INDEX(Camille!$D:$D,MATCH(1975,Camille!$A:$A,0))=2), INDEX(Camille!$D:$D,MATCH(1975,Camille!$A:$A,0)), 0), 0)</f>
        <v>0</v>
      </c>
      <c r="H1788" s="1">
        <f t="array" ref="H1788">IF(ISNUMBER(MATCH(1975,Telmo!$A:$A,0)), IF(OR(INDEX(Telmo!$D:$D,MATCH(1975,Telmo!$A:$A,0))=1, INDEX(Telmo!$D:$D,MATCH(1975,Telmo!$A:$A,0))=2), INDEX(Telmo!$D:$D,MATCH(1975,Telmo!$A:$A,0)), 0), 0)</f>
        <v>0</v>
      </c>
      <c r="I1788" s="1">
        <f t="array" ref="I1788">IF(ISNUMBER(MATCH(1975,Max!$A:$A,0)), IF(OR(INDEX(Max!$D:$D,MATCH(1975,Max!$A:$A,0))=1, INDEX(Max!$D:$D,MATCH(1975,Max!$A:$A,0))=2), INDEX(Max!$D:$D,MATCH(1975,Max!$A:$A,0)), 0), 0)</f>
        <v>1</v>
      </c>
    </row>
    <row r="1789" spans="1:9" ht="15.75" customHeight="1" x14ac:dyDescent="0.2">
      <c r="A1789" s="1">
        <v>9007</v>
      </c>
      <c r="B1789" s="1" t="s">
        <v>4085</v>
      </c>
      <c r="C1789" s="1" t="s">
        <v>4086</v>
      </c>
      <c r="D1789" s="1" t="str">
        <f t="shared" si="6"/>
        <v>2</v>
      </c>
      <c r="E1789" s="1" t="s">
        <v>4087</v>
      </c>
      <c r="G1789" s="1">
        <f t="array" ref="G1789">IF(ISNUMBER(MATCH(9007,Camille!$A:$A,0)), IF(OR(INDEX(Camille!$D:$D,MATCH(9007,Camille!$A:$A,0))=1, INDEX(Camille!$D:$D,MATCH(9007,Camille!$A:$A,0))=2), INDEX(Camille!$D:$D,MATCH(9007,Camille!$A:$A,0)), 0), 0)</f>
        <v>0</v>
      </c>
      <c r="H1789" s="1">
        <f t="array" ref="H1789">IF(ISNUMBER(MATCH(9007,Telmo!$A:$A,0)), IF(OR(INDEX(Telmo!$D:$D,MATCH(9007,Telmo!$A:$A,0))=1, INDEX(Telmo!$D:$D,MATCH(9007,Telmo!$A:$A,0))=2), INDEX(Telmo!$D:$D,MATCH(9007,Telmo!$A:$A,0)), 0), 0)</f>
        <v>0</v>
      </c>
      <c r="I1789" s="1">
        <f t="array" ref="I1789">IF(ISNUMBER(MATCH(9007,Max!$A:$A,0)), IF(OR(INDEX(Max!$D:$D,MATCH(9007,Max!$A:$A,0))=1, INDEX(Max!$D:$D,MATCH(9007,Max!$A:$A,0))=2), INDEX(Max!$D:$D,MATCH(9007,Max!$A:$A,0)), 0), 0)</f>
        <v>2</v>
      </c>
    </row>
    <row r="1790" spans="1:9" ht="15.75" customHeight="1" x14ac:dyDescent="0.2">
      <c r="A1790" s="1">
        <v>59959</v>
      </c>
      <c r="B1790" s="1" t="s">
        <v>129</v>
      </c>
      <c r="C1790" s="1" t="s">
        <v>4088</v>
      </c>
      <c r="D1790" s="1" t="str">
        <f t="shared" ref="D1790:D2004" si="7">IF(SUM(G1790:I1790)=0, "", IF(COUNTIF(G1790:I1790, "1") &gt; 0, IF(COUNTIF(G1790:I1790, "2") &gt; 0, "3", "1"),IF(COUNTIF(G1790:I1790, "2") &gt; 0, "2", "")))</f>
        <v>1</v>
      </c>
      <c r="E1790" s="1" t="s">
        <v>4089</v>
      </c>
      <c r="G1790" s="1">
        <f t="array" ref="G1790">IF(ISNUMBER(MATCH(59959,Camille!$A:$A,0)), IF(OR(INDEX(Camille!$D:$D,MATCH(59959,Camille!$A:$A,0))=1, INDEX(Camille!$D:$D,MATCH(59959,Camille!$A:$A,0))=2), INDEX(Camille!$D:$D,MATCH(59959,Camille!$A:$A,0)), 0), 0)</f>
        <v>0</v>
      </c>
      <c r="H1790" s="1">
        <f t="array" ref="H1790">IF(ISNUMBER(MATCH(59959,Telmo!$A:$A,0)), IF(OR(INDEX(Telmo!$D:$D,MATCH(59959,Telmo!$A:$A,0))=1, INDEX(Telmo!$D:$D,MATCH(59959,Telmo!$A:$A,0))=2), INDEX(Telmo!$D:$D,MATCH(59959,Telmo!$A:$A,0)), 0), 0)</f>
        <v>0</v>
      </c>
      <c r="I1790" s="1">
        <f t="array" ref="I1790">IF(ISNUMBER(MATCH(59959,Max!$A:$A,0)), IF(OR(INDEX(Max!$D:$D,MATCH(59959,Max!$A:$A,0))=1, INDEX(Max!$D:$D,MATCH(59959,Max!$A:$A,0))=2), INDEX(Max!$D:$D,MATCH(59959,Max!$A:$A,0)), 0), 0)</f>
        <v>1</v>
      </c>
    </row>
    <row r="1791" spans="1:9" ht="15.75" customHeight="1" x14ac:dyDescent="0.2">
      <c r="A1791" s="1">
        <v>15475</v>
      </c>
      <c r="B1791" s="1" t="s">
        <v>1021</v>
      </c>
      <c r="C1791" s="1" t="s">
        <v>4090</v>
      </c>
      <c r="D1791" s="1" t="str">
        <f t="shared" si="7"/>
        <v>2</v>
      </c>
      <c r="E1791" s="1" t="s">
        <v>4091</v>
      </c>
      <c r="G1791" s="1">
        <f t="array" ref="G1791">IF(ISNUMBER(MATCH(15475,Camille!$A:$A,0)), IF(OR(INDEX(Camille!$D:$D,MATCH(15475,Camille!$A:$A,0))=1, INDEX(Camille!$D:$D,MATCH(15475,Camille!$A:$A,0))=2), INDEX(Camille!$D:$D,MATCH(15475,Camille!$A:$A,0)), 0), 0)</f>
        <v>0</v>
      </c>
      <c r="H1791" s="1">
        <f t="array" ref="H1791">IF(ISNUMBER(MATCH(15475,Telmo!$A:$A,0)), IF(OR(INDEX(Telmo!$D:$D,MATCH(15475,Telmo!$A:$A,0))=1, INDEX(Telmo!$D:$D,MATCH(15475,Telmo!$A:$A,0))=2), INDEX(Telmo!$D:$D,MATCH(15475,Telmo!$A:$A,0)), 0), 0)</f>
        <v>0</v>
      </c>
      <c r="I1791" s="1">
        <f t="array" ref="I1791">IF(ISNUMBER(MATCH(15475,Max!$A:$A,0)), IF(OR(INDEX(Max!$D:$D,MATCH(15475,Max!$A:$A,0))=1, INDEX(Max!$D:$D,MATCH(15475,Max!$A:$A,0))=2), INDEX(Max!$D:$D,MATCH(15475,Max!$A:$A,0)), 0), 0)</f>
        <v>2</v>
      </c>
    </row>
    <row r="1792" spans="1:9" ht="15.75" customHeight="1" x14ac:dyDescent="0.2">
      <c r="A1792" s="1">
        <v>21795</v>
      </c>
      <c r="B1792" s="1" t="s">
        <v>1501</v>
      </c>
      <c r="C1792" s="1" t="s">
        <v>4092</v>
      </c>
      <c r="D1792" s="1" t="str">
        <f t="shared" si="7"/>
        <v>2</v>
      </c>
      <c r="E1792" s="1" t="s">
        <v>4093</v>
      </c>
      <c r="G1792" s="1">
        <f t="array" ref="G1792">IF(ISNUMBER(MATCH(21795,Camille!$A:$A,0)), IF(OR(INDEX(Camille!$D:$D,MATCH(21795,Camille!$A:$A,0))=1, INDEX(Camille!$D:$D,MATCH(21795,Camille!$A:$A,0))=2), INDEX(Camille!$D:$D,MATCH(21795,Camille!$A:$A,0)), 0), 0)</f>
        <v>0</v>
      </c>
      <c r="H1792" s="1">
        <f t="array" ref="H1792">IF(ISNUMBER(MATCH(21795,Telmo!$A:$A,0)), IF(OR(INDEX(Telmo!$D:$D,MATCH(21795,Telmo!$A:$A,0))=1, INDEX(Telmo!$D:$D,MATCH(21795,Telmo!$A:$A,0))=2), INDEX(Telmo!$D:$D,MATCH(21795,Telmo!$A:$A,0)), 0), 0)</f>
        <v>0</v>
      </c>
      <c r="I1792" s="1">
        <f t="array" ref="I1792">IF(ISNUMBER(MATCH(21795,Max!$A:$A,0)), IF(OR(INDEX(Max!$D:$D,MATCH(21795,Max!$A:$A,0))=1, INDEX(Max!$D:$D,MATCH(21795,Max!$A:$A,0))=2), INDEX(Max!$D:$D,MATCH(21795,Max!$A:$A,0)), 0), 0)</f>
        <v>2</v>
      </c>
    </row>
    <row r="1793" spans="1:9" ht="15.75" customHeight="1" x14ac:dyDescent="0.2">
      <c r="A1793" s="1">
        <v>32715</v>
      </c>
      <c r="B1793" s="1" t="s">
        <v>78</v>
      </c>
      <c r="C1793" s="1" t="s">
        <v>4094</v>
      </c>
      <c r="D1793" s="1" t="str">
        <f t="shared" si="7"/>
        <v>2</v>
      </c>
      <c r="E1793" s="1" t="s">
        <v>4095</v>
      </c>
      <c r="G1793" s="1">
        <f t="array" ref="G1793">IF(ISNUMBER(MATCH(32715,Camille!$A:$A,0)), IF(OR(INDEX(Camille!$D:$D,MATCH(32715,Camille!$A:$A,0))=1, INDEX(Camille!$D:$D,MATCH(32715,Camille!$A:$A,0))=2), INDEX(Camille!$D:$D,MATCH(32715,Camille!$A:$A,0)), 0), 0)</f>
        <v>0</v>
      </c>
      <c r="H1793" s="1">
        <f t="array" ref="H1793">IF(ISNUMBER(MATCH(32715,Telmo!$A:$A,0)), IF(OR(INDEX(Telmo!$D:$D,MATCH(32715,Telmo!$A:$A,0))=1, INDEX(Telmo!$D:$D,MATCH(32715,Telmo!$A:$A,0))=2), INDEX(Telmo!$D:$D,MATCH(32715,Telmo!$A:$A,0)), 0), 0)</f>
        <v>0</v>
      </c>
      <c r="I1793" s="1">
        <f t="array" ref="I1793">IF(ISNUMBER(MATCH(32715,Max!$A:$A,0)), IF(OR(INDEX(Max!$D:$D,MATCH(32715,Max!$A:$A,0))=1, INDEX(Max!$D:$D,MATCH(32715,Max!$A:$A,0))=2), INDEX(Max!$D:$D,MATCH(32715,Max!$A:$A,0)), 0), 0)</f>
        <v>2</v>
      </c>
    </row>
    <row r="1794" spans="1:9" ht="15.75" customHeight="1" x14ac:dyDescent="0.2">
      <c r="A1794" s="1">
        <v>27211</v>
      </c>
      <c r="B1794" s="1" t="s">
        <v>1984</v>
      </c>
      <c r="C1794" s="1" t="s">
        <v>4096</v>
      </c>
      <c r="D1794" s="1" t="str">
        <f t="shared" si="7"/>
        <v>2</v>
      </c>
      <c r="E1794" s="1" t="s">
        <v>4097</v>
      </c>
      <c r="G1794" s="1">
        <f t="array" ref="G1794">IF(ISNUMBER(MATCH(27211,Camille!$A:$A,0)), IF(OR(INDEX(Camille!$D:$D,MATCH(27211,Camille!$A:$A,0))=1, INDEX(Camille!$D:$D,MATCH(27211,Camille!$A:$A,0))=2), INDEX(Camille!$D:$D,MATCH(27211,Camille!$A:$A,0)), 0), 0)</f>
        <v>0</v>
      </c>
      <c r="H1794" s="1">
        <f t="array" ref="H1794">IF(ISNUMBER(MATCH(27211,Telmo!$A:$A,0)), IF(OR(INDEX(Telmo!$D:$D,MATCH(27211,Telmo!$A:$A,0))=1, INDEX(Telmo!$D:$D,MATCH(27211,Telmo!$A:$A,0))=2), INDEX(Telmo!$D:$D,MATCH(27211,Telmo!$A:$A,0)), 0), 0)</f>
        <v>0</v>
      </c>
      <c r="I1794" s="1">
        <f t="array" ref="I1794">IF(ISNUMBER(MATCH(27211,Max!$A:$A,0)), IF(OR(INDEX(Max!$D:$D,MATCH(27211,Max!$A:$A,0))=1, INDEX(Max!$D:$D,MATCH(27211,Max!$A:$A,0))=2), INDEX(Max!$D:$D,MATCH(27211,Max!$A:$A,0)), 0), 0)</f>
        <v>2</v>
      </c>
    </row>
    <row r="1795" spans="1:9" ht="15.75" customHeight="1" x14ac:dyDescent="0.2">
      <c r="A1795" s="1">
        <v>27699</v>
      </c>
      <c r="B1795" s="1" t="s">
        <v>1657</v>
      </c>
      <c r="C1795" s="1" t="s">
        <v>4098</v>
      </c>
      <c r="D1795" s="1" t="str">
        <f t="shared" si="7"/>
        <v>1</v>
      </c>
      <c r="E1795" s="1" t="s">
        <v>4099</v>
      </c>
      <c r="G1795" s="1">
        <f t="array" ref="G1795">IF(ISNUMBER(MATCH(27699,Camille!$A:$A,0)), IF(OR(INDEX(Camille!$D:$D,MATCH(27699,Camille!$A:$A,0))=1, INDEX(Camille!$D:$D,MATCH(27699,Camille!$A:$A,0))=2), INDEX(Camille!$D:$D,MATCH(27699,Camille!$A:$A,0)), 0), 0)</f>
        <v>0</v>
      </c>
      <c r="H1795" s="1">
        <f t="array" ref="H1795">IF(ISNUMBER(MATCH(27699,Telmo!$A:$A,0)), IF(OR(INDEX(Telmo!$D:$D,MATCH(27699,Telmo!$A:$A,0))=1, INDEX(Telmo!$D:$D,MATCH(27699,Telmo!$A:$A,0))=2), INDEX(Telmo!$D:$D,MATCH(27699,Telmo!$A:$A,0)), 0), 0)</f>
        <v>0</v>
      </c>
      <c r="I1795" s="1">
        <f t="array" ref="I1795">IF(ISNUMBER(MATCH(27699,Max!$A:$A,0)), IF(OR(INDEX(Max!$D:$D,MATCH(27699,Max!$A:$A,0))=1, INDEX(Max!$D:$D,MATCH(27699,Max!$A:$A,0))=2), INDEX(Max!$D:$D,MATCH(27699,Max!$A:$A,0)), 0), 0)</f>
        <v>1</v>
      </c>
    </row>
    <row r="1796" spans="1:9" ht="15.75" customHeight="1" x14ac:dyDescent="0.2">
      <c r="A1796" s="1">
        <v>6543</v>
      </c>
      <c r="B1796" s="1" t="s">
        <v>4100</v>
      </c>
      <c r="C1796" s="1" t="s">
        <v>4101</v>
      </c>
      <c r="D1796" s="1" t="str">
        <f t="shared" si="7"/>
        <v>2</v>
      </c>
      <c r="E1796" s="1" t="s">
        <v>4102</v>
      </c>
      <c r="G1796" s="1">
        <f t="array" ref="G1796">IF(ISNUMBER(MATCH(6543,Camille!$A:$A,0)), IF(OR(INDEX(Camille!$D:$D,MATCH(6543,Camille!$A:$A,0))=1, INDEX(Camille!$D:$D,MATCH(6543,Camille!$A:$A,0))=2), INDEX(Camille!$D:$D,MATCH(6543,Camille!$A:$A,0)), 0), 0)</f>
        <v>0</v>
      </c>
      <c r="H1796" s="1">
        <f t="array" ref="H1796">IF(ISNUMBER(MATCH(6543,Telmo!$A:$A,0)), IF(OR(INDEX(Telmo!$D:$D,MATCH(6543,Telmo!$A:$A,0))=1, INDEX(Telmo!$D:$D,MATCH(6543,Telmo!$A:$A,0))=2), INDEX(Telmo!$D:$D,MATCH(6543,Telmo!$A:$A,0)), 0), 0)</f>
        <v>0</v>
      </c>
      <c r="I1796" s="1">
        <f t="array" ref="I1796">IF(ISNUMBER(MATCH(6543,Max!$A:$A,0)), IF(OR(INDEX(Max!$D:$D,MATCH(6543,Max!$A:$A,0))=1, INDEX(Max!$D:$D,MATCH(6543,Max!$A:$A,0))=2), INDEX(Max!$D:$D,MATCH(6543,Max!$A:$A,0)), 0), 0)</f>
        <v>2</v>
      </c>
    </row>
    <row r="1797" spans="1:9" ht="15.75" customHeight="1" x14ac:dyDescent="0.2">
      <c r="A1797" s="1">
        <v>10805</v>
      </c>
      <c r="B1797" s="1" t="s">
        <v>298</v>
      </c>
      <c r="C1797" s="1" t="s">
        <v>4103</v>
      </c>
      <c r="D1797" s="1" t="str">
        <f t="shared" si="7"/>
        <v>2</v>
      </c>
      <c r="E1797" s="1" t="s">
        <v>4104</v>
      </c>
      <c r="G1797" s="1">
        <f t="array" ref="G1797">IF(ISNUMBER(MATCH(10805,Camille!$A:$A,0)), IF(OR(INDEX(Camille!$D:$D,MATCH(10805,Camille!$A:$A,0))=1, INDEX(Camille!$D:$D,MATCH(10805,Camille!$A:$A,0))=2), INDEX(Camille!$D:$D,MATCH(10805,Camille!$A:$A,0)), 0), 0)</f>
        <v>0</v>
      </c>
      <c r="H1797" s="1">
        <f t="array" ref="H1797">IF(ISNUMBER(MATCH(10805,Telmo!$A:$A,0)), IF(OR(INDEX(Telmo!$D:$D,MATCH(10805,Telmo!$A:$A,0))=1, INDEX(Telmo!$D:$D,MATCH(10805,Telmo!$A:$A,0))=2), INDEX(Telmo!$D:$D,MATCH(10805,Telmo!$A:$A,0)), 0), 0)</f>
        <v>0</v>
      </c>
      <c r="I1797" s="1">
        <f t="array" ref="I1797">IF(ISNUMBER(MATCH(10805,Max!$A:$A,0)), IF(OR(INDEX(Max!$D:$D,MATCH(10805,Max!$A:$A,0))=1, INDEX(Max!$D:$D,MATCH(10805,Max!$A:$A,0))=2), INDEX(Max!$D:$D,MATCH(10805,Max!$A:$A,0)), 0), 0)</f>
        <v>2</v>
      </c>
    </row>
    <row r="1798" spans="1:9" ht="15.75" customHeight="1" x14ac:dyDescent="0.2">
      <c r="A1798" s="1">
        <v>65901</v>
      </c>
      <c r="B1798" s="1" t="s">
        <v>4105</v>
      </c>
      <c r="C1798" s="1" t="s">
        <v>4106</v>
      </c>
      <c r="D1798" s="1" t="str">
        <f t="shared" si="7"/>
        <v>2</v>
      </c>
      <c r="E1798" s="1" t="s">
        <v>4107</v>
      </c>
      <c r="G1798" s="1">
        <f t="array" ref="G1798">IF(ISNUMBER(MATCH(65901,Camille!$A:$A,0)), IF(OR(INDEX(Camille!$D:$D,MATCH(65901,Camille!$A:$A,0))=1, INDEX(Camille!$D:$D,MATCH(65901,Camille!$A:$A,0))=2), INDEX(Camille!$D:$D,MATCH(65901,Camille!$A:$A,0)), 0), 0)</f>
        <v>0</v>
      </c>
      <c r="H1798" s="1">
        <f t="array" ref="H1798">IF(ISNUMBER(MATCH(65901,Telmo!$A:$A,0)), IF(OR(INDEX(Telmo!$D:$D,MATCH(65901,Telmo!$A:$A,0))=1, INDEX(Telmo!$D:$D,MATCH(65901,Telmo!$A:$A,0))=2), INDEX(Telmo!$D:$D,MATCH(65901,Telmo!$A:$A,0)), 0), 0)</f>
        <v>0</v>
      </c>
      <c r="I1798" s="1">
        <f t="array" ref="I1798">IF(ISNUMBER(MATCH(65901,Max!$A:$A,0)), IF(OR(INDEX(Max!$D:$D,MATCH(65901,Max!$A:$A,0))=1, INDEX(Max!$D:$D,MATCH(65901,Max!$A:$A,0))=2), INDEX(Max!$D:$D,MATCH(65901,Max!$A:$A,0)), 0), 0)</f>
        <v>2</v>
      </c>
    </row>
    <row r="1799" spans="1:9" ht="15.75" customHeight="1" x14ac:dyDescent="0.2">
      <c r="A1799" s="1">
        <v>42033</v>
      </c>
      <c r="B1799" s="1" t="s">
        <v>3816</v>
      </c>
      <c r="C1799" s="1" t="s">
        <v>4108</v>
      </c>
      <c r="D1799" s="1" t="str">
        <f t="shared" si="7"/>
        <v>2</v>
      </c>
      <c r="E1799" s="1" t="s">
        <v>4109</v>
      </c>
      <c r="G1799" s="1">
        <f t="array" ref="G1799">IF(ISNUMBER(MATCH(42033,Camille!$A:$A,0)), IF(OR(INDEX(Camille!$D:$D,MATCH(42033,Camille!$A:$A,0))=1, INDEX(Camille!$D:$D,MATCH(42033,Camille!$A:$A,0))=2), INDEX(Camille!$D:$D,MATCH(42033,Camille!$A:$A,0)), 0), 0)</f>
        <v>0</v>
      </c>
      <c r="H1799" s="1">
        <f t="array" ref="H1799">IF(ISNUMBER(MATCH(42033,Telmo!$A:$A,0)), IF(OR(INDEX(Telmo!$D:$D,MATCH(42033,Telmo!$A:$A,0))=1, INDEX(Telmo!$D:$D,MATCH(42033,Telmo!$A:$A,0))=2), INDEX(Telmo!$D:$D,MATCH(42033,Telmo!$A:$A,0)), 0), 0)</f>
        <v>0</v>
      </c>
      <c r="I1799" s="1">
        <f t="array" ref="I1799">IF(ISNUMBER(MATCH(42033,Max!$A:$A,0)), IF(OR(INDEX(Max!$D:$D,MATCH(42033,Max!$A:$A,0))=1, INDEX(Max!$D:$D,MATCH(42033,Max!$A:$A,0))=2), INDEX(Max!$D:$D,MATCH(42033,Max!$A:$A,0)), 0), 0)</f>
        <v>2</v>
      </c>
    </row>
    <row r="1800" spans="1:9" ht="15.75" customHeight="1" x14ac:dyDescent="0.2">
      <c r="A1800" s="1">
        <v>6395</v>
      </c>
      <c r="B1800" s="1" t="s">
        <v>3789</v>
      </c>
      <c r="C1800" s="1" t="s">
        <v>4110</v>
      </c>
      <c r="D1800" s="1" t="str">
        <f t="shared" si="7"/>
        <v>2</v>
      </c>
      <c r="E1800" s="1" t="s">
        <v>4111</v>
      </c>
      <c r="G1800" s="1">
        <f t="array" ref="G1800">IF(ISNUMBER(MATCH(6395,Camille!$A:$A,0)), IF(OR(INDEX(Camille!$D:$D,MATCH(6395,Camille!$A:$A,0))=1, INDEX(Camille!$D:$D,MATCH(6395,Camille!$A:$A,0))=2), INDEX(Camille!$D:$D,MATCH(6395,Camille!$A:$A,0)), 0), 0)</f>
        <v>0</v>
      </c>
      <c r="H1800" s="1">
        <f t="array" ref="H1800">IF(ISNUMBER(MATCH(6395,Telmo!$A:$A,0)), IF(OR(INDEX(Telmo!$D:$D,MATCH(6395,Telmo!$A:$A,0))=1, INDEX(Telmo!$D:$D,MATCH(6395,Telmo!$A:$A,0))=2), INDEX(Telmo!$D:$D,MATCH(6395,Telmo!$A:$A,0)), 0), 0)</f>
        <v>0</v>
      </c>
      <c r="I1800" s="1">
        <f t="array" ref="I1800">IF(ISNUMBER(MATCH(6395,Max!$A:$A,0)), IF(OR(INDEX(Max!$D:$D,MATCH(6395,Max!$A:$A,0))=1, INDEX(Max!$D:$D,MATCH(6395,Max!$A:$A,0))=2), INDEX(Max!$D:$D,MATCH(6395,Max!$A:$A,0)), 0), 0)</f>
        <v>2</v>
      </c>
    </row>
    <row r="1801" spans="1:9" ht="15.75" customHeight="1" x14ac:dyDescent="0.2">
      <c r="A1801" s="1">
        <v>36519</v>
      </c>
      <c r="B1801" s="1" t="s">
        <v>1455</v>
      </c>
      <c r="C1801" s="1" t="s">
        <v>4112</v>
      </c>
      <c r="D1801" s="1" t="str">
        <f t="shared" si="7"/>
        <v>2</v>
      </c>
      <c r="E1801" s="1" t="s">
        <v>4113</v>
      </c>
      <c r="G1801" s="1">
        <f t="array" ref="G1801">IF(ISNUMBER(MATCH(36519,Camille!$A:$A,0)), IF(OR(INDEX(Camille!$D:$D,MATCH(36519,Camille!$A:$A,0))=1, INDEX(Camille!$D:$D,MATCH(36519,Camille!$A:$A,0))=2), INDEX(Camille!$D:$D,MATCH(36519,Camille!$A:$A,0)), 0), 0)</f>
        <v>0</v>
      </c>
      <c r="H1801" s="1">
        <f t="array" ref="H1801">IF(ISNUMBER(MATCH(36519,Telmo!$A:$A,0)), IF(OR(INDEX(Telmo!$D:$D,MATCH(36519,Telmo!$A:$A,0))=1, INDEX(Telmo!$D:$D,MATCH(36519,Telmo!$A:$A,0))=2), INDEX(Telmo!$D:$D,MATCH(36519,Telmo!$A:$A,0)), 0), 0)</f>
        <v>0</v>
      </c>
      <c r="I1801" s="1">
        <f t="array" ref="I1801">IF(ISNUMBER(MATCH(36519,Max!$A:$A,0)), IF(OR(INDEX(Max!$D:$D,MATCH(36519,Max!$A:$A,0))=1, INDEX(Max!$D:$D,MATCH(36519,Max!$A:$A,0))=2), INDEX(Max!$D:$D,MATCH(36519,Max!$A:$A,0)), 0), 0)</f>
        <v>2</v>
      </c>
    </row>
    <row r="1802" spans="1:9" ht="15.75" customHeight="1" x14ac:dyDescent="0.2">
      <c r="A1802" s="1">
        <v>21302</v>
      </c>
      <c r="B1802" s="1" t="s">
        <v>244</v>
      </c>
      <c r="C1802" s="1" t="s">
        <v>4114</v>
      </c>
      <c r="D1802" s="1" t="str">
        <f t="shared" si="7"/>
        <v>1</v>
      </c>
      <c r="E1802" s="1" t="s">
        <v>4115</v>
      </c>
      <c r="G1802" s="1">
        <f t="array" ref="G1802">IF(ISNUMBER(MATCH(21302,Camille!$A:$A,0)), IF(OR(INDEX(Camille!$D:$D,MATCH(21302,Camille!$A:$A,0))=1, INDEX(Camille!$D:$D,MATCH(21302,Camille!$A:$A,0))=2), INDEX(Camille!$D:$D,MATCH(21302,Camille!$A:$A,0)), 0), 0)</f>
        <v>0</v>
      </c>
      <c r="H1802" s="1">
        <f t="array" ref="H1802">IF(ISNUMBER(MATCH(21302,Telmo!$A:$A,0)), IF(OR(INDEX(Telmo!$D:$D,MATCH(21302,Telmo!$A:$A,0))=1, INDEX(Telmo!$D:$D,MATCH(21302,Telmo!$A:$A,0))=2), INDEX(Telmo!$D:$D,MATCH(21302,Telmo!$A:$A,0)), 0), 0)</f>
        <v>0</v>
      </c>
      <c r="I1802" s="1">
        <f t="array" ref="I1802">IF(ISNUMBER(MATCH(21302,Max!$A:$A,0)), IF(OR(INDEX(Max!$D:$D,MATCH(21302,Max!$A:$A,0))=1, INDEX(Max!$D:$D,MATCH(21302,Max!$A:$A,0))=2), INDEX(Max!$D:$D,MATCH(21302,Max!$A:$A,0)), 0), 0)</f>
        <v>1</v>
      </c>
    </row>
    <row r="1803" spans="1:9" ht="15.75" customHeight="1" x14ac:dyDescent="0.2">
      <c r="A1803" s="1">
        <v>9302</v>
      </c>
      <c r="B1803" s="1" t="s">
        <v>4116</v>
      </c>
      <c r="C1803" s="1" t="s">
        <v>4117</v>
      </c>
      <c r="D1803" s="1" t="str">
        <f t="shared" si="7"/>
        <v>1</v>
      </c>
      <c r="E1803" s="1" t="s">
        <v>4118</v>
      </c>
      <c r="G1803" s="1">
        <f t="array" ref="G1803">IF(ISNUMBER(MATCH(9302,Camille!$A:$A,0)), IF(OR(INDEX(Camille!$D:$D,MATCH(9302,Camille!$A:$A,0))=1, INDEX(Camille!$D:$D,MATCH(9302,Camille!$A:$A,0))=2), INDEX(Camille!$D:$D,MATCH(9302,Camille!$A:$A,0)), 0), 0)</f>
        <v>0</v>
      </c>
      <c r="H1803" s="1">
        <f t="array" ref="H1803">IF(ISNUMBER(MATCH(9302,Telmo!$A:$A,0)), IF(OR(INDEX(Telmo!$D:$D,MATCH(9302,Telmo!$A:$A,0))=1, INDEX(Telmo!$D:$D,MATCH(9302,Telmo!$A:$A,0))=2), INDEX(Telmo!$D:$D,MATCH(9302,Telmo!$A:$A,0)), 0), 0)</f>
        <v>0</v>
      </c>
      <c r="I1803" s="1">
        <f t="array" ref="I1803">IF(ISNUMBER(MATCH(9302,Max!$A:$A,0)), IF(OR(INDEX(Max!$D:$D,MATCH(9302,Max!$A:$A,0))=1, INDEX(Max!$D:$D,MATCH(9302,Max!$A:$A,0))=2), INDEX(Max!$D:$D,MATCH(9302,Max!$A:$A,0)), 0), 0)</f>
        <v>1</v>
      </c>
    </row>
    <row r="1804" spans="1:9" ht="15.75" customHeight="1" x14ac:dyDescent="0.2">
      <c r="A1804" s="1">
        <v>16107</v>
      </c>
      <c r="B1804" s="1" t="s">
        <v>276</v>
      </c>
      <c r="C1804" s="1" t="s">
        <v>4119</v>
      </c>
      <c r="D1804" s="1" t="str">
        <f t="shared" si="7"/>
        <v>1</v>
      </c>
      <c r="E1804" s="1" t="s">
        <v>4120</v>
      </c>
      <c r="G1804" s="1">
        <f t="array" ref="G1804">IF(ISNUMBER(MATCH(16107,Camille!$A:$A,0)), IF(OR(INDEX(Camille!$D:$D,MATCH(16107,Camille!$A:$A,0))=1, INDEX(Camille!$D:$D,MATCH(16107,Camille!$A:$A,0))=2), INDEX(Camille!$D:$D,MATCH(16107,Camille!$A:$A,0)), 0), 0)</f>
        <v>0</v>
      </c>
      <c r="H1804" s="1">
        <f t="array" ref="H1804">IF(ISNUMBER(MATCH(16107,Telmo!$A:$A,0)), IF(OR(INDEX(Telmo!$D:$D,MATCH(16107,Telmo!$A:$A,0))=1, INDEX(Telmo!$D:$D,MATCH(16107,Telmo!$A:$A,0))=2), INDEX(Telmo!$D:$D,MATCH(16107,Telmo!$A:$A,0)), 0), 0)</f>
        <v>0</v>
      </c>
      <c r="I1804" s="1">
        <f t="array" ref="I1804">IF(ISNUMBER(MATCH(16107,Max!$A:$A,0)), IF(OR(INDEX(Max!$D:$D,MATCH(16107,Max!$A:$A,0))=1, INDEX(Max!$D:$D,MATCH(16107,Max!$A:$A,0))=2), INDEX(Max!$D:$D,MATCH(16107,Max!$A:$A,0)), 0), 0)</f>
        <v>1</v>
      </c>
    </row>
    <row r="1805" spans="1:9" ht="15.75" customHeight="1" x14ac:dyDescent="0.2">
      <c r="A1805" s="1">
        <v>29379</v>
      </c>
      <c r="B1805" s="1" t="s">
        <v>819</v>
      </c>
      <c r="C1805" s="1" t="s">
        <v>4121</v>
      </c>
      <c r="D1805" s="1" t="str">
        <f t="shared" si="7"/>
        <v>1</v>
      </c>
      <c r="E1805" s="1" t="s">
        <v>4122</v>
      </c>
      <c r="G1805" s="1">
        <f t="array" ref="G1805">IF(ISNUMBER(MATCH(29379,Camille!$A:$A,0)), IF(OR(INDEX(Camille!$D:$D,MATCH(29379,Camille!$A:$A,0))=1, INDEX(Camille!$D:$D,MATCH(29379,Camille!$A:$A,0))=2), INDEX(Camille!$D:$D,MATCH(29379,Camille!$A:$A,0)), 0), 0)</f>
        <v>0</v>
      </c>
      <c r="H1805" s="1">
        <f t="array" ref="H1805">IF(ISNUMBER(MATCH(29379,Telmo!$A:$A,0)), IF(OR(INDEX(Telmo!$D:$D,MATCH(29379,Telmo!$A:$A,0))=1, INDEX(Telmo!$D:$D,MATCH(29379,Telmo!$A:$A,0))=2), INDEX(Telmo!$D:$D,MATCH(29379,Telmo!$A:$A,0)), 0), 0)</f>
        <v>0</v>
      </c>
      <c r="I1805" s="1">
        <f t="array" ref="I1805">IF(ISNUMBER(MATCH(29379,Max!$A:$A,0)), IF(OR(INDEX(Max!$D:$D,MATCH(29379,Max!$A:$A,0))=1, INDEX(Max!$D:$D,MATCH(29379,Max!$A:$A,0))=2), INDEX(Max!$D:$D,MATCH(29379,Max!$A:$A,0)), 0), 0)</f>
        <v>1</v>
      </c>
    </row>
    <row r="1806" spans="1:9" ht="15.75" customHeight="1" x14ac:dyDescent="0.2">
      <c r="A1806" s="1">
        <v>37429</v>
      </c>
      <c r="B1806" s="1" t="s">
        <v>1455</v>
      </c>
      <c r="C1806" s="1" t="s">
        <v>4123</v>
      </c>
      <c r="D1806" s="1" t="str">
        <f t="shared" si="7"/>
        <v>2</v>
      </c>
      <c r="E1806" s="1" t="s">
        <v>4124</v>
      </c>
      <c r="G1806" s="1">
        <f t="array" ref="G1806">IF(ISNUMBER(MATCH(37429,Camille!$A:$A,0)), IF(OR(INDEX(Camille!$D:$D,MATCH(37429,Camille!$A:$A,0))=1, INDEX(Camille!$D:$D,MATCH(37429,Camille!$A:$A,0))=2), INDEX(Camille!$D:$D,MATCH(37429,Camille!$A:$A,0)), 0), 0)</f>
        <v>0</v>
      </c>
      <c r="H1806" s="1">
        <f t="array" ref="H1806">IF(ISNUMBER(MATCH(37429,Telmo!$A:$A,0)), IF(OR(INDEX(Telmo!$D:$D,MATCH(37429,Telmo!$A:$A,0))=1, INDEX(Telmo!$D:$D,MATCH(37429,Telmo!$A:$A,0))=2), INDEX(Telmo!$D:$D,MATCH(37429,Telmo!$A:$A,0)), 0), 0)</f>
        <v>0</v>
      </c>
      <c r="I1806" s="1">
        <f t="array" ref="I1806">IF(ISNUMBER(MATCH(37429,Max!$A:$A,0)), IF(OR(INDEX(Max!$D:$D,MATCH(37429,Max!$A:$A,0))=1, INDEX(Max!$D:$D,MATCH(37429,Max!$A:$A,0))=2), INDEX(Max!$D:$D,MATCH(37429,Max!$A:$A,0)), 0), 0)</f>
        <v>2</v>
      </c>
    </row>
    <row r="1807" spans="1:9" ht="15.75" customHeight="1" x14ac:dyDescent="0.2">
      <c r="A1807" s="1">
        <v>4798</v>
      </c>
      <c r="B1807" s="1" t="s">
        <v>191</v>
      </c>
      <c r="C1807" s="1" t="s">
        <v>4125</v>
      </c>
      <c r="D1807" s="1" t="str">
        <f t="shared" si="7"/>
        <v>2</v>
      </c>
      <c r="E1807" s="1" t="s">
        <v>4126</v>
      </c>
      <c r="G1807" s="1">
        <f t="array" ref="G1807">IF(ISNUMBER(MATCH(4798,Camille!$A:$A,0)), IF(OR(INDEX(Camille!$D:$D,MATCH(4798,Camille!$A:$A,0))=1, INDEX(Camille!$D:$D,MATCH(4798,Camille!$A:$A,0))=2), INDEX(Camille!$D:$D,MATCH(4798,Camille!$A:$A,0)), 0), 0)</f>
        <v>0</v>
      </c>
      <c r="H1807" s="1">
        <f t="array" ref="H1807">IF(ISNUMBER(MATCH(4798,Telmo!$A:$A,0)), IF(OR(INDEX(Telmo!$D:$D,MATCH(4798,Telmo!$A:$A,0))=1, INDEX(Telmo!$D:$D,MATCH(4798,Telmo!$A:$A,0))=2), INDEX(Telmo!$D:$D,MATCH(4798,Telmo!$A:$A,0)), 0), 0)</f>
        <v>0</v>
      </c>
      <c r="I1807" s="1">
        <f t="array" ref="I1807">IF(ISNUMBER(MATCH(4798,Max!$A:$A,0)), IF(OR(INDEX(Max!$D:$D,MATCH(4798,Max!$A:$A,0))=1, INDEX(Max!$D:$D,MATCH(4798,Max!$A:$A,0))=2), INDEX(Max!$D:$D,MATCH(4798,Max!$A:$A,0)), 0), 0)</f>
        <v>2</v>
      </c>
    </row>
    <row r="1808" spans="1:9" ht="15.75" customHeight="1" x14ac:dyDescent="0.2">
      <c r="A1808" s="1">
        <v>5788</v>
      </c>
      <c r="B1808" s="1" t="s">
        <v>41</v>
      </c>
      <c r="C1808" s="1" t="s">
        <v>4127</v>
      </c>
      <c r="D1808" s="1" t="str">
        <f t="shared" si="7"/>
        <v>2</v>
      </c>
      <c r="E1808" s="1" t="s">
        <v>4128</v>
      </c>
      <c r="G1808" s="1">
        <f t="array" ref="G1808">IF(ISNUMBER(MATCH(5788,Camille!$A:$A,0)), IF(OR(INDEX(Camille!$D:$D,MATCH(5788,Camille!$A:$A,0))=1, INDEX(Camille!$D:$D,MATCH(5788,Camille!$A:$A,0))=2), INDEX(Camille!$D:$D,MATCH(5788,Camille!$A:$A,0)), 0), 0)</f>
        <v>0</v>
      </c>
      <c r="H1808" s="1">
        <f t="array" ref="H1808">IF(ISNUMBER(MATCH(5788,Telmo!$A:$A,0)), IF(OR(INDEX(Telmo!$D:$D,MATCH(5788,Telmo!$A:$A,0))=1, INDEX(Telmo!$D:$D,MATCH(5788,Telmo!$A:$A,0))=2), INDEX(Telmo!$D:$D,MATCH(5788,Telmo!$A:$A,0)), 0), 0)</f>
        <v>0</v>
      </c>
      <c r="I1808" s="1">
        <f t="array" ref="I1808">IF(ISNUMBER(MATCH(5788,Max!$A:$A,0)), IF(OR(INDEX(Max!$D:$D,MATCH(5788,Max!$A:$A,0))=1, INDEX(Max!$D:$D,MATCH(5788,Max!$A:$A,0))=2), INDEX(Max!$D:$D,MATCH(5788,Max!$A:$A,0)), 0), 0)</f>
        <v>2</v>
      </c>
    </row>
    <row r="1809" spans="1:9" ht="15.75" customHeight="1" x14ac:dyDescent="0.2">
      <c r="A1809" s="1">
        <v>38281</v>
      </c>
      <c r="B1809" s="1" t="s">
        <v>153</v>
      </c>
      <c r="C1809" s="1" t="s">
        <v>4129</v>
      </c>
      <c r="D1809" s="1" t="str">
        <f t="shared" si="7"/>
        <v>2</v>
      </c>
      <c r="E1809" s="1" t="s">
        <v>4130</v>
      </c>
      <c r="G1809" s="1">
        <f t="array" ref="G1809">IF(ISNUMBER(MATCH(38281,Camille!$A:$A,0)), IF(OR(INDEX(Camille!$D:$D,MATCH(38281,Camille!$A:$A,0))=1, INDEX(Camille!$D:$D,MATCH(38281,Camille!$A:$A,0))=2), INDEX(Camille!$D:$D,MATCH(38281,Camille!$A:$A,0)), 0), 0)</f>
        <v>0</v>
      </c>
      <c r="H1809" s="1">
        <f t="array" ref="H1809">IF(ISNUMBER(MATCH(38281,Telmo!$A:$A,0)), IF(OR(INDEX(Telmo!$D:$D,MATCH(38281,Telmo!$A:$A,0))=1, INDEX(Telmo!$D:$D,MATCH(38281,Telmo!$A:$A,0))=2), INDEX(Telmo!$D:$D,MATCH(38281,Telmo!$A:$A,0)), 0), 0)</f>
        <v>0</v>
      </c>
      <c r="I1809" s="1">
        <f t="array" ref="I1809">IF(ISNUMBER(MATCH(38281,Max!$A:$A,0)), IF(OR(INDEX(Max!$D:$D,MATCH(38281,Max!$A:$A,0))=1, INDEX(Max!$D:$D,MATCH(38281,Max!$A:$A,0))=2), INDEX(Max!$D:$D,MATCH(38281,Max!$A:$A,0)), 0), 0)</f>
        <v>2</v>
      </c>
    </row>
    <row r="1810" spans="1:9" ht="15.75" customHeight="1" x14ac:dyDescent="0.2">
      <c r="A1810" s="1">
        <v>9362</v>
      </c>
      <c r="B1810" s="1" t="s">
        <v>244</v>
      </c>
      <c r="C1810" s="1" t="s">
        <v>4131</v>
      </c>
      <c r="D1810" s="1" t="str">
        <f t="shared" si="7"/>
        <v>2</v>
      </c>
      <c r="E1810" s="1" t="s">
        <v>4132</v>
      </c>
      <c r="G1810" s="1">
        <f t="array" ref="G1810">IF(ISNUMBER(MATCH(9362,Camille!$A:$A,0)), IF(OR(INDEX(Camille!$D:$D,MATCH(9362,Camille!$A:$A,0))=1, INDEX(Camille!$D:$D,MATCH(9362,Camille!$A:$A,0))=2), INDEX(Camille!$D:$D,MATCH(9362,Camille!$A:$A,0)), 0), 0)</f>
        <v>0</v>
      </c>
      <c r="H1810" s="1">
        <f t="array" ref="H1810">IF(ISNUMBER(MATCH(9362,Telmo!$A:$A,0)), IF(OR(INDEX(Telmo!$D:$D,MATCH(9362,Telmo!$A:$A,0))=1, INDEX(Telmo!$D:$D,MATCH(9362,Telmo!$A:$A,0))=2), INDEX(Telmo!$D:$D,MATCH(9362,Telmo!$A:$A,0)), 0), 0)</f>
        <v>0</v>
      </c>
      <c r="I1810" s="1">
        <f t="array" ref="I1810">IF(ISNUMBER(MATCH(9362,Max!$A:$A,0)), IF(OR(INDEX(Max!$D:$D,MATCH(9362,Max!$A:$A,0))=1, INDEX(Max!$D:$D,MATCH(9362,Max!$A:$A,0))=2), INDEX(Max!$D:$D,MATCH(9362,Max!$A:$A,0)), 0), 0)</f>
        <v>2</v>
      </c>
    </row>
    <row r="1811" spans="1:9" ht="15.75" customHeight="1" x14ac:dyDescent="0.2">
      <c r="A1811" s="1">
        <v>41405</v>
      </c>
      <c r="B1811" s="1" t="s">
        <v>20</v>
      </c>
      <c r="C1811" s="1" t="s">
        <v>4133</v>
      </c>
      <c r="D1811" s="1" t="str">
        <f t="shared" si="7"/>
        <v>2</v>
      </c>
      <c r="E1811" s="1" t="s">
        <v>4134</v>
      </c>
      <c r="G1811" s="1">
        <f t="array" ref="G1811">IF(ISNUMBER(MATCH(41405,Camille!$A:$A,0)), IF(OR(INDEX(Camille!$D:$D,MATCH(41405,Camille!$A:$A,0))=1, INDEX(Camille!$D:$D,MATCH(41405,Camille!$A:$A,0))=2), INDEX(Camille!$D:$D,MATCH(41405,Camille!$A:$A,0)), 0), 0)</f>
        <v>0</v>
      </c>
      <c r="H1811" s="1">
        <f t="array" ref="H1811">IF(ISNUMBER(MATCH(41405,Telmo!$A:$A,0)), IF(OR(INDEX(Telmo!$D:$D,MATCH(41405,Telmo!$A:$A,0))=1, INDEX(Telmo!$D:$D,MATCH(41405,Telmo!$A:$A,0))=2), INDEX(Telmo!$D:$D,MATCH(41405,Telmo!$A:$A,0)), 0), 0)</f>
        <v>0</v>
      </c>
      <c r="I1811" s="1">
        <f t="array" ref="I1811">IF(ISNUMBER(MATCH(41405,Max!$A:$A,0)), IF(OR(INDEX(Max!$D:$D,MATCH(41405,Max!$A:$A,0))=1, INDEX(Max!$D:$D,MATCH(41405,Max!$A:$A,0))=2), INDEX(Max!$D:$D,MATCH(41405,Max!$A:$A,0)), 0), 0)</f>
        <v>2</v>
      </c>
    </row>
    <row r="1812" spans="1:9" ht="15.75" customHeight="1" x14ac:dyDescent="0.2">
      <c r="A1812" s="1">
        <v>51101</v>
      </c>
      <c r="B1812" s="1" t="s">
        <v>259</v>
      </c>
      <c r="C1812" s="1" t="s">
        <v>4135</v>
      </c>
      <c r="D1812" s="1" t="str">
        <f t="shared" si="7"/>
        <v>2</v>
      </c>
      <c r="E1812" s="1" t="s">
        <v>4136</v>
      </c>
      <c r="G1812" s="1">
        <f t="array" ref="G1812">IF(ISNUMBER(MATCH(51101,Camille!$A:$A,0)), IF(OR(INDEX(Camille!$D:$D,MATCH(51101,Camille!$A:$A,0))=1, INDEX(Camille!$D:$D,MATCH(51101,Camille!$A:$A,0))=2), INDEX(Camille!$D:$D,MATCH(51101,Camille!$A:$A,0)), 0), 0)</f>
        <v>0</v>
      </c>
      <c r="H1812" s="1">
        <f t="array" ref="H1812">IF(ISNUMBER(MATCH(51101,Telmo!$A:$A,0)), IF(OR(INDEX(Telmo!$D:$D,MATCH(51101,Telmo!$A:$A,0))=1, INDEX(Telmo!$D:$D,MATCH(51101,Telmo!$A:$A,0))=2), INDEX(Telmo!$D:$D,MATCH(51101,Telmo!$A:$A,0)), 0), 0)</f>
        <v>0</v>
      </c>
      <c r="I1812" s="1">
        <f t="array" ref="I1812">IF(ISNUMBER(MATCH(51101,Max!$A:$A,0)), IF(OR(INDEX(Max!$D:$D,MATCH(51101,Max!$A:$A,0))=1, INDEX(Max!$D:$D,MATCH(51101,Max!$A:$A,0))=2), INDEX(Max!$D:$D,MATCH(51101,Max!$A:$A,0)), 0), 0)</f>
        <v>2</v>
      </c>
    </row>
    <row r="1813" spans="1:9" ht="15.75" customHeight="1" x14ac:dyDescent="0.2">
      <c r="A1813" s="1">
        <v>64583</v>
      </c>
      <c r="B1813" s="1" t="s">
        <v>405</v>
      </c>
      <c r="C1813" s="1" t="s">
        <v>4137</v>
      </c>
      <c r="D1813" s="1" t="str">
        <f t="shared" si="7"/>
        <v>2</v>
      </c>
      <c r="E1813" s="1" t="s">
        <v>4138</v>
      </c>
      <c r="G1813" s="1">
        <f t="array" ref="G1813">IF(ISNUMBER(MATCH(64583,Camille!$A:$A,0)), IF(OR(INDEX(Camille!$D:$D,MATCH(64583,Camille!$A:$A,0))=1, INDEX(Camille!$D:$D,MATCH(64583,Camille!$A:$A,0))=2), INDEX(Camille!$D:$D,MATCH(64583,Camille!$A:$A,0)), 0), 0)</f>
        <v>0</v>
      </c>
      <c r="H1813" s="1">
        <f t="array" ref="H1813">IF(ISNUMBER(MATCH(64583,Telmo!$A:$A,0)), IF(OR(INDEX(Telmo!$D:$D,MATCH(64583,Telmo!$A:$A,0))=1, INDEX(Telmo!$D:$D,MATCH(64583,Telmo!$A:$A,0))=2), INDEX(Telmo!$D:$D,MATCH(64583,Telmo!$A:$A,0)), 0), 0)</f>
        <v>0</v>
      </c>
      <c r="I1813" s="1">
        <f t="array" ref="I1813">IF(ISNUMBER(MATCH(64583,Max!$A:$A,0)), IF(OR(INDEX(Max!$D:$D,MATCH(64583,Max!$A:$A,0))=1, INDEX(Max!$D:$D,MATCH(64583,Max!$A:$A,0))=2), INDEX(Max!$D:$D,MATCH(64583,Max!$A:$A,0)), 0), 0)</f>
        <v>2</v>
      </c>
    </row>
    <row r="1814" spans="1:9" ht="15.75" customHeight="1" x14ac:dyDescent="0.2">
      <c r="A1814" s="1">
        <v>53229</v>
      </c>
      <c r="B1814" s="1" t="s">
        <v>906</v>
      </c>
      <c r="C1814" s="1" t="s">
        <v>4139</v>
      </c>
      <c r="D1814" s="1" t="str">
        <f t="shared" si="7"/>
        <v>1</v>
      </c>
      <c r="E1814" s="1" t="s">
        <v>4140</v>
      </c>
      <c r="G1814" s="1">
        <f t="array" ref="G1814">IF(ISNUMBER(MATCH(53229,Camille!$A:$A,0)), IF(OR(INDEX(Camille!$D:$D,MATCH(53229,Camille!$A:$A,0))=1, INDEX(Camille!$D:$D,MATCH(53229,Camille!$A:$A,0))=2), INDEX(Camille!$D:$D,MATCH(53229,Camille!$A:$A,0)), 0), 0)</f>
        <v>0</v>
      </c>
      <c r="H1814" s="1">
        <f t="array" ref="H1814">IF(ISNUMBER(MATCH(53229,Telmo!$A:$A,0)), IF(OR(INDEX(Telmo!$D:$D,MATCH(53229,Telmo!$A:$A,0))=1, INDEX(Telmo!$D:$D,MATCH(53229,Telmo!$A:$A,0))=2), INDEX(Telmo!$D:$D,MATCH(53229,Telmo!$A:$A,0)), 0), 0)</f>
        <v>0</v>
      </c>
      <c r="I1814" s="1">
        <f t="array" ref="I1814">IF(ISNUMBER(MATCH(53229,Max!$A:$A,0)), IF(OR(INDEX(Max!$D:$D,MATCH(53229,Max!$A:$A,0))=1, INDEX(Max!$D:$D,MATCH(53229,Max!$A:$A,0))=2), INDEX(Max!$D:$D,MATCH(53229,Max!$A:$A,0)), 0), 0)</f>
        <v>1</v>
      </c>
    </row>
    <row r="1815" spans="1:9" ht="15.75" customHeight="1" x14ac:dyDescent="0.2">
      <c r="A1815" s="1">
        <v>29951</v>
      </c>
      <c r="B1815" s="1" t="s">
        <v>301</v>
      </c>
      <c r="C1815" s="1" t="s">
        <v>4141</v>
      </c>
      <c r="D1815" s="1" t="str">
        <f t="shared" si="7"/>
        <v>1</v>
      </c>
      <c r="E1815" s="1" t="s">
        <v>4142</v>
      </c>
      <c r="G1815" s="1">
        <f t="array" ref="G1815">IF(ISNUMBER(MATCH(29951,Camille!$A:$A,0)), IF(OR(INDEX(Camille!$D:$D,MATCH(29951,Camille!$A:$A,0))=1, INDEX(Camille!$D:$D,MATCH(29951,Camille!$A:$A,0))=2), INDEX(Camille!$D:$D,MATCH(29951,Camille!$A:$A,0)), 0), 0)</f>
        <v>0</v>
      </c>
      <c r="H1815" s="1">
        <f t="array" ref="H1815">IF(ISNUMBER(MATCH(29951,Telmo!$A:$A,0)), IF(OR(INDEX(Telmo!$D:$D,MATCH(29951,Telmo!$A:$A,0))=1, INDEX(Telmo!$D:$D,MATCH(29951,Telmo!$A:$A,0))=2), INDEX(Telmo!$D:$D,MATCH(29951,Telmo!$A:$A,0)), 0), 0)</f>
        <v>0</v>
      </c>
      <c r="I1815" s="1">
        <f t="array" ref="I1815">IF(ISNUMBER(MATCH(29951,Max!$A:$A,0)), IF(OR(INDEX(Max!$D:$D,MATCH(29951,Max!$A:$A,0))=1, INDEX(Max!$D:$D,MATCH(29951,Max!$A:$A,0))=2), INDEX(Max!$D:$D,MATCH(29951,Max!$A:$A,0)), 0), 0)</f>
        <v>1</v>
      </c>
    </row>
    <row r="1816" spans="1:9" ht="15.75" customHeight="1" x14ac:dyDescent="0.2">
      <c r="A1816" s="1">
        <v>45871</v>
      </c>
      <c r="B1816" s="1" t="s">
        <v>490</v>
      </c>
      <c r="C1816" s="1" t="s">
        <v>4143</v>
      </c>
      <c r="D1816" s="1" t="str">
        <f t="shared" si="7"/>
        <v>1</v>
      </c>
      <c r="E1816" s="1" t="s">
        <v>4144</v>
      </c>
      <c r="G1816" s="1">
        <f t="array" ref="G1816">IF(ISNUMBER(MATCH(45871,Camille!$A:$A,0)), IF(OR(INDEX(Camille!$D:$D,MATCH(45871,Camille!$A:$A,0))=1, INDEX(Camille!$D:$D,MATCH(45871,Camille!$A:$A,0))=2), INDEX(Camille!$D:$D,MATCH(45871,Camille!$A:$A,0)), 0), 0)</f>
        <v>0</v>
      </c>
      <c r="H1816" s="1">
        <f t="array" ref="H1816">IF(ISNUMBER(MATCH(45871,Telmo!$A:$A,0)), IF(OR(INDEX(Telmo!$D:$D,MATCH(45871,Telmo!$A:$A,0))=1, INDEX(Telmo!$D:$D,MATCH(45871,Telmo!$A:$A,0))=2), INDEX(Telmo!$D:$D,MATCH(45871,Telmo!$A:$A,0)), 0), 0)</f>
        <v>0</v>
      </c>
      <c r="I1816" s="1">
        <f t="array" ref="I1816">IF(ISNUMBER(MATCH(45871,Max!$A:$A,0)), IF(OR(INDEX(Max!$D:$D,MATCH(45871,Max!$A:$A,0))=1, INDEX(Max!$D:$D,MATCH(45871,Max!$A:$A,0))=2), INDEX(Max!$D:$D,MATCH(45871,Max!$A:$A,0)), 0), 0)</f>
        <v>1</v>
      </c>
    </row>
    <row r="1817" spans="1:9" ht="15.75" customHeight="1" x14ac:dyDescent="0.2">
      <c r="A1817" s="1">
        <v>55163</v>
      </c>
      <c r="B1817" s="1" t="s">
        <v>723</v>
      </c>
      <c r="C1817" s="1" t="s">
        <v>4145</v>
      </c>
      <c r="D1817" s="1" t="str">
        <f t="shared" si="7"/>
        <v>2</v>
      </c>
      <c r="E1817" s="1" t="s">
        <v>4146</v>
      </c>
      <c r="G1817" s="1">
        <f t="array" ref="G1817">IF(ISNUMBER(MATCH(55163,Camille!$A:$A,0)), IF(OR(INDEX(Camille!$D:$D,MATCH(55163,Camille!$A:$A,0))=1, INDEX(Camille!$D:$D,MATCH(55163,Camille!$A:$A,0))=2), INDEX(Camille!$D:$D,MATCH(55163,Camille!$A:$A,0)), 0), 0)</f>
        <v>0</v>
      </c>
      <c r="H1817" s="1">
        <f t="array" ref="H1817">IF(ISNUMBER(MATCH(55163,Telmo!$A:$A,0)), IF(OR(INDEX(Telmo!$D:$D,MATCH(55163,Telmo!$A:$A,0))=1, INDEX(Telmo!$D:$D,MATCH(55163,Telmo!$A:$A,0))=2), INDEX(Telmo!$D:$D,MATCH(55163,Telmo!$A:$A,0)), 0), 0)</f>
        <v>0</v>
      </c>
      <c r="I1817" s="1">
        <f t="array" ref="I1817">IF(ISNUMBER(MATCH(55163,Max!$A:$A,0)), IF(OR(INDEX(Max!$D:$D,MATCH(55163,Max!$A:$A,0))=1, INDEX(Max!$D:$D,MATCH(55163,Max!$A:$A,0))=2), INDEX(Max!$D:$D,MATCH(55163,Max!$A:$A,0)), 0), 0)</f>
        <v>2</v>
      </c>
    </row>
    <row r="1818" spans="1:9" ht="15.75" customHeight="1" x14ac:dyDescent="0.2">
      <c r="A1818" s="1">
        <v>8851</v>
      </c>
      <c r="B1818" s="1" t="s">
        <v>1175</v>
      </c>
      <c r="C1818" s="1" t="s">
        <v>4147</v>
      </c>
      <c r="D1818" s="1" t="str">
        <f t="shared" si="7"/>
        <v>2</v>
      </c>
      <c r="E1818" s="1" t="s">
        <v>4148</v>
      </c>
      <c r="G1818" s="1">
        <f t="array" ref="G1818">IF(ISNUMBER(MATCH(8851,Camille!$A:$A,0)), IF(OR(INDEX(Camille!$D:$D,MATCH(8851,Camille!$A:$A,0))=1, INDEX(Camille!$D:$D,MATCH(8851,Camille!$A:$A,0))=2), INDEX(Camille!$D:$D,MATCH(8851,Camille!$A:$A,0)), 0), 0)</f>
        <v>0</v>
      </c>
      <c r="H1818" s="1">
        <f t="array" ref="H1818">IF(ISNUMBER(MATCH(8851,Telmo!$A:$A,0)), IF(OR(INDEX(Telmo!$D:$D,MATCH(8851,Telmo!$A:$A,0))=1, INDEX(Telmo!$D:$D,MATCH(8851,Telmo!$A:$A,0))=2), INDEX(Telmo!$D:$D,MATCH(8851,Telmo!$A:$A,0)), 0), 0)</f>
        <v>0</v>
      </c>
      <c r="I1818" s="1">
        <f t="array" ref="I1818">IF(ISNUMBER(MATCH(8851,Max!$A:$A,0)), IF(OR(INDEX(Max!$D:$D,MATCH(8851,Max!$A:$A,0))=1, INDEX(Max!$D:$D,MATCH(8851,Max!$A:$A,0))=2), INDEX(Max!$D:$D,MATCH(8851,Max!$A:$A,0)), 0), 0)</f>
        <v>2</v>
      </c>
    </row>
    <row r="1819" spans="1:9" ht="15.75" customHeight="1" x14ac:dyDescent="0.2">
      <c r="A1819" s="1">
        <v>39901</v>
      </c>
      <c r="B1819" s="1" t="s">
        <v>2574</v>
      </c>
      <c r="C1819" s="1" t="s">
        <v>4149</v>
      </c>
      <c r="D1819" s="1" t="str">
        <f t="shared" si="7"/>
        <v>2</v>
      </c>
      <c r="E1819" s="1" t="s">
        <v>4150</v>
      </c>
      <c r="G1819" s="1">
        <f t="array" ref="G1819">IF(ISNUMBER(MATCH(39901,Camille!$A:$A,0)), IF(OR(INDEX(Camille!$D:$D,MATCH(39901,Camille!$A:$A,0))=1, INDEX(Camille!$D:$D,MATCH(39901,Camille!$A:$A,0))=2), INDEX(Camille!$D:$D,MATCH(39901,Camille!$A:$A,0)), 0), 0)</f>
        <v>0</v>
      </c>
      <c r="H1819" s="1">
        <f t="array" ref="H1819">IF(ISNUMBER(MATCH(39901,Telmo!$A:$A,0)), IF(OR(INDEX(Telmo!$D:$D,MATCH(39901,Telmo!$A:$A,0))=1, INDEX(Telmo!$D:$D,MATCH(39901,Telmo!$A:$A,0))=2), INDEX(Telmo!$D:$D,MATCH(39901,Telmo!$A:$A,0)), 0), 0)</f>
        <v>0</v>
      </c>
      <c r="I1819" s="1">
        <f t="array" ref="I1819">IF(ISNUMBER(MATCH(39901,Max!$A:$A,0)), IF(OR(INDEX(Max!$D:$D,MATCH(39901,Max!$A:$A,0))=1, INDEX(Max!$D:$D,MATCH(39901,Max!$A:$A,0))=2), INDEX(Max!$D:$D,MATCH(39901,Max!$A:$A,0)), 0), 0)</f>
        <v>2</v>
      </c>
    </row>
    <row r="1820" spans="1:9" ht="15.75" customHeight="1" x14ac:dyDescent="0.2">
      <c r="A1820" s="1">
        <v>50296</v>
      </c>
      <c r="B1820" s="1" t="s">
        <v>1921</v>
      </c>
      <c r="C1820" s="1" t="s">
        <v>4151</v>
      </c>
      <c r="D1820" s="1" t="str">
        <f t="shared" si="7"/>
        <v>2</v>
      </c>
      <c r="E1820" s="1" t="s">
        <v>4152</v>
      </c>
      <c r="G1820" s="1">
        <f t="array" ref="G1820">IF(ISNUMBER(MATCH(50296,Camille!$A:$A,0)), IF(OR(INDEX(Camille!$D:$D,MATCH(50296,Camille!$A:$A,0))=1, INDEX(Camille!$D:$D,MATCH(50296,Camille!$A:$A,0))=2), INDEX(Camille!$D:$D,MATCH(50296,Camille!$A:$A,0)), 0), 0)</f>
        <v>0</v>
      </c>
      <c r="H1820" s="1">
        <f t="array" ref="H1820">IF(ISNUMBER(MATCH(50296,Telmo!$A:$A,0)), IF(OR(INDEX(Telmo!$D:$D,MATCH(50296,Telmo!$A:$A,0))=1, INDEX(Telmo!$D:$D,MATCH(50296,Telmo!$A:$A,0))=2), INDEX(Telmo!$D:$D,MATCH(50296,Telmo!$A:$A,0)), 0), 0)</f>
        <v>0</v>
      </c>
      <c r="I1820" s="1">
        <f t="array" ref="I1820">IF(ISNUMBER(MATCH(50296,Max!$A:$A,0)), IF(OR(INDEX(Max!$D:$D,MATCH(50296,Max!$A:$A,0))=1, INDEX(Max!$D:$D,MATCH(50296,Max!$A:$A,0))=2), INDEX(Max!$D:$D,MATCH(50296,Max!$A:$A,0)), 0), 0)</f>
        <v>2</v>
      </c>
    </row>
    <row r="1821" spans="1:9" ht="15.75" customHeight="1" x14ac:dyDescent="0.2">
      <c r="A1821" s="1">
        <v>16158</v>
      </c>
      <c r="B1821" s="1" t="s">
        <v>959</v>
      </c>
      <c r="C1821" s="1" t="s">
        <v>4153</v>
      </c>
      <c r="D1821" s="1" t="str">
        <f t="shared" si="7"/>
        <v>2</v>
      </c>
      <c r="E1821" s="1" t="s">
        <v>4154</v>
      </c>
      <c r="G1821" s="1">
        <f t="array" ref="G1821">IF(ISNUMBER(MATCH(16158,Camille!$A:$A,0)), IF(OR(INDEX(Camille!$D:$D,MATCH(16158,Camille!$A:$A,0))=1, INDEX(Camille!$D:$D,MATCH(16158,Camille!$A:$A,0))=2), INDEX(Camille!$D:$D,MATCH(16158,Camille!$A:$A,0)), 0), 0)</f>
        <v>0</v>
      </c>
      <c r="H1821" s="1">
        <f t="array" ref="H1821">IF(ISNUMBER(MATCH(16158,Telmo!$A:$A,0)), IF(OR(INDEX(Telmo!$D:$D,MATCH(16158,Telmo!$A:$A,0))=1, INDEX(Telmo!$D:$D,MATCH(16158,Telmo!$A:$A,0))=2), INDEX(Telmo!$D:$D,MATCH(16158,Telmo!$A:$A,0)), 0), 0)</f>
        <v>0</v>
      </c>
      <c r="I1821" s="1">
        <f t="array" ref="I1821">IF(ISNUMBER(MATCH(16158,Max!$A:$A,0)), IF(OR(INDEX(Max!$D:$D,MATCH(16158,Max!$A:$A,0))=1, INDEX(Max!$D:$D,MATCH(16158,Max!$A:$A,0))=2), INDEX(Max!$D:$D,MATCH(16158,Max!$A:$A,0)), 0), 0)</f>
        <v>2</v>
      </c>
    </row>
    <row r="1822" spans="1:9" ht="15.75" customHeight="1" x14ac:dyDescent="0.2">
      <c r="A1822" s="1">
        <v>61172</v>
      </c>
      <c r="B1822" s="1" t="s">
        <v>466</v>
      </c>
      <c r="C1822" s="1" t="s">
        <v>4155</v>
      </c>
      <c r="D1822" s="1" t="str">
        <f t="shared" si="7"/>
        <v>2</v>
      </c>
      <c r="E1822" s="1" t="s">
        <v>4156</v>
      </c>
      <c r="G1822" s="1">
        <f t="array" ref="G1822">IF(ISNUMBER(MATCH(61172,Camille!$A:$A,0)), IF(OR(INDEX(Camille!$D:$D,MATCH(61172,Camille!$A:$A,0))=1, INDEX(Camille!$D:$D,MATCH(61172,Camille!$A:$A,0))=2), INDEX(Camille!$D:$D,MATCH(61172,Camille!$A:$A,0)), 0), 0)</f>
        <v>0</v>
      </c>
      <c r="H1822" s="1">
        <f t="array" ref="H1822">IF(ISNUMBER(MATCH(61172,Telmo!$A:$A,0)), IF(OR(INDEX(Telmo!$D:$D,MATCH(61172,Telmo!$A:$A,0))=1, INDEX(Telmo!$D:$D,MATCH(61172,Telmo!$A:$A,0))=2), INDEX(Telmo!$D:$D,MATCH(61172,Telmo!$A:$A,0)), 0), 0)</f>
        <v>0</v>
      </c>
      <c r="I1822" s="1">
        <f t="array" ref="I1822">IF(ISNUMBER(MATCH(61172,Max!$A:$A,0)), IF(OR(INDEX(Max!$D:$D,MATCH(61172,Max!$A:$A,0))=1, INDEX(Max!$D:$D,MATCH(61172,Max!$A:$A,0))=2), INDEX(Max!$D:$D,MATCH(61172,Max!$A:$A,0)), 0), 0)</f>
        <v>2</v>
      </c>
    </row>
    <row r="1823" spans="1:9" ht="15.75" customHeight="1" x14ac:dyDescent="0.2">
      <c r="A1823" s="1">
        <v>63487</v>
      </c>
      <c r="B1823" s="1" t="s">
        <v>11</v>
      </c>
      <c r="C1823" s="1" t="s">
        <v>4157</v>
      </c>
      <c r="D1823" s="1" t="str">
        <f t="shared" si="7"/>
        <v>1</v>
      </c>
      <c r="E1823" s="1" t="s">
        <v>4158</v>
      </c>
      <c r="G1823" s="1">
        <f t="array" ref="G1823">IF(ISNUMBER(MATCH(63487,Camille!$A:$A,0)), IF(OR(INDEX(Camille!$D:$D,MATCH(63487,Camille!$A:$A,0))=1, INDEX(Camille!$D:$D,MATCH(63487,Camille!$A:$A,0))=2), INDEX(Camille!$D:$D,MATCH(63487,Camille!$A:$A,0)), 0), 0)</f>
        <v>0</v>
      </c>
      <c r="H1823" s="1">
        <f t="array" ref="H1823">IF(ISNUMBER(MATCH(63487,Telmo!$A:$A,0)), IF(OR(INDEX(Telmo!$D:$D,MATCH(63487,Telmo!$A:$A,0))=1, INDEX(Telmo!$D:$D,MATCH(63487,Telmo!$A:$A,0))=2), INDEX(Telmo!$D:$D,MATCH(63487,Telmo!$A:$A,0)), 0), 0)</f>
        <v>0</v>
      </c>
      <c r="I1823" s="1">
        <f t="array" ref="I1823">IF(ISNUMBER(MATCH(63487,Max!$A:$A,0)), IF(OR(INDEX(Max!$D:$D,MATCH(63487,Max!$A:$A,0))=1, INDEX(Max!$D:$D,MATCH(63487,Max!$A:$A,0))=2), INDEX(Max!$D:$D,MATCH(63487,Max!$A:$A,0)), 0), 0)</f>
        <v>1</v>
      </c>
    </row>
    <row r="1824" spans="1:9" ht="15.75" customHeight="1" x14ac:dyDescent="0.2">
      <c r="A1824" s="1">
        <v>46236</v>
      </c>
      <c r="B1824" s="1" t="s">
        <v>141</v>
      </c>
      <c r="C1824" s="1" t="s">
        <v>4159</v>
      </c>
      <c r="D1824" s="1" t="str">
        <f t="shared" si="7"/>
        <v>2</v>
      </c>
      <c r="E1824" s="1" t="s">
        <v>4160</v>
      </c>
      <c r="G1824" s="1">
        <f t="array" ref="G1824">IF(ISNUMBER(MATCH(46236,Camille!$A:$A,0)), IF(OR(INDEX(Camille!$D:$D,MATCH(46236,Camille!$A:$A,0))=1, INDEX(Camille!$D:$D,MATCH(46236,Camille!$A:$A,0))=2), INDEX(Camille!$D:$D,MATCH(46236,Camille!$A:$A,0)), 0), 0)</f>
        <v>0</v>
      </c>
      <c r="H1824" s="1">
        <f t="array" ref="H1824">IF(ISNUMBER(MATCH(46236,Telmo!$A:$A,0)), IF(OR(INDEX(Telmo!$D:$D,MATCH(46236,Telmo!$A:$A,0))=1, INDEX(Telmo!$D:$D,MATCH(46236,Telmo!$A:$A,0))=2), INDEX(Telmo!$D:$D,MATCH(46236,Telmo!$A:$A,0)), 0), 0)</f>
        <v>0</v>
      </c>
      <c r="I1824" s="1">
        <f t="array" ref="I1824">IF(ISNUMBER(MATCH(46236,Max!$A:$A,0)), IF(OR(INDEX(Max!$D:$D,MATCH(46236,Max!$A:$A,0))=1, INDEX(Max!$D:$D,MATCH(46236,Max!$A:$A,0))=2), INDEX(Max!$D:$D,MATCH(46236,Max!$A:$A,0)), 0), 0)</f>
        <v>2</v>
      </c>
    </row>
    <row r="1825" spans="1:9" ht="15.75" customHeight="1" x14ac:dyDescent="0.2">
      <c r="A1825" s="1">
        <v>28160</v>
      </c>
      <c r="B1825" s="1" t="s">
        <v>4161</v>
      </c>
      <c r="C1825" s="1" t="s">
        <v>4162</v>
      </c>
      <c r="D1825" s="1" t="str">
        <f t="shared" si="7"/>
        <v>2</v>
      </c>
      <c r="E1825" s="1" t="s">
        <v>4163</v>
      </c>
      <c r="G1825" s="1">
        <f t="array" ref="G1825">IF(ISNUMBER(MATCH(28160,Camille!$A:$A,0)), IF(OR(INDEX(Camille!$D:$D,MATCH(28160,Camille!$A:$A,0))=1, INDEX(Camille!$D:$D,MATCH(28160,Camille!$A:$A,0))=2), INDEX(Camille!$D:$D,MATCH(28160,Camille!$A:$A,0)), 0), 0)</f>
        <v>0</v>
      </c>
      <c r="H1825" s="1">
        <f t="array" ref="H1825">IF(ISNUMBER(MATCH(28160,Telmo!$A:$A,0)), IF(OR(INDEX(Telmo!$D:$D,MATCH(28160,Telmo!$A:$A,0))=1, INDEX(Telmo!$D:$D,MATCH(28160,Telmo!$A:$A,0))=2), INDEX(Telmo!$D:$D,MATCH(28160,Telmo!$A:$A,0)), 0), 0)</f>
        <v>0</v>
      </c>
      <c r="I1825" s="1">
        <f t="array" ref="I1825">IF(ISNUMBER(MATCH(28160,Max!$A:$A,0)), IF(OR(INDEX(Max!$D:$D,MATCH(28160,Max!$A:$A,0))=1, INDEX(Max!$D:$D,MATCH(28160,Max!$A:$A,0))=2), INDEX(Max!$D:$D,MATCH(28160,Max!$A:$A,0)), 0), 0)</f>
        <v>2</v>
      </c>
    </row>
    <row r="1826" spans="1:9" ht="15.75" customHeight="1" x14ac:dyDescent="0.2">
      <c r="A1826" s="1">
        <v>878</v>
      </c>
      <c r="B1826" s="1" t="s">
        <v>552</v>
      </c>
      <c r="C1826" s="1" t="s">
        <v>4164</v>
      </c>
      <c r="D1826" s="1" t="str">
        <f t="shared" si="7"/>
        <v>2</v>
      </c>
      <c r="E1826" s="1" t="s">
        <v>4165</v>
      </c>
      <c r="G1826" s="1">
        <f t="array" ref="G1826">IF(ISNUMBER(MATCH(878,Camille!$A:$A,0)), IF(OR(INDEX(Camille!$D:$D,MATCH(878,Camille!$A:$A,0))=1, INDEX(Camille!$D:$D,MATCH(878,Camille!$A:$A,0))=2), INDEX(Camille!$D:$D,MATCH(878,Camille!$A:$A,0)), 0), 0)</f>
        <v>0</v>
      </c>
      <c r="H1826" s="1">
        <f t="array" ref="H1826">IF(ISNUMBER(MATCH(878,Telmo!$A:$A,0)), IF(OR(INDEX(Telmo!$D:$D,MATCH(878,Telmo!$A:$A,0))=1, INDEX(Telmo!$D:$D,MATCH(878,Telmo!$A:$A,0))=2), INDEX(Telmo!$D:$D,MATCH(878,Telmo!$A:$A,0)), 0), 0)</f>
        <v>0</v>
      </c>
      <c r="I1826" s="1">
        <f t="array" ref="I1826">IF(ISNUMBER(MATCH(878,Max!$A:$A,0)), IF(OR(INDEX(Max!$D:$D,MATCH(878,Max!$A:$A,0))=1, INDEX(Max!$D:$D,MATCH(878,Max!$A:$A,0))=2), INDEX(Max!$D:$D,MATCH(878,Max!$A:$A,0)), 0), 0)</f>
        <v>2</v>
      </c>
    </row>
    <row r="1827" spans="1:9" ht="15.75" customHeight="1" x14ac:dyDescent="0.2">
      <c r="A1827" s="1">
        <v>23318</v>
      </c>
      <c r="B1827" s="1" t="s">
        <v>35</v>
      </c>
      <c r="C1827" s="1" t="s">
        <v>4166</v>
      </c>
      <c r="D1827" s="1" t="str">
        <f t="shared" si="7"/>
        <v>2</v>
      </c>
      <c r="E1827" s="1" t="s">
        <v>4167</v>
      </c>
      <c r="G1827" s="1">
        <f t="array" ref="G1827">IF(ISNUMBER(MATCH(23318,Camille!$A:$A,0)), IF(OR(INDEX(Camille!$D:$D,MATCH(23318,Camille!$A:$A,0))=1, INDEX(Camille!$D:$D,MATCH(23318,Camille!$A:$A,0))=2), INDEX(Camille!$D:$D,MATCH(23318,Camille!$A:$A,0)), 0), 0)</f>
        <v>0</v>
      </c>
      <c r="H1827" s="1">
        <f t="array" ref="H1827">IF(ISNUMBER(MATCH(23318,Telmo!$A:$A,0)), IF(OR(INDEX(Telmo!$D:$D,MATCH(23318,Telmo!$A:$A,0))=1, INDEX(Telmo!$D:$D,MATCH(23318,Telmo!$A:$A,0))=2), INDEX(Telmo!$D:$D,MATCH(23318,Telmo!$A:$A,0)), 0), 0)</f>
        <v>0</v>
      </c>
      <c r="I1827" s="1">
        <f t="array" ref="I1827">IF(ISNUMBER(MATCH(23318,Max!$A:$A,0)), IF(OR(INDEX(Max!$D:$D,MATCH(23318,Max!$A:$A,0))=1, INDEX(Max!$D:$D,MATCH(23318,Max!$A:$A,0))=2), INDEX(Max!$D:$D,MATCH(23318,Max!$A:$A,0)), 0), 0)</f>
        <v>2</v>
      </c>
    </row>
    <row r="1828" spans="1:9" ht="15.75" customHeight="1" x14ac:dyDescent="0.2">
      <c r="A1828" s="1">
        <v>50921</v>
      </c>
      <c r="B1828" s="1" t="s">
        <v>466</v>
      </c>
      <c r="C1828" s="1" t="s">
        <v>4168</v>
      </c>
      <c r="D1828" s="1" t="str">
        <f t="shared" si="7"/>
        <v>2</v>
      </c>
      <c r="E1828" s="1" t="s">
        <v>4169</v>
      </c>
      <c r="G1828" s="1">
        <f t="array" ref="G1828">IF(ISNUMBER(MATCH(50921,Camille!$A:$A,0)), IF(OR(INDEX(Camille!$D:$D,MATCH(50921,Camille!$A:$A,0))=1, INDEX(Camille!$D:$D,MATCH(50921,Camille!$A:$A,0))=2), INDEX(Camille!$D:$D,MATCH(50921,Camille!$A:$A,0)), 0), 0)</f>
        <v>0</v>
      </c>
      <c r="H1828" s="1">
        <f t="array" ref="H1828">IF(ISNUMBER(MATCH(50921,Telmo!$A:$A,0)), IF(OR(INDEX(Telmo!$D:$D,MATCH(50921,Telmo!$A:$A,0))=1, INDEX(Telmo!$D:$D,MATCH(50921,Telmo!$A:$A,0))=2), INDEX(Telmo!$D:$D,MATCH(50921,Telmo!$A:$A,0)), 0), 0)</f>
        <v>0</v>
      </c>
      <c r="I1828" s="1">
        <f t="array" ref="I1828">IF(ISNUMBER(MATCH(50921,Max!$A:$A,0)), IF(OR(INDEX(Max!$D:$D,MATCH(50921,Max!$A:$A,0))=1, INDEX(Max!$D:$D,MATCH(50921,Max!$A:$A,0))=2), INDEX(Max!$D:$D,MATCH(50921,Max!$A:$A,0)), 0), 0)</f>
        <v>2</v>
      </c>
    </row>
    <row r="1829" spans="1:9" ht="15.75" customHeight="1" x14ac:dyDescent="0.2">
      <c r="A1829" s="1">
        <v>24611</v>
      </c>
      <c r="B1829" s="1" t="s">
        <v>64</v>
      </c>
      <c r="C1829" s="1" t="s">
        <v>4170</v>
      </c>
      <c r="D1829" s="1" t="str">
        <f t="shared" si="7"/>
        <v>1</v>
      </c>
      <c r="E1829" s="1" t="s">
        <v>4171</v>
      </c>
      <c r="G1829" s="1">
        <f t="array" ref="G1829">IF(ISNUMBER(MATCH(24611,Camille!$A:$A,0)), IF(OR(INDEX(Camille!$D:$D,MATCH(24611,Camille!$A:$A,0))=1, INDEX(Camille!$D:$D,MATCH(24611,Camille!$A:$A,0))=2), INDEX(Camille!$D:$D,MATCH(24611,Camille!$A:$A,0)), 0), 0)</f>
        <v>0</v>
      </c>
      <c r="H1829" s="1">
        <f t="array" ref="H1829">IF(ISNUMBER(MATCH(24611,Telmo!$A:$A,0)), IF(OR(INDEX(Telmo!$D:$D,MATCH(24611,Telmo!$A:$A,0))=1, INDEX(Telmo!$D:$D,MATCH(24611,Telmo!$A:$A,0))=2), INDEX(Telmo!$D:$D,MATCH(24611,Telmo!$A:$A,0)), 0), 0)</f>
        <v>0</v>
      </c>
      <c r="I1829" s="1">
        <f t="array" ref="I1829">IF(ISNUMBER(MATCH(24611,Max!$A:$A,0)), IF(OR(INDEX(Max!$D:$D,MATCH(24611,Max!$A:$A,0))=1, INDEX(Max!$D:$D,MATCH(24611,Max!$A:$A,0))=2), INDEX(Max!$D:$D,MATCH(24611,Max!$A:$A,0)), 0), 0)</f>
        <v>1</v>
      </c>
    </row>
    <row r="1830" spans="1:9" ht="15.75" customHeight="1" x14ac:dyDescent="0.2">
      <c r="A1830" s="1">
        <v>56771</v>
      </c>
      <c r="B1830" s="1" t="s">
        <v>301</v>
      </c>
      <c r="C1830" s="1" t="s">
        <v>4172</v>
      </c>
      <c r="D1830" s="1" t="str">
        <f t="shared" si="7"/>
        <v>1</v>
      </c>
      <c r="E1830" s="1" t="s">
        <v>4173</v>
      </c>
      <c r="G1830" s="1">
        <f t="array" ref="G1830">IF(ISNUMBER(MATCH(56771,Camille!$A:$A,0)), IF(OR(INDEX(Camille!$D:$D,MATCH(56771,Camille!$A:$A,0))=1, INDEX(Camille!$D:$D,MATCH(56771,Camille!$A:$A,0))=2), INDEX(Camille!$D:$D,MATCH(56771,Camille!$A:$A,0)), 0), 0)</f>
        <v>0</v>
      </c>
      <c r="H1830" s="1">
        <f t="array" ref="H1830">IF(ISNUMBER(MATCH(56771,Telmo!$A:$A,0)), IF(OR(INDEX(Telmo!$D:$D,MATCH(56771,Telmo!$A:$A,0))=1, INDEX(Telmo!$D:$D,MATCH(56771,Telmo!$A:$A,0))=2), INDEX(Telmo!$D:$D,MATCH(56771,Telmo!$A:$A,0)), 0), 0)</f>
        <v>0</v>
      </c>
      <c r="I1830" s="1">
        <f t="array" ref="I1830">IF(ISNUMBER(MATCH(56771,Max!$A:$A,0)), IF(OR(INDEX(Max!$D:$D,MATCH(56771,Max!$A:$A,0))=1, INDEX(Max!$D:$D,MATCH(56771,Max!$A:$A,0))=2), INDEX(Max!$D:$D,MATCH(56771,Max!$A:$A,0)), 0), 0)</f>
        <v>1</v>
      </c>
    </row>
    <row r="1831" spans="1:9" ht="15.75" customHeight="1" x14ac:dyDescent="0.2">
      <c r="A1831" s="1">
        <v>14537</v>
      </c>
      <c r="B1831" s="1" t="s">
        <v>254</v>
      </c>
      <c r="C1831" s="1" t="s">
        <v>4174</v>
      </c>
      <c r="D1831" s="1" t="str">
        <f t="shared" si="7"/>
        <v>2</v>
      </c>
      <c r="E1831" s="1" t="s">
        <v>4175</v>
      </c>
      <c r="G1831" s="1">
        <f t="array" ref="G1831">IF(ISNUMBER(MATCH(14537,Camille!$A:$A,0)), IF(OR(INDEX(Camille!$D:$D,MATCH(14537,Camille!$A:$A,0))=1, INDEX(Camille!$D:$D,MATCH(14537,Camille!$A:$A,0))=2), INDEX(Camille!$D:$D,MATCH(14537,Camille!$A:$A,0)), 0), 0)</f>
        <v>0</v>
      </c>
      <c r="H1831" s="1">
        <f t="array" ref="H1831">IF(ISNUMBER(MATCH(14537,Telmo!$A:$A,0)), IF(OR(INDEX(Telmo!$D:$D,MATCH(14537,Telmo!$A:$A,0))=1, INDEX(Telmo!$D:$D,MATCH(14537,Telmo!$A:$A,0))=2), INDEX(Telmo!$D:$D,MATCH(14537,Telmo!$A:$A,0)), 0), 0)</f>
        <v>0</v>
      </c>
      <c r="I1831" s="1">
        <f t="array" ref="I1831">IF(ISNUMBER(MATCH(14537,Max!$A:$A,0)), IF(OR(INDEX(Max!$D:$D,MATCH(14537,Max!$A:$A,0))=1, INDEX(Max!$D:$D,MATCH(14537,Max!$A:$A,0))=2), INDEX(Max!$D:$D,MATCH(14537,Max!$A:$A,0)), 0), 0)</f>
        <v>2</v>
      </c>
    </row>
    <row r="1832" spans="1:9" ht="15.75" customHeight="1" x14ac:dyDescent="0.2">
      <c r="A1832" s="1">
        <v>53301</v>
      </c>
      <c r="B1832" s="1" t="s">
        <v>1415</v>
      </c>
      <c r="C1832" s="1" t="s">
        <v>4176</v>
      </c>
      <c r="D1832" s="1" t="str">
        <f t="shared" si="7"/>
        <v>2</v>
      </c>
      <c r="E1832" s="1" t="s">
        <v>4177</v>
      </c>
      <c r="G1832" s="1">
        <f t="array" ref="G1832">IF(ISNUMBER(MATCH(53301,Camille!$A:$A,0)), IF(OR(INDEX(Camille!$D:$D,MATCH(53301,Camille!$A:$A,0))=1, INDEX(Camille!$D:$D,MATCH(53301,Camille!$A:$A,0))=2), INDEX(Camille!$D:$D,MATCH(53301,Camille!$A:$A,0)), 0), 0)</f>
        <v>0</v>
      </c>
      <c r="H1832" s="1">
        <f t="array" ref="H1832">IF(ISNUMBER(MATCH(53301,Telmo!$A:$A,0)), IF(OR(INDEX(Telmo!$D:$D,MATCH(53301,Telmo!$A:$A,0))=1, INDEX(Telmo!$D:$D,MATCH(53301,Telmo!$A:$A,0))=2), INDEX(Telmo!$D:$D,MATCH(53301,Telmo!$A:$A,0)), 0), 0)</f>
        <v>0</v>
      </c>
      <c r="I1832" s="1">
        <f t="array" ref="I1832">IF(ISNUMBER(MATCH(53301,Max!$A:$A,0)), IF(OR(INDEX(Max!$D:$D,MATCH(53301,Max!$A:$A,0))=1, INDEX(Max!$D:$D,MATCH(53301,Max!$A:$A,0))=2), INDEX(Max!$D:$D,MATCH(53301,Max!$A:$A,0)), 0), 0)</f>
        <v>2</v>
      </c>
    </row>
    <row r="1833" spans="1:9" ht="15.75" customHeight="1" x14ac:dyDescent="0.2">
      <c r="A1833" s="1">
        <v>7908</v>
      </c>
      <c r="B1833" s="1" t="s">
        <v>90</v>
      </c>
      <c r="C1833" s="1" t="s">
        <v>4178</v>
      </c>
      <c r="D1833" s="1" t="str">
        <f t="shared" si="7"/>
        <v>2</v>
      </c>
      <c r="E1833" s="1" t="s">
        <v>4179</v>
      </c>
      <c r="G1833" s="1">
        <f t="array" ref="G1833">IF(ISNUMBER(MATCH(7908,Camille!$A:$A,0)), IF(OR(INDEX(Camille!$D:$D,MATCH(7908,Camille!$A:$A,0))=1, INDEX(Camille!$D:$D,MATCH(7908,Camille!$A:$A,0))=2), INDEX(Camille!$D:$D,MATCH(7908,Camille!$A:$A,0)), 0), 0)</f>
        <v>0</v>
      </c>
      <c r="H1833" s="1">
        <f t="array" ref="H1833">IF(ISNUMBER(MATCH(7908,Telmo!$A:$A,0)), IF(OR(INDEX(Telmo!$D:$D,MATCH(7908,Telmo!$A:$A,0))=1, INDEX(Telmo!$D:$D,MATCH(7908,Telmo!$A:$A,0))=2), INDEX(Telmo!$D:$D,MATCH(7908,Telmo!$A:$A,0)), 0), 0)</f>
        <v>0</v>
      </c>
      <c r="I1833" s="1">
        <f t="array" ref="I1833">IF(ISNUMBER(MATCH(7908,Max!$A:$A,0)), IF(OR(INDEX(Max!$D:$D,MATCH(7908,Max!$A:$A,0))=1, INDEX(Max!$D:$D,MATCH(7908,Max!$A:$A,0))=2), INDEX(Max!$D:$D,MATCH(7908,Max!$A:$A,0)), 0), 0)</f>
        <v>2</v>
      </c>
    </row>
    <row r="1834" spans="1:9" ht="15.75" customHeight="1" x14ac:dyDescent="0.2">
      <c r="A1834" s="1">
        <v>23638</v>
      </c>
      <c r="B1834" s="1" t="s">
        <v>1895</v>
      </c>
      <c r="C1834" s="1" t="s">
        <v>4180</v>
      </c>
      <c r="D1834" s="1" t="str">
        <f t="shared" si="7"/>
        <v>2</v>
      </c>
      <c r="E1834" s="1" t="s">
        <v>4181</v>
      </c>
      <c r="G1834" s="1">
        <f t="array" ref="G1834">IF(ISNUMBER(MATCH(23638,Camille!$A:$A,0)), IF(OR(INDEX(Camille!$D:$D,MATCH(23638,Camille!$A:$A,0))=1, INDEX(Camille!$D:$D,MATCH(23638,Camille!$A:$A,0))=2), INDEX(Camille!$D:$D,MATCH(23638,Camille!$A:$A,0)), 0), 0)</f>
        <v>0</v>
      </c>
      <c r="H1834" s="1">
        <f t="array" ref="H1834">IF(ISNUMBER(MATCH(23638,Telmo!$A:$A,0)), IF(OR(INDEX(Telmo!$D:$D,MATCH(23638,Telmo!$A:$A,0))=1, INDEX(Telmo!$D:$D,MATCH(23638,Telmo!$A:$A,0))=2), INDEX(Telmo!$D:$D,MATCH(23638,Telmo!$A:$A,0)), 0), 0)</f>
        <v>0</v>
      </c>
      <c r="I1834" s="1">
        <f t="array" ref="I1834">IF(ISNUMBER(MATCH(23638,Max!$A:$A,0)), IF(OR(INDEX(Max!$D:$D,MATCH(23638,Max!$A:$A,0))=1, INDEX(Max!$D:$D,MATCH(23638,Max!$A:$A,0))=2), INDEX(Max!$D:$D,MATCH(23638,Max!$A:$A,0)), 0), 0)</f>
        <v>2</v>
      </c>
    </row>
    <row r="1835" spans="1:9" ht="15.75" customHeight="1" x14ac:dyDescent="0.2">
      <c r="A1835" s="1">
        <v>19985</v>
      </c>
      <c r="B1835" s="1" t="s">
        <v>794</v>
      </c>
      <c r="C1835" s="1" t="s">
        <v>4182</v>
      </c>
      <c r="D1835" s="1" t="str">
        <f t="shared" si="7"/>
        <v>2</v>
      </c>
      <c r="E1835" s="1" t="s">
        <v>4183</v>
      </c>
      <c r="G1835" s="1">
        <f t="array" ref="G1835">IF(ISNUMBER(MATCH(19985,Camille!$A:$A,0)), IF(OR(INDEX(Camille!$D:$D,MATCH(19985,Camille!$A:$A,0))=1, INDEX(Camille!$D:$D,MATCH(19985,Camille!$A:$A,0))=2), INDEX(Camille!$D:$D,MATCH(19985,Camille!$A:$A,0)), 0), 0)</f>
        <v>0</v>
      </c>
      <c r="H1835" s="1">
        <f t="array" ref="H1835">IF(ISNUMBER(MATCH(19985,Telmo!$A:$A,0)), IF(OR(INDEX(Telmo!$D:$D,MATCH(19985,Telmo!$A:$A,0))=1, INDEX(Telmo!$D:$D,MATCH(19985,Telmo!$A:$A,0))=2), INDEX(Telmo!$D:$D,MATCH(19985,Telmo!$A:$A,0)), 0), 0)</f>
        <v>0</v>
      </c>
      <c r="I1835" s="1">
        <f t="array" ref="I1835">IF(ISNUMBER(MATCH(19985,Max!$A:$A,0)), IF(OR(INDEX(Max!$D:$D,MATCH(19985,Max!$A:$A,0))=1, INDEX(Max!$D:$D,MATCH(19985,Max!$A:$A,0))=2), INDEX(Max!$D:$D,MATCH(19985,Max!$A:$A,0)), 0), 0)</f>
        <v>2</v>
      </c>
    </row>
    <row r="1836" spans="1:9" ht="15.75" customHeight="1" x14ac:dyDescent="0.2">
      <c r="A1836" s="1">
        <v>40558</v>
      </c>
      <c r="B1836" s="1" t="s">
        <v>29</v>
      </c>
      <c r="C1836" s="1" t="s">
        <v>4184</v>
      </c>
      <c r="D1836" s="1" t="str">
        <f t="shared" si="7"/>
        <v>2</v>
      </c>
      <c r="E1836" s="1" t="s">
        <v>4185</v>
      </c>
      <c r="G1836" s="1">
        <f t="array" ref="G1836">IF(ISNUMBER(MATCH(40558,Camille!$A:$A,0)), IF(OR(INDEX(Camille!$D:$D,MATCH(40558,Camille!$A:$A,0))=1, INDEX(Camille!$D:$D,MATCH(40558,Camille!$A:$A,0))=2), INDEX(Camille!$D:$D,MATCH(40558,Camille!$A:$A,0)), 0), 0)</f>
        <v>0</v>
      </c>
      <c r="H1836" s="1">
        <f t="array" ref="H1836">IF(ISNUMBER(MATCH(40558,Telmo!$A:$A,0)), IF(OR(INDEX(Telmo!$D:$D,MATCH(40558,Telmo!$A:$A,0))=1, INDEX(Telmo!$D:$D,MATCH(40558,Telmo!$A:$A,0))=2), INDEX(Telmo!$D:$D,MATCH(40558,Telmo!$A:$A,0)), 0), 0)</f>
        <v>0</v>
      </c>
      <c r="I1836" s="1">
        <f t="array" ref="I1836">IF(ISNUMBER(MATCH(40558,Max!$A:$A,0)), IF(OR(INDEX(Max!$D:$D,MATCH(40558,Max!$A:$A,0))=1, INDEX(Max!$D:$D,MATCH(40558,Max!$A:$A,0))=2), INDEX(Max!$D:$D,MATCH(40558,Max!$A:$A,0)), 0), 0)</f>
        <v>2</v>
      </c>
    </row>
    <row r="1837" spans="1:9" ht="15.75" customHeight="1" x14ac:dyDescent="0.2">
      <c r="A1837" s="1">
        <v>33432</v>
      </c>
      <c r="B1837" s="1" t="s">
        <v>210</v>
      </c>
      <c r="C1837" s="1" t="s">
        <v>4186</v>
      </c>
      <c r="D1837" s="1" t="str">
        <f t="shared" si="7"/>
        <v>2</v>
      </c>
      <c r="E1837" s="1" t="s">
        <v>4187</v>
      </c>
      <c r="G1837" s="1">
        <f t="array" ref="G1837">IF(ISNUMBER(MATCH(33432,Camille!$A:$A,0)), IF(OR(INDEX(Camille!$D:$D,MATCH(33432,Camille!$A:$A,0))=1, INDEX(Camille!$D:$D,MATCH(33432,Camille!$A:$A,0))=2), INDEX(Camille!$D:$D,MATCH(33432,Camille!$A:$A,0)), 0), 0)</f>
        <v>0</v>
      </c>
      <c r="H1837" s="1">
        <f t="array" ref="H1837">IF(ISNUMBER(MATCH(33432,Telmo!$A:$A,0)), IF(OR(INDEX(Telmo!$D:$D,MATCH(33432,Telmo!$A:$A,0))=1, INDEX(Telmo!$D:$D,MATCH(33432,Telmo!$A:$A,0))=2), INDEX(Telmo!$D:$D,MATCH(33432,Telmo!$A:$A,0)), 0), 0)</f>
        <v>0</v>
      </c>
      <c r="I1837" s="1">
        <f t="array" ref="I1837">IF(ISNUMBER(MATCH(33432,Max!$A:$A,0)), IF(OR(INDEX(Max!$D:$D,MATCH(33432,Max!$A:$A,0))=1, INDEX(Max!$D:$D,MATCH(33432,Max!$A:$A,0))=2), INDEX(Max!$D:$D,MATCH(33432,Max!$A:$A,0)), 0), 0)</f>
        <v>2</v>
      </c>
    </row>
    <row r="1838" spans="1:9" ht="15.75" customHeight="1" x14ac:dyDescent="0.2">
      <c r="A1838" s="1">
        <v>3250</v>
      </c>
      <c r="B1838" s="1" t="s">
        <v>4188</v>
      </c>
      <c r="C1838" s="1" t="s">
        <v>4189</v>
      </c>
      <c r="D1838" s="1" t="str">
        <f t="shared" si="7"/>
        <v>2</v>
      </c>
      <c r="E1838" s="1" t="s">
        <v>4190</v>
      </c>
      <c r="G1838" s="1">
        <f t="array" ref="G1838">IF(ISNUMBER(MATCH(3250,Camille!$A:$A,0)), IF(OR(INDEX(Camille!$D:$D,MATCH(3250,Camille!$A:$A,0))=1, INDEX(Camille!$D:$D,MATCH(3250,Camille!$A:$A,0))=2), INDEX(Camille!$D:$D,MATCH(3250,Camille!$A:$A,0)), 0), 0)</f>
        <v>0</v>
      </c>
      <c r="H1838" s="1">
        <f t="array" ref="H1838">IF(ISNUMBER(MATCH(3250,Telmo!$A:$A,0)), IF(OR(INDEX(Telmo!$D:$D,MATCH(3250,Telmo!$A:$A,0))=1, INDEX(Telmo!$D:$D,MATCH(3250,Telmo!$A:$A,0))=2), INDEX(Telmo!$D:$D,MATCH(3250,Telmo!$A:$A,0)), 0), 0)</f>
        <v>0</v>
      </c>
      <c r="I1838" s="1">
        <f t="array" ref="I1838">IF(ISNUMBER(MATCH(3250,Max!$A:$A,0)), IF(OR(INDEX(Max!$D:$D,MATCH(3250,Max!$A:$A,0))=1, INDEX(Max!$D:$D,MATCH(3250,Max!$A:$A,0))=2), INDEX(Max!$D:$D,MATCH(3250,Max!$A:$A,0)), 0), 0)</f>
        <v>2</v>
      </c>
    </row>
    <row r="1839" spans="1:9" ht="15.75" customHeight="1" x14ac:dyDescent="0.2">
      <c r="A1839" s="1">
        <v>7542</v>
      </c>
      <c r="B1839" s="1" t="s">
        <v>509</v>
      </c>
      <c r="C1839" s="1" t="s">
        <v>4191</v>
      </c>
      <c r="D1839" s="1" t="str">
        <f t="shared" si="7"/>
        <v>2</v>
      </c>
      <c r="E1839" s="1" t="s">
        <v>4192</v>
      </c>
      <c r="G1839" s="1">
        <f t="array" ref="G1839">IF(ISNUMBER(MATCH(7542,Camille!$A:$A,0)), IF(OR(INDEX(Camille!$D:$D,MATCH(7542,Camille!$A:$A,0))=1, INDEX(Camille!$D:$D,MATCH(7542,Camille!$A:$A,0))=2), INDEX(Camille!$D:$D,MATCH(7542,Camille!$A:$A,0)), 0), 0)</f>
        <v>0</v>
      </c>
      <c r="H1839" s="1">
        <f t="array" ref="H1839">IF(ISNUMBER(MATCH(7542,Telmo!$A:$A,0)), IF(OR(INDEX(Telmo!$D:$D,MATCH(7542,Telmo!$A:$A,0))=1, INDEX(Telmo!$D:$D,MATCH(7542,Telmo!$A:$A,0))=2), INDEX(Telmo!$D:$D,MATCH(7542,Telmo!$A:$A,0)), 0), 0)</f>
        <v>0</v>
      </c>
      <c r="I1839" s="1">
        <f t="array" ref="I1839">IF(ISNUMBER(MATCH(7542,Max!$A:$A,0)), IF(OR(INDEX(Max!$D:$D,MATCH(7542,Max!$A:$A,0))=1, INDEX(Max!$D:$D,MATCH(7542,Max!$A:$A,0))=2), INDEX(Max!$D:$D,MATCH(7542,Max!$A:$A,0)), 0), 0)</f>
        <v>2</v>
      </c>
    </row>
    <row r="1840" spans="1:9" ht="15.75" customHeight="1" x14ac:dyDescent="0.2">
      <c r="A1840" s="1">
        <v>58776</v>
      </c>
      <c r="B1840" s="1" t="s">
        <v>268</v>
      </c>
      <c r="C1840" s="1" t="s">
        <v>4193</v>
      </c>
      <c r="D1840" s="1" t="str">
        <f t="shared" si="7"/>
        <v>2</v>
      </c>
      <c r="E1840" s="1" t="s">
        <v>4194</v>
      </c>
      <c r="G1840" s="1">
        <f t="array" ref="G1840">IF(ISNUMBER(MATCH(58776,Camille!$A:$A,0)), IF(OR(INDEX(Camille!$D:$D,MATCH(58776,Camille!$A:$A,0))=1, INDEX(Camille!$D:$D,MATCH(58776,Camille!$A:$A,0))=2), INDEX(Camille!$D:$D,MATCH(58776,Camille!$A:$A,0)), 0), 0)</f>
        <v>0</v>
      </c>
      <c r="H1840" s="1">
        <f t="array" ref="H1840">IF(ISNUMBER(MATCH(58776,Telmo!$A:$A,0)), IF(OR(INDEX(Telmo!$D:$D,MATCH(58776,Telmo!$A:$A,0))=1, INDEX(Telmo!$D:$D,MATCH(58776,Telmo!$A:$A,0))=2), INDEX(Telmo!$D:$D,MATCH(58776,Telmo!$A:$A,0)), 0), 0)</f>
        <v>0</v>
      </c>
      <c r="I1840" s="1">
        <f t="array" ref="I1840">IF(ISNUMBER(MATCH(58776,Max!$A:$A,0)), IF(OR(INDEX(Max!$D:$D,MATCH(58776,Max!$A:$A,0))=1, INDEX(Max!$D:$D,MATCH(58776,Max!$A:$A,0))=2), INDEX(Max!$D:$D,MATCH(58776,Max!$A:$A,0)), 0), 0)</f>
        <v>2</v>
      </c>
    </row>
    <row r="1841" spans="1:9" ht="15.75" customHeight="1" x14ac:dyDescent="0.2">
      <c r="A1841" s="1">
        <v>69773</v>
      </c>
      <c r="B1841" s="1" t="s">
        <v>268</v>
      </c>
      <c r="C1841" s="1" t="s">
        <v>4195</v>
      </c>
      <c r="D1841" s="1" t="str">
        <f t="shared" si="7"/>
        <v>2</v>
      </c>
      <c r="E1841" s="1" t="s">
        <v>4196</v>
      </c>
      <c r="G1841" s="1">
        <f t="array" ref="G1841">IF(ISNUMBER(MATCH(69773,Camille!$A:$A,0)), IF(OR(INDEX(Camille!$D:$D,MATCH(69773,Camille!$A:$A,0))=1, INDEX(Camille!$D:$D,MATCH(69773,Camille!$A:$A,0))=2), INDEX(Camille!$D:$D,MATCH(69773,Camille!$A:$A,0)), 0), 0)</f>
        <v>0</v>
      </c>
      <c r="H1841" s="1">
        <f t="array" ref="H1841">IF(ISNUMBER(MATCH(69773,Telmo!$A:$A,0)), IF(OR(INDEX(Telmo!$D:$D,MATCH(69773,Telmo!$A:$A,0))=1, INDEX(Telmo!$D:$D,MATCH(69773,Telmo!$A:$A,0))=2), INDEX(Telmo!$D:$D,MATCH(69773,Telmo!$A:$A,0)), 0), 0)</f>
        <v>0</v>
      </c>
      <c r="I1841" s="1">
        <f t="array" ref="I1841">IF(ISNUMBER(MATCH(69773,Max!$A:$A,0)), IF(OR(INDEX(Max!$D:$D,MATCH(69773,Max!$A:$A,0))=1, INDEX(Max!$D:$D,MATCH(69773,Max!$A:$A,0))=2), INDEX(Max!$D:$D,MATCH(69773,Max!$A:$A,0)), 0), 0)</f>
        <v>2</v>
      </c>
    </row>
    <row r="1842" spans="1:9" ht="15.75" customHeight="1" x14ac:dyDescent="0.2">
      <c r="A1842" s="1">
        <v>31804</v>
      </c>
      <c r="B1842" s="1" t="s">
        <v>336</v>
      </c>
      <c r="C1842" s="1" t="s">
        <v>4197</v>
      </c>
      <c r="D1842" s="1" t="str">
        <f t="shared" si="7"/>
        <v>2</v>
      </c>
      <c r="E1842" s="1" t="s">
        <v>4198</v>
      </c>
      <c r="G1842" s="1">
        <f t="array" ref="G1842">IF(ISNUMBER(MATCH(31804,Camille!$A:$A,0)), IF(OR(INDEX(Camille!$D:$D,MATCH(31804,Camille!$A:$A,0))=1, INDEX(Camille!$D:$D,MATCH(31804,Camille!$A:$A,0))=2), INDEX(Camille!$D:$D,MATCH(31804,Camille!$A:$A,0)), 0), 0)</f>
        <v>0</v>
      </c>
      <c r="H1842" s="1">
        <f t="array" ref="H1842">IF(ISNUMBER(MATCH(31804,Telmo!$A:$A,0)), IF(OR(INDEX(Telmo!$D:$D,MATCH(31804,Telmo!$A:$A,0))=1, INDEX(Telmo!$D:$D,MATCH(31804,Telmo!$A:$A,0))=2), INDEX(Telmo!$D:$D,MATCH(31804,Telmo!$A:$A,0)), 0), 0)</f>
        <v>0</v>
      </c>
      <c r="I1842" s="1">
        <f t="array" ref="I1842">IF(ISNUMBER(MATCH(31804,Max!$A:$A,0)), IF(OR(INDEX(Max!$D:$D,MATCH(31804,Max!$A:$A,0))=1, INDEX(Max!$D:$D,MATCH(31804,Max!$A:$A,0))=2), INDEX(Max!$D:$D,MATCH(31804,Max!$A:$A,0)), 0), 0)</f>
        <v>2</v>
      </c>
    </row>
    <row r="1843" spans="1:9" ht="15.75" customHeight="1" x14ac:dyDescent="0.2">
      <c r="A1843" s="1">
        <v>68128</v>
      </c>
      <c r="B1843" s="1" t="s">
        <v>172</v>
      </c>
      <c r="C1843" s="1" t="s">
        <v>4199</v>
      </c>
      <c r="D1843" s="1" t="str">
        <f t="shared" si="7"/>
        <v>2</v>
      </c>
      <c r="E1843" s="1" t="s">
        <v>4200</v>
      </c>
      <c r="G1843" s="1">
        <f t="array" ref="G1843">IF(ISNUMBER(MATCH(68128,Camille!$A:$A,0)), IF(OR(INDEX(Camille!$D:$D,MATCH(68128,Camille!$A:$A,0))=1, INDEX(Camille!$D:$D,MATCH(68128,Camille!$A:$A,0))=2), INDEX(Camille!$D:$D,MATCH(68128,Camille!$A:$A,0)), 0), 0)</f>
        <v>0</v>
      </c>
      <c r="H1843" s="1">
        <f t="array" ref="H1843">IF(ISNUMBER(MATCH(68128,Telmo!$A:$A,0)), IF(OR(INDEX(Telmo!$D:$D,MATCH(68128,Telmo!$A:$A,0))=1, INDEX(Telmo!$D:$D,MATCH(68128,Telmo!$A:$A,0))=2), INDEX(Telmo!$D:$D,MATCH(68128,Telmo!$A:$A,0)), 0), 0)</f>
        <v>0</v>
      </c>
      <c r="I1843" s="1">
        <f t="array" ref="I1843">IF(ISNUMBER(MATCH(68128,Max!$A:$A,0)), IF(OR(INDEX(Max!$D:$D,MATCH(68128,Max!$A:$A,0))=1, INDEX(Max!$D:$D,MATCH(68128,Max!$A:$A,0))=2), INDEX(Max!$D:$D,MATCH(68128,Max!$A:$A,0)), 0), 0)</f>
        <v>2</v>
      </c>
    </row>
    <row r="1844" spans="1:9" ht="15.75" customHeight="1" x14ac:dyDescent="0.2">
      <c r="A1844" s="1">
        <v>44486</v>
      </c>
      <c r="B1844" s="1" t="s">
        <v>106</v>
      </c>
      <c r="C1844" s="1" t="s">
        <v>4201</v>
      </c>
      <c r="D1844" s="1" t="str">
        <f t="shared" si="7"/>
        <v>2</v>
      </c>
      <c r="E1844" s="1" t="s">
        <v>4202</v>
      </c>
      <c r="G1844" s="1">
        <f t="array" ref="G1844">IF(ISNUMBER(MATCH(44486,Camille!$A:$A,0)), IF(OR(INDEX(Camille!$D:$D,MATCH(44486,Camille!$A:$A,0))=1, INDEX(Camille!$D:$D,MATCH(44486,Camille!$A:$A,0))=2), INDEX(Camille!$D:$D,MATCH(44486,Camille!$A:$A,0)), 0), 0)</f>
        <v>0</v>
      </c>
      <c r="H1844" s="1">
        <f t="array" ref="H1844">IF(ISNUMBER(MATCH(44486,Telmo!$A:$A,0)), IF(OR(INDEX(Telmo!$D:$D,MATCH(44486,Telmo!$A:$A,0))=1, INDEX(Telmo!$D:$D,MATCH(44486,Telmo!$A:$A,0))=2), INDEX(Telmo!$D:$D,MATCH(44486,Telmo!$A:$A,0)), 0), 0)</f>
        <v>0</v>
      </c>
      <c r="I1844" s="1">
        <f t="array" ref="I1844">IF(ISNUMBER(MATCH(44486,Max!$A:$A,0)), IF(OR(INDEX(Max!$D:$D,MATCH(44486,Max!$A:$A,0))=1, INDEX(Max!$D:$D,MATCH(44486,Max!$A:$A,0))=2), INDEX(Max!$D:$D,MATCH(44486,Max!$A:$A,0)), 0), 0)</f>
        <v>2</v>
      </c>
    </row>
    <row r="1845" spans="1:9" ht="15.75" customHeight="1" x14ac:dyDescent="0.2">
      <c r="A1845" s="1">
        <v>36484</v>
      </c>
      <c r="B1845" s="1" t="s">
        <v>301</v>
      </c>
      <c r="C1845" s="1" t="s">
        <v>4203</v>
      </c>
      <c r="D1845" s="1" t="str">
        <f t="shared" si="7"/>
        <v>2</v>
      </c>
      <c r="E1845" s="1" t="s">
        <v>4204</v>
      </c>
      <c r="G1845" s="1">
        <f t="array" ref="G1845">IF(ISNUMBER(MATCH(36484,Camille!$A:$A,0)), IF(OR(INDEX(Camille!$D:$D,MATCH(36484,Camille!$A:$A,0))=1, INDEX(Camille!$D:$D,MATCH(36484,Camille!$A:$A,0))=2), INDEX(Camille!$D:$D,MATCH(36484,Camille!$A:$A,0)), 0), 0)</f>
        <v>0</v>
      </c>
      <c r="H1845" s="1">
        <f t="array" ref="H1845">IF(ISNUMBER(MATCH(36484,Telmo!$A:$A,0)), IF(OR(INDEX(Telmo!$D:$D,MATCH(36484,Telmo!$A:$A,0))=1, INDEX(Telmo!$D:$D,MATCH(36484,Telmo!$A:$A,0))=2), INDEX(Telmo!$D:$D,MATCH(36484,Telmo!$A:$A,0)), 0), 0)</f>
        <v>0</v>
      </c>
      <c r="I1845" s="1">
        <f t="array" ref="I1845">IF(ISNUMBER(MATCH(36484,Max!$A:$A,0)), IF(OR(INDEX(Max!$D:$D,MATCH(36484,Max!$A:$A,0))=1, INDEX(Max!$D:$D,MATCH(36484,Max!$A:$A,0))=2), INDEX(Max!$D:$D,MATCH(36484,Max!$A:$A,0)), 0), 0)</f>
        <v>2</v>
      </c>
    </row>
    <row r="1846" spans="1:9" ht="15.75" customHeight="1" x14ac:dyDescent="0.2">
      <c r="A1846" s="1">
        <v>39747</v>
      </c>
      <c r="B1846" s="1" t="s">
        <v>109</v>
      </c>
      <c r="C1846" s="1" t="s">
        <v>4205</v>
      </c>
      <c r="D1846" s="1" t="str">
        <f t="shared" si="7"/>
        <v>1</v>
      </c>
      <c r="E1846" s="1" t="s">
        <v>4206</v>
      </c>
      <c r="G1846" s="1">
        <f t="array" ref="G1846">IF(ISNUMBER(MATCH(39747,Camille!$A:$A,0)), IF(OR(INDEX(Camille!$D:$D,MATCH(39747,Camille!$A:$A,0))=1, INDEX(Camille!$D:$D,MATCH(39747,Camille!$A:$A,0))=2), INDEX(Camille!$D:$D,MATCH(39747,Camille!$A:$A,0)), 0), 0)</f>
        <v>0</v>
      </c>
      <c r="H1846" s="1">
        <f t="array" ref="H1846">IF(ISNUMBER(MATCH(39747,Telmo!$A:$A,0)), IF(OR(INDEX(Telmo!$D:$D,MATCH(39747,Telmo!$A:$A,0))=1, INDEX(Telmo!$D:$D,MATCH(39747,Telmo!$A:$A,0))=2), INDEX(Telmo!$D:$D,MATCH(39747,Telmo!$A:$A,0)), 0), 0)</f>
        <v>0</v>
      </c>
      <c r="I1846" s="1">
        <f t="array" ref="I1846">IF(ISNUMBER(MATCH(39747,Max!$A:$A,0)), IF(OR(INDEX(Max!$D:$D,MATCH(39747,Max!$A:$A,0))=1, INDEX(Max!$D:$D,MATCH(39747,Max!$A:$A,0))=2), INDEX(Max!$D:$D,MATCH(39747,Max!$A:$A,0)), 0), 0)</f>
        <v>1</v>
      </c>
    </row>
    <row r="1847" spans="1:9" ht="15.75" customHeight="1" x14ac:dyDescent="0.2">
      <c r="A1847" s="1">
        <v>59887</v>
      </c>
      <c r="B1847" s="1" t="s">
        <v>1929</v>
      </c>
      <c r="C1847" s="1" t="s">
        <v>4207</v>
      </c>
      <c r="D1847" s="1" t="str">
        <f t="shared" si="7"/>
        <v>2</v>
      </c>
      <c r="E1847" s="1" t="s">
        <v>4208</v>
      </c>
      <c r="G1847" s="1">
        <f t="array" ref="G1847">IF(ISNUMBER(MATCH(59887,Camille!$A:$A,0)), IF(OR(INDEX(Camille!$D:$D,MATCH(59887,Camille!$A:$A,0))=1, INDEX(Camille!$D:$D,MATCH(59887,Camille!$A:$A,0))=2), INDEX(Camille!$D:$D,MATCH(59887,Camille!$A:$A,0)), 0), 0)</f>
        <v>0</v>
      </c>
      <c r="H1847" s="1">
        <f t="array" ref="H1847">IF(ISNUMBER(MATCH(59887,Telmo!$A:$A,0)), IF(OR(INDEX(Telmo!$D:$D,MATCH(59887,Telmo!$A:$A,0))=1, INDEX(Telmo!$D:$D,MATCH(59887,Telmo!$A:$A,0))=2), INDEX(Telmo!$D:$D,MATCH(59887,Telmo!$A:$A,0)), 0), 0)</f>
        <v>0</v>
      </c>
      <c r="I1847" s="1">
        <f t="array" ref="I1847">IF(ISNUMBER(MATCH(59887,Max!$A:$A,0)), IF(OR(INDEX(Max!$D:$D,MATCH(59887,Max!$A:$A,0))=1, INDEX(Max!$D:$D,MATCH(59887,Max!$A:$A,0))=2), INDEX(Max!$D:$D,MATCH(59887,Max!$A:$A,0)), 0), 0)</f>
        <v>2</v>
      </c>
    </row>
    <row r="1848" spans="1:9" ht="15.75" customHeight="1" x14ac:dyDescent="0.2">
      <c r="A1848" s="1">
        <v>33448</v>
      </c>
      <c r="B1848" s="1" t="s">
        <v>144</v>
      </c>
      <c r="C1848" s="1" t="s">
        <v>4209</v>
      </c>
      <c r="D1848" s="1" t="str">
        <f t="shared" si="7"/>
        <v>2</v>
      </c>
      <c r="E1848" s="1" t="s">
        <v>4210</v>
      </c>
      <c r="G1848" s="1">
        <f t="array" ref="G1848">IF(ISNUMBER(MATCH(33448,Camille!$A:$A,0)), IF(OR(INDEX(Camille!$D:$D,MATCH(33448,Camille!$A:$A,0))=1, INDEX(Camille!$D:$D,MATCH(33448,Camille!$A:$A,0))=2), INDEX(Camille!$D:$D,MATCH(33448,Camille!$A:$A,0)), 0), 0)</f>
        <v>0</v>
      </c>
      <c r="H1848" s="1">
        <f t="array" ref="H1848">IF(ISNUMBER(MATCH(33448,Telmo!$A:$A,0)), IF(OR(INDEX(Telmo!$D:$D,MATCH(33448,Telmo!$A:$A,0))=1, INDEX(Telmo!$D:$D,MATCH(33448,Telmo!$A:$A,0))=2), INDEX(Telmo!$D:$D,MATCH(33448,Telmo!$A:$A,0)), 0), 0)</f>
        <v>0</v>
      </c>
      <c r="I1848" s="1">
        <f t="array" ref="I1848">IF(ISNUMBER(MATCH(33448,Max!$A:$A,0)), IF(OR(INDEX(Max!$D:$D,MATCH(33448,Max!$A:$A,0))=1, INDEX(Max!$D:$D,MATCH(33448,Max!$A:$A,0))=2), INDEX(Max!$D:$D,MATCH(33448,Max!$A:$A,0)), 0), 0)</f>
        <v>2</v>
      </c>
    </row>
    <row r="1849" spans="1:9" ht="15.75" customHeight="1" x14ac:dyDescent="0.2">
      <c r="A1849" s="1">
        <v>50829</v>
      </c>
      <c r="B1849" s="1" t="s">
        <v>4211</v>
      </c>
      <c r="C1849" s="1" t="s">
        <v>4212</v>
      </c>
      <c r="D1849" s="1" t="str">
        <f t="shared" si="7"/>
        <v>2</v>
      </c>
      <c r="E1849" s="1" t="s">
        <v>4213</v>
      </c>
      <c r="G1849" s="1">
        <f t="array" ref="G1849">IF(ISNUMBER(MATCH(50829,Camille!$A:$A,0)), IF(OR(INDEX(Camille!$D:$D,MATCH(50829,Camille!$A:$A,0))=1, INDEX(Camille!$D:$D,MATCH(50829,Camille!$A:$A,0))=2), INDEX(Camille!$D:$D,MATCH(50829,Camille!$A:$A,0)), 0), 0)</f>
        <v>0</v>
      </c>
      <c r="H1849" s="1">
        <f t="array" ref="H1849">IF(ISNUMBER(MATCH(50829,Telmo!$A:$A,0)), IF(OR(INDEX(Telmo!$D:$D,MATCH(50829,Telmo!$A:$A,0))=1, INDEX(Telmo!$D:$D,MATCH(50829,Telmo!$A:$A,0))=2), INDEX(Telmo!$D:$D,MATCH(50829,Telmo!$A:$A,0)), 0), 0)</f>
        <v>0</v>
      </c>
      <c r="I1849" s="1">
        <f t="array" ref="I1849">IF(ISNUMBER(MATCH(50829,Max!$A:$A,0)), IF(OR(INDEX(Max!$D:$D,MATCH(50829,Max!$A:$A,0))=1, INDEX(Max!$D:$D,MATCH(50829,Max!$A:$A,0))=2), INDEX(Max!$D:$D,MATCH(50829,Max!$A:$A,0)), 0), 0)</f>
        <v>2</v>
      </c>
    </row>
    <row r="1850" spans="1:9" ht="15.75" customHeight="1" x14ac:dyDescent="0.2">
      <c r="A1850" s="1">
        <v>5526</v>
      </c>
      <c r="B1850" s="1" t="s">
        <v>4188</v>
      </c>
      <c r="C1850" s="1" t="s">
        <v>4214</v>
      </c>
      <c r="D1850" s="1" t="str">
        <f t="shared" si="7"/>
        <v>1</v>
      </c>
      <c r="E1850" s="1" t="s">
        <v>4215</v>
      </c>
      <c r="G1850" s="1">
        <f t="array" ref="G1850">IF(ISNUMBER(MATCH(5526,Camille!$A:$A,0)), IF(OR(INDEX(Camille!$D:$D,MATCH(5526,Camille!$A:$A,0))=1, INDEX(Camille!$D:$D,MATCH(5526,Camille!$A:$A,0))=2), INDEX(Camille!$D:$D,MATCH(5526,Camille!$A:$A,0)), 0), 0)</f>
        <v>0</v>
      </c>
      <c r="H1850" s="1">
        <f t="array" ref="H1850">IF(ISNUMBER(MATCH(5526,Telmo!$A:$A,0)), IF(OR(INDEX(Telmo!$D:$D,MATCH(5526,Telmo!$A:$A,0))=1, INDEX(Telmo!$D:$D,MATCH(5526,Telmo!$A:$A,0))=2), INDEX(Telmo!$D:$D,MATCH(5526,Telmo!$A:$A,0)), 0), 0)</f>
        <v>0</v>
      </c>
      <c r="I1850" s="1">
        <f t="array" ref="I1850">IF(ISNUMBER(MATCH(5526,Max!$A:$A,0)), IF(OR(INDEX(Max!$D:$D,MATCH(5526,Max!$A:$A,0))=1, INDEX(Max!$D:$D,MATCH(5526,Max!$A:$A,0))=2), INDEX(Max!$D:$D,MATCH(5526,Max!$A:$A,0)), 0), 0)</f>
        <v>1</v>
      </c>
    </row>
    <row r="1851" spans="1:9" ht="15.75" customHeight="1" x14ac:dyDescent="0.2">
      <c r="A1851" s="1">
        <v>25882</v>
      </c>
      <c r="B1851" s="1" t="s">
        <v>4216</v>
      </c>
      <c r="C1851" s="1" t="s">
        <v>4217</v>
      </c>
      <c r="D1851" s="1" t="str">
        <f t="shared" si="7"/>
        <v>2</v>
      </c>
      <c r="E1851" s="1" t="s">
        <v>4218</v>
      </c>
      <c r="G1851" s="1">
        <f t="array" ref="G1851">IF(ISNUMBER(MATCH(25882,Camille!$A:$A,0)), IF(OR(INDEX(Camille!$D:$D,MATCH(25882,Camille!$A:$A,0))=1, INDEX(Camille!$D:$D,MATCH(25882,Camille!$A:$A,0))=2), INDEX(Camille!$D:$D,MATCH(25882,Camille!$A:$A,0)), 0), 0)</f>
        <v>0</v>
      </c>
      <c r="H1851" s="1">
        <f t="array" ref="H1851">IF(ISNUMBER(MATCH(25882,Telmo!$A:$A,0)), IF(OR(INDEX(Telmo!$D:$D,MATCH(25882,Telmo!$A:$A,0))=1, INDEX(Telmo!$D:$D,MATCH(25882,Telmo!$A:$A,0))=2), INDEX(Telmo!$D:$D,MATCH(25882,Telmo!$A:$A,0)), 0), 0)</f>
        <v>0</v>
      </c>
      <c r="I1851" s="1">
        <f t="array" ref="I1851">IF(ISNUMBER(MATCH(25882,Max!$A:$A,0)), IF(OR(INDEX(Max!$D:$D,MATCH(25882,Max!$A:$A,0))=1, INDEX(Max!$D:$D,MATCH(25882,Max!$A:$A,0))=2), INDEX(Max!$D:$D,MATCH(25882,Max!$A:$A,0)), 0), 0)</f>
        <v>2</v>
      </c>
    </row>
    <row r="1852" spans="1:9" ht="15.75" customHeight="1" x14ac:dyDescent="0.2">
      <c r="A1852" s="1">
        <v>22019</v>
      </c>
      <c r="B1852" s="1" t="s">
        <v>1357</v>
      </c>
      <c r="C1852" s="1" t="s">
        <v>4219</v>
      </c>
      <c r="D1852" s="1" t="str">
        <f t="shared" si="7"/>
        <v>2</v>
      </c>
      <c r="E1852" s="1" t="s">
        <v>4220</v>
      </c>
      <c r="G1852" s="1">
        <f t="array" ref="G1852">IF(ISNUMBER(MATCH(22019,Camille!$A:$A,0)), IF(OR(INDEX(Camille!$D:$D,MATCH(22019,Camille!$A:$A,0))=1, INDEX(Camille!$D:$D,MATCH(22019,Camille!$A:$A,0))=2), INDEX(Camille!$D:$D,MATCH(22019,Camille!$A:$A,0)), 0), 0)</f>
        <v>0</v>
      </c>
      <c r="H1852" s="1">
        <f t="array" ref="H1852">IF(ISNUMBER(MATCH(22019,Telmo!$A:$A,0)), IF(OR(INDEX(Telmo!$D:$D,MATCH(22019,Telmo!$A:$A,0))=1, INDEX(Telmo!$D:$D,MATCH(22019,Telmo!$A:$A,0))=2), INDEX(Telmo!$D:$D,MATCH(22019,Telmo!$A:$A,0)), 0), 0)</f>
        <v>0</v>
      </c>
      <c r="I1852" s="1">
        <f t="array" ref="I1852">IF(ISNUMBER(MATCH(22019,Max!$A:$A,0)), IF(OR(INDEX(Max!$D:$D,MATCH(22019,Max!$A:$A,0))=1, INDEX(Max!$D:$D,MATCH(22019,Max!$A:$A,0))=2), INDEX(Max!$D:$D,MATCH(22019,Max!$A:$A,0)), 0), 0)</f>
        <v>2</v>
      </c>
    </row>
    <row r="1853" spans="1:9" ht="15.75" customHeight="1" x14ac:dyDescent="0.2">
      <c r="A1853" s="1">
        <v>21824</v>
      </c>
      <c r="B1853" s="1" t="s">
        <v>1034</v>
      </c>
      <c r="C1853" s="1" t="s">
        <v>4221</v>
      </c>
      <c r="D1853" s="1" t="str">
        <f t="shared" si="7"/>
        <v>2</v>
      </c>
      <c r="E1853" s="1" t="s">
        <v>4222</v>
      </c>
      <c r="G1853" s="1">
        <f t="array" ref="G1853">IF(ISNUMBER(MATCH(21824,Camille!$A:$A,0)), IF(OR(INDEX(Camille!$D:$D,MATCH(21824,Camille!$A:$A,0))=1, INDEX(Camille!$D:$D,MATCH(21824,Camille!$A:$A,0))=2), INDEX(Camille!$D:$D,MATCH(21824,Camille!$A:$A,0)), 0), 0)</f>
        <v>0</v>
      </c>
      <c r="H1853" s="1">
        <f t="array" ref="H1853">IF(ISNUMBER(MATCH(21824,Telmo!$A:$A,0)), IF(OR(INDEX(Telmo!$D:$D,MATCH(21824,Telmo!$A:$A,0))=1, INDEX(Telmo!$D:$D,MATCH(21824,Telmo!$A:$A,0))=2), INDEX(Telmo!$D:$D,MATCH(21824,Telmo!$A:$A,0)), 0), 0)</f>
        <v>0</v>
      </c>
      <c r="I1853" s="1">
        <f t="array" ref="I1853">IF(ISNUMBER(MATCH(21824,Max!$A:$A,0)), IF(OR(INDEX(Max!$D:$D,MATCH(21824,Max!$A:$A,0))=1, INDEX(Max!$D:$D,MATCH(21824,Max!$A:$A,0))=2), INDEX(Max!$D:$D,MATCH(21824,Max!$A:$A,0)), 0), 0)</f>
        <v>2</v>
      </c>
    </row>
    <row r="1854" spans="1:9" ht="15.75" customHeight="1" x14ac:dyDescent="0.2">
      <c r="A1854" s="1">
        <v>41227</v>
      </c>
      <c r="B1854" s="1" t="s">
        <v>4223</v>
      </c>
      <c r="C1854" s="1" t="s">
        <v>4224</v>
      </c>
      <c r="D1854" s="1" t="str">
        <f t="shared" si="7"/>
        <v>2</v>
      </c>
      <c r="E1854" s="1" t="s">
        <v>4225</v>
      </c>
      <c r="G1854" s="1">
        <f t="array" ref="G1854">IF(ISNUMBER(MATCH(41227,Camille!$A:$A,0)), IF(OR(INDEX(Camille!$D:$D,MATCH(41227,Camille!$A:$A,0))=1, INDEX(Camille!$D:$D,MATCH(41227,Camille!$A:$A,0))=2), INDEX(Camille!$D:$D,MATCH(41227,Camille!$A:$A,0)), 0), 0)</f>
        <v>0</v>
      </c>
      <c r="H1854" s="1">
        <f t="array" ref="H1854">IF(ISNUMBER(MATCH(41227,Telmo!$A:$A,0)), IF(OR(INDEX(Telmo!$D:$D,MATCH(41227,Telmo!$A:$A,0))=1, INDEX(Telmo!$D:$D,MATCH(41227,Telmo!$A:$A,0))=2), INDEX(Telmo!$D:$D,MATCH(41227,Telmo!$A:$A,0)), 0), 0)</f>
        <v>0</v>
      </c>
      <c r="I1854" s="1">
        <f t="array" ref="I1854">IF(ISNUMBER(MATCH(41227,Max!$A:$A,0)), IF(OR(INDEX(Max!$D:$D,MATCH(41227,Max!$A:$A,0))=1, INDEX(Max!$D:$D,MATCH(41227,Max!$A:$A,0))=2), INDEX(Max!$D:$D,MATCH(41227,Max!$A:$A,0)), 0), 0)</f>
        <v>2</v>
      </c>
    </row>
    <row r="1855" spans="1:9" ht="15.75" customHeight="1" x14ac:dyDescent="0.2">
      <c r="A1855" s="1">
        <v>1831</v>
      </c>
      <c r="B1855" s="1" t="s">
        <v>4226</v>
      </c>
      <c r="C1855" s="1" t="s">
        <v>4227</v>
      </c>
      <c r="D1855" s="1" t="str">
        <f t="shared" si="7"/>
        <v>2</v>
      </c>
      <c r="E1855" s="1" t="s">
        <v>4228</v>
      </c>
      <c r="G1855" s="1">
        <f t="array" ref="G1855">IF(ISNUMBER(MATCH(1831,Camille!$A:$A,0)), IF(OR(INDEX(Camille!$D:$D,MATCH(1831,Camille!$A:$A,0))=1, INDEX(Camille!$D:$D,MATCH(1831,Camille!$A:$A,0))=2), INDEX(Camille!$D:$D,MATCH(1831,Camille!$A:$A,0)), 0), 0)</f>
        <v>0</v>
      </c>
      <c r="H1855" s="1">
        <f t="array" ref="H1855">IF(ISNUMBER(MATCH(1831,Telmo!$A:$A,0)), IF(OR(INDEX(Telmo!$D:$D,MATCH(1831,Telmo!$A:$A,0))=1, INDEX(Telmo!$D:$D,MATCH(1831,Telmo!$A:$A,0))=2), INDEX(Telmo!$D:$D,MATCH(1831,Telmo!$A:$A,0)), 0), 0)</f>
        <v>0</v>
      </c>
      <c r="I1855" s="1">
        <f t="array" ref="I1855">IF(ISNUMBER(MATCH(1831,Max!$A:$A,0)), IF(OR(INDEX(Max!$D:$D,MATCH(1831,Max!$A:$A,0))=1, INDEX(Max!$D:$D,MATCH(1831,Max!$A:$A,0))=2), INDEX(Max!$D:$D,MATCH(1831,Max!$A:$A,0)), 0), 0)</f>
        <v>2</v>
      </c>
    </row>
    <row r="1856" spans="1:9" ht="15.75" customHeight="1" x14ac:dyDescent="0.2">
      <c r="A1856" s="1">
        <v>48939</v>
      </c>
      <c r="B1856" s="1" t="s">
        <v>32</v>
      </c>
      <c r="C1856" s="1" t="s">
        <v>4229</v>
      </c>
      <c r="D1856" s="1" t="str">
        <f t="shared" si="7"/>
        <v>1</v>
      </c>
      <c r="E1856" s="1" t="s">
        <v>4230</v>
      </c>
      <c r="G1856" s="1">
        <f t="array" ref="G1856">IF(ISNUMBER(MATCH(48939,Camille!$A:$A,0)), IF(OR(INDEX(Camille!$D:$D,MATCH(48939,Camille!$A:$A,0))=1, INDEX(Camille!$D:$D,MATCH(48939,Camille!$A:$A,0))=2), INDEX(Camille!$D:$D,MATCH(48939,Camille!$A:$A,0)), 0), 0)</f>
        <v>0</v>
      </c>
      <c r="H1856" s="1">
        <f t="array" ref="H1856">IF(ISNUMBER(MATCH(48939,Telmo!$A:$A,0)), IF(OR(INDEX(Telmo!$D:$D,MATCH(48939,Telmo!$A:$A,0))=1, INDEX(Telmo!$D:$D,MATCH(48939,Telmo!$A:$A,0))=2), INDEX(Telmo!$D:$D,MATCH(48939,Telmo!$A:$A,0)), 0), 0)</f>
        <v>0</v>
      </c>
      <c r="I1856" s="1">
        <f t="array" ref="I1856">IF(ISNUMBER(MATCH(48939,Max!$A:$A,0)), IF(OR(INDEX(Max!$D:$D,MATCH(48939,Max!$A:$A,0))=1, INDEX(Max!$D:$D,MATCH(48939,Max!$A:$A,0))=2), INDEX(Max!$D:$D,MATCH(48939,Max!$A:$A,0)), 0), 0)</f>
        <v>1</v>
      </c>
    </row>
    <row r="1857" spans="1:9" ht="15.75" customHeight="1" x14ac:dyDescent="0.2">
      <c r="A1857" s="1">
        <v>58778</v>
      </c>
      <c r="B1857" s="1" t="s">
        <v>1211</v>
      </c>
      <c r="C1857" s="1" t="s">
        <v>4231</v>
      </c>
      <c r="D1857" s="1" t="str">
        <f t="shared" si="7"/>
        <v>2</v>
      </c>
      <c r="E1857" s="1" t="s">
        <v>4232</v>
      </c>
      <c r="G1857" s="1">
        <f t="array" ref="G1857">IF(ISNUMBER(MATCH(58778,Camille!$A:$A,0)), IF(OR(INDEX(Camille!$D:$D,MATCH(58778,Camille!$A:$A,0))=1, INDEX(Camille!$D:$D,MATCH(58778,Camille!$A:$A,0))=2), INDEX(Camille!$D:$D,MATCH(58778,Camille!$A:$A,0)), 0), 0)</f>
        <v>0</v>
      </c>
      <c r="H1857" s="1">
        <f t="array" ref="H1857">IF(ISNUMBER(MATCH(58778,Telmo!$A:$A,0)), IF(OR(INDEX(Telmo!$D:$D,MATCH(58778,Telmo!$A:$A,0))=1, INDEX(Telmo!$D:$D,MATCH(58778,Telmo!$A:$A,0))=2), INDEX(Telmo!$D:$D,MATCH(58778,Telmo!$A:$A,0)), 0), 0)</f>
        <v>0</v>
      </c>
      <c r="I1857" s="1">
        <f t="array" ref="I1857">IF(ISNUMBER(MATCH(58778,Max!$A:$A,0)), IF(OR(INDEX(Max!$D:$D,MATCH(58778,Max!$A:$A,0))=1, INDEX(Max!$D:$D,MATCH(58778,Max!$A:$A,0))=2), INDEX(Max!$D:$D,MATCH(58778,Max!$A:$A,0)), 0), 0)</f>
        <v>2</v>
      </c>
    </row>
    <row r="1858" spans="1:9" ht="15.75" customHeight="1" x14ac:dyDescent="0.2">
      <c r="A1858" s="1">
        <v>70302</v>
      </c>
      <c r="B1858" s="1" t="s">
        <v>159</v>
      </c>
      <c r="C1858" s="1" t="s">
        <v>4233</v>
      </c>
      <c r="D1858" s="1" t="str">
        <f t="shared" si="7"/>
        <v>2</v>
      </c>
      <c r="E1858" s="1" t="s">
        <v>4234</v>
      </c>
      <c r="G1858" s="1">
        <f t="array" ref="G1858">IF(ISNUMBER(MATCH(70302,Camille!$A:$A,0)), IF(OR(INDEX(Camille!$D:$D,MATCH(70302,Camille!$A:$A,0))=1, INDEX(Camille!$D:$D,MATCH(70302,Camille!$A:$A,0))=2), INDEX(Camille!$D:$D,MATCH(70302,Camille!$A:$A,0)), 0), 0)</f>
        <v>0</v>
      </c>
      <c r="H1858" s="1">
        <f t="array" ref="H1858">IF(ISNUMBER(MATCH(70302,Telmo!$A:$A,0)), IF(OR(INDEX(Telmo!$D:$D,MATCH(70302,Telmo!$A:$A,0))=1, INDEX(Telmo!$D:$D,MATCH(70302,Telmo!$A:$A,0))=2), INDEX(Telmo!$D:$D,MATCH(70302,Telmo!$A:$A,0)), 0), 0)</f>
        <v>0</v>
      </c>
      <c r="I1858" s="1">
        <f t="array" ref="I1858">IF(ISNUMBER(MATCH(70302,Max!$A:$A,0)), IF(OR(INDEX(Max!$D:$D,MATCH(70302,Max!$A:$A,0))=1, INDEX(Max!$D:$D,MATCH(70302,Max!$A:$A,0))=2), INDEX(Max!$D:$D,MATCH(70302,Max!$A:$A,0)), 0), 0)</f>
        <v>2</v>
      </c>
    </row>
    <row r="1859" spans="1:9" ht="15.75" customHeight="1" x14ac:dyDescent="0.2">
      <c r="A1859" s="1">
        <v>3968</v>
      </c>
      <c r="B1859" s="1" t="s">
        <v>728</v>
      </c>
      <c r="C1859" s="1" t="s">
        <v>4235</v>
      </c>
      <c r="D1859" s="1" t="str">
        <f t="shared" si="7"/>
        <v>2</v>
      </c>
      <c r="E1859" s="1" t="s">
        <v>4236</v>
      </c>
      <c r="G1859" s="1">
        <f t="array" ref="G1859">IF(ISNUMBER(MATCH(3968,Camille!$A:$A,0)), IF(OR(INDEX(Camille!$D:$D,MATCH(3968,Camille!$A:$A,0))=1, INDEX(Camille!$D:$D,MATCH(3968,Camille!$A:$A,0))=2), INDEX(Camille!$D:$D,MATCH(3968,Camille!$A:$A,0)), 0), 0)</f>
        <v>0</v>
      </c>
      <c r="H1859" s="1">
        <f t="array" ref="H1859">IF(ISNUMBER(MATCH(3968,Telmo!$A:$A,0)), IF(OR(INDEX(Telmo!$D:$D,MATCH(3968,Telmo!$A:$A,0))=1, INDEX(Telmo!$D:$D,MATCH(3968,Telmo!$A:$A,0))=2), INDEX(Telmo!$D:$D,MATCH(3968,Telmo!$A:$A,0)), 0), 0)</f>
        <v>0</v>
      </c>
      <c r="I1859" s="1">
        <f t="array" ref="I1859">IF(ISNUMBER(MATCH(3968,Max!$A:$A,0)), IF(OR(INDEX(Max!$D:$D,MATCH(3968,Max!$A:$A,0))=1, INDEX(Max!$D:$D,MATCH(3968,Max!$A:$A,0))=2), INDEX(Max!$D:$D,MATCH(3968,Max!$A:$A,0)), 0), 0)</f>
        <v>2</v>
      </c>
    </row>
    <row r="1860" spans="1:9" ht="15.75" customHeight="1" x14ac:dyDescent="0.2">
      <c r="A1860" s="1">
        <v>24390</v>
      </c>
      <c r="B1860" s="1" t="s">
        <v>430</v>
      </c>
      <c r="C1860" s="1" t="s">
        <v>4237</v>
      </c>
      <c r="D1860" s="1" t="str">
        <f t="shared" si="7"/>
        <v>2</v>
      </c>
      <c r="E1860" s="1" t="s">
        <v>4238</v>
      </c>
      <c r="G1860" s="1">
        <f t="array" ref="G1860">IF(ISNUMBER(MATCH(24390,Camille!$A:$A,0)), IF(OR(INDEX(Camille!$D:$D,MATCH(24390,Camille!$A:$A,0))=1, INDEX(Camille!$D:$D,MATCH(24390,Camille!$A:$A,0))=2), INDEX(Camille!$D:$D,MATCH(24390,Camille!$A:$A,0)), 0), 0)</f>
        <v>0</v>
      </c>
      <c r="H1860" s="1">
        <f t="array" ref="H1860">IF(ISNUMBER(MATCH(24390,Telmo!$A:$A,0)), IF(OR(INDEX(Telmo!$D:$D,MATCH(24390,Telmo!$A:$A,0))=1, INDEX(Telmo!$D:$D,MATCH(24390,Telmo!$A:$A,0))=2), INDEX(Telmo!$D:$D,MATCH(24390,Telmo!$A:$A,0)), 0), 0)</f>
        <v>0</v>
      </c>
      <c r="I1860" s="1">
        <f t="array" ref="I1860">IF(ISNUMBER(MATCH(24390,Max!$A:$A,0)), IF(OR(INDEX(Max!$D:$D,MATCH(24390,Max!$A:$A,0))=1, INDEX(Max!$D:$D,MATCH(24390,Max!$A:$A,0))=2), INDEX(Max!$D:$D,MATCH(24390,Max!$A:$A,0)), 0), 0)</f>
        <v>2</v>
      </c>
    </row>
    <row r="1861" spans="1:9" ht="15.75" customHeight="1" x14ac:dyDescent="0.2">
      <c r="A1861" s="1">
        <v>27204</v>
      </c>
      <c r="B1861" s="1" t="s">
        <v>4239</v>
      </c>
      <c r="C1861" s="1" t="s">
        <v>4240</v>
      </c>
      <c r="D1861" s="1" t="str">
        <f t="shared" si="7"/>
        <v>2</v>
      </c>
      <c r="E1861" s="1" t="s">
        <v>4241</v>
      </c>
      <c r="G1861" s="1">
        <f t="array" ref="G1861">IF(ISNUMBER(MATCH(27204,Camille!$A:$A,0)), IF(OR(INDEX(Camille!$D:$D,MATCH(27204,Camille!$A:$A,0))=1, INDEX(Camille!$D:$D,MATCH(27204,Camille!$A:$A,0))=2), INDEX(Camille!$D:$D,MATCH(27204,Camille!$A:$A,0)), 0), 0)</f>
        <v>0</v>
      </c>
      <c r="H1861" s="1">
        <f t="array" ref="H1861">IF(ISNUMBER(MATCH(27204,Telmo!$A:$A,0)), IF(OR(INDEX(Telmo!$D:$D,MATCH(27204,Telmo!$A:$A,0))=1, INDEX(Telmo!$D:$D,MATCH(27204,Telmo!$A:$A,0))=2), INDEX(Telmo!$D:$D,MATCH(27204,Telmo!$A:$A,0)), 0), 0)</f>
        <v>0</v>
      </c>
      <c r="I1861" s="1">
        <f t="array" ref="I1861">IF(ISNUMBER(MATCH(27204,Max!$A:$A,0)), IF(OR(INDEX(Max!$D:$D,MATCH(27204,Max!$A:$A,0))=1, INDEX(Max!$D:$D,MATCH(27204,Max!$A:$A,0))=2), INDEX(Max!$D:$D,MATCH(27204,Max!$A:$A,0)), 0), 0)</f>
        <v>2</v>
      </c>
    </row>
    <row r="1862" spans="1:9" ht="15.75" customHeight="1" x14ac:dyDescent="0.2">
      <c r="A1862" s="1">
        <v>45954</v>
      </c>
      <c r="B1862" s="1" t="s">
        <v>17</v>
      </c>
      <c r="C1862" s="1" t="s">
        <v>4242</v>
      </c>
      <c r="D1862" s="1" t="str">
        <f t="shared" si="7"/>
        <v>2</v>
      </c>
      <c r="E1862" s="1" t="s">
        <v>4243</v>
      </c>
      <c r="G1862" s="1">
        <f t="array" ref="G1862">IF(ISNUMBER(MATCH(45954,Camille!$A:$A,0)), IF(OR(INDEX(Camille!$D:$D,MATCH(45954,Camille!$A:$A,0))=1, INDEX(Camille!$D:$D,MATCH(45954,Camille!$A:$A,0))=2), INDEX(Camille!$D:$D,MATCH(45954,Camille!$A:$A,0)), 0), 0)</f>
        <v>0</v>
      </c>
      <c r="H1862" s="1">
        <f t="array" ref="H1862">IF(ISNUMBER(MATCH(45954,Telmo!$A:$A,0)), IF(OR(INDEX(Telmo!$D:$D,MATCH(45954,Telmo!$A:$A,0))=1, INDEX(Telmo!$D:$D,MATCH(45954,Telmo!$A:$A,0))=2), INDEX(Telmo!$D:$D,MATCH(45954,Telmo!$A:$A,0)), 0), 0)</f>
        <v>0</v>
      </c>
      <c r="I1862" s="1">
        <f t="array" ref="I1862">IF(ISNUMBER(MATCH(45954,Max!$A:$A,0)), IF(OR(INDEX(Max!$D:$D,MATCH(45954,Max!$A:$A,0))=1, INDEX(Max!$D:$D,MATCH(45954,Max!$A:$A,0))=2), INDEX(Max!$D:$D,MATCH(45954,Max!$A:$A,0)), 0), 0)</f>
        <v>2</v>
      </c>
    </row>
    <row r="1863" spans="1:9" ht="15.75" customHeight="1" x14ac:dyDescent="0.2">
      <c r="A1863" s="1">
        <v>5481</v>
      </c>
      <c r="B1863" s="1" t="s">
        <v>185</v>
      </c>
      <c r="C1863" s="1" t="s">
        <v>4244</v>
      </c>
      <c r="D1863" s="1" t="str">
        <f t="shared" si="7"/>
        <v>2</v>
      </c>
      <c r="E1863" s="1" t="s">
        <v>4245</v>
      </c>
      <c r="G1863" s="1">
        <f t="array" ref="G1863">IF(ISNUMBER(MATCH(5481,Camille!$A:$A,0)), IF(OR(INDEX(Camille!$D:$D,MATCH(5481,Camille!$A:$A,0))=1, INDEX(Camille!$D:$D,MATCH(5481,Camille!$A:$A,0))=2), INDEX(Camille!$D:$D,MATCH(5481,Camille!$A:$A,0)), 0), 0)</f>
        <v>0</v>
      </c>
      <c r="H1863" s="1">
        <f t="array" ref="H1863">IF(ISNUMBER(MATCH(5481,Telmo!$A:$A,0)), IF(OR(INDEX(Telmo!$D:$D,MATCH(5481,Telmo!$A:$A,0))=1, INDEX(Telmo!$D:$D,MATCH(5481,Telmo!$A:$A,0))=2), INDEX(Telmo!$D:$D,MATCH(5481,Telmo!$A:$A,0)), 0), 0)</f>
        <v>0</v>
      </c>
      <c r="I1863" s="1">
        <f t="array" ref="I1863">IF(ISNUMBER(MATCH(5481,Max!$A:$A,0)), IF(OR(INDEX(Max!$D:$D,MATCH(5481,Max!$A:$A,0))=1, INDEX(Max!$D:$D,MATCH(5481,Max!$A:$A,0))=2), INDEX(Max!$D:$D,MATCH(5481,Max!$A:$A,0)), 0), 0)</f>
        <v>2</v>
      </c>
    </row>
    <row r="1864" spans="1:9" ht="15.75" customHeight="1" x14ac:dyDescent="0.2">
      <c r="A1864" s="1">
        <v>29805</v>
      </c>
      <c r="B1864" s="1" t="s">
        <v>188</v>
      </c>
      <c r="C1864" s="1" t="s">
        <v>4246</v>
      </c>
      <c r="D1864" s="1" t="str">
        <f t="shared" si="7"/>
        <v>2</v>
      </c>
      <c r="E1864" s="1" t="s">
        <v>4247</v>
      </c>
      <c r="G1864" s="1">
        <f t="array" ref="G1864">IF(ISNUMBER(MATCH(29805,Camille!$A:$A,0)), IF(OR(INDEX(Camille!$D:$D,MATCH(29805,Camille!$A:$A,0))=1, INDEX(Camille!$D:$D,MATCH(29805,Camille!$A:$A,0))=2), INDEX(Camille!$D:$D,MATCH(29805,Camille!$A:$A,0)), 0), 0)</f>
        <v>0</v>
      </c>
      <c r="H1864" s="1">
        <f t="array" ref="H1864">IF(ISNUMBER(MATCH(29805,Telmo!$A:$A,0)), IF(OR(INDEX(Telmo!$D:$D,MATCH(29805,Telmo!$A:$A,0))=1, INDEX(Telmo!$D:$D,MATCH(29805,Telmo!$A:$A,0))=2), INDEX(Telmo!$D:$D,MATCH(29805,Telmo!$A:$A,0)), 0), 0)</f>
        <v>0</v>
      </c>
      <c r="I1864" s="1">
        <f t="array" ref="I1864">IF(ISNUMBER(MATCH(29805,Max!$A:$A,0)), IF(OR(INDEX(Max!$D:$D,MATCH(29805,Max!$A:$A,0))=1, INDEX(Max!$D:$D,MATCH(29805,Max!$A:$A,0))=2), INDEX(Max!$D:$D,MATCH(29805,Max!$A:$A,0)), 0), 0)</f>
        <v>2</v>
      </c>
    </row>
    <row r="1865" spans="1:9" ht="15.75" customHeight="1" x14ac:dyDescent="0.2">
      <c r="A1865" s="1">
        <v>48155</v>
      </c>
      <c r="B1865" s="1" t="s">
        <v>2777</v>
      </c>
      <c r="C1865" s="1" t="s">
        <v>4248</v>
      </c>
      <c r="D1865" s="1" t="str">
        <f t="shared" si="7"/>
        <v>2</v>
      </c>
      <c r="E1865" s="1" t="s">
        <v>4249</v>
      </c>
      <c r="G1865" s="1">
        <f t="array" ref="G1865">IF(ISNUMBER(MATCH(48155,Camille!$A:$A,0)), IF(OR(INDEX(Camille!$D:$D,MATCH(48155,Camille!$A:$A,0))=1, INDEX(Camille!$D:$D,MATCH(48155,Camille!$A:$A,0))=2), INDEX(Camille!$D:$D,MATCH(48155,Camille!$A:$A,0)), 0), 0)</f>
        <v>0</v>
      </c>
      <c r="H1865" s="1">
        <f t="array" ref="H1865">IF(ISNUMBER(MATCH(48155,Telmo!$A:$A,0)), IF(OR(INDEX(Telmo!$D:$D,MATCH(48155,Telmo!$A:$A,0))=1, INDEX(Telmo!$D:$D,MATCH(48155,Telmo!$A:$A,0))=2), INDEX(Telmo!$D:$D,MATCH(48155,Telmo!$A:$A,0)), 0), 0)</f>
        <v>0</v>
      </c>
      <c r="I1865" s="1">
        <f t="array" ref="I1865">IF(ISNUMBER(MATCH(48155,Max!$A:$A,0)), IF(OR(INDEX(Max!$D:$D,MATCH(48155,Max!$A:$A,0))=1, INDEX(Max!$D:$D,MATCH(48155,Max!$A:$A,0))=2), INDEX(Max!$D:$D,MATCH(48155,Max!$A:$A,0)), 0), 0)</f>
        <v>2</v>
      </c>
    </row>
    <row r="1866" spans="1:9" ht="15.75" customHeight="1" x14ac:dyDescent="0.2">
      <c r="A1866" s="1">
        <v>32685</v>
      </c>
      <c r="B1866" s="1" t="s">
        <v>276</v>
      </c>
      <c r="C1866" s="1" t="s">
        <v>4250</v>
      </c>
      <c r="D1866" s="1" t="str">
        <f t="shared" si="7"/>
        <v>1</v>
      </c>
      <c r="E1866" s="1" t="s">
        <v>4251</v>
      </c>
      <c r="G1866" s="1">
        <f t="array" ref="G1866">IF(ISNUMBER(MATCH(32685,Camille!$A:$A,0)), IF(OR(INDEX(Camille!$D:$D,MATCH(32685,Camille!$A:$A,0))=1, INDEX(Camille!$D:$D,MATCH(32685,Camille!$A:$A,0))=2), INDEX(Camille!$D:$D,MATCH(32685,Camille!$A:$A,0)), 0), 0)</f>
        <v>0</v>
      </c>
      <c r="H1866" s="1">
        <f t="array" ref="H1866">IF(ISNUMBER(MATCH(32685,Telmo!$A:$A,0)), IF(OR(INDEX(Telmo!$D:$D,MATCH(32685,Telmo!$A:$A,0))=1, INDEX(Telmo!$D:$D,MATCH(32685,Telmo!$A:$A,0))=2), INDEX(Telmo!$D:$D,MATCH(32685,Telmo!$A:$A,0)), 0), 0)</f>
        <v>0</v>
      </c>
      <c r="I1866" s="1">
        <f t="array" ref="I1866">IF(ISNUMBER(MATCH(32685,Max!$A:$A,0)), IF(OR(INDEX(Max!$D:$D,MATCH(32685,Max!$A:$A,0))=1, INDEX(Max!$D:$D,MATCH(32685,Max!$A:$A,0))=2), INDEX(Max!$D:$D,MATCH(32685,Max!$A:$A,0)), 0), 0)</f>
        <v>1</v>
      </c>
    </row>
    <row r="1867" spans="1:9" ht="15.75" customHeight="1" x14ac:dyDescent="0.2">
      <c r="A1867" s="1">
        <v>20607</v>
      </c>
      <c r="B1867" s="1" t="s">
        <v>2048</v>
      </c>
      <c r="C1867" s="1" t="s">
        <v>4252</v>
      </c>
      <c r="D1867" s="1" t="str">
        <f t="shared" si="7"/>
        <v>2</v>
      </c>
      <c r="E1867" s="1" t="s">
        <v>4253</v>
      </c>
      <c r="G1867" s="1">
        <f t="array" ref="G1867">IF(ISNUMBER(MATCH(20607,Camille!$A:$A,0)), IF(OR(INDEX(Camille!$D:$D,MATCH(20607,Camille!$A:$A,0))=1, INDEX(Camille!$D:$D,MATCH(20607,Camille!$A:$A,0))=2), INDEX(Camille!$D:$D,MATCH(20607,Camille!$A:$A,0)), 0), 0)</f>
        <v>0</v>
      </c>
      <c r="H1867" s="1">
        <f t="array" ref="H1867">IF(ISNUMBER(MATCH(20607,Telmo!$A:$A,0)), IF(OR(INDEX(Telmo!$D:$D,MATCH(20607,Telmo!$A:$A,0))=1, INDEX(Telmo!$D:$D,MATCH(20607,Telmo!$A:$A,0))=2), INDEX(Telmo!$D:$D,MATCH(20607,Telmo!$A:$A,0)), 0), 0)</f>
        <v>0</v>
      </c>
      <c r="I1867" s="1">
        <f t="array" ref="I1867">IF(ISNUMBER(MATCH(20607,Max!$A:$A,0)), IF(OR(INDEX(Max!$D:$D,MATCH(20607,Max!$A:$A,0))=1, INDEX(Max!$D:$D,MATCH(20607,Max!$A:$A,0))=2), INDEX(Max!$D:$D,MATCH(20607,Max!$A:$A,0)), 0), 0)</f>
        <v>2</v>
      </c>
    </row>
    <row r="1868" spans="1:9" ht="15.75" customHeight="1" x14ac:dyDescent="0.2">
      <c r="A1868" s="1">
        <v>40534</v>
      </c>
      <c r="B1868" s="1" t="s">
        <v>3277</v>
      </c>
      <c r="C1868" s="1" t="s">
        <v>4254</v>
      </c>
      <c r="D1868" s="1" t="str">
        <f t="shared" si="7"/>
        <v>2</v>
      </c>
      <c r="E1868" s="1" t="s">
        <v>4255</v>
      </c>
      <c r="G1868" s="1">
        <f t="array" ref="G1868">IF(ISNUMBER(MATCH(40534,Camille!$A:$A,0)), IF(OR(INDEX(Camille!$D:$D,MATCH(40534,Camille!$A:$A,0))=1, INDEX(Camille!$D:$D,MATCH(40534,Camille!$A:$A,0))=2), INDEX(Camille!$D:$D,MATCH(40534,Camille!$A:$A,0)), 0), 0)</f>
        <v>0</v>
      </c>
      <c r="H1868" s="1">
        <f t="array" ref="H1868">IF(ISNUMBER(MATCH(40534,Telmo!$A:$A,0)), IF(OR(INDEX(Telmo!$D:$D,MATCH(40534,Telmo!$A:$A,0))=1, INDEX(Telmo!$D:$D,MATCH(40534,Telmo!$A:$A,0))=2), INDEX(Telmo!$D:$D,MATCH(40534,Telmo!$A:$A,0)), 0), 0)</f>
        <v>0</v>
      </c>
      <c r="I1868" s="1">
        <f t="array" ref="I1868">IF(ISNUMBER(MATCH(40534,Max!$A:$A,0)), IF(OR(INDEX(Max!$D:$D,MATCH(40534,Max!$A:$A,0))=1, INDEX(Max!$D:$D,MATCH(40534,Max!$A:$A,0))=2), INDEX(Max!$D:$D,MATCH(40534,Max!$A:$A,0)), 0), 0)</f>
        <v>2</v>
      </c>
    </row>
    <row r="1869" spans="1:9" ht="15.75" customHeight="1" x14ac:dyDescent="0.2">
      <c r="A1869" s="1">
        <v>1026</v>
      </c>
      <c r="B1869" s="1" t="s">
        <v>1679</v>
      </c>
      <c r="C1869" s="1" t="s">
        <v>4256</v>
      </c>
      <c r="D1869" s="1" t="str">
        <f t="shared" si="7"/>
        <v>2</v>
      </c>
      <c r="E1869" s="1" t="s">
        <v>4257</v>
      </c>
      <c r="G1869" s="1">
        <f t="array" ref="G1869">IF(ISNUMBER(MATCH(1026,Camille!$A:$A,0)), IF(OR(INDEX(Camille!$D:$D,MATCH(1026,Camille!$A:$A,0))=1, INDEX(Camille!$D:$D,MATCH(1026,Camille!$A:$A,0))=2), INDEX(Camille!$D:$D,MATCH(1026,Camille!$A:$A,0)), 0), 0)</f>
        <v>0</v>
      </c>
      <c r="H1869" s="1">
        <f t="array" ref="H1869">IF(ISNUMBER(MATCH(1026,Telmo!$A:$A,0)), IF(OR(INDEX(Telmo!$D:$D,MATCH(1026,Telmo!$A:$A,0))=1, INDEX(Telmo!$D:$D,MATCH(1026,Telmo!$A:$A,0))=2), INDEX(Telmo!$D:$D,MATCH(1026,Telmo!$A:$A,0)), 0), 0)</f>
        <v>0</v>
      </c>
      <c r="I1869" s="1">
        <f t="array" ref="I1869">IF(ISNUMBER(MATCH(1026,Max!$A:$A,0)), IF(OR(INDEX(Max!$D:$D,MATCH(1026,Max!$A:$A,0))=1, INDEX(Max!$D:$D,MATCH(1026,Max!$A:$A,0))=2), INDEX(Max!$D:$D,MATCH(1026,Max!$A:$A,0)), 0), 0)</f>
        <v>2</v>
      </c>
    </row>
    <row r="1870" spans="1:9" ht="15.75" customHeight="1" x14ac:dyDescent="0.2">
      <c r="A1870" s="1">
        <v>1657</v>
      </c>
      <c r="B1870" s="1" t="s">
        <v>808</v>
      </c>
      <c r="C1870" s="1" t="s">
        <v>4258</v>
      </c>
      <c r="D1870" s="1" t="str">
        <f t="shared" si="7"/>
        <v>2</v>
      </c>
      <c r="E1870" s="1" t="s">
        <v>4259</v>
      </c>
      <c r="G1870" s="1">
        <f t="array" ref="G1870">IF(ISNUMBER(MATCH(1657,Camille!$A:$A,0)), IF(OR(INDEX(Camille!$D:$D,MATCH(1657,Camille!$A:$A,0))=1, INDEX(Camille!$D:$D,MATCH(1657,Camille!$A:$A,0))=2), INDEX(Camille!$D:$D,MATCH(1657,Camille!$A:$A,0)), 0), 0)</f>
        <v>0</v>
      </c>
      <c r="H1870" s="1">
        <f t="array" ref="H1870">IF(ISNUMBER(MATCH(1657,Telmo!$A:$A,0)), IF(OR(INDEX(Telmo!$D:$D,MATCH(1657,Telmo!$A:$A,0))=1, INDEX(Telmo!$D:$D,MATCH(1657,Telmo!$A:$A,0))=2), INDEX(Telmo!$D:$D,MATCH(1657,Telmo!$A:$A,0)), 0), 0)</f>
        <v>0</v>
      </c>
      <c r="I1870" s="1">
        <f t="array" ref="I1870">IF(ISNUMBER(MATCH(1657,Max!$A:$A,0)), IF(OR(INDEX(Max!$D:$D,MATCH(1657,Max!$A:$A,0))=1, INDEX(Max!$D:$D,MATCH(1657,Max!$A:$A,0))=2), INDEX(Max!$D:$D,MATCH(1657,Max!$A:$A,0)), 0), 0)</f>
        <v>2</v>
      </c>
    </row>
    <row r="1871" spans="1:9" ht="15.75" customHeight="1" x14ac:dyDescent="0.2">
      <c r="A1871" s="1">
        <v>66340</v>
      </c>
      <c r="B1871" s="1" t="s">
        <v>4005</v>
      </c>
      <c r="C1871" s="1" t="s">
        <v>4260</v>
      </c>
      <c r="D1871" s="1" t="str">
        <f t="shared" si="7"/>
        <v>2</v>
      </c>
      <c r="E1871" s="1" t="s">
        <v>4261</v>
      </c>
      <c r="G1871" s="1">
        <f t="array" ref="G1871">IF(ISNUMBER(MATCH(66340,Camille!$A:$A,0)), IF(OR(INDEX(Camille!$D:$D,MATCH(66340,Camille!$A:$A,0))=1, INDEX(Camille!$D:$D,MATCH(66340,Camille!$A:$A,0))=2), INDEX(Camille!$D:$D,MATCH(66340,Camille!$A:$A,0)), 0), 0)</f>
        <v>0</v>
      </c>
      <c r="H1871" s="1">
        <f t="array" ref="H1871">IF(ISNUMBER(MATCH(66340,Telmo!$A:$A,0)), IF(OR(INDEX(Telmo!$D:$D,MATCH(66340,Telmo!$A:$A,0))=1, INDEX(Telmo!$D:$D,MATCH(66340,Telmo!$A:$A,0))=2), INDEX(Telmo!$D:$D,MATCH(66340,Telmo!$A:$A,0)), 0), 0)</f>
        <v>0</v>
      </c>
      <c r="I1871" s="1">
        <f t="array" ref="I1871">IF(ISNUMBER(MATCH(66340,Max!$A:$A,0)), IF(OR(INDEX(Max!$D:$D,MATCH(66340,Max!$A:$A,0))=1, INDEX(Max!$D:$D,MATCH(66340,Max!$A:$A,0))=2), INDEX(Max!$D:$D,MATCH(66340,Max!$A:$A,0)), 0), 0)</f>
        <v>2</v>
      </c>
    </row>
    <row r="1872" spans="1:9" ht="15.75" customHeight="1" x14ac:dyDescent="0.2">
      <c r="A1872" s="1">
        <v>21680</v>
      </c>
      <c r="B1872" s="1" t="s">
        <v>172</v>
      </c>
      <c r="C1872" s="1" t="s">
        <v>4262</v>
      </c>
      <c r="D1872" s="1" t="str">
        <f t="shared" si="7"/>
        <v>2</v>
      </c>
      <c r="E1872" s="1" t="s">
        <v>4263</v>
      </c>
      <c r="G1872" s="1">
        <f t="array" ref="G1872">IF(ISNUMBER(MATCH(21680,Camille!$A:$A,0)), IF(OR(INDEX(Camille!$D:$D,MATCH(21680,Camille!$A:$A,0))=1, INDEX(Camille!$D:$D,MATCH(21680,Camille!$A:$A,0))=2), INDEX(Camille!$D:$D,MATCH(21680,Camille!$A:$A,0)), 0), 0)</f>
        <v>0</v>
      </c>
      <c r="H1872" s="1">
        <f t="array" ref="H1872">IF(ISNUMBER(MATCH(21680,Telmo!$A:$A,0)), IF(OR(INDEX(Telmo!$D:$D,MATCH(21680,Telmo!$A:$A,0))=1, INDEX(Telmo!$D:$D,MATCH(21680,Telmo!$A:$A,0))=2), INDEX(Telmo!$D:$D,MATCH(21680,Telmo!$A:$A,0)), 0), 0)</f>
        <v>0</v>
      </c>
      <c r="I1872" s="1">
        <f t="array" ref="I1872">IF(ISNUMBER(MATCH(21680,Max!$A:$A,0)), IF(OR(INDEX(Max!$D:$D,MATCH(21680,Max!$A:$A,0))=1, INDEX(Max!$D:$D,MATCH(21680,Max!$A:$A,0))=2), INDEX(Max!$D:$D,MATCH(21680,Max!$A:$A,0)), 0), 0)</f>
        <v>2</v>
      </c>
    </row>
    <row r="1873" spans="1:9" ht="15.75" customHeight="1" x14ac:dyDescent="0.2">
      <c r="A1873" s="1">
        <v>13392</v>
      </c>
      <c r="B1873" s="1" t="s">
        <v>4264</v>
      </c>
      <c r="C1873" s="1" t="s">
        <v>4265</v>
      </c>
      <c r="D1873" s="1" t="str">
        <f t="shared" si="7"/>
        <v>2</v>
      </c>
      <c r="E1873" s="1" t="s">
        <v>4266</v>
      </c>
      <c r="G1873" s="1">
        <f t="array" ref="G1873">IF(ISNUMBER(MATCH(13392,Camille!$A:$A,0)), IF(OR(INDEX(Camille!$D:$D,MATCH(13392,Camille!$A:$A,0))=1, INDEX(Camille!$D:$D,MATCH(13392,Camille!$A:$A,0))=2), INDEX(Camille!$D:$D,MATCH(13392,Camille!$A:$A,0)), 0), 0)</f>
        <v>0</v>
      </c>
      <c r="H1873" s="1">
        <f t="array" ref="H1873">IF(ISNUMBER(MATCH(13392,Telmo!$A:$A,0)), IF(OR(INDEX(Telmo!$D:$D,MATCH(13392,Telmo!$A:$A,0))=1, INDEX(Telmo!$D:$D,MATCH(13392,Telmo!$A:$A,0))=2), INDEX(Telmo!$D:$D,MATCH(13392,Telmo!$A:$A,0)), 0), 0)</f>
        <v>0</v>
      </c>
      <c r="I1873" s="1">
        <f t="array" ref="I1873">IF(ISNUMBER(MATCH(13392,Max!$A:$A,0)), IF(OR(INDEX(Max!$D:$D,MATCH(13392,Max!$A:$A,0))=1, INDEX(Max!$D:$D,MATCH(13392,Max!$A:$A,0))=2), INDEX(Max!$D:$D,MATCH(13392,Max!$A:$A,0)), 0), 0)</f>
        <v>2</v>
      </c>
    </row>
    <row r="1874" spans="1:9" ht="15.75" customHeight="1" x14ac:dyDescent="0.2">
      <c r="A1874" s="1">
        <v>23459</v>
      </c>
      <c r="B1874" s="1" t="s">
        <v>194</v>
      </c>
      <c r="C1874" s="1" t="s">
        <v>4267</v>
      </c>
      <c r="D1874" s="1" t="str">
        <f t="shared" si="7"/>
        <v>2</v>
      </c>
      <c r="E1874" s="1" t="s">
        <v>4268</v>
      </c>
      <c r="G1874" s="1">
        <f t="array" ref="G1874">IF(ISNUMBER(MATCH(23459,Camille!$A:$A,0)), IF(OR(INDEX(Camille!$D:$D,MATCH(23459,Camille!$A:$A,0))=1, INDEX(Camille!$D:$D,MATCH(23459,Camille!$A:$A,0))=2), INDEX(Camille!$D:$D,MATCH(23459,Camille!$A:$A,0)), 0), 0)</f>
        <v>0</v>
      </c>
      <c r="H1874" s="1">
        <f t="array" ref="H1874">IF(ISNUMBER(MATCH(23459,Telmo!$A:$A,0)), IF(OR(INDEX(Telmo!$D:$D,MATCH(23459,Telmo!$A:$A,0))=1, INDEX(Telmo!$D:$D,MATCH(23459,Telmo!$A:$A,0))=2), INDEX(Telmo!$D:$D,MATCH(23459,Telmo!$A:$A,0)), 0), 0)</f>
        <v>0</v>
      </c>
      <c r="I1874" s="1">
        <f t="array" ref="I1874">IF(ISNUMBER(MATCH(23459,Max!$A:$A,0)), IF(OR(INDEX(Max!$D:$D,MATCH(23459,Max!$A:$A,0))=1, INDEX(Max!$D:$D,MATCH(23459,Max!$A:$A,0))=2), INDEX(Max!$D:$D,MATCH(23459,Max!$A:$A,0)), 0), 0)</f>
        <v>2</v>
      </c>
    </row>
    <row r="1875" spans="1:9" ht="15.75" customHeight="1" x14ac:dyDescent="0.2">
      <c r="A1875" s="1">
        <v>62011</v>
      </c>
      <c r="B1875" s="1" t="s">
        <v>90</v>
      </c>
      <c r="C1875" s="1" t="s">
        <v>4269</v>
      </c>
      <c r="D1875" s="1" t="str">
        <f t="shared" si="7"/>
        <v>2</v>
      </c>
      <c r="E1875" s="1" t="s">
        <v>4270</v>
      </c>
      <c r="G1875" s="1">
        <f t="array" ref="G1875">IF(ISNUMBER(MATCH(62011,Camille!$A:$A,0)), IF(OR(INDEX(Camille!$D:$D,MATCH(62011,Camille!$A:$A,0))=1, INDEX(Camille!$D:$D,MATCH(62011,Camille!$A:$A,0))=2), INDEX(Camille!$D:$D,MATCH(62011,Camille!$A:$A,0)), 0), 0)</f>
        <v>0</v>
      </c>
      <c r="H1875" s="1">
        <f t="array" ref="H1875">IF(ISNUMBER(MATCH(62011,Telmo!$A:$A,0)), IF(OR(INDEX(Telmo!$D:$D,MATCH(62011,Telmo!$A:$A,0))=1, INDEX(Telmo!$D:$D,MATCH(62011,Telmo!$A:$A,0))=2), INDEX(Telmo!$D:$D,MATCH(62011,Telmo!$A:$A,0)), 0), 0)</f>
        <v>0</v>
      </c>
      <c r="I1875" s="1">
        <f t="array" ref="I1875">IF(ISNUMBER(MATCH(62011,Max!$A:$A,0)), IF(OR(INDEX(Max!$D:$D,MATCH(62011,Max!$A:$A,0))=1, INDEX(Max!$D:$D,MATCH(62011,Max!$A:$A,0))=2), INDEX(Max!$D:$D,MATCH(62011,Max!$A:$A,0)), 0), 0)</f>
        <v>2</v>
      </c>
    </row>
    <row r="1876" spans="1:9" ht="15.75" customHeight="1" x14ac:dyDescent="0.2">
      <c r="A1876" s="1">
        <v>27915</v>
      </c>
      <c r="B1876" s="1" t="s">
        <v>298</v>
      </c>
      <c r="C1876" s="1" t="s">
        <v>4271</v>
      </c>
      <c r="D1876" s="1" t="str">
        <f t="shared" si="7"/>
        <v>2</v>
      </c>
      <c r="E1876" s="1" t="s">
        <v>4272</v>
      </c>
      <c r="G1876" s="1">
        <f t="array" ref="G1876">IF(ISNUMBER(MATCH(27915,Camille!$A:$A,0)), IF(OR(INDEX(Camille!$D:$D,MATCH(27915,Camille!$A:$A,0))=1, INDEX(Camille!$D:$D,MATCH(27915,Camille!$A:$A,0))=2), INDEX(Camille!$D:$D,MATCH(27915,Camille!$A:$A,0)), 0), 0)</f>
        <v>0</v>
      </c>
      <c r="H1876" s="1">
        <f t="array" ref="H1876">IF(ISNUMBER(MATCH(27915,Telmo!$A:$A,0)), IF(OR(INDEX(Telmo!$D:$D,MATCH(27915,Telmo!$A:$A,0))=1, INDEX(Telmo!$D:$D,MATCH(27915,Telmo!$A:$A,0))=2), INDEX(Telmo!$D:$D,MATCH(27915,Telmo!$A:$A,0)), 0), 0)</f>
        <v>0</v>
      </c>
      <c r="I1876" s="1">
        <f t="array" ref="I1876">IF(ISNUMBER(MATCH(27915,Max!$A:$A,0)), IF(OR(INDEX(Max!$D:$D,MATCH(27915,Max!$A:$A,0))=1, INDEX(Max!$D:$D,MATCH(27915,Max!$A:$A,0))=2), INDEX(Max!$D:$D,MATCH(27915,Max!$A:$A,0)), 0), 0)</f>
        <v>2</v>
      </c>
    </row>
    <row r="1877" spans="1:9" ht="15.75" customHeight="1" x14ac:dyDescent="0.2">
      <c r="A1877" s="1">
        <v>45129</v>
      </c>
      <c r="B1877" s="1" t="s">
        <v>1052</v>
      </c>
      <c r="C1877" s="1" t="s">
        <v>4273</v>
      </c>
      <c r="D1877" s="1" t="str">
        <f t="shared" si="7"/>
        <v>2</v>
      </c>
      <c r="E1877" s="1" t="s">
        <v>4274</v>
      </c>
      <c r="G1877" s="1">
        <f t="array" ref="G1877">IF(ISNUMBER(MATCH(45129,Camille!$A:$A,0)), IF(OR(INDEX(Camille!$D:$D,MATCH(45129,Camille!$A:$A,0))=1, INDEX(Camille!$D:$D,MATCH(45129,Camille!$A:$A,0))=2), INDEX(Camille!$D:$D,MATCH(45129,Camille!$A:$A,0)), 0), 0)</f>
        <v>0</v>
      </c>
      <c r="H1877" s="1">
        <f t="array" ref="H1877">IF(ISNUMBER(MATCH(45129,Telmo!$A:$A,0)), IF(OR(INDEX(Telmo!$D:$D,MATCH(45129,Telmo!$A:$A,0))=1, INDEX(Telmo!$D:$D,MATCH(45129,Telmo!$A:$A,0))=2), INDEX(Telmo!$D:$D,MATCH(45129,Telmo!$A:$A,0)), 0), 0)</f>
        <v>0</v>
      </c>
      <c r="I1877" s="1">
        <f t="array" ref="I1877">IF(ISNUMBER(MATCH(45129,Max!$A:$A,0)), IF(OR(INDEX(Max!$D:$D,MATCH(45129,Max!$A:$A,0))=1, INDEX(Max!$D:$D,MATCH(45129,Max!$A:$A,0))=2), INDEX(Max!$D:$D,MATCH(45129,Max!$A:$A,0)), 0), 0)</f>
        <v>2</v>
      </c>
    </row>
    <row r="1878" spans="1:9" ht="15.75" customHeight="1" x14ac:dyDescent="0.2">
      <c r="A1878" s="1">
        <v>30043</v>
      </c>
      <c r="B1878" s="1" t="s">
        <v>430</v>
      </c>
      <c r="C1878" s="1" t="s">
        <v>4275</v>
      </c>
      <c r="D1878" s="1" t="str">
        <f t="shared" si="7"/>
        <v>2</v>
      </c>
      <c r="E1878" s="1" t="s">
        <v>4276</v>
      </c>
      <c r="G1878" s="1">
        <f t="array" ref="G1878">IF(ISNUMBER(MATCH(30043,Camille!$A:$A,0)), IF(OR(INDEX(Camille!$D:$D,MATCH(30043,Camille!$A:$A,0))=1, INDEX(Camille!$D:$D,MATCH(30043,Camille!$A:$A,0))=2), INDEX(Camille!$D:$D,MATCH(30043,Camille!$A:$A,0)), 0), 0)</f>
        <v>0</v>
      </c>
      <c r="H1878" s="1">
        <f t="array" ref="H1878">IF(ISNUMBER(MATCH(30043,Telmo!$A:$A,0)), IF(OR(INDEX(Telmo!$D:$D,MATCH(30043,Telmo!$A:$A,0))=1, INDEX(Telmo!$D:$D,MATCH(30043,Telmo!$A:$A,0))=2), INDEX(Telmo!$D:$D,MATCH(30043,Telmo!$A:$A,0)), 0), 0)</f>
        <v>0</v>
      </c>
      <c r="I1878" s="1">
        <f t="array" ref="I1878">IF(ISNUMBER(MATCH(30043,Max!$A:$A,0)), IF(OR(INDEX(Max!$D:$D,MATCH(30043,Max!$A:$A,0))=1, INDEX(Max!$D:$D,MATCH(30043,Max!$A:$A,0))=2), INDEX(Max!$D:$D,MATCH(30043,Max!$A:$A,0)), 0), 0)</f>
        <v>2</v>
      </c>
    </row>
    <row r="1879" spans="1:9" ht="15.75" customHeight="1" x14ac:dyDescent="0.2">
      <c r="A1879" s="1">
        <v>41094</v>
      </c>
      <c r="B1879" s="1" t="s">
        <v>996</v>
      </c>
      <c r="C1879" s="1" t="s">
        <v>4277</v>
      </c>
      <c r="D1879" s="1" t="str">
        <f t="shared" si="7"/>
        <v>2</v>
      </c>
      <c r="E1879" s="1" t="s">
        <v>4278</v>
      </c>
      <c r="G1879" s="1">
        <f t="array" ref="G1879">IF(ISNUMBER(MATCH(41094,Camille!$A:$A,0)), IF(OR(INDEX(Camille!$D:$D,MATCH(41094,Camille!$A:$A,0))=1, INDEX(Camille!$D:$D,MATCH(41094,Camille!$A:$A,0))=2), INDEX(Camille!$D:$D,MATCH(41094,Camille!$A:$A,0)), 0), 0)</f>
        <v>0</v>
      </c>
      <c r="H1879" s="1">
        <f t="array" ref="H1879">IF(ISNUMBER(MATCH(41094,Telmo!$A:$A,0)), IF(OR(INDEX(Telmo!$D:$D,MATCH(41094,Telmo!$A:$A,0))=1, INDEX(Telmo!$D:$D,MATCH(41094,Telmo!$A:$A,0))=2), INDEX(Telmo!$D:$D,MATCH(41094,Telmo!$A:$A,0)), 0), 0)</f>
        <v>0</v>
      </c>
      <c r="I1879" s="1">
        <f t="array" ref="I1879">IF(ISNUMBER(MATCH(41094,Max!$A:$A,0)), IF(OR(INDEX(Max!$D:$D,MATCH(41094,Max!$A:$A,0))=1, INDEX(Max!$D:$D,MATCH(41094,Max!$A:$A,0))=2), INDEX(Max!$D:$D,MATCH(41094,Max!$A:$A,0)), 0), 0)</f>
        <v>2</v>
      </c>
    </row>
    <row r="1880" spans="1:9" ht="15.75" customHeight="1" x14ac:dyDescent="0.2">
      <c r="A1880" s="1">
        <v>46227</v>
      </c>
      <c r="B1880" s="1" t="s">
        <v>153</v>
      </c>
      <c r="C1880" s="1" t="s">
        <v>4279</v>
      </c>
      <c r="D1880" s="1" t="str">
        <f t="shared" si="7"/>
        <v>2</v>
      </c>
      <c r="E1880" s="1" t="s">
        <v>4280</v>
      </c>
      <c r="G1880" s="1">
        <f t="array" ref="G1880">IF(ISNUMBER(MATCH(46227,Camille!$A:$A,0)), IF(OR(INDEX(Camille!$D:$D,MATCH(46227,Camille!$A:$A,0))=1, INDEX(Camille!$D:$D,MATCH(46227,Camille!$A:$A,0))=2), INDEX(Camille!$D:$D,MATCH(46227,Camille!$A:$A,0)), 0), 0)</f>
        <v>0</v>
      </c>
      <c r="H1880" s="1">
        <f t="array" ref="H1880">IF(ISNUMBER(MATCH(46227,Telmo!$A:$A,0)), IF(OR(INDEX(Telmo!$D:$D,MATCH(46227,Telmo!$A:$A,0))=1, INDEX(Telmo!$D:$D,MATCH(46227,Telmo!$A:$A,0))=2), INDEX(Telmo!$D:$D,MATCH(46227,Telmo!$A:$A,0)), 0), 0)</f>
        <v>0</v>
      </c>
      <c r="I1880" s="1">
        <f t="array" ref="I1880">IF(ISNUMBER(MATCH(46227,Max!$A:$A,0)), IF(OR(INDEX(Max!$D:$D,MATCH(46227,Max!$A:$A,0))=1, INDEX(Max!$D:$D,MATCH(46227,Max!$A:$A,0))=2), INDEX(Max!$D:$D,MATCH(46227,Max!$A:$A,0)), 0), 0)</f>
        <v>2</v>
      </c>
    </row>
    <row r="1881" spans="1:9" ht="15.75" customHeight="1" x14ac:dyDescent="0.2">
      <c r="A1881" s="1">
        <v>23088</v>
      </c>
      <c r="B1881" s="1" t="s">
        <v>4281</v>
      </c>
      <c r="C1881" s="1" t="s">
        <v>4282</v>
      </c>
      <c r="D1881" s="1" t="str">
        <f t="shared" si="7"/>
        <v>1</v>
      </c>
      <c r="E1881" s="1" t="s">
        <v>4283</v>
      </c>
      <c r="G1881" s="1">
        <f t="array" ref="G1881">IF(ISNUMBER(MATCH(23088,Camille!$A:$A,0)), IF(OR(INDEX(Camille!$D:$D,MATCH(23088,Camille!$A:$A,0))=1, INDEX(Camille!$D:$D,MATCH(23088,Camille!$A:$A,0))=2), INDEX(Camille!$D:$D,MATCH(23088,Camille!$A:$A,0)), 0), 0)</f>
        <v>0</v>
      </c>
      <c r="H1881" s="1">
        <f t="array" ref="H1881">IF(ISNUMBER(MATCH(23088,Telmo!$A:$A,0)), IF(OR(INDEX(Telmo!$D:$D,MATCH(23088,Telmo!$A:$A,0))=1, INDEX(Telmo!$D:$D,MATCH(23088,Telmo!$A:$A,0))=2), INDEX(Telmo!$D:$D,MATCH(23088,Telmo!$A:$A,0)), 0), 0)</f>
        <v>0</v>
      </c>
      <c r="I1881" s="1">
        <f t="array" ref="I1881">IF(ISNUMBER(MATCH(23088,Max!$A:$A,0)), IF(OR(INDEX(Max!$D:$D,MATCH(23088,Max!$A:$A,0))=1, INDEX(Max!$D:$D,MATCH(23088,Max!$A:$A,0))=2), INDEX(Max!$D:$D,MATCH(23088,Max!$A:$A,0)), 0), 0)</f>
        <v>1</v>
      </c>
    </row>
    <row r="1882" spans="1:9" ht="15.75" customHeight="1" x14ac:dyDescent="0.2">
      <c r="A1882" s="1">
        <v>47651</v>
      </c>
      <c r="B1882" s="1" t="s">
        <v>172</v>
      </c>
      <c r="C1882" s="1" t="s">
        <v>4284</v>
      </c>
      <c r="D1882" s="1" t="str">
        <f t="shared" si="7"/>
        <v>2</v>
      </c>
      <c r="E1882" s="1" t="s">
        <v>4285</v>
      </c>
      <c r="G1882" s="1">
        <f t="array" ref="G1882">IF(ISNUMBER(MATCH(47651,Camille!$A:$A,0)), IF(OR(INDEX(Camille!$D:$D,MATCH(47651,Camille!$A:$A,0))=1, INDEX(Camille!$D:$D,MATCH(47651,Camille!$A:$A,0))=2), INDEX(Camille!$D:$D,MATCH(47651,Camille!$A:$A,0)), 0), 0)</f>
        <v>0</v>
      </c>
      <c r="H1882" s="1">
        <f t="array" ref="H1882">IF(ISNUMBER(MATCH(47651,Telmo!$A:$A,0)), IF(OR(INDEX(Telmo!$D:$D,MATCH(47651,Telmo!$A:$A,0))=1, INDEX(Telmo!$D:$D,MATCH(47651,Telmo!$A:$A,0))=2), INDEX(Telmo!$D:$D,MATCH(47651,Telmo!$A:$A,0)), 0), 0)</f>
        <v>0</v>
      </c>
      <c r="I1882" s="1">
        <f t="array" ref="I1882">IF(ISNUMBER(MATCH(47651,Max!$A:$A,0)), IF(OR(INDEX(Max!$D:$D,MATCH(47651,Max!$A:$A,0))=1, INDEX(Max!$D:$D,MATCH(47651,Max!$A:$A,0))=2), INDEX(Max!$D:$D,MATCH(47651,Max!$A:$A,0)), 0), 0)</f>
        <v>2</v>
      </c>
    </row>
    <row r="1883" spans="1:9" ht="15.75" customHeight="1" x14ac:dyDescent="0.2">
      <c r="A1883" s="1">
        <v>34366</v>
      </c>
      <c r="B1883" s="1" t="s">
        <v>1686</v>
      </c>
      <c r="C1883" s="1" t="s">
        <v>4286</v>
      </c>
      <c r="D1883" s="1" t="str">
        <f t="shared" si="7"/>
        <v>1</v>
      </c>
      <c r="E1883" s="1" t="s">
        <v>4287</v>
      </c>
      <c r="G1883" s="1">
        <f t="array" ref="G1883">IF(ISNUMBER(MATCH(34366,Camille!$A:$A,0)), IF(OR(INDEX(Camille!$D:$D,MATCH(34366,Camille!$A:$A,0))=1, INDEX(Camille!$D:$D,MATCH(34366,Camille!$A:$A,0))=2), INDEX(Camille!$D:$D,MATCH(34366,Camille!$A:$A,0)), 0), 0)</f>
        <v>0</v>
      </c>
      <c r="H1883" s="1">
        <f t="array" ref="H1883">IF(ISNUMBER(MATCH(34366,Telmo!$A:$A,0)), IF(OR(INDEX(Telmo!$D:$D,MATCH(34366,Telmo!$A:$A,0))=1, INDEX(Telmo!$D:$D,MATCH(34366,Telmo!$A:$A,0))=2), INDEX(Telmo!$D:$D,MATCH(34366,Telmo!$A:$A,0)), 0), 0)</f>
        <v>0</v>
      </c>
      <c r="I1883" s="1">
        <f t="array" ref="I1883">IF(ISNUMBER(MATCH(34366,Max!$A:$A,0)), IF(OR(INDEX(Max!$D:$D,MATCH(34366,Max!$A:$A,0))=1, INDEX(Max!$D:$D,MATCH(34366,Max!$A:$A,0))=2), INDEX(Max!$D:$D,MATCH(34366,Max!$A:$A,0)), 0), 0)</f>
        <v>1</v>
      </c>
    </row>
    <row r="1884" spans="1:9" ht="15.75" customHeight="1" x14ac:dyDescent="0.2">
      <c r="A1884" s="1">
        <v>9594</v>
      </c>
      <c r="B1884" s="1" t="s">
        <v>103</v>
      </c>
      <c r="C1884" s="1" t="s">
        <v>4288</v>
      </c>
      <c r="D1884" s="1" t="str">
        <f t="shared" si="7"/>
        <v>2</v>
      </c>
      <c r="E1884" s="1" t="s">
        <v>4289</v>
      </c>
      <c r="G1884" s="1">
        <f t="array" ref="G1884">IF(ISNUMBER(MATCH(9594,Camille!$A:$A,0)), IF(OR(INDEX(Camille!$D:$D,MATCH(9594,Camille!$A:$A,0))=1, INDEX(Camille!$D:$D,MATCH(9594,Camille!$A:$A,0))=2), INDEX(Camille!$D:$D,MATCH(9594,Camille!$A:$A,0)), 0), 0)</f>
        <v>0</v>
      </c>
      <c r="H1884" s="1">
        <f t="array" ref="H1884">IF(ISNUMBER(MATCH(9594,Telmo!$A:$A,0)), IF(OR(INDEX(Telmo!$D:$D,MATCH(9594,Telmo!$A:$A,0))=1, INDEX(Telmo!$D:$D,MATCH(9594,Telmo!$A:$A,0))=2), INDEX(Telmo!$D:$D,MATCH(9594,Telmo!$A:$A,0)), 0), 0)</f>
        <v>0</v>
      </c>
      <c r="I1884" s="1">
        <f t="array" ref="I1884">IF(ISNUMBER(MATCH(9594,Max!$A:$A,0)), IF(OR(INDEX(Max!$D:$D,MATCH(9594,Max!$A:$A,0))=1, INDEX(Max!$D:$D,MATCH(9594,Max!$A:$A,0))=2), INDEX(Max!$D:$D,MATCH(9594,Max!$A:$A,0)), 0), 0)</f>
        <v>2</v>
      </c>
    </row>
    <row r="1885" spans="1:9" ht="15.75" customHeight="1" x14ac:dyDescent="0.2">
      <c r="A1885" s="1">
        <v>65372</v>
      </c>
      <c r="B1885" s="1" t="s">
        <v>1299</v>
      </c>
      <c r="C1885" s="1" t="s">
        <v>4290</v>
      </c>
      <c r="D1885" s="1" t="str">
        <f t="shared" si="7"/>
        <v>1</v>
      </c>
      <c r="E1885" s="1" t="s">
        <v>4291</v>
      </c>
      <c r="G1885" s="1">
        <f t="array" ref="G1885">IF(ISNUMBER(MATCH(65372,Camille!$A:$A,0)), IF(OR(INDEX(Camille!$D:$D,MATCH(65372,Camille!$A:$A,0))=1, INDEX(Camille!$D:$D,MATCH(65372,Camille!$A:$A,0))=2), INDEX(Camille!$D:$D,MATCH(65372,Camille!$A:$A,0)), 0), 0)</f>
        <v>0</v>
      </c>
      <c r="H1885" s="1">
        <f t="array" ref="H1885">IF(ISNUMBER(MATCH(65372,Telmo!$A:$A,0)), IF(OR(INDEX(Telmo!$D:$D,MATCH(65372,Telmo!$A:$A,0))=1, INDEX(Telmo!$D:$D,MATCH(65372,Telmo!$A:$A,0))=2), INDEX(Telmo!$D:$D,MATCH(65372,Telmo!$A:$A,0)), 0), 0)</f>
        <v>0</v>
      </c>
      <c r="I1885" s="1">
        <f t="array" ref="I1885">IF(ISNUMBER(MATCH(65372,Max!$A:$A,0)), IF(OR(INDEX(Max!$D:$D,MATCH(65372,Max!$A:$A,0))=1, INDEX(Max!$D:$D,MATCH(65372,Max!$A:$A,0))=2), INDEX(Max!$D:$D,MATCH(65372,Max!$A:$A,0)), 0), 0)</f>
        <v>1</v>
      </c>
    </row>
    <row r="1886" spans="1:9" ht="15.75" customHeight="1" x14ac:dyDescent="0.2">
      <c r="A1886" s="1">
        <v>5948</v>
      </c>
      <c r="B1886" s="1" t="s">
        <v>276</v>
      </c>
      <c r="C1886" s="1" t="s">
        <v>4292</v>
      </c>
      <c r="D1886" s="1" t="str">
        <f t="shared" si="7"/>
        <v>1</v>
      </c>
      <c r="E1886" s="1" t="s">
        <v>4293</v>
      </c>
      <c r="G1886" s="1">
        <f t="array" ref="G1886">IF(ISNUMBER(MATCH(5948,Camille!$A:$A,0)), IF(OR(INDEX(Camille!$D:$D,MATCH(5948,Camille!$A:$A,0))=1, INDEX(Camille!$D:$D,MATCH(5948,Camille!$A:$A,0))=2), INDEX(Camille!$D:$D,MATCH(5948,Camille!$A:$A,0)), 0), 0)</f>
        <v>0</v>
      </c>
      <c r="H1886" s="1">
        <f t="array" ref="H1886">IF(ISNUMBER(MATCH(5948,Telmo!$A:$A,0)), IF(OR(INDEX(Telmo!$D:$D,MATCH(5948,Telmo!$A:$A,0))=1, INDEX(Telmo!$D:$D,MATCH(5948,Telmo!$A:$A,0))=2), INDEX(Telmo!$D:$D,MATCH(5948,Telmo!$A:$A,0)), 0), 0)</f>
        <v>0</v>
      </c>
      <c r="I1886" s="1">
        <f t="array" ref="I1886">IF(ISNUMBER(MATCH(5948,Max!$A:$A,0)), IF(OR(INDEX(Max!$D:$D,MATCH(5948,Max!$A:$A,0))=1, INDEX(Max!$D:$D,MATCH(5948,Max!$A:$A,0))=2), INDEX(Max!$D:$D,MATCH(5948,Max!$A:$A,0)), 0), 0)</f>
        <v>1</v>
      </c>
    </row>
    <row r="1887" spans="1:9" ht="15.75" customHeight="1" x14ac:dyDescent="0.2">
      <c r="A1887" s="1">
        <v>52554</v>
      </c>
      <c r="B1887" s="1" t="s">
        <v>14</v>
      </c>
      <c r="C1887" s="1" t="s">
        <v>4294</v>
      </c>
      <c r="D1887" s="1" t="str">
        <f t="shared" si="7"/>
        <v>1</v>
      </c>
      <c r="E1887" s="1" t="s">
        <v>4295</v>
      </c>
      <c r="G1887" s="1">
        <f t="array" ref="G1887">IF(ISNUMBER(MATCH(52554,Camille!$A:$A,0)), IF(OR(INDEX(Camille!$D:$D,MATCH(52554,Camille!$A:$A,0))=1, INDEX(Camille!$D:$D,MATCH(52554,Camille!$A:$A,0))=2), INDEX(Camille!$D:$D,MATCH(52554,Camille!$A:$A,0)), 0), 0)</f>
        <v>0</v>
      </c>
      <c r="H1887" s="1">
        <f t="array" ref="H1887">IF(ISNUMBER(MATCH(52554,Telmo!$A:$A,0)), IF(OR(INDEX(Telmo!$D:$D,MATCH(52554,Telmo!$A:$A,0))=1, INDEX(Telmo!$D:$D,MATCH(52554,Telmo!$A:$A,0))=2), INDEX(Telmo!$D:$D,MATCH(52554,Telmo!$A:$A,0)), 0), 0)</f>
        <v>0</v>
      </c>
      <c r="I1887" s="1">
        <f t="array" ref="I1887">IF(ISNUMBER(MATCH(52554,Max!$A:$A,0)), IF(OR(INDEX(Max!$D:$D,MATCH(52554,Max!$A:$A,0))=1, INDEX(Max!$D:$D,MATCH(52554,Max!$A:$A,0))=2), INDEX(Max!$D:$D,MATCH(52554,Max!$A:$A,0)), 0), 0)</f>
        <v>1</v>
      </c>
    </row>
    <row r="1888" spans="1:9" ht="15.75" customHeight="1" x14ac:dyDescent="0.2">
      <c r="A1888" s="1">
        <v>27053</v>
      </c>
      <c r="B1888" s="1" t="s">
        <v>1657</v>
      </c>
      <c r="C1888" s="1" t="s">
        <v>4296</v>
      </c>
      <c r="D1888" s="1" t="str">
        <f t="shared" si="7"/>
        <v>1</v>
      </c>
      <c r="E1888" s="1" t="s">
        <v>4297</v>
      </c>
      <c r="G1888" s="1">
        <f t="array" ref="G1888">IF(ISNUMBER(MATCH(27053,Camille!$A:$A,0)), IF(OR(INDEX(Camille!$D:$D,MATCH(27053,Camille!$A:$A,0))=1, INDEX(Camille!$D:$D,MATCH(27053,Camille!$A:$A,0))=2), INDEX(Camille!$D:$D,MATCH(27053,Camille!$A:$A,0)), 0), 0)</f>
        <v>0</v>
      </c>
      <c r="H1888" s="1">
        <f t="array" ref="H1888">IF(ISNUMBER(MATCH(27053,Telmo!$A:$A,0)), IF(OR(INDEX(Telmo!$D:$D,MATCH(27053,Telmo!$A:$A,0))=1, INDEX(Telmo!$D:$D,MATCH(27053,Telmo!$A:$A,0))=2), INDEX(Telmo!$D:$D,MATCH(27053,Telmo!$A:$A,0)), 0), 0)</f>
        <v>0</v>
      </c>
      <c r="I1888" s="1">
        <f t="array" ref="I1888">IF(ISNUMBER(MATCH(27053,Max!$A:$A,0)), IF(OR(INDEX(Max!$D:$D,MATCH(27053,Max!$A:$A,0))=1, INDEX(Max!$D:$D,MATCH(27053,Max!$A:$A,0))=2), INDEX(Max!$D:$D,MATCH(27053,Max!$A:$A,0)), 0), 0)</f>
        <v>1</v>
      </c>
    </row>
    <row r="1889" spans="1:9" ht="15.75" customHeight="1" x14ac:dyDescent="0.2">
      <c r="A1889" s="1">
        <v>7388</v>
      </c>
      <c r="B1889" s="1" t="s">
        <v>32</v>
      </c>
      <c r="C1889" s="1" t="s">
        <v>4298</v>
      </c>
      <c r="D1889" s="1" t="str">
        <f t="shared" si="7"/>
        <v>2</v>
      </c>
      <c r="E1889" s="1" t="s">
        <v>4299</v>
      </c>
      <c r="G1889" s="1">
        <f t="array" ref="G1889">IF(ISNUMBER(MATCH(7388,Camille!$A:$A,0)), IF(OR(INDEX(Camille!$D:$D,MATCH(7388,Camille!$A:$A,0))=1, INDEX(Camille!$D:$D,MATCH(7388,Camille!$A:$A,0))=2), INDEX(Camille!$D:$D,MATCH(7388,Camille!$A:$A,0)), 0), 0)</f>
        <v>0</v>
      </c>
      <c r="H1889" s="1">
        <f t="array" ref="H1889">IF(ISNUMBER(MATCH(7388,Telmo!$A:$A,0)), IF(OR(INDEX(Telmo!$D:$D,MATCH(7388,Telmo!$A:$A,0))=1, INDEX(Telmo!$D:$D,MATCH(7388,Telmo!$A:$A,0))=2), INDEX(Telmo!$D:$D,MATCH(7388,Telmo!$A:$A,0)), 0), 0)</f>
        <v>0</v>
      </c>
      <c r="I1889" s="1">
        <f t="array" ref="I1889">IF(ISNUMBER(MATCH(7388,Max!$A:$A,0)), IF(OR(INDEX(Max!$D:$D,MATCH(7388,Max!$A:$A,0))=1, INDEX(Max!$D:$D,MATCH(7388,Max!$A:$A,0))=2), INDEX(Max!$D:$D,MATCH(7388,Max!$A:$A,0)), 0), 0)</f>
        <v>2</v>
      </c>
    </row>
    <row r="1890" spans="1:9" ht="15.75" customHeight="1" x14ac:dyDescent="0.2">
      <c r="A1890" s="1">
        <v>46562</v>
      </c>
      <c r="B1890" s="1" t="s">
        <v>1001</v>
      </c>
      <c r="C1890" s="1" t="s">
        <v>4300</v>
      </c>
      <c r="D1890" s="1" t="str">
        <f t="shared" si="7"/>
        <v>1</v>
      </c>
      <c r="E1890" s="1" t="s">
        <v>4301</v>
      </c>
      <c r="G1890" s="1">
        <f t="array" ref="G1890">IF(ISNUMBER(MATCH(46562,Camille!$A:$A,0)), IF(OR(INDEX(Camille!$D:$D,MATCH(46562,Camille!$A:$A,0))=1, INDEX(Camille!$D:$D,MATCH(46562,Camille!$A:$A,0))=2), INDEX(Camille!$D:$D,MATCH(46562,Camille!$A:$A,0)), 0), 0)</f>
        <v>0</v>
      </c>
      <c r="H1890" s="1">
        <f t="array" ref="H1890">IF(ISNUMBER(MATCH(46562,Telmo!$A:$A,0)), IF(OR(INDEX(Telmo!$D:$D,MATCH(46562,Telmo!$A:$A,0))=1, INDEX(Telmo!$D:$D,MATCH(46562,Telmo!$A:$A,0))=2), INDEX(Telmo!$D:$D,MATCH(46562,Telmo!$A:$A,0)), 0), 0)</f>
        <v>0</v>
      </c>
      <c r="I1890" s="1">
        <f t="array" ref="I1890">IF(ISNUMBER(MATCH(46562,Max!$A:$A,0)), IF(OR(INDEX(Max!$D:$D,MATCH(46562,Max!$A:$A,0))=1, INDEX(Max!$D:$D,MATCH(46562,Max!$A:$A,0))=2), INDEX(Max!$D:$D,MATCH(46562,Max!$A:$A,0)), 0), 0)</f>
        <v>1</v>
      </c>
    </row>
    <row r="1891" spans="1:9" ht="15.75" customHeight="1" x14ac:dyDescent="0.2">
      <c r="A1891" s="1">
        <v>61863</v>
      </c>
      <c r="B1891" s="1" t="s">
        <v>986</v>
      </c>
      <c r="C1891" s="1" t="s">
        <v>4302</v>
      </c>
      <c r="D1891" s="1" t="str">
        <f t="shared" si="7"/>
        <v>2</v>
      </c>
      <c r="E1891" s="1" t="s">
        <v>4303</v>
      </c>
      <c r="G1891" s="1">
        <f t="array" ref="G1891">IF(ISNUMBER(MATCH(61863,Camille!$A:$A,0)), IF(OR(INDEX(Camille!$D:$D,MATCH(61863,Camille!$A:$A,0))=1, INDEX(Camille!$D:$D,MATCH(61863,Camille!$A:$A,0))=2), INDEX(Camille!$D:$D,MATCH(61863,Camille!$A:$A,0)), 0), 0)</f>
        <v>0</v>
      </c>
      <c r="H1891" s="1">
        <f t="array" ref="H1891">IF(ISNUMBER(MATCH(61863,Telmo!$A:$A,0)), IF(OR(INDEX(Telmo!$D:$D,MATCH(61863,Telmo!$A:$A,0))=1, INDEX(Telmo!$D:$D,MATCH(61863,Telmo!$A:$A,0))=2), INDEX(Telmo!$D:$D,MATCH(61863,Telmo!$A:$A,0)), 0), 0)</f>
        <v>0</v>
      </c>
      <c r="I1891" s="1">
        <f t="array" ref="I1891">IF(ISNUMBER(MATCH(61863,Max!$A:$A,0)), IF(OR(INDEX(Max!$D:$D,MATCH(61863,Max!$A:$A,0))=1, INDEX(Max!$D:$D,MATCH(61863,Max!$A:$A,0))=2), INDEX(Max!$D:$D,MATCH(61863,Max!$A:$A,0)), 0), 0)</f>
        <v>2</v>
      </c>
    </row>
    <row r="1892" spans="1:9" ht="15.75" customHeight="1" x14ac:dyDescent="0.2">
      <c r="A1892" s="1">
        <v>57027</v>
      </c>
      <c r="B1892" s="1" t="s">
        <v>2884</v>
      </c>
      <c r="C1892" s="1" t="s">
        <v>4304</v>
      </c>
      <c r="D1892" s="1" t="str">
        <f t="shared" si="7"/>
        <v>2</v>
      </c>
      <c r="E1892" s="1" t="s">
        <v>4305</v>
      </c>
      <c r="G1892" s="1">
        <f t="array" ref="G1892">IF(ISNUMBER(MATCH(57027,Camille!$A:$A,0)), IF(OR(INDEX(Camille!$D:$D,MATCH(57027,Camille!$A:$A,0))=1, INDEX(Camille!$D:$D,MATCH(57027,Camille!$A:$A,0))=2), INDEX(Camille!$D:$D,MATCH(57027,Camille!$A:$A,0)), 0), 0)</f>
        <v>0</v>
      </c>
      <c r="H1892" s="1">
        <f t="array" ref="H1892">IF(ISNUMBER(MATCH(57027,Telmo!$A:$A,0)), IF(OR(INDEX(Telmo!$D:$D,MATCH(57027,Telmo!$A:$A,0))=1, INDEX(Telmo!$D:$D,MATCH(57027,Telmo!$A:$A,0))=2), INDEX(Telmo!$D:$D,MATCH(57027,Telmo!$A:$A,0)), 0), 0)</f>
        <v>0</v>
      </c>
      <c r="I1892" s="1">
        <f t="array" ref="I1892">IF(ISNUMBER(MATCH(57027,Max!$A:$A,0)), IF(OR(INDEX(Max!$D:$D,MATCH(57027,Max!$A:$A,0))=1, INDEX(Max!$D:$D,MATCH(57027,Max!$A:$A,0))=2), INDEX(Max!$D:$D,MATCH(57027,Max!$A:$A,0)), 0), 0)</f>
        <v>2</v>
      </c>
    </row>
    <row r="1893" spans="1:9" ht="15.75" customHeight="1" x14ac:dyDescent="0.2">
      <c r="A1893" s="1">
        <v>36725</v>
      </c>
      <c r="B1893" s="1" t="s">
        <v>23</v>
      </c>
      <c r="C1893" s="1" t="s">
        <v>4306</v>
      </c>
      <c r="D1893" s="1" t="str">
        <f t="shared" si="7"/>
        <v>2</v>
      </c>
      <c r="E1893" s="1" t="s">
        <v>4307</v>
      </c>
      <c r="G1893" s="1">
        <f t="array" ref="G1893">IF(ISNUMBER(MATCH(36725,Camille!$A:$A,0)), IF(OR(INDEX(Camille!$D:$D,MATCH(36725,Camille!$A:$A,0))=1, INDEX(Camille!$D:$D,MATCH(36725,Camille!$A:$A,0))=2), INDEX(Camille!$D:$D,MATCH(36725,Camille!$A:$A,0)), 0), 0)</f>
        <v>0</v>
      </c>
      <c r="H1893" s="1">
        <f t="array" ref="H1893">IF(ISNUMBER(MATCH(36725,Telmo!$A:$A,0)), IF(OR(INDEX(Telmo!$D:$D,MATCH(36725,Telmo!$A:$A,0))=1, INDEX(Telmo!$D:$D,MATCH(36725,Telmo!$A:$A,0))=2), INDEX(Telmo!$D:$D,MATCH(36725,Telmo!$A:$A,0)), 0), 0)</f>
        <v>0</v>
      </c>
      <c r="I1893" s="1">
        <f t="array" ref="I1893">IF(ISNUMBER(MATCH(36725,Max!$A:$A,0)), IF(OR(INDEX(Max!$D:$D,MATCH(36725,Max!$A:$A,0))=1, INDEX(Max!$D:$D,MATCH(36725,Max!$A:$A,0))=2), INDEX(Max!$D:$D,MATCH(36725,Max!$A:$A,0)), 0), 0)</f>
        <v>2</v>
      </c>
    </row>
    <row r="1894" spans="1:9" ht="15.75" customHeight="1" x14ac:dyDescent="0.2">
      <c r="A1894" s="1">
        <v>36803</v>
      </c>
      <c r="B1894" s="1" t="s">
        <v>4308</v>
      </c>
      <c r="C1894" s="1" t="s">
        <v>4309</v>
      </c>
      <c r="D1894" s="1" t="str">
        <f t="shared" si="7"/>
        <v>2</v>
      </c>
      <c r="E1894" s="1" t="s">
        <v>4310</v>
      </c>
      <c r="G1894" s="1">
        <f t="array" ref="G1894">IF(ISNUMBER(MATCH(36803,Camille!$A:$A,0)), IF(OR(INDEX(Camille!$D:$D,MATCH(36803,Camille!$A:$A,0))=1, INDEX(Camille!$D:$D,MATCH(36803,Camille!$A:$A,0))=2), INDEX(Camille!$D:$D,MATCH(36803,Camille!$A:$A,0)), 0), 0)</f>
        <v>0</v>
      </c>
      <c r="H1894" s="1">
        <f t="array" ref="H1894">IF(ISNUMBER(MATCH(36803,Telmo!$A:$A,0)), IF(OR(INDEX(Telmo!$D:$D,MATCH(36803,Telmo!$A:$A,0))=1, INDEX(Telmo!$D:$D,MATCH(36803,Telmo!$A:$A,0))=2), INDEX(Telmo!$D:$D,MATCH(36803,Telmo!$A:$A,0)), 0), 0)</f>
        <v>0</v>
      </c>
      <c r="I1894" s="1">
        <f t="array" ref="I1894">IF(ISNUMBER(MATCH(36803,Max!$A:$A,0)), IF(OR(INDEX(Max!$D:$D,MATCH(36803,Max!$A:$A,0))=1, INDEX(Max!$D:$D,MATCH(36803,Max!$A:$A,0))=2), INDEX(Max!$D:$D,MATCH(36803,Max!$A:$A,0)), 0), 0)</f>
        <v>2</v>
      </c>
    </row>
    <row r="1895" spans="1:9" ht="15.75" customHeight="1" x14ac:dyDescent="0.2">
      <c r="A1895" s="1">
        <v>8133</v>
      </c>
      <c r="B1895" s="1" t="s">
        <v>87</v>
      </c>
      <c r="C1895" s="1" t="s">
        <v>4311</v>
      </c>
      <c r="D1895" s="1" t="str">
        <f t="shared" si="7"/>
        <v>1</v>
      </c>
      <c r="E1895" s="1" t="s">
        <v>4312</v>
      </c>
      <c r="G1895" s="1">
        <f t="array" ref="G1895">IF(ISNUMBER(MATCH(8133,Camille!$A:$A,0)), IF(OR(INDEX(Camille!$D:$D,MATCH(8133,Camille!$A:$A,0))=1, INDEX(Camille!$D:$D,MATCH(8133,Camille!$A:$A,0))=2), INDEX(Camille!$D:$D,MATCH(8133,Camille!$A:$A,0)), 0), 0)</f>
        <v>0</v>
      </c>
      <c r="H1895" s="1">
        <f t="array" ref="H1895">IF(ISNUMBER(MATCH(8133,Telmo!$A:$A,0)), IF(OR(INDEX(Telmo!$D:$D,MATCH(8133,Telmo!$A:$A,0))=1, INDEX(Telmo!$D:$D,MATCH(8133,Telmo!$A:$A,0))=2), INDEX(Telmo!$D:$D,MATCH(8133,Telmo!$A:$A,0)), 0), 0)</f>
        <v>0</v>
      </c>
      <c r="I1895" s="1">
        <f t="array" ref="I1895">IF(ISNUMBER(MATCH(8133,Max!$A:$A,0)), IF(OR(INDEX(Max!$D:$D,MATCH(8133,Max!$A:$A,0))=1, INDEX(Max!$D:$D,MATCH(8133,Max!$A:$A,0))=2), INDEX(Max!$D:$D,MATCH(8133,Max!$A:$A,0)), 0), 0)</f>
        <v>1</v>
      </c>
    </row>
    <row r="1896" spans="1:9" ht="15.75" customHeight="1" x14ac:dyDescent="0.2">
      <c r="A1896" s="1">
        <v>1751</v>
      </c>
      <c r="B1896" s="1" t="s">
        <v>457</v>
      </c>
      <c r="C1896" s="1" t="s">
        <v>4313</v>
      </c>
      <c r="D1896" s="1" t="str">
        <f t="shared" si="7"/>
        <v>2</v>
      </c>
      <c r="E1896" s="1" t="s">
        <v>4314</v>
      </c>
      <c r="G1896" s="1">
        <f t="array" ref="G1896">IF(ISNUMBER(MATCH(1751,Camille!$A:$A,0)), IF(OR(INDEX(Camille!$D:$D,MATCH(1751,Camille!$A:$A,0))=1, INDEX(Camille!$D:$D,MATCH(1751,Camille!$A:$A,0))=2), INDEX(Camille!$D:$D,MATCH(1751,Camille!$A:$A,0)), 0), 0)</f>
        <v>0</v>
      </c>
      <c r="H1896" s="1">
        <f t="array" ref="H1896">IF(ISNUMBER(MATCH(1751,Telmo!$A:$A,0)), IF(OR(INDEX(Telmo!$D:$D,MATCH(1751,Telmo!$A:$A,0))=1, INDEX(Telmo!$D:$D,MATCH(1751,Telmo!$A:$A,0))=2), INDEX(Telmo!$D:$D,MATCH(1751,Telmo!$A:$A,0)), 0), 0)</f>
        <v>0</v>
      </c>
      <c r="I1896" s="1">
        <f t="array" ref="I1896">IF(ISNUMBER(MATCH(1751,Max!$A:$A,0)), IF(OR(INDEX(Max!$D:$D,MATCH(1751,Max!$A:$A,0))=1, INDEX(Max!$D:$D,MATCH(1751,Max!$A:$A,0))=2), INDEX(Max!$D:$D,MATCH(1751,Max!$A:$A,0)), 0), 0)</f>
        <v>2</v>
      </c>
    </row>
    <row r="1897" spans="1:9" ht="15.75" customHeight="1" x14ac:dyDescent="0.2">
      <c r="A1897" s="1">
        <v>2482</v>
      </c>
      <c r="B1897" s="1" t="s">
        <v>354</v>
      </c>
      <c r="C1897" s="1" t="s">
        <v>4315</v>
      </c>
      <c r="D1897" s="1" t="str">
        <f t="shared" si="7"/>
        <v>2</v>
      </c>
      <c r="E1897" s="1" t="s">
        <v>4316</v>
      </c>
      <c r="G1897" s="1">
        <f t="array" ref="G1897">IF(ISNUMBER(MATCH(2482,Camille!$A:$A,0)), IF(OR(INDEX(Camille!$D:$D,MATCH(2482,Camille!$A:$A,0))=1, INDEX(Camille!$D:$D,MATCH(2482,Camille!$A:$A,0))=2), INDEX(Camille!$D:$D,MATCH(2482,Camille!$A:$A,0)), 0), 0)</f>
        <v>0</v>
      </c>
      <c r="H1897" s="1">
        <f t="array" ref="H1897">IF(ISNUMBER(MATCH(2482,Telmo!$A:$A,0)), IF(OR(INDEX(Telmo!$D:$D,MATCH(2482,Telmo!$A:$A,0))=1, INDEX(Telmo!$D:$D,MATCH(2482,Telmo!$A:$A,0))=2), INDEX(Telmo!$D:$D,MATCH(2482,Telmo!$A:$A,0)), 0), 0)</f>
        <v>0</v>
      </c>
      <c r="I1897" s="1">
        <f t="array" ref="I1897">IF(ISNUMBER(MATCH(2482,Max!$A:$A,0)), IF(OR(INDEX(Max!$D:$D,MATCH(2482,Max!$A:$A,0))=1, INDEX(Max!$D:$D,MATCH(2482,Max!$A:$A,0))=2), INDEX(Max!$D:$D,MATCH(2482,Max!$A:$A,0)), 0), 0)</f>
        <v>2</v>
      </c>
    </row>
    <row r="1898" spans="1:9" ht="15.75" customHeight="1" x14ac:dyDescent="0.2">
      <c r="A1898" s="1">
        <v>49431</v>
      </c>
      <c r="B1898" s="1" t="s">
        <v>32</v>
      </c>
      <c r="C1898" s="1" t="s">
        <v>4317</v>
      </c>
      <c r="D1898" s="1" t="str">
        <f t="shared" si="7"/>
        <v>2</v>
      </c>
      <c r="E1898" s="1" t="s">
        <v>4318</v>
      </c>
      <c r="G1898" s="1">
        <f t="array" ref="G1898">IF(ISNUMBER(MATCH(49431,Camille!$A:$A,0)), IF(OR(INDEX(Camille!$D:$D,MATCH(49431,Camille!$A:$A,0))=1, INDEX(Camille!$D:$D,MATCH(49431,Camille!$A:$A,0))=2), INDEX(Camille!$D:$D,MATCH(49431,Camille!$A:$A,0)), 0), 0)</f>
        <v>0</v>
      </c>
      <c r="H1898" s="1">
        <f t="array" ref="H1898">IF(ISNUMBER(MATCH(49431,Telmo!$A:$A,0)), IF(OR(INDEX(Telmo!$D:$D,MATCH(49431,Telmo!$A:$A,0))=1, INDEX(Telmo!$D:$D,MATCH(49431,Telmo!$A:$A,0))=2), INDEX(Telmo!$D:$D,MATCH(49431,Telmo!$A:$A,0)), 0), 0)</f>
        <v>0</v>
      </c>
      <c r="I1898" s="1">
        <f t="array" ref="I1898">IF(ISNUMBER(MATCH(49431,Max!$A:$A,0)), IF(OR(INDEX(Max!$D:$D,MATCH(49431,Max!$A:$A,0))=1, INDEX(Max!$D:$D,MATCH(49431,Max!$A:$A,0))=2), INDEX(Max!$D:$D,MATCH(49431,Max!$A:$A,0)), 0), 0)</f>
        <v>2</v>
      </c>
    </row>
    <row r="1899" spans="1:9" ht="15.75" customHeight="1" x14ac:dyDescent="0.2">
      <c r="A1899" s="1">
        <v>55415</v>
      </c>
      <c r="B1899" s="1" t="s">
        <v>4319</v>
      </c>
      <c r="C1899" s="1" t="s">
        <v>4320</v>
      </c>
      <c r="D1899" s="1" t="str">
        <f t="shared" si="7"/>
        <v>2</v>
      </c>
      <c r="E1899" s="1" t="s">
        <v>4321</v>
      </c>
      <c r="G1899" s="1">
        <f t="array" ref="G1899">IF(ISNUMBER(MATCH(55415,Camille!$A:$A,0)), IF(OR(INDEX(Camille!$D:$D,MATCH(55415,Camille!$A:$A,0))=1, INDEX(Camille!$D:$D,MATCH(55415,Camille!$A:$A,0))=2), INDEX(Camille!$D:$D,MATCH(55415,Camille!$A:$A,0)), 0), 0)</f>
        <v>0</v>
      </c>
      <c r="H1899" s="1">
        <f t="array" ref="H1899">IF(ISNUMBER(MATCH(55415,Telmo!$A:$A,0)), IF(OR(INDEX(Telmo!$D:$D,MATCH(55415,Telmo!$A:$A,0))=1, INDEX(Telmo!$D:$D,MATCH(55415,Telmo!$A:$A,0))=2), INDEX(Telmo!$D:$D,MATCH(55415,Telmo!$A:$A,0)), 0), 0)</f>
        <v>0</v>
      </c>
      <c r="I1899" s="1">
        <f t="array" ref="I1899">IF(ISNUMBER(MATCH(55415,Max!$A:$A,0)), IF(OR(INDEX(Max!$D:$D,MATCH(55415,Max!$A:$A,0))=1, INDEX(Max!$D:$D,MATCH(55415,Max!$A:$A,0))=2), INDEX(Max!$D:$D,MATCH(55415,Max!$A:$A,0)), 0), 0)</f>
        <v>2</v>
      </c>
    </row>
    <row r="1900" spans="1:9" ht="15.75" customHeight="1" x14ac:dyDescent="0.2">
      <c r="A1900" s="1">
        <v>70226</v>
      </c>
      <c r="B1900" s="1" t="s">
        <v>4322</v>
      </c>
      <c r="C1900" s="1" t="s">
        <v>4323</v>
      </c>
      <c r="D1900" s="1" t="str">
        <f t="shared" si="7"/>
        <v>2</v>
      </c>
      <c r="E1900" s="1" t="s">
        <v>4324</v>
      </c>
      <c r="G1900" s="1">
        <f t="array" ref="G1900">IF(ISNUMBER(MATCH(70226,Camille!$A:$A,0)), IF(OR(INDEX(Camille!$D:$D,MATCH(70226,Camille!$A:$A,0))=1, INDEX(Camille!$D:$D,MATCH(70226,Camille!$A:$A,0))=2), INDEX(Camille!$D:$D,MATCH(70226,Camille!$A:$A,0)), 0), 0)</f>
        <v>0</v>
      </c>
      <c r="H1900" s="1">
        <f t="array" ref="H1900">IF(ISNUMBER(MATCH(70226,Telmo!$A:$A,0)), IF(OR(INDEX(Telmo!$D:$D,MATCH(70226,Telmo!$A:$A,0))=1, INDEX(Telmo!$D:$D,MATCH(70226,Telmo!$A:$A,0))=2), INDEX(Telmo!$D:$D,MATCH(70226,Telmo!$A:$A,0)), 0), 0)</f>
        <v>0</v>
      </c>
      <c r="I1900" s="1">
        <f t="array" ref="I1900">IF(ISNUMBER(MATCH(70226,Max!$A:$A,0)), IF(OR(INDEX(Max!$D:$D,MATCH(70226,Max!$A:$A,0))=1, INDEX(Max!$D:$D,MATCH(70226,Max!$A:$A,0))=2), INDEX(Max!$D:$D,MATCH(70226,Max!$A:$A,0)), 0), 0)</f>
        <v>2</v>
      </c>
    </row>
    <row r="1901" spans="1:9" ht="15.75" customHeight="1" x14ac:dyDescent="0.2">
      <c r="A1901" s="1">
        <v>50672</v>
      </c>
      <c r="B1901" s="1" t="s">
        <v>32</v>
      </c>
      <c r="C1901" s="1" t="s">
        <v>4325</v>
      </c>
      <c r="D1901" s="1" t="str">
        <f t="shared" si="7"/>
        <v>1</v>
      </c>
      <c r="E1901" s="1" t="s">
        <v>4326</v>
      </c>
      <c r="G1901" s="1">
        <f t="array" ref="G1901">IF(ISNUMBER(MATCH(50672,Camille!$A:$A,0)), IF(OR(INDEX(Camille!$D:$D,MATCH(50672,Camille!$A:$A,0))=1, INDEX(Camille!$D:$D,MATCH(50672,Camille!$A:$A,0))=2), INDEX(Camille!$D:$D,MATCH(50672,Camille!$A:$A,0)), 0), 0)</f>
        <v>0</v>
      </c>
      <c r="H1901" s="1">
        <f t="array" ref="H1901">IF(ISNUMBER(MATCH(50672,Telmo!$A:$A,0)), IF(OR(INDEX(Telmo!$D:$D,MATCH(50672,Telmo!$A:$A,0))=1, INDEX(Telmo!$D:$D,MATCH(50672,Telmo!$A:$A,0))=2), INDEX(Telmo!$D:$D,MATCH(50672,Telmo!$A:$A,0)), 0), 0)</f>
        <v>0</v>
      </c>
      <c r="I1901" s="1">
        <f t="array" ref="I1901">IF(ISNUMBER(MATCH(50672,Max!$A:$A,0)), IF(OR(INDEX(Max!$D:$D,MATCH(50672,Max!$A:$A,0))=1, INDEX(Max!$D:$D,MATCH(50672,Max!$A:$A,0))=2), INDEX(Max!$D:$D,MATCH(50672,Max!$A:$A,0)), 0), 0)</f>
        <v>1</v>
      </c>
    </row>
    <row r="1902" spans="1:9" ht="15.75" customHeight="1" x14ac:dyDescent="0.2">
      <c r="A1902" s="1">
        <v>36341</v>
      </c>
      <c r="B1902" s="1" t="s">
        <v>4327</v>
      </c>
      <c r="C1902" s="1" t="s">
        <v>4328</v>
      </c>
      <c r="D1902" s="1" t="str">
        <f t="shared" si="7"/>
        <v>2</v>
      </c>
      <c r="E1902" s="1" t="s">
        <v>4329</v>
      </c>
      <c r="G1902" s="1">
        <f t="array" ref="G1902">IF(ISNUMBER(MATCH(36341,Camille!$A:$A,0)), IF(OR(INDEX(Camille!$D:$D,MATCH(36341,Camille!$A:$A,0))=1, INDEX(Camille!$D:$D,MATCH(36341,Camille!$A:$A,0))=2), INDEX(Camille!$D:$D,MATCH(36341,Camille!$A:$A,0)), 0), 0)</f>
        <v>0</v>
      </c>
      <c r="H1902" s="1">
        <f t="array" ref="H1902">IF(ISNUMBER(MATCH(36341,Telmo!$A:$A,0)), IF(OR(INDEX(Telmo!$D:$D,MATCH(36341,Telmo!$A:$A,0))=1, INDEX(Telmo!$D:$D,MATCH(36341,Telmo!$A:$A,0))=2), INDEX(Telmo!$D:$D,MATCH(36341,Telmo!$A:$A,0)), 0), 0)</f>
        <v>0</v>
      </c>
      <c r="I1902" s="1">
        <f t="array" ref="I1902">IF(ISNUMBER(MATCH(36341,Max!$A:$A,0)), IF(OR(INDEX(Max!$D:$D,MATCH(36341,Max!$A:$A,0))=1, INDEX(Max!$D:$D,MATCH(36341,Max!$A:$A,0))=2), INDEX(Max!$D:$D,MATCH(36341,Max!$A:$A,0)), 0), 0)</f>
        <v>2</v>
      </c>
    </row>
    <row r="1903" spans="1:9" ht="15.75" customHeight="1" x14ac:dyDescent="0.2">
      <c r="A1903" s="1">
        <v>48875</v>
      </c>
      <c r="B1903" s="1" t="s">
        <v>394</v>
      </c>
      <c r="C1903" s="1" t="s">
        <v>4330</v>
      </c>
      <c r="D1903" s="1" t="str">
        <f t="shared" si="7"/>
        <v>1</v>
      </c>
      <c r="E1903" s="1" t="s">
        <v>4331</v>
      </c>
      <c r="G1903" s="1">
        <f t="array" ref="G1903">IF(ISNUMBER(MATCH(48875,Camille!$A:$A,0)), IF(OR(INDEX(Camille!$D:$D,MATCH(48875,Camille!$A:$A,0))=1, INDEX(Camille!$D:$D,MATCH(48875,Camille!$A:$A,0))=2), INDEX(Camille!$D:$D,MATCH(48875,Camille!$A:$A,0)), 0), 0)</f>
        <v>0</v>
      </c>
      <c r="H1903" s="1">
        <f t="array" ref="H1903">IF(ISNUMBER(MATCH(48875,Telmo!$A:$A,0)), IF(OR(INDEX(Telmo!$D:$D,MATCH(48875,Telmo!$A:$A,0))=1, INDEX(Telmo!$D:$D,MATCH(48875,Telmo!$A:$A,0))=2), INDEX(Telmo!$D:$D,MATCH(48875,Telmo!$A:$A,0)), 0), 0)</f>
        <v>0</v>
      </c>
      <c r="I1903" s="1">
        <f t="array" ref="I1903">IF(ISNUMBER(MATCH(48875,Max!$A:$A,0)), IF(OR(INDEX(Max!$D:$D,MATCH(48875,Max!$A:$A,0))=1, INDEX(Max!$D:$D,MATCH(48875,Max!$A:$A,0))=2), INDEX(Max!$D:$D,MATCH(48875,Max!$A:$A,0)), 0), 0)</f>
        <v>1</v>
      </c>
    </row>
    <row r="1904" spans="1:9" ht="15.75" customHeight="1" x14ac:dyDescent="0.2">
      <c r="A1904" s="1">
        <v>49136</v>
      </c>
      <c r="B1904" s="1" t="s">
        <v>920</v>
      </c>
      <c r="C1904" s="1" t="s">
        <v>4332</v>
      </c>
      <c r="D1904" s="1" t="str">
        <f t="shared" si="7"/>
        <v>1</v>
      </c>
      <c r="E1904" s="1" t="s">
        <v>4333</v>
      </c>
      <c r="G1904" s="1">
        <f t="array" ref="G1904">IF(ISNUMBER(MATCH(49136,Camille!$A:$A,0)), IF(OR(INDEX(Camille!$D:$D,MATCH(49136,Camille!$A:$A,0))=1, INDEX(Camille!$D:$D,MATCH(49136,Camille!$A:$A,0))=2), INDEX(Camille!$D:$D,MATCH(49136,Camille!$A:$A,0)), 0), 0)</f>
        <v>0</v>
      </c>
      <c r="H1904" s="1">
        <f t="array" ref="H1904">IF(ISNUMBER(MATCH(49136,Telmo!$A:$A,0)), IF(OR(INDEX(Telmo!$D:$D,MATCH(49136,Telmo!$A:$A,0))=1, INDEX(Telmo!$D:$D,MATCH(49136,Telmo!$A:$A,0))=2), INDEX(Telmo!$D:$D,MATCH(49136,Telmo!$A:$A,0)), 0), 0)</f>
        <v>0</v>
      </c>
      <c r="I1904" s="1">
        <f t="array" ref="I1904">IF(ISNUMBER(MATCH(49136,Max!$A:$A,0)), IF(OR(INDEX(Max!$D:$D,MATCH(49136,Max!$A:$A,0))=1, INDEX(Max!$D:$D,MATCH(49136,Max!$A:$A,0))=2), INDEX(Max!$D:$D,MATCH(49136,Max!$A:$A,0)), 0), 0)</f>
        <v>1</v>
      </c>
    </row>
    <row r="1905" spans="1:9" ht="15.75" customHeight="1" x14ac:dyDescent="0.2">
      <c r="A1905" s="1">
        <v>35127</v>
      </c>
      <c r="B1905" s="1" t="s">
        <v>3059</v>
      </c>
      <c r="C1905" s="1" t="s">
        <v>4334</v>
      </c>
      <c r="D1905" s="1" t="str">
        <f t="shared" si="7"/>
        <v>2</v>
      </c>
      <c r="E1905" s="1" t="s">
        <v>4335</v>
      </c>
      <c r="G1905" s="1">
        <f t="array" ref="G1905">IF(ISNUMBER(MATCH(35127,Camille!$A:$A,0)), IF(OR(INDEX(Camille!$D:$D,MATCH(35127,Camille!$A:$A,0))=1, INDEX(Camille!$D:$D,MATCH(35127,Camille!$A:$A,0))=2), INDEX(Camille!$D:$D,MATCH(35127,Camille!$A:$A,0)), 0), 0)</f>
        <v>0</v>
      </c>
      <c r="H1905" s="1">
        <f t="array" ref="H1905">IF(ISNUMBER(MATCH(35127,Telmo!$A:$A,0)), IF(OR(INDEX(Telmo!$D:$D,MATCH(35127,Telmo!$A:$A,0))=1, INDEX(Telmo!$D:$D,MATCH(35127,Telmo!$A:$A,0))=2), INDEX(Telmo!$D:$D,MATCH(35127,Telmo!$A:$A,0)), 0), 0)</f>
        <v>0</v>
      </c>
      <c r="I1905" s="1">
        <f t="array" ref="I1905">IF(ISNUMBER(MATCH(35127,Max!$A:$A,0)), IF(OR(INDEX(Max!$D:$D,MATCH(35127,Max!$A:$A,0))=1, INDEX(Max!$D:$D,MATCH(35127,Max!$A:$A,0))=2), INDEX(Max!$D:$D,MATCH(35127,Max!$A:$A,0)), 0), 0)</f>
        <v>2</v>
      </c>
    </row>
    <row r="1906" spans="1:9" ht="15.75" customHeight="1" x14ac:dyDescent="0.2">
      <c r="A1906" s="1">
        <v>11279</v>
      </c>
      <c r="B1906" s="1" t="s">
        <v>466</v>
      </c>
      <c r="C1906" s="1" t="s">
        <v>4336</v>
      </c>
      <c r="D1906" s="1" t="str">
        <f t="shared" si="7"/>
        <v>2</v>
      </c>
      <c r="E1906" s="1" t="s">
        <v>4337</v>
      </c>
      <c r="G1906" s="1">
        <f t="array" ref="G1906">IF(ISNUMBER(MATCH(11279,Camille!$A:$A,0)), IF(OR(INDEX(Camille!$D:$D,MATCH(11279,Camille!$A:$A,0))=1, INDEX(Camille!$D:$D,MATCH(11279,Camille!$A:$A,0))=2), INDEX(Camille!$D:$D,MATCH(11279,Camille!$A:$A,0)), 0), 0)</f>
        <v>0</v>
      </c>
      <c r="H1906" s="1">
        <f t="array" ref="H1906">IF(ISNUMBER(MATCH(11279,Telmo!$A:$A,0)), IF(OR(INDEX(Telmo!$D:$D,MATCH(11279,Telmo!$A:$A,0))=1, INDEX(Telmo!$D:$D,MATCH(11279,Telmo!$A:$A,0))=2), INDEX(Telmo!$D:$D,MATCH(11279,Telmo!$A:$A,0)), 0), 0)</f>
        <v>0</v>
      </c>
      <c r="I1906" s="1">
        <f t="array" ref="I1906">IF(ISNUMBER(MATCH(11279,Max!$A:$A,0)), IF(OR(INDEX(Max!$D:$D,MATCH(11279,Max!$A:$A,0))=1, INDEX(Max!$D:$D,MATCH(11279,Max!$A:$A,0))=2), INDEX(Max!$D:$D,MATCH(11279,Max!$A:$A,0)), 0), 0)</f>
        <v>2</v>
      </c>
    </row>
    <row r="1907" spans="1:9" ht="15.75" customHeight="1" x14ac:dyDescent="0.2">
      <c r="A1907" s="1">
        <v>17488</v>
      </c>
      <c r="B1907" s="1" t="s">
        <v>1037</v>
      </c>
      <c r="C1907" s="1" t="s">
        <v>4338</v>
      </c>
      <c r="D1907" s="1" t="str">
        <f t="shared" si="7"/>
        <v>2</v>
      </c>
      <c r="E1907" s="1" t="s">
        <v>4339</v>
      </c>
      <c r="G1907" s="1">
        <f t="array" ref="G1907">IF(ISNUMBER(MATCH(17488,Camille!$A:$A,0)), IF(OR(INDEX(Camille!$D:$D,MATCH(17488,Camille!$A:$A,0))=1, INDEX(Camille!$D:$D,MATCH(17488,Camille!$A:$A,0))=2), INDEX(Camille!$D:$D,MATCH(17488,Camille!$A:$A,0)), 0), 0)</f>
        <v>0</v>
      </c>
      <c r="H1907" s="1">
        <f t="array" ref="H1907">IF(ISNUMBER(MATCH(17488,Telmo!$A:$A,0)), IF(OR(INDEX(Telmo!$D:$D,MATCH(17488,Telmo!$A:$A,0))=1, INDEX(Telmo!$D:$D,MATCH(17488,Telmo!$A:$A,0))=2), INDEX(Telmo!$D:$D,MATCH(17488,Telmo!$A:$A,0)), 0), 0)</f>
        <v>0</v>
      </c>
      <c r="I1907" s="1">
        <f t="array" ref="I1907">IF(ISNUMBER(MATCH(17488,Max!$A:$A,0)), IF(OR(INDEX(Max!$D:$D,MATCH(17488,Max!$A:$A,0))=1, INDEX(Max!$D:$D,MATCH(17488,Max!$A:$A,0))=2), INDEX(Max!$D:$D,MATCH(17488,Max!$A:$A,0)), 0), 0)</f>
        <v>2</v>
      </c>
    </row>
    <row r="1908" spans="1:9" ht="15.75" customHeight="1" x14ac:dyDescent="0.2">
      <c r="A1908" s="1">
        <v>17035</v>
      </c>
      <c r="B1908" s="1" t="s">
        <v>298</v>
      </c>
      <c r="C1908" s="1" t="s">
        <v>4340</v>
      </c>
      <c r="D1908" s="1" t="str">
        <f t="shared" si="7"/>
        <v>2</v>
      </c>
      <c r="E1908" s="1" t="s">
        <v>4341</v>
      </c>
      <c r="G1908" s="1">
        <f t="array" ref="G1908">IF(ISNUMBER(MATCH(17035,Camille!$A:$A,0)), IF(OR(INDEX(Camille!$D:$D,MATCH(17035,Camille!$A:$A,0))=1, INDEX(Camille!$D:$D,MATCH(17035,Camille!$A:$A,0))=2), INDEX(Camille!$D:$D,MATCH(17035,Camille!$A:$A,0)), 0), 0)</f>
        <v>0</v>
      </c>
      <c r="H1908" s="1">
        <f t="array" ref="H1908">IF(ISNUMBER(MATCH(17035,Telmo!$A:$A,0)), IF(OR(INDEX(Telmo!$D:$D,MATCH(17035,Telmo!$A:$A,0))=1, INDEX(Telmo!$D:$D,MATCH(17035,Telmo!$A:$A,0))=2), INDEX(Telmo!$D:$D,MATCH(17035,Telmo!$A:$A,0)), 0), 0)</f>
        <v>0</v>
      </c>
      <c r="I1908" s="1">
        <f t="array" ref="I1908">IF(ISNUMBER(MATCH(17035,Max!$A:$A,0)), IF(OR(INDEX(Max!$D:$D,MATCH(17035,Max!$A:$A,0))=1, INDEX(Max!$D:$D,MATCH(17035,Max!$A:$A,0))=2), INDEX(Max!$D:$D,MATCH(17035,Max!$A:$A,0)), 0), 0)</f>
        <v>2</v>
      </c>
    </row>
    <row r="1909" spans="1:9" ht="15.75" customHeight="1" x14ac:dyDescent="0.2">
      <c r="A1909" s="1">
        <v>47000</v>
      </c>
      <c r="B1909" s="1" t="s">
        <v>1679</v>
      </c>
      <c r="C1909" s="1" t="s">
        <v>4342</v>
      </c>
      <c r="D1909" s="1" t="str">
        <f t="shared" si="7"/>
        <v>2</v>
      </c>
      <c r="E1909" s="1" t="s">
        <v>4343</v>
      </c>
      <c r="G1909" s="1">
        <f t="array" ref="G1909">IF(ISNUMBER(MATCH(47000,Camille!$A:$A,0)), IF(OR(INDEX(Camille!$D:$D,MATCH(47000,Camille!$A:$A,0))=1, INDEX(Camille!$D:$D,MATCH(47000,Camille!$A:$A,0))=2), INDEX(Camille!$D:$D,MATCH(47000,Camille!$A:$A,0)), 0), 0)</f>
        <v>0</v>
      </c>
      <c r="H1909" s="1">
        <f t="array" ref="H1909">IF(ISNUMBER(MATCH(47000,Telmo!$A:$A,0)), IF(OR(INDEX(Telmo!$D:$D,MATCH(47000,Telmo!$A:$A,0))=1, INDEX(Telmo!$D:$D,MATCH(47000,Telmo!$A:$A,0))=2), INDEX(Telmo!$D:$D,MATCH(47000,Telmo!$A:$A,0)), 0), 0)</f>
        <v>0</v>
      </c>
      <c r="I1909" s="1">
        <f t="array" ref="I1909">IF(ISNUMBER(MATCH(47000,Max!$A:$A,0)), IF(OR(INDEX(Max!$D:$D,MATCH(47000,Max!$A:$A,0))=1, INDEX(Max!$D:$D,MATCH(47000,Max!$A:$A,0))=2), INDEX(Max!$D:$D,MATCH(47000,Max!$A:$A,0)), 0), 0)</f>
        <v>2</v>
      </c>
    </row>
    <row r="1910" spans="1:9" ht="15.75" customHeight="1" x14ac:dyDescent="0.2">
      <c r="A1910" s="1">
        <v>36038</v>
      </c>
      <c r="B1910" s="1" t="s">
        <v>723</v>
      </c>
      <c r="C1910" s="1" t="s">
        <v>4344</v>
      </c>
      <c r="D1910" s="1" t="str">
        <f t="shared" si="7"/>
        <v>2</v>
      </c>
      <c r="E1910" s="1" t="s">
        <v>4345</v>
      </c>
      <c r="G1910" s="1">
        <f t="array" ref="G1910">IF(ISNUMBER(MATCH(36038,Camille!$A:$A,0)), IF(OR(INDEX(Camille!$D:$D,MATCH(36038,Camille!$A:$A,0))=1, INDEX(Camille!$D:$D,MATCH(36038,Camille!$A:$A,0))=2), INDEX(Camille!$D:$D,MATCH(36038,Camille!$A:$A,0)), 0), 0)</f>
        <v>0</v>
      </c>
      <c r="H1910" s="1">
        <f t="array" ref="H1910">IF(ISNUMBER(MATCH(36038,Telmo!$A:$A,0)), IF(OR(INDEX(Telmo!$D:$D,MATCH(36038,Telmo!$A:$A,0))=1, INDEX(Telmo!$D:$D,MATCH(36038,Telmo!$A:$A,0))=2), INDEX(Telmo!$D:$D,MATCH(36038,Telmo!$A:$A,0)), 0), 0)</f>
        <v>0</v>
      </c>
      <c r="I1910" s="1">
        <f t="array" ref="I1910">IF(ISNUMBER(MATCH(36038,Max!$A:$A,0)), IF(OR(INDEX(Max!$D:$D,MATCH(36038,Max!$A:$A,0))=1, INDEX(Max!$D:$D,MATCH(36038,Max!$A:$A,0))=2), INDEX(Max!$D:$D,MATCH(36038,Max!$A:$A,0)), 0), 0)</f>
        <v>2</v>
      </c>
    </row>
    <row r="1911" spans="1:9" ht="15.75" customHeight="1" x14ac:dyDescent="0.2">
      <c r="A1911" s="1">
        <v>58251</v>
      </c>
      <c r="B1911" s="1" t="s">
        <v>3070</v>
      </c>
      <c r="C1911" s="1" t="s">
        <v>4346</v>
      </c>
      <c r="D1911" s="1" t="str">
        <f t="shared" si="7"/>
        <v>2</v>
      </c>
      <c r="E1911" s="1" t="s">
        <v>4347</v>
      </c>
      <c r="G1911" s="1">
        <f t="array" ref="G1911">IF(ISNUMBER(MATCH(58251,Camille!$A:$A,0)), IF(OR(INDEX(Camille!$D:$D,MATCH(58251,Camille!$A:$A,0))=1, INDEX(Camille!$D:$D,MATCH(58251,Camille!$A:$A,0))=2), INDEX(Camille!$D:$D,MATCH(58251,Camille!$A:$A,0)), 0), 0)</f>
        <v>0</v>
      </c>
      <c r="H1911" s="1">
        <f t="array" ref="H1911">IF(ISNUMBER(MATCH(58251,Telmo!$A:$A,0)), IF(OR(INDEX(Telmo!$D:$D,MATCH(58251,Telmo!$A:$A,0))=1, INDEX(Telmo!$D:$D,MATCH(58251,Telmo!$A:$A,0))=2), INDEX(Telmo!$D:$D,MATCH(58251,Telmo!$A:$A,0)), 0), 0)</f>
        <v>0</v>
      </c>
      <c r="I1911" s="1">
        <f t="array" ref="I1911">IF(ISNUMBER(MATCH(58251,Max!$A:$A,0)), IF(OR(INDEX(Max!$D:$D,MATCH(58251,Max!$A:$A,0))=1, INDEX(Max!$D:$D,MATCH(58251,Max!$A:$A,0))=2), INDEX(Max!$D:$D,MATCH(58251,Max!$A:$A,0)), 0), 0)</f>
        <v>2</v>
      </c>
    </row>
    <row r="1912" spans="1:9" ht="15.75" customHeight="1" x14ac:dyDescent="0.2">
      <c r="A1912" s="1">
        <v>69360</v>
      </c>
      <c r="B1912" s="1" t="s">
        <v>3835</v>
      </c>
      <c r="C1912" s="1" t="s">
        <v>4348</v>
      </c>
      <c r="D1912" s="1" t="str">
        <f t="shared" si="7"/>
        <v>2</v>
      </c>
      <c r="E1912" s="1" t="s">
        <v>4349</v>
      </c>
      <c r="G1912" s="1">
        <f t="array" ref="G1912">IF(ISNUMBER(MATCH(69360,Camille!$A:$A,0)), IF(OR(INDEX(Camille!$D:$D,MATCH(69360,Camille!$A:$A,0))=1, INDEX(Camille!$D:$D,MATCH(69360,Camille!$A:$A,0))=2), INDEX(Camille!$D:$D,MATCH(69360,Camille!$A:$A,0)), 0), 0)</f>
        <v>0</v>
      </c>
      <c r="H1912" s="1">
        <f t="array" ref="H1912">IF(ISNUMBER(MATCH(69360,Telmo!$A:$A,0)), IF(OR(INDEX(Telmo!$D:$D,MATCH(69360,Telmo!$A:$A,0))=1, INDEX(Telmo!$D:$D,MATCH(69360,Telmo!$A:$A,0))=2), INDEX(Telmo!$D:$D,MATCH(69360,Telmo!$A:$A,0)), 0), 0)</f>
        <v>0</v>
      </c>
      <c r="I1912" s="1">
        <f t="array" ref="I1912">IF(ISNUMBER(MATCH(69360,Max!$A:$A,0)), IF(OR(INDEX(Max!$D:$D,MATCH(69360,Max!$A:$A,0))=1, INDEX(Max!$D:$D,MATCH(69360,Max!$A:$A,0))=2), INDEX(Max!$D:$D,MATCH(69360,Max!$A:$A,0)), 0), 0)</f>
        <v>2</v>
      </c>
    </row>
    <row r="1913" spans="1:9" ht="15.75" customHeight="1" x14ac:dyDescent="0.2">
      <c r="A1913" s="1">
        <v>5786</v>
      </c>
      <c r="B1913" s="1" t="s">
        <v>2345</v>
      </c>
      <c r="C1913" s="1" t="s">
        <v>4350</v>
      </c>
      <c r="D1913" s="1" t="str">
        <f t="shared" si="7"/>
        <v>1</v>
      </c>
      <c r="E1913" s="1" t="s">
        <v>4351</v>
      </c>
      <c r="G1913" s="1">
        <f t="array" ref="G1913">IF(ISNUMBER(MATCH(5786,Camille!$A:$A,0)), IF(OR(INDEX(Camille!$D:$D,MATCH(5786,Camille!$A:$A,0))=1, INDEX(Camille!$D:$D,MATCH(5786,Camille!$A:$A,0))=2), INDEX(Camille!$D:$D,MATCH(5786,Camille!$A:$A,0)), 0), 0)</f>
        <v>0</v>
      </c>
      <c r="H1913" s="1">
        <f t="array" ref="H1913">IF(ISNUMBER(MATCH(5786,Telmo!$A:$A,0)), IF(OR(INDEX(Telmo!$D:$D,MATCH(5786,Telmo!$A:$A,0))=1, INDEX(Telmo!$D:$D,MATCH(5786,Telmo!$A:$A,0))=2), INDEX(Telmo!$D:$D,MATCH(5786,Telmo!$A:$A,0)), 0), 0)</f>
        <v>0</v>
      </c>
      <c r="I1913" s="1">
        <f t="array" ref="I1913">IF(ISNUMBER(MATCH(5786,Max!$A:$A,0)), IF(OR(INDEX(Max!$D:$D,MATCH(5786,Max!$A:$A,0))=1, INDEX(Max!$D:$D,MATCH(5786,Max!$A:$A,0))=2), INDEX(Max!$D:$D,MATCH(5786,Max!$A:$A,0)), 0), 0)</f>
        <v>1</v>
      </c>
    </row>
    <row r="1914" spans="1:9" ht="15.75" customHeight="1" x14ac:dyDescent="0.2">
      <c r="A1914" s="1">
        <v>57680</v>
      </c>
      <c r="B1914" s="1" t="s">
        <v>38</v>
      </c>
      <c r="C1914" s="1" t="s">
        <v>4352</v>
      </c>
      <c r="D1914" s="1" t="str">
        <f t="shared" si="7"/>
        <v>2</v>
      </c>
      <c r="E1914" s="1" t="s">
        <v>4353</v>
      </c>
      <c r="G1914" s="1">
        <f t="array" ref="G1914">IF(ISNUMBER(MATCH(57680,Camille!$A:$A,0)), IF(OR(INDEX(Camille!$D:$D,MATCH(57680,Camille!$A:$A,0))=1, INDEX(Camille!$D:$D,MATCH(57680,Camille!$A:$A,0))=2), INDEX(Camille!$D:$D,MATCH(57680,Camille!$A:$A,0)), 0), 0)</f>
        <v>0</v>
      </c>
      <c r="H1914" s="1">
        <f t="array" ref="H1914">IF(ISNUMBER(MATCH(57680,Telmo!$A:$A,0)), IF(OR(INDEX(Telmo!$D:$D,MATCH(57680,Telmo!$A:$A,0))=1, INDEX(Telmo!$D:$D,MATCH(57680,Telmo!$A:$A,0))=2), INDEX(Telmo!$D:$D,MATCH(57680,Telmo!$A:$A,0)), 0), 0)</f>
        <v>0</v>
      </c>
      <c r="I1914" s="1">
        <f t="array" ref="I1914">IF(ISNUMBER(MATCH(57680,Max!$A:$A,0)), IF(OR(INDEX(Max!$D:$D,MATCH(57680,Max!$A:$A,0))=1, INDEX(Max!$D:$D,MATCH(57680,Max!$A:$A,0))=2), INDEX(Max!$D:$D,MATCH(57680,Max!$A:$A,0)), 0), 0)</f>
        <v>2</v>
      </c>
    </row>
    <row r="1915" spans="1:9" ht="15.75" customHeight="1" x14ac:dyDescent="0.2">
      <c r="A1915" s="1">
        <v>47915</v>
      </c>
      <c r="B1915" s="1" t="s">
        <v>2777</v>
      </c>
      <c r="C1915" s="1" t="s">
        <v>4354</v>
      </c>
      <c r="D1915" s="1" t="str">
        <f t="shared" si="7"/>
        <v>1</v>
      </c>
      <c r="E1915" s="1" t="s">
        <v>4355</v>
      </c>
      <c r="G1915" s="1">
        <f t="array" ref="G1915">IF(ISNUMBER(MATCH(47915,Camille!$A:$A,0)), IF(OR(INDEX(Camille!$D:$D,MATCH(47915,Camille!$A:$A,0))=1, INDEX(Camille!$D:$D,MATCH(47915,Camille!$A:$A,0))=2), INDEX(Camille!$D:$D,MATCH(47915,Camille!$A:$A,0)), 0), 0)</f>
        <v>0</v>
      </c>
      <c r="H1915" s="1">
        <f t="array" ref="H1915">IF(ISNUMBER(MATCH(47915,Telmo!$A:$A,0)), IF(OR(INDEX(Telmo!$D:$D,MATCH(47915,Telmo!$A:$A,0))=1, INDEX(Telmo!$D:$D,MATCH(47915,Telmo!$A:$A,0))=2), INDEX(Telmo!$D:$D,MATCH(47915,Telmo!$A:$A,0)), 0), 0)</f>
        <v>0</v>
      </c>
      <c r="I1915" s="1">
        <f t="array" ref="I1915">IF(ISNUMBER(MATCH(47915,Max!$A:$A,0)), IF(OR(INDEX(Max!$D:$D,MATCH(47915,Max!$A:$A,0))=1, INDEX(Max!$D:$D,MATCH(47915,Max!$A:$A,0))=2), INDEX(Max!$D:$D,MATCH(47915,Max!$A:$A,0)), 0), 0)</f>
        <v>1</v>
      </c>
    </row>
    <row r="1916" spans="1:9" ht="15.75" customHeight="1" x14ac:dyDescent="0.2">
      <c r="A1916" s="1">
        <v>4499</v>
      </c>
      <c r="B1916" s="1" t="s">
        <v>562</v>
      </c>
      <c r="C1916" s="1" t="s">
        <v>4356</v>
      </c>
      <c r="D1916" s="1" t="str">
        <f t="shared" si="7"/>
        <v>2</v>
      </c>
      <c r="E1916" s="1" t="s">
        <v>4357</v>
      </c>
      <c r="G1916" s="1">
        <f t="array" ref="G1916">IF(ISNUMBER(MATCH(4499,Camille!$A:$A,0)), IF(OR(INDEX(Camille!$D:$D,MATCH(4499,Camille!$A:$A,0))=1, INDEX(Camille!$D:$D,MATCH(4499,Camille!$A:$A,0))=2), INDEX(Camille!$D:$D,MATCH(4499,Camille!$A:$A,0)), 0), 0)</f>
        <v>0</v>
      </c>
      <c r="H1916" s="1">
        <f t="array" ref="H1916">IF(ISNUMBER(MATCH(4499,Telmo!$A:$A,0)), IF(OR(INDEX(Telmo!$D:$D,MATCH(4499,Telmo!$A:$A,0))=1, INDEX(Telmo!$D:$D,MATCH(4499,Telmo!$A:$A,0))=2), INDEX(Telmo!$D:$D,MATCH(4499,Telmo!$A:$A,0)), 0), 0)</f>
        <v>0</v>
      </c>
      <c r="I1916" s="1">
        <f t="array" ref="I1916">IF(ISNUMBER(MATCH(4499,Max!$A:$A,0)), IF(OR(INDEX(Max!$D:$D,MATCH(4499,Max!$A:$A,0))=1, INDEX(Max!$D:$D,MATCH(4499,Max!$A:$A,0))=2), INDEX(Max!$D:$D,MATCH(4499,Max!$A:$A,0)), 0), 0)</f>
        <v>2</v>
      </c>
    </row>
    <row r="1917" spans="1:9" ht="15.75" customHeight="1" x14ac:dyDescent="0.2">
      <c r="A1917" s="1">
        <v>1818</v>
      </c>
      <c r="B1917" s="1" t="s">
        <v>2198</v>
      </c>
      <c r="C1917" s="1" t="s">
        <v>4358</v>
      </c>
      <c r="D1917" s="1" t="str">
        <f t="shared" si="7"/>
        <v>2</v>
      </c>
      <c r="E1917" s="1" t="s">
        <v>4359</v>
      </c>
      <c r="G1917" s="1">
        <f t="array" ref="G1917">IF(ISNUMBER(MATCH(1818,Camille!$A:$A,0)), IF(OR(INDEX(Camille!$D:$D,MATCH(1818,Camille!$A:$A,0))=1, INDEX(Camille!$D:$D,MATCH(1818,Camille!$A:$A,0))=2), INDEX(Camille!$D:$D,MATCH(1818,Camille!$A:$A,0)), 0), 0)</f>
        <v>0</v>
      </c>
      <c r="H1917" s="1">
        <f t="array" ref="H1917">IF(ISNUMBER(MATCH(1818,Telmo!$A:$A,0)), IF(OR(INDEX(Telmo!$D:$D,MATCH(1818,Telmo!$A:$A,0))=1, INDEX(Telmo!$D:$D,MATCH(1818,Telmo!$A:$A,0))=2), INDEX(Telmo!$D:$D,MATCH(1818,Telmo!$A:$A,0)), 0), 0)</f>
        <v>0</v>
      </c>
      <c r="I1917" s="1">
        <f t="array" ref="I1917">IF(ISNUMBER(MATCH(1818,Max!$A:$A,0)), IF(OR(INDEX(Max!$D:$D,MATCH(1818,Max!$A:$A,0))=1, INDEX(Max!$D:$D,MATCH(1818,Max!$A:$A,0))=2), INDEX(Max!$D:$D,MATCH(1818,Max!$A:$A,0)), 0), 0)</f>
        <v>2</v>
      </c>
    </row>
    <row r="1918" spans="1:9" ht="15.75" customHeight="1" x14ac:dyDescent="0.2">
      <c r="A1918" s="1">
        <v>59373</v>
      </c>
      <c r="B1918" s="1" t="s">
        <v>385</v>
      </c>
      <c r="C1918" s="1" t="s">
        <v>4360</v>
      </c>
      <c r="D1918" s="1" t="str">
        <f t="shared" si="7"/>
        <v>2</v>
      </c>
      <c r="E1918" s="1" t="s">
        <v>4361</v>
      </c>
      <c r="G1918" s="1">
        <f t="array" ref="G1918">IF(ISNUMBER(MATCH(59373,Camille!$A:$A,0)), IF(OR(INDEX(Camille!$D:$D,MATCH(59373,Camille!$A:$A,0))=1, INDEX(Camille!$D:$D,MATCH(59373,Camille!$A:$A,0))=2), INDEX(Camille!$D:$D,MATCH(59373,Camille!$A:$A,0)), 0), 0)</f>
        <v>0</v>
      </c>
      <c r="H1918" s="1">
        <f t="array" ref="H1918">IF(ISNUMBER(MATCH(59373,Telmo!$A:$A,0)), IF(OR(INDEX(Telmo!$D:$D,MATCH(59373,Telmo!$A:$A,0))=1, INDEX(Telmo!$D:$D,MATCH(59373,Telmo!$A:$A,0))=2), INDEX(Telmo!$D:$D,MATCH(59373,Telmo!$A:$A,0)), 0), 0)</f>
        <v>0</v>
      </c>
      <c r="I1918" s="1">
        <f t="array" ref="I1918">IF(ISNUMBER(MATCH(59373,Max!$A:$A,0)), IF(OR(INDEX(Max!$D:$D,MATCH(59373,Max!$A:$A,0))=1, INDEX(Max!$D:$D,MATCH(59373,Max!$A:$A,0))=2), INDEX(Max!$D:$D,MATCH(59373,Max!$A:$A,0)), 0), 0)</f>
        <v>2</v>
      </c>
    </row>
    <row r="1919" spans="1:9" ht="15.75" customHeight="1" x14ac:dyDescent="0.2">
      <c r="A1919" s="1">
        <v>33727</v>
      </c>
      <c r="B1919" s="1" t="s">
        <v>282</v>
      </c>
      <c r="C1919" s="1" t="s">
        <v>4362</v>
      </c>
      <c r="D1919" s="1" t="str">
        <f t="shared" si="7"/>
        <v>2</v>
      </c>
      <c r="E1919" s="1" t="s">
        <v>4363</v>
      </c>
      <c r="G1919" s="1">
        <f t="array" ref="G1919">IF(ISNUMBER(MATCH(33727,Camille!$A:$A,0)), IF(OR(INDEX(Camille!$D:$D,MATCH(33727,Camille!$A:$A,0))=1, INDEX(Camille!$D:$D,MATCH(33727,Camille!$A:$A,0))=2), INDEX(Camille!$D:$D,MATCH(33727,Camille!$A:$A,0)), 0), 0)</f>
        <v>0</v>
      </c>
      <c r="H1919" s="1">
        <f t="array" ref="H1919">IF(ISNUMBER(MATCH(33727,Telmo!$A:$A,0)), IF(OR(INDEX(Telmo!$D:$D,MATCH(33727,Telmo!$A:$A,0))=1, INDEX(Telmo!$D:$D,MATCH(33727,Telmo!$A:$A,0))=2), INDEX(Telmo!$D:$D,MATCH(33727,Telmo!$A:$A,0)), 0), 0)</f>
        <v>0</v>
      </c>
      <c r="I1919" s="1">
        <f t="array" ref="I1919">IF(ISNUMBER(MATCH(33727,Max!$A:$A,0)), IF(OR(INDEX(Max!$D:$D,MATCH(33727,Max!$A:$A,0))=1, INDEX(Max!$D:$D,MATCH(33727,Max!$A:$A,0))=2), INDEX(Max!$D:$D,MATCH(33727,Max!$A:$A,0)), 0), 0)</f>
        <v>2</v>
      </c>
    </row>
    <row r="1920" spans="1:9" ht="15.75" customHeight="1" x14ac:dyDescent="0.2">
      <c r="A1920" s="1">
        <v>25040</v>
      </c>
      <c r="B1920" s="1" t="s">
        <v>333</v>
      </c>
      <c r="C1920" s="1" t="s">
        <v>4364</v>
      </c>
      <c r="D1920" s="1" t="str">
        <f t="shared" si="7"/>
        <v>2</v>
      </c>
      <c r="E1920" s="1" t="s">
        <v>4365</v>
      </c>
      <c r="G1920" s="1">
        <f t="array" ref="G1920">IF(ISNUMBER(MATCH(25040,Camille!$A:$A,0)), IF(OR(INDEX(Camille!$D:$D,MATCH(25040,Camille!$A:$A,0))=1, INDEX(Camille!$D:$D,MATCH(25040,Camille!$A:$A,0))=2), INDEX(Camille!$D:$D,MATCH(25040,Camille!$A:$A,0)), 0), 0)</f>
        <v>0</v>
      </c>
      <c r="H1920" s="1">
        <f t="array" ref="H1920">IF(ISNUMBER(MATCH(25040,Telmo!$A:$A,0)), IF(OR(INDEX(Telmo!$D:$D,MATCH(25040,Telmo!$A:$A,0))=1, INDEX(Telmo!$D:$D,MATCH(25040,Telmo!$A:$A,0))=2), INDEX(Telmo!$D:$D,MATCH(25040,Telmo!$A:$A,0)), 0), 0)</f>
        <v>0</v>
      </c>
      <c r="I1920" s="1">
        <f t="array" ref="I1920">IF(ISNUMBER(MATCH(25040,Max!$A:$A,0)), IF(OR(INDEX(Max!$D:$D,MATCH(25040,Max!$A:$A,0))=1, INDEX(Max!$D:$D,MATCH(25040,Max!$A:$A,0))=2), INDEX(Max!$D:$D,MATCH(25040,Max!$A:$A,0)), 0), 0)</f>
        <v>2</v>
      </c>
    </row>
    <row r="1921" spans="1:9" ht="15.75" customHeight="1" x14ac:dyDescent="0.2">
      <c r="A1921" s="1">
        <v>16533</v>
      </c>
      <c r="B1921" s="1" t="s">
        <v>268</v>
      </c>
      <c r="C1921" s="1" t="s">
        <v>4366</v>
      </c>
      <c r="D1921" s="1" t="str">
        <f t="shared" si="7"/>
        <v>2</v>
      </c>
      <c r="E1921" s="1" t="s">
        <v>4367</v>
      </c>
      <c r="G1921" s="1">
        <f t="array" ref="G1921">IF(ISNUMBER(MATCH(16533,Camille!$A:$A,0)), IF(OR(INDEX(Camille!$D:$D,MATCH(16533,Camille!$A:$A,0))=1, INDEX(Camille!$D:$D,MATCH(16533,Camille!$A:$A,0))=2), INDEX(Camille!$D:$D,MATCH(16533,Camille!$A:$A,0)), 0), 0)</f>
        <v>0</v>
      </c>
      <c r="H1921" s="1">
        <f t="array" ref="H1921">IF(ISNUMBER(MATCH(16533,Telmo!$A:$A,0)), IF(OR(INDEX(Telmo!$D:$D,MATCH(16533,Telmo!$A:$A,0))=1, INDEX(Telmo!$D:$D,MATCH(16533,Telmo!$A:$A,0))=2), INDEX(Telmo!$D:$D,MATCH(16533,Telmo!$A:$A,0)), 0), 0)</f>
        <v>0</v>
      </c>
      <c r="I1921" s="1">
        <f t="array" ref="I1921">IF(ISNUMBER(MATCH(16533,Max!$A:$A,0)), IF(OR(INDEX(Max!$D:$D,MATCH(16533,Max!$A:$A,0))=1, INDEX(Max!$D:$D,MATCH(16533,Max!$A:$A,0))=2), INDEX(Max!$D:$D,MATCH(16533,Max!$A:$A,0)), 0), 0)</f>
        <v>2</v>
      </c>
    </row>
    <row r="1922" spans="1:9" ht="15.75" customHeight="1" x14ac:dyDescent="0.2">
      <c r="A1922" s="1">
        <v>12534</v>
      </c>
      <c r="B1922" s="1" t="s">
        <v>276</v>
      </c>
      <c r="C1922" s="1" t="s">
        <v>4368</v>
      </c>
      <c r="D1922" s="1" t="str">
        <f t="shared" si="7"/>
        <v>1</v>
      </c>
      <c r="E1922" s="1" t="s">
        <v>4369</v>
      </c>
      <c r="G1922" s="1">
        <f t="array" ref="G1922">IF(ISNUMBER(MATCH(12534,Camille!$A:$A,0)), IF(OR(INDEX(Camille!$D:$D,MATCH(12534,Camille!$A:$A,0))=1, INDEX(Camille!$D:$D,MATCH(12534,Camille!$A:$A,0))=2), INDEX(Camille!$D:$D,MATCH(12534,Camille!$A:$A,0)), 0), 0)</f>
        <v>0</v>
      </c>
      <c r="H1922" s="1">
        <f t="array" ref="H1922">IF(ISNUMBER(MATCH(12534,Telmo!$A:$A,0)), IF(OR(INDEX(Telmo!$D:$D,MATCH(12534,Telmo!$A:$A,0))=1, INDEX(Telmo!$D:$D,MATCH(12534,Telmo!$A:$A,0))=2), INDEX(Telmo!$D:$D,MATCH(12534,Telmo!$A:$A,0)), 0), 0)</f>
        <v>0</v>
      </c>
      <c r="I1922" s="1">
        <f t="array" ref="I1922">IF(ISNUMBER(MATCH(12534,Max!$A:$A,0)), IF(OR(INDEX(Max!$D:$D,MATCH(12534,Max!$A:$A,0))=1, INDEX(Max!$D:$D,MATCH(12534,Max!$A:$A,0))=2), INDEX(Max!$D:$D,MATCH(12534,Max!$A:$A,0)), 0), 0)</f>
        <v>1</v>
      </c>
    </row>
    <row r="1923" spans="1:9" ht="15.75" customHeight="1" x14ac:dyDescent="0.2">
      <c r="A1923" s="1">
        <v>41606</v>
      </c>
      <c r="B1923" s="1" t="s">
        <v>159</v>
      </c>
      <c r="C1923" s="1" t="s">
        <v>4370</v>
      </c>
      <c r="D1923" s="1" t="str">
        <f t="shared" si="7"/>
        <v>2</v>
      </c>
      <c r="E1923" s="1" t="s">
        <v>4371</v>
      </c>
      <c r="G1923" s="1">
        <f t="array" ref="G1923">IF(ISNUMBER(MATCH(41606,Camille!$A:$A,0)), IF(OR(INDEX(Camille!$D:$D,MATCH(41606,Camille!$A:$A,0))=1, INDEX(Camille!$D:$D,MATCH(41606,Camille!$A:$A,0))=2), INDEX(Camille!$D:$D,MATCH(41606,Camille!$A:$A,0)), 0), 0)</f>
        <v>0</v>
      </c>
      <c r="H1923" s="1">
        <f t="array" ref="H1923">IF(ISNUMBER(MATCH(41606,Telmo!$A:$A,0)), IF(OR(INDEX(Telmo!$D:$D,MATCH(41606,Telmo!$A:$A,0))=1, INDEX(Telmo!$D:$D,MATCH(41606,Telmo!$A:$A,0))=2), INDEX(Telmo!$D:$D,MATCH(41606,Telmo!$A:$A,0)), 0), 0)</f>
        <v>0</v>
      </c>
      <c r="I1923" s="1">
        <f t="array" ref="I1923">IF(ISNUMBER(MATCH(41606,Max!$A:$A,0)), IF(OR(INDEX(Max!$D:$D,MATCH(41606,Max!$A:$A,0))=1, INDEX(Max!$D:$D,MATCH(41606,Max!$A:$A,0))=2), INDEX(Max!$D:$D,MATCH(41606,Max!$A:$A,0)), 0), 0)</f>
        <v>2</v>
      </c>
    </row>
    <row r="1924" spans="1:9" ht="15.75" customHeight="1" x14ac:dyDescent="0.2">
      <c r="A1924" s="1">
        <v>61949</v>
      </c>
      <c r="B1924" s="1" t="s">
        <v>3685</v>
      </c>
      <c r="C1924" s="1" t="s">
        <v>4372</v>
      </c>
      <c r="D1924" s="1" t="str">
        <f t="shared" si="7"/>
        <v>2</v>
      </c>
      <c r="E1924" s="1" t="s">
        <v>4373</v>
      </c>
      <c r="G1924" s="1">
        <f t="array" ref="G1924">IF(ISNUMBER(MATCH(61949,Camille!$A:$A,0)), IF(OR(INDEX(Camille!$D:$D,MATCH(61949,Camille!$A:$A,0))=1, INDEX(Camille!$D:$D,MATCH(61949,Camille!$A:$A,0))=2), INDEX(Camille!$D:$D,MATCH(61949,Camille!$A:$A,0)), 0), 0)</f>
        <v>0</v>
      </c>
      <c r="H1924" s="1">
        <f t="array" ref="H1924">IF(ISNUMBER(MATCH(61949,Telmo!$A:$A,0)), IF(OR(INDEX(Telmo!$D:$D,MATCH(61949,Telmo!$A:$A,0))=1, INDEX(Telmo!$D:$D,MATCH(61949,Telmo!$A:$A,0))=2), INDEX(Telmo!$D:$D,MATCH(61949,Telmo!$A:$A,0)), 0), 0)</f>
        <v>0</v>
      </c>
      <c r="I1924" s="1">
        <f t="array" ref="I1924">IF(ISNUMBER(MATCH(61949,Max!$A:$A,0)), IF(OR(INDEX(Max!$D:$D,MATCH(61949,Max!$A:$A,0))=1, INDEX(Max!$D:$D,MATCH(61949,Max!$A:$A,0))=2), INDEX(Max!$D:$D,MATCH(61949,Max!$A:$A,0)), 0), 0)</f>
        <v>2</v>
      </c>
    </row>
    <row r="1925" spans="1:9" ht="15.75" customHeight="1" x14ac:dyDescent="0.2">
      <c r="A1925" s="1">
        <v>23435</v>
      </c>
      <c r="B1925" s="1" t="s">
        <v>552</v>
      </c>
      <c r="C1925" s="1" t="s">
        <v>4374</v>
      </c>
      <c r="D1925" s="1" t="str">
        <f t="shared" si="7"/>
        <v>1</v>
      </c>
      <c r="E1925" s="1" t="s">
        <v>4375</v>
      </c>
      <c r="G1925" s="1">
        <f t="array" ref="G1925">IF(ISNUMBER(MATCH(23435,Camille!$A:$A,0)), IF(OR(INDEX(Camille!$D:$D,MATCH(23435,Camille!$A:$A,0))=1, INDEX(Camille!$D:$D,MATCH(23435,Camille!$A:$A,0))=2), INDEX(Camille!$D:$D,MATCH(23435,Camille!$A:$A,0)), 0), 0)</f>
        <v>0</v>
      </c>
      <c r="H1925" s="1">
        <f t="array" ref="H1925">IF(ISNUMBER(MATCH(23435,Telmo!$A:$A,0)), IF(OR(INDEX(Telmo!$D:$D,MATCH(23435,Telmo!$A:$A,0))=1, INDEX(Telmo!$D:$D,MATCH(23435,Telmo!$A:$A,0))=2), INDEX(Telmo!$D:$D,MATCH(23435,Telmo!$A:$A,0)), 0), 0)</f>
        <v>0</v>
      </c>
      <c r="I1925" s="1">
        <f t="array" ref="I1925">IF(ISNUMBER(MATCH(23435,Max!$A:$A,0)), IF(OR(INDEX(Max!$D:$D,MATCH(23435,Max!$A:$A,0))=1, INDEX(Max!$D:$D,MATCH(23435,Max!$A:$A,0))=2), INDEX(Max!$D:$D,MATCH(23435,Max!$A:$A,0)), 0), 0)</f>
        <v>1</v>
      </c>
    </row>
    <row r="1926" spans="1:9" ht="15.75" customHeight="1" x14ac:dyDescent="0.2">
      <c r="A1926" s="1">
        <v>40382</v>
      </c>
      <c r="B1926" s="1" t="s">
        <v>430</v>
      </c>
      <c r="C1926" s="1" t="s">
        <v>4376</v>
      </c>
      <c r="D1926" s="1" t="str">
        <f t="shared" si="7"/>
        <v>2</v>
      </c>
      <c r="E1926" s="1" t="s">
        <v>4377</v>
      </c>
      <c r="G1926" s="1">
        <f t="array" ref="G1926">IF(ISNUMBER(MATCH(40382,Camille!$A:$A,0)), IF(OR(INDEX(Camille!$D:$D,MATCH(40382,Camille!$A:$A,0))=1, INDEX(Camille!$D:$D,MATCH(40382,Camille!$A:$A,0))=2), INDEX(Camille!$D:$D,MATCH(40382,Camille!$A:$A,0)), 0), 0)</f>
        <v>0</v>
      </c>
      <c r="H1926" s="1">
        <f t="array" ref="H1926">IF(ISNUMBER(MATCH(40382,Telmo!$A:$A,0)), IF(OR(INDEX(Telmo!$D:$D,MATCH(40382,Telmo!$A:$A,0))=1, INDEX(Telmo!$D:$D,MATCH(40382,Telmo!$A:$A,0))=2), INDEX(Telmo!$D:$D,MATCH(40382,Telmo!$A:$A,0)), 0), 0)</f>
        <v>0</v>
      </c>
      <c r="I1926" s="1">
        <f t="array" ref="I1926">IF(ISNUMBER(MATCH(40382,Max!$A:$A,0)), IF(OR(INDEX(Max!$D:$D,MATCH(40382,Max!$A:$A,0))=1, INDEX(Max!$D:$D,MATCH(40382,Max!$A:$A,0))=2), INDEX(Max!$D:$D,MATCH(40382,Max!$A:$A,0)), 0), 0)</f>
        <v>2</v>
      </c>
    </row>
    <row r="1927" spans="1:9" ht="15.75" customHeight="1" x14ac:dyDescent="0.2">
      <c r="A1927" s="1">
        <v>10297</v>
      </c>
      <c r="B1927" s="1" t="s">
        <v>11</v>
      </c>
      <c r="C1927" s="1" t="s">
        <v>4378</v>
      </c>
      <c r="D1927" s="1" t="str">
        <f t="shared" si="7"/>
        <v>2</v>
      </c>
      <c r="E1927" s="1" t="s">
        <v>4379</v>
      </c>
      <c r="G1927" s="1">
        <f t="array" ref="G1927">IF(ISNUMBER(MATCH(10297,Camille!$A:$A,0)), IF(OR(INDEX(Camille!$D:$D,MATCH(10297,Camille!$A:$A,0))=1, INDEX(Camille!$D:$D,MATCH(10297,Camille!$A:$A,0))=2), INDEX(Camille!$D:$D,MATCH(10297,Camille!$A:$A,0)), 0), 0)</f>
        <v>0</v>
      </c>
      <c r="H1927" s="1">
        <f t="array" ref="H1927">IF(ISNUMBER(MATCH(10297,Telmo!$A:$A,0)), IF(OR(INDEX(Telmo!$D:$D,MATCH(10297,Telmo!$A:$A,0))=1, INDEX(Telmo!$D:$D,MATCH(10297,Telmo!$A:$A,0))=2), INDEX(Telmo!$D:$D,MATCH(10297,Telmo!$A:$A,0)), 0), 0)</f>
        <v>0</v>
      </c>
      <c r="I1927" s="1">
        <f t="array" ref="I1927">IF(ISNUMBER(MATCH(10297,Max!$A:$A,0)), IF(OR(INDEX(Max!$D:$D,MATCH(10297,Max!$A:$A,0))=1, INDEX(Max!$D:$D,MATCH(10297,Max!$A:$A,0))=2), INDEX(Max!$D:$D,MATCH(10297,Max!$A:$A,0)), 0), 0)</f>
        <v>2</v>
      </c>
    </row>
    <row r="1928" spans="1:9" ht="15.75" customHeight="1" x14ac:dyDescent="0.2">
      <c r="A1928" s="1">
        <v>67437</v>
      </c>
      <c r="B1928" s="1" t="s">
        <v>172</v>
      </c>
      <c r="C1928" s="1" t="s">
        <v>4380</v>
      </c>
      <c r="D1928" s="1" t="str">
        <f t="shared" si="7"/>
        <v>2</v>
      </c>
      <c r="E1928" s="1" t="s">
        <v>4381</v>
      </c>
      <c r="G1928" s="1">
        <f t="array" ref="G1928">IF(ISNUMBER(MATCH(67437,Camille!$A:$A,0)), IF(OR(INDEX(Camille!$D:$D,MATCH(67437,Camille!$A:$A,0))=1, INDEX(Camille!$D:$D,MATCH(67437,Camille!$A:$A,0))=2), INDEX(Camille!$D:$D,MATCH(67437,Camille!$A:$A,0)), 0), 0)</f>
        <v>0</v>
      </c>
      <c r="H1928" s="1">
        <f t="array" ref="H1928">IF(ISNUMBER(MATCH(67437,Telmo!$A:$A,0)), IF(OR(INDEX(Telmo!$D:$D,MATCH(67437,Telmo!$A:$A,0))=1, INDEX(Telmo!$D:$D,MATCH(67437,Telmo!$A:$A,0))=2), INDEX(Telmo!$D:$D,MATCH(67437,Telmo!$A:$A,0)), 0), 0)</f>
        <v>0</v>
      </c>
      <c r="I1928" s="1">
        <f t="array" ref="I1928">IF(ISNUMBER(MATCH(67437,Max!$A:$A,0)), IF(OR(INDEX(Max!$D:$D,MATCH(67437,Max!$A:$A,0))=1, INDEX(Max!$D:$D,MATCH(67437,Max!$A:$A,0))=2), INDEX(Max!$D:$D,MATCH(67437,Max!$A:$A,0)), 0), 0)</f>
        <v>2</v>
      </c>
    </row>
    <row r="1929" spans="1:9" ht="15.75" customHeight="1" x14ac:dyDescent="0.2">
      <c r="A1929" s="1">
        <v>48247</v>
      </c>
      <c r="B1929" s="1" t="s">
        <v>129</v>
      </c>
      <c r="C1929" s="1" t="s">
        <v>4382</v>
      </c>
      <c r="D1929" s="1" t="str">
        <f t="shared" si="7"/>
        <v>1</v>
      </c>
      <c r="E1929" s="1" t="s">
        <v>4383</v>
      </c>
      <c r="G1929" s="1">
        <f t="array" ref="G1929">IF(ISNUMBER(MATCH(48247,Camille!$A:$A,0)), IF(OR(INDEX(Camille!$D:$D,MATCH(48247,Camille!$A:$A,0))=1, INDEX(Camille!$D:$D,MATCH(48247,Camille!$A:$A,0))=2), INDEX(Camille!$D:$D,MATCH(48247,Camille!$A:$A,0)), 0), 0)</f>
        <v>0</v>
      </c>
      <c r="H1929" s="1">
        <f t="array" ref="H1929">IF(ISNUMBER(MATCH(48247,Telmo!$A:$A,0)), IF(OR(INDEX(Telmo!$D:$D,MATCH(48247,Telmo!$A:$A,0))=1, INDEX(Telmo!$D:$D,MATCH(48247,Telmo!$A:$A,0))=2), INDEX(Telmo!$D:$D,MATCH(48247,Telmo!$A:$A,0)), 0), 0)</f>
        <v>0</v>
      </c>
      <c r="I1929" s="1">
        <f t="array" ref="I1929">IF(ISNUMBER(MATCH(48247,Max!$A:$A,0)), IF(OR(INDEX(Max!$D:$D,MATCH(48247,Max!$A:$A,0))=1, INDEX(Max!$D:$D,MATCH(48247,Max!$A:$A,0))=2), INDEX(Max!$D:$D,MATCH(48247,Max!$A:$A,0)), 0), 0)</f>
        <v>1</v>
      </c>
    </row>
    <row r="1930" spans="1:9" ht="15.75" customHeight="1" x14ac:dyDescent="0.2">
      <c r="A1930" s="1">
        <v>7352</v>
      </c>
      <c r="B1930" s="1" t="s">
        <v>32</v>
      </c>
      <c r="C1930" s="1" t="s">
        <v>4384</v>
      </c>
      <c r="D1930" s="1" t="str">
        <f t="shared" si="7"/>
        <v>1</v>
      </c>
      <c r="E1930" s="1" t="s">
        <v>4385</v>
      </c>
      <c r="G1930" s="1">
        <f t="array" ref="G1930">IF(ISNUMBER(MATCH(7352,Camille!$A:$A,0)), IF(OR(INDEX(Camille!$D:$D,MATCH(7352,Camille!$A:$A,0))=1, INDEX(Camille!$D:$D,MATCH(7352,Camille!$A:$A,0))=2), INDEX(Camille!$D:$D,MATCH(7352,Camille!$A:$A,0)), 0), 0)</f>
        <v>0</v>
      </c>
      <c r="H1930" s="1">
        <f t="array" ref="H1930">IF(ISNUMBER(MATCH(7352,Telmo!$A:$A,0)), IF(OR(INDEX(Telmo!$D:$D,MATCH(7352,Telmo!$A:$A,0))=1, INDEX(Telmo!$D:$D,MATCH(7352,Telmo!$A:$A,0))=2), INDEX(Telmo!$D:$D,MATCH(7352,Telmo!$A:$A,0)), 0), 0)</f>
        <v>0</v>
      </c>
      <c r="I1930" s="1">
        <f t="array" ref="I1930">IF(ISNUMBER(MATCH(7352,Max!$A:$A,0)), IF(OR(INDEX(Max!$D:$D,MATCH(7352,Max!$A:$A,0))=1, INDEX(Max!$D:$D,MATCH(7352,Max!$A:$A,0))=2), INDEX(Max!$D:$D,MATCH(7352,Max!$A:$A,0)), 0), 0)</f>
        <v>1</v>
      </c>
    </row>
    <row r="1931" spans="1:9" ht="15.75" customHeight="1" x14ac:dyDescent="0.2">
      <c r="A1931" s="1">
        <v>63887</v>
      </c>
      <c r="B1931" s="1" t="s">
        <v>185</v>
      </c>
      <c r="C1931" s="1" t="s">
        <v>4386</v>
      </c>
      <c r="D1931" s="1" t="str">
        <f t="shared" si="7"/>
        <v>2</v>
      </c>
      <c r="E1931" s="1" t="s">
        <v>4387</v>
      </c>
      <c r="G1931" s="1">
        <f t="array" ref="G1931">IF(ISNUMBER(MATCH(63887,Camille!$A:$A,0)), IF(OR(INDEX(Camille!$D:$D,MATCH(63887,Camille!$A:$A,0))=1, INDEX(Camille!$D:$D,MATCH(63887,Camille!$A:$A,0))=2), INDEX(Camille!$D:$D,MATCH(63887,Camille!$A:$A,0)), 0), 0)</f>
        <v>0</v>
      </c>
      <c r="H1931" s="1">
        <f t="array" ref="H1931">IF(ISNUMBER(MATCH(63887,Telmo!$A:$A,0)), IF(OR(INDEX(Telmo!$D:$D,MATCH(63887,Telmo!$A:$A,0))=1, INDEX(Telmo!$D:$D,MATCH(63887,Telmo!$A:$A,0))=2), INDEX(Telmo!$D:$D,MATCH(63887,Telmo!$A:$A,0)), 0), 0)</f>
        <v>0</v>
      </c>
      <c r="I1931" s="1">
        <f t="array" ref="I1931">IF(ISNUMBER(MATCH(63887,Max!$A:$A,0)), IF(OR(INDEX(Max!$D:$D,MATCH(63887,Max!$A:$A,0))=1, INDEX(Max!$D:$D,MATCH(63887,Max!$A:$A,0))=2), INDEX(Max!$D:$D,MATCH(63887,Max!$A:$A,0)), 0), 0)</f>
        <v>2</v>
      </c>
    </row>
    <row r="1932" spans="1:9" ht="15.75" customHeight="1" x14ac:dyDescent="0.2">
      <c r="A1932" s="1">
        <v>53958</v>
      </c>
      <c r="B1932" s="1" t="s">
        <v>210</v>
      </c>
      <c r="C1932" s="1" t="s">
        <v>4388</v>
      </c>
      <c r="D1932" s="1" t="str">
        <f t="shared" si="7"/>
        <v>2</v>
      </c>
      <c r="E1932" s="1" t="s">
        <v>4389</v>
      </c>
      <c r="G1932" s="1">
        <f t="array" ref="G1932">IF(ISNUMBER(MATCH(53958,Camille!$A:$A,0)), IF(OR(INDEX(Camille!$D:$D,MATCH(53958,Camille!$A:$A,0))=1, INDEX(Camille!$D:$D,MATCH(53958,Camille!$A:$A,0))=2), INDEX(Camille!$D:$D,MATCH(53958,Camille!$A:$A,0)), 0), 0)</f>
        <v>0</v>
      </c>
      <c r="H1932" s="1">
        <f t="array" ref="H1932">IF(ISNUMBER(MATCH(53958,Telmo!$A:$A,0)), IF(OR(INDEX(Telmo!$D:$D,MATCH(53958,Telmo!$A:$A,0))=1, INDEX(Telmo!$D:$D,MATCH(53958,Telmo!$A:$A,0))=2), INDEX(Telmo!$D:$D,MATCH(53958,Telmo!$A:$A,0)), 0), 0)</f>
        <v>0</v>
      </c>
      <c r="I1932" s="1">
        <f t="array" ref="I1932">IF(ISNUMBER(MATCH(53958,Max!$A:$A,0)), IF(OR(INDEX(Max!$D:$D,MATCH(53958,Max!$A:$A,0))=1, INDEX(Max!$D:$D,MATCH(53958,Max!$A:$A,0))=2), INDEX(Max!$D:$D,MATCH(53958,Max!$A:$A,0)), 0), 0)</f>
        <v>2</v>
      </c>
    </row>
    <row r="1933" spans="1:9" ht="15.75" customHeight="1" x14ac:dyDescent="0.2">
      <c r="A1933" s="1">
        <v>54564</v>
      </c>
      <c r="B1933" s="1" t="s">
        <v>2321</v>
      </c>
      <c r="C1933" s="1" t="s">
        <v>4390</v>
      </c>
      <c r="D1933" s="1" t="str">
        <f t="shared" si="7"/>
        <v>2</v>
      </c>
      <c r="E1933" s="1" t="s">
        <v>4391</v>
      </c>
      <c r="G1933" s="1">
        <f t="array" ref="G1933">IF(ISNUMBER(MATCH(54564,Camille!$A:$A,0)), IF(OR(INDEX(Camille!$D:$D,MATCH(54564,Camille!$A:$A,0))=1, INDEX(Camille!$D:$D,MATCH(54564,Camille!$A:$A,0))=2), INDEX(Camille!$D:$D,MATCH(54564,Camille!$A:$A,0)), 0), 0)</f>
        <v>0</v>
      </c>
      <c r="H1933" s="1">
        <f t="array" ref="H1933">IF(ISNUMBER(MATCH(54564,Telmo!$A:$A,0)), IF(OR(INDEX(Telmo!$D:$D,MATCH(54564,Telmo!$A:$A,0))=1, INDEX(Telmo!$D:$D,MATCH(54564,Telmo!$A:$A,0))=2), INDEX(Telmo!$D:$D,MATCH(54564,Telmo!$A:$A,0)), 0), 0)</f>
        <v>0</v>
      </c>
      <c r="I1933" s="1">
        <f t="array" ref="I1933">IF(ISNUMBER(MATCH(54564,Max!$A:$A,0)), IF(OR(INDEX(Max!$D:$D,MATCH(54564,Max!$A:$A,0))=1, INDEX(Max!$D:$D,MATCH(54564,Max!$A:$A,0))=2), INDEX(Max!$D:$D,MATCH(54564,Max!$A:$A,0)), 0), 0)</f>
        <v>2</v>
      </c>
    </row>
    <row r="1934" spans="1:9" ht="15.75" customHeight="1" x14ac:dyDescent="0.2">
      <c r="A1934" s="1">
        <v>19873</v>
      </c>
      <c r="B1934" s="1" t="s">
        <v>254</v>
      </c>
      <c r="C1934" s="1" t="s">
        <v>4392</v>
      </c>
      <c r="D1934" s="1" t="str">
        <f t="shared" si="7"/>
        <v>2</v>
      </c>
      <c r="E1934" s="1" t="s">
        <v>4393</v>
      </c>
      <c r="G1934" s="1">
        <f t="array" ref="G1934">IF(ISNUMBER(MATCH(19873,Camille!$A:$A,0)), IF(OR(INDEX(Camille!$D:$D,MATCH(19873,Camille!$A:$A,0))=1, INDEX(Camille!$D:$D,MATCH(19873,Camille!$A:$A,0))=2), INDEX(Camille!$D:$D,MATCH(19873,Camille!$A:$A,0)), 0), 0)</f>
        <v>0</v>
      </c>
      <c r="H1934" s="1">
        <f t="array" ref="H1934">IF(ISNUMBER(MATCH(19873,Telmo!$A:$A,0)), IF(OR(INDEX(Telmo!$D:$D,MATCH(19873,Telmo!$A:$A,0))=1, INDEX(Telmo!$D:$D,MATCH(19873,Telmo!$A:$A,0))=2), INDEX(Telmo!$D:$D,MATCH(19873,Telmo!$A:$A,0)), 0), 0)</f>
        <v>0</v>
      </c>
      <c r="I1934" s="1">
        <f t="array" ref="I1934">IF(ISNUMBER(MATCH(19873,Max!$A:$A,0)), IF(OR(INDEX(Max!$D:$D,MATCH(19873,Max!$A:$A,0))=1, INDEX(Max!$D:$D,MATCH(19873,Max!$A:$A,0))=2), INDEX(Max!$D:$D,MATCH(19873,Max!$A:$A,0)), 0), 0)</f>
        <v>2</v>
      </c>
    </row>
    <row r="1935" spans="1:9" ht="15.75" customHeight="1" x14ac:dyDescent="0.2">
      <c r="A1935" s="1">
        <v>33238</v>
      </c>
      <c r="B1935" s="1" t="s">
        <v>1672</v>
      </c>
      <c r="C1935" s="1" t="s">
        <v>4394</v>
      </c>
      <c r="D1935" s="1" t="str">
        <f t="shared" si="7"/>
        <v>2</v>
      </c>
      <c r="E1935" s="1" t="s">
        <v>4395</v>
      </c>
      <c r="G1935" s="1">
        <f t="array" ref="G1935">IF(ISNUMBER(MATCH(33238,Camille!$A:$A,0)), IF(OR(INDEX(Camille!$D:$D,MATCH(33238,Camille!$A:$A,0))=1, INDEX(Camille!$D:$D,MATCH(33238,Camille!$A:$A,0))=2), INDEX(Camille!$D:$D,MATCH(33238,Camille!$A:$A,0)), 0), 0)</f>
        <v>0</v>
      </c>
      <c r="H1935" s="1">
        <f t="array" ref="H1935">IF(ISNUMBER(MATCH(33238,Telmo!$A:$A,0)), IF(OR(INDEX(Telmo!$D:$D,MATCH(33238,Telmo!$A:$A,0))=1, INDEX(Telmo!$D:$D,MATCH(33238,Telmo!$A:$A,0))=2), INDEX(Telmo!$D:$D,MATCH(33238,Telmo!$A:$A,0)), 0), 0)</f>
        <v>0</v>
      </c>
      <c r="I1935" s="1">
        <f t="array" ref="I1935">IF(ISNUMBER(MATCH(33238,Max!$A:$A,0)), IF(OR(INDEX(Max!$D:$D,MATCH(33238,Max!$A:$A,0))=1, INDEX(Max!$D:$D,MATCH(33238,Max!$A:$A,0))=2), INDEX(Max!$D:$D,MATCH(33238,Max!$A:$A,0)), 0), 0)</f>
        <v>2</v>
      </c>
    </row>
    <row r="1936" spans="1:9" ht="15.75" customHeight="1" x14ac:dyDescent="0.2">
      <c r="A1936" s="1">
        <v>61903</v>
      </c>
      <c r="B1936" s="1" t="s">
        <v>4396</v>
      </c>
      <c r="C1936" s="1" t="s">
        <v>4397</v>
      </c>
      <c r="D1936" s="1" t="str">
        <f t="shared" si="7"/>
        <v>2</v>
      </c>
      <c r="E1936" s="1" t="s">
        <v>4398</v>
      </c>
      <c r="G1936" s="1">
        <f t="array" ref="G1936">IF(ISNUMBER(MATCH(61903,Camille!$A:$A,0)), IF(OR(INDEX(Camille!$D:$D,MATCH(61903,Camille!$A:$A,0))=1, INDEX(Camille!$D:$D,MATCH(61903,Camille!$A:$A,0))=2), INDEX(Camille!$D:$D,MATCH(61903,Camille!$A:$A,0)), 0), 0)</f>
        <v>0</v>
      </c>
      <c r="H1936" s="1">
        <f t="array" ref="H1936">IF(ISNUMBER(MATCH(61903,Telmo!$A:$A,0)), IF(OR(INDEX(Telmo!$D:$D,MATCH(61903,Telmo!$A:$A,0))=1, INDEX(Telmo!$D:$D,MATCH(61903,Telmo!$A:$A,0))=2), INDEX(Telmo!$D:$D,MATCH(61903,Telmo!$A:$A,0)), 0), 0)</f>
        <v>0</v>
      </c>
      <c r="I1936" s="1">
        <f t="array" ref="I1936">IF(ISNUMBER(MATCH(61903,Max!$A:$A,0)), IF(OR(INDEX(Max!$D:$D,MATCH(61903,Max!$A:$A,0))=1, INDEX(Max!$D:$D,MATCH(61903,Max!$A:$A,0))=2), INDEX(Max!$D:$D,MATCH(61903,Max!$A:$A,0)), 0), 0)</f>
        <v>2</v>
      </c>
    </row>
    <row r="1937" spans="1:9" ht="15.75" customHeight="1" x14ac:dyDescent="0.2">
      <c r="A1937" s="1">
        <v>27434</v>
      </c>
      <c r="B1937" s="1" t="s">
        <v>1167</v>
      </c>
      <c r="C1937" s="1" t="s">
        <v>4399</v>
      </c>
      <c r="D1937" s="1" t="str">
        <f t="shared" si="7"/>
        <v>2</v>
      </c>
      <c r="E1937" s="1" t="s">
        <v>4400</v>
      </c>
      <c r="G1937" s="1">
        <f t="array" ref="G1937">IF(ISNUMBER(MATCH(27434,Camille!$A:$A,0)), IF(OR(INDEX(Camille!$D:$D,MATCH(27434,Camille!$A:$A,0))=1, INDEX(Camille!$D:$D,MATCH(27434,Camille!$A:$A,0))=2), INDEX(Camille!$D:$D,MATCH(27434,Camille!$A:$A,0)), 0), 0)</f>
        <v>0</v>
      </c>
      <c r="H1937" s="1">
        <f t="array" ref="H1937">IF(ISNUMBER(MATCH(27434,Telmo!$A:$A,0)), IF(OR(INDEX(Telmo!$D:$D,MATCH(27434,Telmo!$A:$A,0))=1, INDEX(Telmo!$D:$D,MATCH(27434,Telmo!$A:$A,0))=2), INDEX(Telmo!$D:$D,MATCH(27434,Telmo!$A:$A,0)), 0), 0)</f>
        <v>0</v>
      </c>
      <c r="I1937" s="1">
        <f t="array" ref="I1937">IF(ISNUMBER(MATCH(27434,Max!$A:$A,0)), IF(OR(INDEX(Max!$D:$D,MATCH(27434,Max!$A:$A,0))=1, INDEX(Max!$D:$D,MATCH(27434,Max!$A:$A,0))=2), INDEX(Max!$D:$D,MATCH(27434,Max!$A:$A,0)), 0), 0)</f>
        <v>2</v>
      </c>
    </row>
    <row r="1938" spans="1:9" ht="15.75" customHeight="1" x14ac:dyDescent="0.2">
      <c r="A1938" s="1">
        <v>51479</v>
      </c>
      <c r="B1938" s="1" t="s">
        <v>326</v>
      </c>
      <c r="C1938" s="1" t="s">
        <v>4401</v>
      </c>
      <c r="D1938" s="1" t="str">
        <f t="shared" si="7"/>
        <v>1</v>
      </c>
      <c r="E1938" s="1" t="s">
        <v>4402</v>
      </c>
      <c r="G1938" s="1">
        <f t="array" ref="G1938">IF(ISNUMBER(MATCH(51479,Camille!$A:$A,0)), IF(OR(INDEX(Camille!$D:$D,MATCH(51479,Camille!$A:$A,0))=1, INDEX(Camille!$D:$D,MATCH(51479,Camille!$A:$A,0))=2), INDEX(Camille!$D:$D,MATCH(51479,Camille!$A:$A,0)), 0), 0)</f>
        <v>0</v>
      </c>
      <c r="H1938" s="1">
        <f t="array" ref="H1938">IF(ISNUMBER(MATCH(51479,Telmo!$A:$A,0)), IF(OR(INDEX(Telmo!$D:$D,MATCH(51479,Telmo!$A:$A,0))=1, INDEX(Telmo!$D:$D,MATCH(51479,Telmo!$A:$A,0))=2), INDEX(Telmo!$D:$D,MATCH(51479,Telmo!$A:$A,0)), 0), 0)</f>
        <v>0</v>
      </c>
      <c r="I1938" s="1">
        <f t="array" ref="I1938">IF(ISNUMBER(MATCH(51479,Max!$A:$A,0)), IF(OR(INDEX(Max!$D:$D,MATCH(51479,Max!$A:$A,0))=1, INDEX(Max!$D:$D,MATCH(51479,Max!$A:$A,0))=2), INDEX(Max!$D:$D,MATCH(51479,Max!$A:$A,0)), 0), 0)</f>
        <v>1</v>
      </c>
    </row>
    <row r="1939" spans="1:9" ht="15.75" customHeight="1" x14ac:dyDescent="0.2">
      <c r="A1939" s="1">
        <v>41257</v>
      </c>
      <c r="B1939" s="1" t="s">
        <v>4403</v>
      </c>
      <c r="C1939" s="1" t="s">
        <v>4404</v>
      </c>
      <c r="D1939" s="1" t="str">
        <f t="shared" si="7"/>
        <v>2</v>
      </c>
      <c r="E1939" s="1" t="s">
        <v>4405</v>
      </c>
      <c r="G1939" s="1">
        <f t="array" ref="G1939">IF(ISNUMBER(MATCH(41257,Camille!$A:$A,0)), IF(OR(INDEX(Camille!$D:$D,MATCH(41257,Camille!$A:$A,0))=1, INDEX(Camille!$D:$D,MATCH(41257,Camille!$A:$A,0))=2), INDEX(Camille!$D:$D,MATCH(41257,Camille!$A:$A,0)), 0), 0)</f>
        <v>0</v>
      </c>
      <c r="H1939" s="1">
        <f t="array" ref="H1939">IF(ISNUMBER(MATCH(41257,Telmo!$A:$A,0)), IF(OR(INDEX(Telmo!$D:$D,MATCH(41257,Telmo!$A:$A,0))=1, INDEX(Telmo!$D:$D,MATCH(41257,Telmo!$A:$A,0))=2), INDEX(Telmo!$D:$D,MATCH(41257,Telmo!$A:$A,0)), 0), 0)</f>
        <v>0</v>
      </c>
      <c r="I1939" s="1">
        <f t="array" ref="I1939">IF(ISNUMBER(MATCH(41257,Max!$A:$A,0)), IF(OR(INDEX(Max!$D:$D,MATCH(41257,Max!$A:$A,0))=1, INDEX(Max!$D:$D,MATCH(41257,Max!$A:$A,0))=2), INDEX(Max!$D:$D,MATCH(41257,Max!$A:$A,0)), 0), 0)</f>
        <v>2</v>
      </c>
    </row>
    <row r="1940" spans="1:9" ht="15.75" customHeight="1" x14ac:dyDescent="0.2">
      <c r="A1940" s="1">
        <v>67893</v>
      </c>
      <c r="B1940" s="1" t="s">
        <v>180</v>
      </c>
      <c r="C1940" s="1" t="s">
        <v>4406</v>
      </c>
      <c r="D1940" s="1" t="str">
        <f t="shared" si="7"/>
        <v>2</v>
      </c>
      <c r="E1940" s="1" t="s">
        <v>4407</v>
      </c>
      <c r="G1940" s="1">
        <f t="array" ref="G1940">IF(ISNUMBER(MATCH(67893,Camille!$A:$A,0)), IF(OR(INDEX(Camille!$D:$D,MATCH(67893,Camille!$A:$A,0))=1, INDEX(Camille!$D:$D,MATCH(67893,Camille!$A:$A,0))=2), INDEX(Camille!$D:$D,MATCH(67893,Camille!$A:$A,0)), 0), 0)</f>
        <v>0</v>
      </c>
      <c r="H1940" s="1">
        <f t="array" ref="H1940">IF(ISNUMBER(MATCH(67893,Telmo!$A:$A,0)), IF(OR(INDEX(Telmo!$D:$D,MATCH(67893,Telmo!$A:$A,0))=1, INDEX(Telmo!$D:$D,MATCH(67893,Telmo!$A:$A,0))=2), INDEX(Telmo!$D:$D,MATCH(67893,Telmo!$A:$A,0)), 0), 0)</f>
        <v>0</v>
      </c>
      <c r="I1940" s="1">
        <f t="array" ref="I1940">IF(ISNUMBER(MATCH(67893,Max!$A:$A,0)), IF(OR(INDEX(Max!$D:$D,MATCH(67893,Max!$A:$A,0))=1, INDEX(Max!$D:$D,MATCH(67893,Max!$A:$A,0))=2), INDEX(Max!$D:$D,MATCH(67893,Max!$A:$A,0)), 0), 0)</f>
        <v>2</v>
      </c>
    </row>
    <row r="1941" spans="1:9" ht="15.75" customHeight="1" x14ac:dyDescent="0.2">
      <c r="A1941" s="1">
        <v>536</v>
      </c>
      <c r="B1941" s="1" t="s">
        <v>3059</v>
      </c>
      <c r="C1941" s="1" t="s">
        <v>4408</v>
      </c>
      <c r="D1941" s="1" t="str">
        <f t="shared" si="7"/>
        <v>2</v>
      </c>
      <c r="E1941" s="1" t="s">
        <v>4409</v>
      </c>
      <c r="G1941" s="1">
        <f t="array" ref="G1941">IF(ISNUMBER(MATCH(536,Camille!$A:$A,0)), IF(OR(INDEX(Camille!$D:$D,MATCH(536,Camille!$A:$A,0))=1, INDEX(Camille!$D:$D,MATCH(536,Camille!$A:$A,0))=2), INDEX(Camille!$D:$D,MATCH(536,Camille!$A:$A,0)), 0), 0)</f>
        <v>0</v>
      </c>
      <c r="H1941" s="1">
        <f t="array" ref="H1941">IF(ISNUMBER(MATCH(536,Telmo!$A:$A,0)), IF(OR(INDEX(Telmo!$D:$D,MATCH(536,Telmo!$A:$A,0))=1, INDEX(Telmo!$D:$D,MATCH(536,Telmo!$A:$A,0))=2), INDEX(Telmo!$D:$D,MATCH(536,Telmo!$A:$A,0)), 0), 0)</f>
        <v>0</v>
      </c>
      <c r="I1941" s="1">
        <f t="array" ref="I1941">IF(ISNUMBER(MATCH(536,Max!$A:$A,0)), IF(OR(INDEX(Max!$D:$D,MATCH(536,Max!$A:$A,0))=1, INDEX(Max!$D:$D,MATCH(536,Max!$A:$A,0))=2), INDEX(Max!$D:$D,MATCH(536,Max!$A:$A,0)), 0), 0)</f>
        <v>2</v>
      </c>
    </row>
    <row r="1942" spans="1:9" ht="15.75" customHeight="1" x14ac:dyDescent="0.2">
      <c r="A1942" s="1">
        <v>30317</v>
      </c>
      <c r="B1942" s="1" t="s">
        <v>172</v>
      </c>
      <c r="C1942" s="1" t="s">
        <v>4410</v>
      </c>
      <c r="D1942" s="1" t="str">
        <f t="shared" si="7"/>
        <v>2</v>
      </c>
      <c r="E1942" s="1" t="s">
        <v>4411</v>
      </c>
      <c r="G1942" s="1">
        <f t="array" ref="G1942">IF(ISNUMBER(MATCH(30317,Camille!$A:$A,0)), IF(OR(INDEX(Camille!$D:$D,MATCH(30317,Camille!$A:$A,0))=1, INDEX(Camille!$D:$D,MATCH(30317,Camille!$A:$A,0))=2), INDEX(Camille!$D:$D,MATCH(30317,Camille!$A:$A,0)), 0), 0)</f>
        <v>0</v>
      </c>
      <c r="H1942" s="1">
        <f t="array" ref="H1942">IF(ISNUMBER(MATCH(30317,Telmo!$A:$A,0)), IF(OR(INDEX(Telmo!$D:$D,MATCH(30317,Telmo!$A:$A,0))=1, INDEX(Telmo!$D:$D,MATCH(30317,Telmo!$A:$A,0))=2), INDEX(Telmo!$D:$D,MATCH(30317,Telmo!$A:$A,0)), 0), 0)</f>
        <v>0</v>
      </c>
      <c r="I1942" s="1">
        <f t="array" ref="I1942">IF(ISNUMBER(MATCH(30317,Max!$A:$A,0)), IF(OR(INDEX(Max!$D:$D,MATCH(30317,Max!$A:$A,0))=1, INDEX(Max!$D:$D,MATCH(30317,Max!$A:$A,0))=2), INDEX(Max!$D:$D,MATCH(30317,Max!$A:$A,0)), 0), 0)</f>
        <v>2</v>
      </c>
    </row>
    <row r="1943" spans="1:9" ht="15.75" customHeight="1" x14ac:dyDescent="0.2">
      <c r="A1943" s="1">
        <v>60949</v>
      </c>
      <c r="B1943" s="1" t="s">
        <v>167</v>
      </c>
      <c r="C1943" s="1" t="s">
        <v>4412</v>
      </c>
      <c r="D1943" s="1" t="str">
        <f t="shared" si="7"/>
        <v>2</v>
      </c>
      <c r="E1943" s="1" t="s">
        <v>4413</v>
      </c>
      <c r="G1943" s="1">
        <f t="array" ref="G1943">IF(ISNUMBER(MATCH(60949,Camille!$A:$A,0)), IF(OR(INDEX(Camille!$D:$D,MATCH(60949,Camille!$A:$A,0))=1, INDEX(Camille!$D:$D,MATCH(60949,Camille!$A:$A,0))=2), INDEX(Camille!$D:$D,MATCH(60949,Camille!$A:$A,0)), 0), 0)</f>
        <v>0</v>
      </c>
      <c r="H1943" s="1">
        <f t="array" ref="H1943">IF(ISNUMBER(MATCH(60949,Telmo!$A:$A,0)), IF(OR(INDEX(Telmo!$D:$D,MATCH(60949,Telmo!$A:$A,0))=1, INDEX(Telmo!$D:$D,MATCH(60949,Telmo!$A:$A,0))=2), INDEX(Telmo!$D:$D,MATCH(60949,Telmo!$A:$A,0)), 0), 0)</f>
        <v>0</v>
      </c>
      <c r="I1943" s="1">
        <f t="array" ref="I1943">IF(ISNUMBER(MATCH(60949,Max!$A:$A,0)), IF(OR(INDEX(Max!$D:$D,MATCH(60949,Max!$A:$A,0))=1, INDEX(Max!$D:$D,MATCH(60949,Max!$A:$A,0))=2), INDEX(Max!$D:$D,MATCH(60949,Max!$A:$A,0)), 0), 0)</f>
        <v>2</v>
      </c>
    </row>
    <row r="1944" spans="1:9" ht="15.75" customHeight="1" x14ac:dyDescent="0.2">
      <c r="A1944" s="1">
        <v>62279</v>
      </c>
      <c r="B1944" s="1" t="s">
        <v>597</v>
      </c>
      <c r="C1944" s="1" t="s">
        <v>4414</v>
      </c>
      <c r="D1944" s="1" t="str">
        <f t="shared" si="7"/>
        <v>1</v>
      </c>
      <c r="E1944" s="1" t="s">
        <v>4415</v>
      </c>
      <c r="G1944" s="1">
        <f t="array" ref="G1944">IF(ISNUMBER(MATCH(62279,Camille!$A:$A,0)), IF(OR(INDEX(Camille!$D:$D,MATCH(62279,Camille!$A:$A,0))=1, INDEX(Camille!$D:$D,MATCH(62279,Camille!$A:$A,0))=2), INDEX(Camille!$D:$D,MATCH(62279,Camille!$A:$A,0)), 0), 0)</f>
        <v>0</v>
      </c>
      <c r="H1944" s="1">
        <f t="array" ref="H1944">IF(ISNUMBER(MATCH(62279,Telmo!$A:$A,0)), IF(OR(INDEX(Telmo!$D:$D,MATCH(62279,Telmo!$A:$A,0))=1, INDEX(Telmo!$D:$D,MATCH(62279,Telmo!$A:$A,0))=2), INDEX(Telmo!$D:$D,MATCH(62279,Telmo!$A:$A,0)), 0), 0)</f>
        <v>0</v>
      </c>
      <c r="I1944" s="1">
        <f t="array" ref="I1944">IF(ISNUMBER(MATCH(62279,Max!$A:$A,0)), IF(OR(INDEX(Max!$D:$D,MATCH(62279,Max!$A:$A,0))=1, INDEX(Max!$D:$D,MATCH(62279,Max!$A:$A,0))=2), INDEX(Max!$D:$D,MATCH(62279,Max!$A:$A,0)), 0), 0)</f>
        <v>1</v>
      </c>
    </row>
    <row r="1945" spans="1:9" ht="15.75" customHeight="1" x14ac:dyDescent="0.2">
      <c r="A1945" s="1">
        <v>28280</v>
      </c>
      <c r="B1945" s="1" t="s">
        <v>41</v>
      </c>
      <c r="C1945" s="1" t="s">
        <v>4416</v>
      </c>
      <c r="D1945" s="1" t="str">
        <f t="shared" si="7"/>
        <v>2</v>
      </c>
      <c r="E1945" s="1" t="s">
        <v>4417</v>
      </c>
      <c r="G1945" s="1">
        <f t="array" ref="G1945">IF(ISNUMBER(MATCH(28280,Camille!$A:$A,0)), IF(OR(INDEX(Camille!$D:$D,MATCH(28280,Camille!$A:$A,0))=1, INDEX(Camille!$D:$D,MATCH(28280,Camille!$A:$A,0))=2), INDEX(Camille!$D:$D,MATCH(28280,Camille!$A:$A,0)), 0), 0)</f>
        <v>0</v>
      </c>
      <c r="H1945" s="1">
        <f t="array" ref="H1945">IF(ISNUMBER(MATCH(28280,Telmo!$A:$A,0)), IF(OR(INDEX(Telmo!$D:$D,MATCH(28280,Telmo!$A:$A,0))=1, INDEX(Telmo!$D:$D,MATCH(28280,Telmo!$A:$A,0))=2), INDEX(Telmo!$D:$D,MATCH(28280,Telmo!$A:$A,0)), 0), 0)</f>
        <v>0</v>
      </c>
      <c r="I1945" s="1">
        <f t="array" ref="I1945">IF(ISNUMBER(MATCH(28280,Max!$A:$A,0)), IF(OR(INDEX(Max!$D:$D,MATCH(28280,Max!$A:$A,0))=1, INDEX(Max!$D:$D,MATCH(28280,Max!$A:$A,0))=2), INDEX(Max!$D:$D,MATCH(28280,Max!$A:$A,0)), 0), 0)</f>
        <v>2</v>
      </c>
    </row>
    <row r="1946" spans="1:9" ht="15.75" customHeight="1" x14ac:dyDescent="0.2">
      <c r="A1946" s="1">
        <v>39693</v>
      </c>
      <c r="B1946" s="1" t="s">
        <v>32</v>
      </c>
      <c r="C1946" s="1" t="s">
        <v>4418</v>
      </c>
      <c r="D1946" s="1" t="str">
        <f t="shared" si="7"/>
        <v>1</v>
      </c>
      <c r="E1946" s="1" t="s">
        <v>4419</v>
      </c>
      <c r="G1946" s="1">
        <f t="array" ref="G1946">IF(ISNUMBER(MATCH(39693,Camille!$A:$A,0)), IF(OR(INDEX(Camille!$D:$D,MATCH(39693,Camille!$A:$A,0))=1, INDEX(Camille!$D:$D,MATCH(39693,Camille!$A:$A,0))=2), INDEX(Camille!$D:$D,MATCH(39693,Camille!$A:$A,0)), 0), 0)</f>
        <v>0</v>
      </c>
      <c r="H1946" s="1">
        <f t="array" ref="H1946">IF(ISNUMBER(MATCH(39693,Telmo!$A:$A,0)), IF(OR(INDEX(Telmo!$D:$D,MATCH(39693,Telmo!$A:$A,0))=1, INDEX(Telmo!$D:$D,MATCH(39693,Telmo!$A:$A,0))=2), INDEX(Telmo!$D:$D,MATCH(39693,Telmo!$A:$A,0)), 0), 0)</f>
        <v>0</v>
      </c>
      <c r="I1946" s="1">
        <f t="array" ref="I1946">IF(ISNUMBER(MATCH(39693,Max!$A:$A,0)), IF(OR(INDEX(Max!$D:$D,MATCH(39693,Max!$A:$A,0))=1, INDEX(Max!$D:$D,MATCH(39693,Max!$A:$A,0))=2), INDEX(Max!$D:$D,MATCH(39693,Max!$A:$A,0)), 0), 0)</f>
        <v>1</v>
      </c>
    </row>
    <row r="1947" spans="1:9" ht="15.75" customHeight="1" x14ac:dyDescent="0.2">
      <c r="A1947" s="1">
        <v>53247</v>
      </c>
      <c r="B1947" s="1" t="s">
        <v>385</v>
      </c>
      <c r="C1947" s="1" t="s">
        <v>4420</v>
      </c>
      <c r="D1947" s="1" t="str">
        <f t="shared" si="7"/>
        <v>2</v>
      </c>
      <c r="E1947" s="1" t="s">
        <v>4421</v>
      </c>
      <c r="G1947" s="1">
        <f t="array" ref="G1947">IF(ISNUMBER(MATCH(53247,Camille!$A:$A,0)), IF(OR(INDEX(Camille!$D:$D,MATCH(53247,Camille!$A:$A,0))=1, INDEX(Camille!$D:$D,MATCH(53247,Camille!$A:$A,0))=2), INDEX(Camille!$D:$D,MATCH(53247,Camille!$A:$A,0)), 0), 0)</f>
        <v>0</v>
      </c>
      <c r="H1947" s="1">
        <f t="array" ref="H1947">IF(ISNUMBER(MATCH(53247,Telmo!$A:$A,0)), IF(OR(INDEX(Telmo!$D:$D,MATCH(53247,Telmo!$A:$A,0))=1, INDEX(Telmo!$D:$D,MATCH(53247,Telmo!$A:$A,0))=2), INDEX(Telmo!$D:$D,MATCH(53247,Telmo!$A:$A,0)), 0), 0)</f>
        <v>0</v>
      </c>
      <c r="I1947" s="1">
        <f t="array" ref="I1947">IF(ISNUMBER(MATCH(53247,Max!$A:$A,0)), IF(OR(INDEX(Max!$D:$D,MATCH(53247,Max!$A:$A,0))=1, INDEX(Max!$D:$D,MATCH(53247,Max!$A:$A,0))=2), INDEX(Max!$D:$D,MATCH(53247,Max!$A:$A,0)), 0), 0)</f>
        <v>2</v>
      </c>
    </row>
    <row r="1948" spans="1:9" ht="15.75" customHeight="1" x14ac:dyDescent="0.2">
      <c r="A1948" s="1">
        <v>26371</v>
      </c>
      <c r="B1948" s="1" t="s">
        <v>4403</v>
      </c>
      <c r="C1948" s="1" t="s">
        <v>4422</v>
      </c>
      <c r="D1948" s="1" t="str">
        <f t="shared" si="7"/>
        <v>2</v>
      </c>
      <c r="E1948" s="1" t="s">
        <v>4423</v>
      </c>
      <c r="G1948" s="1">
        <f t="array" ref="G1948">IF(ISNUMBER(MATCH(26371,Camille!$A:$A,0)), IF(OR(INDEX(Camille!$D:$D,MATCH(26371,Camille!$A:$A,0))=1, INDEX(Camille!$D:$D,MATCH(26371,Camille!$A:$A,0))=2), INDEX(Camille!$D:$D,MATCH(26371,Camille!$A:$A,0)), 0), 0)</f>
        <v>0</v>
      </c>
      <c r="H1948" s="1">
        <f t="array" ref="H1948">IF(ISNUMBER(MATCH(26371,Telmo!$A:$A,0)), IF(OR(INDEX(Telmo!$D:$D,MATCH(26371,Telmo!$A:$A,0))=1, INDEX(Telmo!$D:$D,MATCH(26371,Telmo!$A:$A,0))=2), INDEX(Telmo!$D:$D,MATCH(26371,Telmo!$A:$A,0)), 0), 0)</f>
        <v>0</v>
      </c>
      <c r="I1948" s="1">
        <f t="array" ref="I1948">IF(ISNUMBER(MATCH(26371,Max!$A:$A,0)), IF(OR(INDEX(Max!$D:$D,MATCH(26371,Max!$A:$A,0))=1, INDEX(Max!$D:$D,MATCH(26371,Max!$A:$A,0))=2), INDEX(Max!$D:$D,MATCH(26371,Max!$A:$A,0)), 0), 0)</f>
        <v>2</v>
      </c>
    </row>
    <row r="1949" spans="1:9" ht="15.75" customHeight="1" x14ac:dyDescent="0.2">
      <c r="A1949" s="1">
        <v>4796</v>
      </c>
      <c r="B1949" s="1" t="s">
        <v>4424</v>
      </c>
      <c r="C1949" s="1" t="s">
        <v>4425</v>
      </c>
      <c r="D1949" s="1" t="str">
        <f t="shared" si="7"/>
        <v>1</v>
      </c>
      <c r="E1949" s="1" t="s">
        <v>4426</v>
      </c>
      <c r="G1949" s="1">
        <f t="array" ref="G1949">IF(ISNUMBER(MATCH(4796,Camille!$A:$A,0)), IF(OR(INDEX(Camille!$D:$D,MATCH(4796,Camille!$A:$A,0))=1, INDEX(Camille!$D:$D,MATCH(4796,Camille!$A:$A,0))=2), INDEX(Camille!$D:$D,MATCH(4796,Camille!$A:$A,0)), 0), 0)</f>
        <v>0</v>
      </c>
      <c r="H1949" s="1">
        <f t="array" ref="H1949">IF(ISNUMBER(MATCH(4796,Telmo!$A:$A,0)), IF(OR(INDEX(Telmo!$D:$D,MATCH(4796,Telmo!$A:$A,0))=1, INDEX(Telmo!$D:$D,MATCH(4796,Telmo!$A:$A,0))=2), INDEX(Telmo!$D:$D,MATCH(4796,Telmo!$A:$A,0)), 0), 0)</f>
        <v>0</v>
      </c>
      <c r="I1949" s="1">
        <f t="array" ref="I1949">IF(ISNUMBER(MATCH(4796,Max!$A:$A,0)), IF(OR(INDEX(Max!$D:$D,MATCH(4796,Max!$A:$A,0))=1, INDEX(Max!$D:$D,MATCH(4796,Max!$A:$A,0))=2), INDEX(Max!$D:$D,MATCH(4796,Max!$A:$A,0)), 0), 0)</f>
        <v>1</v>
      </c>
    </row>
    <row r="1950" spans="1:9" ht="15.75" customHeight="1" x14ac:dyDescent="0.2">
      <c r="A1950" s="1">
        <v>22065</v>
      </c>
      <c r="B1950" s="1" t="s">
        <v>4427</v>
      </c>
      <c r="C1950" s="1" t="s">
        <v>4428</v>
      </c>
      <c r="D1950" s="1" t="str">
        <f t="shared" si="7"/>
        <v>2</v>
      </c>
      <c r="E1950" s="1" t="s">
        <v>4429</v>
      </c>
      <c r="G1950" s="1">
        <f t="array" ref="G1950">IF(ISNUMBER(MATCH(22065,Camille!$A:$A,0)), IF(OR(INDEX(Camille!$D:$D,MATCH(22065,Camille!$A:$A,0))=1, INDEX(Camille!$D:$D,MATCH(22065,Camille!$A:$A,0))=2), INDEX(Camille!$D:$D,MATCH(22065,Camille!$A:$A,0)), 0), 0)</f>
        <v>0</v>
      </c>
      <c r="H1950" s="1">
        <f t="array" ref="H1950">IF(ISNUMBER(MATCH(22065,Telmo!$A:$A,0)), IF(OR(INDEX(Telmo!$D:$D,MATCH(22065,Telmo!$A:$A,0))=1, INDEX(Telmo!$D:$D,MATCH(22065,Telmo!$A:$A,0))=2), INDEX(Telmo!$D:$D,MATCH(22065,Telmo!$A:$A,0)), 0), 0)</f>
        <v>0</v>
      </c>
      <c r="I1950" s="1">
        <f t="array" ref="I1950">IF(ISNUMBER(MATCH(22065,Max!$A:$A,0)), IF(OR(INDEX(Max!$D:$D,MATCH(22065,Max!$A:$A,0))=1, INDEX(Max!$D:$D,MATCH(22065,Max!$A:$A,0))=2), INDEX(Max!$D:$D,MATCH(22065,Max!$A:$A,0)), 0), 0)</f>
        <v>2</v>
      </c>
    </row>
    <row r="1951" spans="1:9" ht="15.75" customHeight="1" x14ac:dyDescent="0.2">
      <c r="A1951" s="1">
        <v>39710</v>
      </c>
      <c r="B1951" s="1" t="s">
        <v>996</v>
      </c>
      <c r="C1951" s="1" t="s">
        <v>4430</v>
      </c>
      <c r="D1951" s="1" t="str">
        <f t="shared" si="7"/>
        <v>2</v>
      </c>
      <c r="E1951" s="1" t="s">
        <v>4431</v>
      </c>
      <c r="G1951" s="1">
        <f t="array" ref="G1951">IF(ISNUMBER(MATCH(39710,Camille!$A:$A,0)), IF(OR(INDEX(Camille!$D:$D,MATCH(39710,Camille!$A:$A,0))=1, INDEX(Camille!$D:$D,MATCH(39710,Camille!$A:$A,0))=2), INDEX(Camille!$D:$D,MATCH(39710,Camille!$A:$A,0)), 0), 0)</f>
        <v>0</v>
      </c>
      <c r="H1951" s="1">
        <f t="array" ref="H1951">IF(ISNUMBER(MATCH(39710,Telmo!$A:$A,0)), IF(OR(INDEX(Telmo!$D:$D,MATCH(39710,Telmo!$A:$A,0))=1, INDEX(Telmo!$D:$D,MATCH(39710,Telmo!$A:$A,0))=2), INDEX(Telmo!$D:$D,MATCH(39710,Telmo!$A:$A,0)), 0), 0)</f>
        <v>0</v>
      </c>
      <c r="I1951" s="1">
        <f t="array" ref="I1951">IF(ISNUMBER(MATCH(39710,Max!$A:$A,0)), IF(OR(INDEX(Max!$D:$D,MATCH(39710,Max!$A:$A,0))=1, INDEX(Max!$D:$D,MATCH(39710,Max!$A:$A,0))=2), INDEX(Max!$D:$D,MATCH(39710,Max!$A:$A,0)), 0), 0)</f>
        <v>2</v>
      </c>
    </row>
    <row r="1952" spans="1:9" ht="15.75" customHeight="1" x14ac:dyDescent="0.2">
      <c r="A1952" s="1">
        <v>20683</v>
      </c>
      <c r="B1952" s="1" t="s">
        <v>4432</v>
      </c>
      <c r="C1952" s="1" t="s">
        <v>4433</v>
      </c>
      <c r="D1952" s="1" t="str">
        <f t="shared" si="7"/>
        <v>1</v>
      </c>
      <c r="E1952" s="1" t="s">
        <v>4434</v>
      </c>
      <c r="G1952" s="1">
        <f t="array" ref="G1952">IF(ISNUMBER(MATCH(20683,Camille!$A:$A,0)), IF(OR(INDEX(Camille!$D:$D,MATCH(20683,Camille!$A:$A,0))=1, INDEX(Camille!$D:$D,MATCH(20683,Camille!$A:$A,0))=2), INDEX(Camille!$D:$D,MATCH(20683,Camille!$A:$A,0)), 0), 0)</f>
        <v>0</v>
      </c>
      <c r="H1952" s="1">
        <f t="array" ref="H1952">IF(ISNUMBER(MATCH(20683,Telmo!$A:$A,0)), IF(OR(INDEX(Telmo!$D:$D,MATCH(20683,Telmo!$A:$A,0))=1, INDEX(Telmo!$D:$D,MATCH(20683,Telmo!$A:$A,0))=2), INDEX(Telmo!$D:$D,MATCH(20683,Telmo!$A:$A,0)), 0), 0)</f>
        <v>0</v>
      </c>
      <c r="I1952" s="1">
        <f t="array" ref="I1952">IF(ISNUMBER(MATCH(20683,Max!$A:$A,0)), IF(OR(INDEX(Max!$D:$D,MATCH(20683,Max!$A:$A,0))=1, INDEX(Max!$D:$D,MATCH(20683,Max!$A:$A,0))=2), INDEX(Max!$D:$D,MATCH(20683,Max!$A:$A,0)), 0), 0)</f>
        <v>1</v>
      </c>
    </row>
    <row r="1953" spans="1:9" ht="15.75" customHeight="1" x14ac:dyDescent="0.2">
      <c r="A1953" s="1">
        <v>35546</v>
      </c>
      <c r="B1953" s="1" t="s">
        <v>144</v>
      </c>
      <c r="C1953" s="1" t="s">
        <v>4435</v>
      </c>
      <c r="D1953" s="1" t="str">
        <f t="shared" si="7"/>
        <v>2</v>
      </c>
      <c r="E1953" s="1" t="s">
        <v>4436</v>
      </c>
      <c r="G1953" s="1">
        <f t="array" ref="G1953">IF(ISNUMBER(MATCH(35546,Camille!$A:$A,0)), IF(OR(INDEX(Camille!$D:$D,MATCH(35546,Camille!$A:$A,0))=1, INDEX(Camille!$D:$D,MATCH(35546,Camille!$A:$A,0))=2), INDEX(Camille!$D:$D,MATCH(35546,Camille!$A:$A,0)), 0), 0)</f>
        <v>0</v>
      </c>
      <c r="H1953" s="1">
        <f t="array" ref="H1953">IF(ISNUMBER(MATCH(35546,Telmo!$A:$A,0)), IF(OR(INDEX(Telmo!$D:$D,MATCH(35546,Telmo!$A:$A,0))=1, INDEX(Telmo!$D:$D,MATCH(35546,Telmo!$A:$A,0))=2), INDEX(Telmo!$D:$D,MATCH(35546,Telmo!$A:$A,0)), 0), 0)</f>
        <v>0</v>
      </c>
      <c r="I1953" s="1">
        <f t="array" ref="I1953">IF(ISNUMBER(MATCH(35546,Max!$A:$A,0)), IF(OR(INDEX(Max!$D:$D,MATCH(35546,Max!$A:$A,0))=1, INDEX(Max!$D:$D,MATCH(35546,Max!$A:$A,0))=2), INDEX(Max!$D:$D,MATCH(35546,Max!$A:$A,0)), 0), 0)</f>
        <v>2</v>
      </c>
    </row>
    <row r="1954" spans="1:9" ht="15.75" customHeight="1" x14ac:dyDescent="0.2">
      <c r="A1954" s="1">
        <v>3056</v>
      </c>
      <c r="B1954" s="1" t="s">
        <v>268</v>
      </c>
      <c r="C1954" s="1" t="s">
        <v>4437</v>
      </c>
      <c r="D1954" s="1" t="str">
        <f t="shared" si="7"/>
        <v>1</v>
      </c>
      <c r="E1954" s="1" t="s">
        <v>4438</v>
      </c>
      <c r="G1954" s="1">
        <f t="array" ref="G1954">IF(ISNUMBER(MATCH(3056,Camille!$A:$A,0)), IF(OR(INDEX(Camille!$D:$D,MATCH(3056,Camille!$A:$A,0))=1, INDEX(Camille!$D:$D,MATCH(3056,Camille!$A:$A,0))=2), INDEX(Camille!$D:$D,MATCH(3056,Camille!$A:$A,0)), 0), 0)</f>
        <v>0</v>
      </c>
      <c r="H1954" s="1">
        <f t="array" ref="H1954">IF(ISNUMBER(MATCH(3056,Telmo!$A:$A,0)), IF(OR(INDEX(Telmo!$D:$D,MATCH(3056,Telmo!$A:$A,0))=1, INDEX(Telmo!$D:$D,MATCH(3056,Telmo!$A:$A,0))=2), INDEX(Telmo!$D:$D,MATCH(3056,Telmo!$A:$A,0)), 0), 0)</f>
        <v>0</v>
      </c>
      <c r="I1954" s="1">
        <f t="array" ref="I1954">IF(ISNUMBER(MATCH(3056,Max!$A:$A,0)), IF(OR(INDEX(Max!$D:$D,MATCH(3056,Max!$A:$A,0))=1, INDEX(Max!$D:$D,MATCH(3056,Max!$A:$A,0))=2), INDEX(Max!$D:$D,MATCH(3056,Max!$A:$A,0)), 0), 0)</f>
        <v>1</v>
      </c>
    </row>
    <row r="1955" spans="1:9" ht="15.75" customHeight="1" x14ac:dyDescent="0.2">
      <c r="A1955" s="1">
        <v>71787</v>
      </c>
      <c r="B1955" s="1" t="s">
        <v>4439</v>
      </c>
      <c r="C1955" s="1" t="s">
        <v>4440</v>
      </c>
      <c r="D1955" s="1" t="str">
        <f t="shared" si="7"/>
        <v>2</v>
      </c>
      <c r="E1955" s="1" t="s">
        <v>4441</v>
      </c>
      <c r="G1955" s="1">
        <f t="array" ref="G1955">IF(ISNUMBER(MATCH(71787,Camille!$A:$A,0)), IF(OR(INDEX(Camille!$D:$D,MATCH(71787,Camille!$A:$A,0))=1, INDEX(Camille!$D:$D,MATCH(71787,Camille!$A:$A,0))=2), INDEX(Camille!$D:$D,MATCH(71787,Camille!$A:$A,0)), 0), 0)</f>
        <v>0</v>
      </c>
      <c r="H1955" s="1">
        <f t="array" ref="H1955">IF(ISNUMBER(MATCH(71787,Telmo!$A:$A,0)), IF(OR(INDEX(Telmo!$D:$D,MATCH(71787,Telmo!$A:$A,0))=1, INDEX(Telmo!$D:$D,MATCH(71787,Telmo!$A:$A,0))=2), INDEX(Telmo!$D:$D,MATCH(71787,Telmo!$A:$A,0)), 0), 0)</f>
        <v>0</v>
      </c>
      <c r="I1955" s="1">
        <f t="array" ref="I1955">IF(ISNUMBER(MATCH(71787,Max!$A:$A,0)), IF(OR(INDEX(Max!$D:$D,MATCH(71787,Max!$A:$A,0))=1, INDEX(Max!$D:$D,MATCH(71787,Max!$A:$A,0))=2), INDEX(Max!$D:$D,MATCH(71787,Max!$A:$A,0)), 0), 0)</f>
        <v>2</v>
      </c>
    </row>
    <row r="1956" spans="1:9" ht="15.75" customHeight="1" x14ac:dyDescent="0.2">
      <c r="A1956" s="1">
        <v>54186</v>
      </c>
      <c r="B1956" s="1" t="s">
        <v>4442</v>
      </c>
      <c r="C1956" s="1" t="s">
        <v>4443</v>
      </c>
      <c r="D1956" s="1" t="str">
        <f t="shared" si="7"/>
        <v>2</v>
      </c>
      <c r="E1956" s="1" t="s">
        <v>4444</v>
      </c>
      <c r="G1956" s="1">
        <f t="array" ref="G1956">IF(ISNUMBER(MATCH(54186,Camille!$A:$A,0)), IF(OR(INDEX(Camille!$D:$D,MATCH(54186,Camille!$A:$A,0))=1, INDEX(Camille!$D:$D,MATCH(54186,Camille!$A:$A,0))=2), INDEX(Camille!$D:$D,MATCH(54186,Camille!$A:$A,0)), 0), 0)</f>
        <v>0</v>
      </c>
      <c r="H1956" s="1">
        <f t="array" ref="H1956">IF(ISNUMBER(MATCH(54186,Telmo!$A:$A,0)), IF(OR(INDEX(Telmo!$D:$D,MATCH(54186,Telmo!$A:$A,0))=1, INDEX(Telmo!$D:$D,MATCH(54186,Telmo!$A:$A,0))=2), INDEX(Telmo!$D:$D,MATCH(54186,Telmo!$A:$A,0)), 0), 0)</f>
        <v>0</v>
      </c>
      <c r="I1956" s="1">
        <f t="array" ref="I1956">IF(ISNUMBER(MATCH(54186,Max!$A:$A,0)), IF(OR(INDEX(Max!$D:$D,MATCH(54186,Max!$A:$A,0))=1, INDEX(Max!$D:$D,MATCH(54186,Max!$A:$A,0))=2), INDEX(Max!$D:$D,MATCH(54186,Max!$A:$A,0)), 0), 0)</f>
        <v>2</v>
      </c>
    </row>
    <row r="1957" spans="1:9" ht="15.75" customHeight="1" x14ac:dyDescent="0.2">
      <c r="A1957" s="1">
        <v>1142</v>
      </c>
      <c r="B1957" s="1" t="s">
        <v>4445</v>
      </c>
      <c r="C1957" s="1" t="s">
        <v>4446</v>
      </c>
      <c r="D1957" s="1" t="str">
        <f t="shared" si="7"/>
        <v>2</v>
      </c>
      <c r="E1957" s="1" t="s">
        <v>4447</v>
      </c>
      <c r="G1957" s="1">
        <f t="array" ref="G1957">IF(ISNUMBER(MATCH(1142,Camille!$A:$A,0)), IF(OR(INDEX(Camille!$D:$D,MATCH(1142,Camille!$A:$A,0))=1, INDEX(Camille!$D:$D,MATCH(1142,Camille!$A:$A,0))=2), INDEX(Camille!$D:$D,MATCH(1142,Camille!$A:$A,0)), 0), 0)</f>
        <v>0</v>
      </c>
      <c r="H1957" s="1">
        <f t="array" ref="H1957">IF(ISNUMBER(MATCH(1142,Telmo!$A:$A,0)), IF(OR(INDEX(Telmo!$D:$D,MATCH(1142,Telmo!$A:$A,0))=1, INDEX(Telmo!$D:$D,MATCH(1142,Telmo!$A:$A,0))=2), INDEX(Telmo!$D:$D,MATCH(1142,Telmo!$A:$A,0)), 0), 0)</f>
        <v>0</v>
      </c>
      <c r="I1957" s="1">
        <f t="array" ref="I1957">IF(ISNUMBER(MATCH(1142,Max!$A:$A,0)), IF(OR(INDEX(Max!$D:$D,MATCH(1142,Max!$A:$A,0))=1, INDEX(Max!$D:$D,MATCH(1142,Max!$A:$A,0))=2), INDEX(Max!$D:$D,MATCH(1142,Max!$A:$A,0)), 0), 0)</f>
        <v>2</v>
      </c>
    </row>
    <row r="1958" spans="1:9" ht="15.75" customHeight="1" x14ac:dyDescent="0.2">
      <c r="A1958" s="1">
        <v>56746</v>
      </c>
      <c r="B1958" s="1" t="s">
        <v>32</v>
      </c>
      <c r="C1958" s="1" t="s">
        <v>4448</v>
      </c>
      <c r="D1958" s="1" t="str">
        <f t="shared" si="7"/>
        <v>2</v>
      </c>
      <c r="E1958" s="1" t="s">
        <v>4449</v>
      </c>
      <c r="G1958" s="1">
        <f t="array" ref="G1958">IF(ISNUMBER(MATCH(56746,Camille!$A:$A,0)), IF(OR(INDEX(Camille!$D:$D,MATCH(56746,Camille!$A:$A,0))=1, INDEX(Camille!$D:$D,MATCH(56746,Camille!$A:$A,0))=2), INDEX(Camille!$D:$D,MATCH(56746,Camille!$A:$A,0)), 0), 0)</f>
        <v>0</v>
      </c>
      <c r="H1958" s="1">
        <f t="array" ref="H1958">IF(ISNUMBER(MATCH(56746,Telmo!$A:$A,0)), IF(OR(INDEX(Telmo!$D:$D,MATCH(56746,Telmo!$A:$A,0))=1, INDEX(Telmo!$D:$D,MATCH(56746,Telmo!$A:$A,0))=2), INDEX(Telmo!$D:$D,MATCH(56746,Telmo!$A:$A,0)), 0), 0)</f>
        <v>0</v>
      </c>
      <c r="I1958" s="1">
        <f t="array" ref="I1958">IF(ISNUMBER(MATCH(56746,Max!$A:$A,0)), IF(OR(INDEX(Max!$D:$D,MATCH(56746,Max!$A:$A,0))=1, INDEX(Max!$D:$D,MATCH(56746,Max!$A:$A,0))=2), INDEX(Max!$D:$D,MATCH(56746,Max!$A:$A,0)), 0), 0)</f>
        <v>2</v>
      </c>
    </row>
    <row r="1959" spans="1:9" ht="15.75" customHeight="1" x14ac:dyDescent="0.2">
      <c r="A1959" s="1">
        <v>35578</v>
      </c>
      <c r="B1959" s="1" t="s">
        <v>244</v>
      </c>
      <c r="C1959" s="1" t="s">
        <v>4450</v>
      </c>
      <c r="D1959" s="1" t="str">
        <f t="shared" si="7"/>
        <v>2</v>
      </c>
      <c r="E1959" s="1" t="s">
        <v>4451</v>
      </c>
      <c r="G1959" s="1">
        <f t="array" ref="G1959">IF(ISNUMBER(MATCH(35578,Camille!$A:$A,0)), IF(OR(INDEX(Camille!$D:$D,MATCH(35578,Camille!$A:$A,0))=1, INDEX(Camille!$D:$D,MATCH(35578,Camille!$A:$A,0))=2), INDEX(Camille!$D:$D,MATCH(35578,Camille!$A:$A,0)), 0), 0)</f>
        <v>0</v>
      </c>
      <c r="H1959" s="1">
        <f t="array" ref="H1959">IF(ISNUMBER(MATCH(35578,Telmo!$A:$A,0)), IF(OR(INDEX(Telmo!$D:$D,MATCH(35578,Telmo!$A:$A,0))=1, INDEX(Telmo!$D:$D,MATCH(35578,Telmo!$A:$A,0))=2), INDEX(Telmo!$D:$D,MATCH(35578,Telmo!$A:$A,0)), 0), 0)</f>
        <v>0</v>
      </c>
      <c r="I1959" s="1">
        <f t="array" ref="I1959">IF(ISNUMBER(MATCH(35578,Max!$A:$A,0)), IF(OR(INDEX(Max!$D:$D,MATCH(35578,Max!$A:$A,0))=1, INDEX(Max!$D:$D,MATCH(35578,Max!$A:$A,0))=2), INDEX(Max!$D:$D,MATCH(35578,Max!$A:$A,0)), 0), 0)</f>
        <v>2</v>
      </c>
    </row>
    <row r="1960" spans="1:9" ht="15.75" customHeight="1" x14ac:dyDescent="0.2">
      <c r="A1960" s="1">
        <v>1987</v>
      </c>
      <c r="B1960" s="1" t="s">
        <v>32</v>
      </c>
      <c r="C1960" s="1" t="s">
        <v>4452</v>
      </c>
      <c r="D1960" s="1" t="str">
        <f t="shared" si="7"/>
        <v>2</v>
      </c>
      <c r="E1960" s="1" t="s">
        <v>4453</v>
      </c>
      <c r="G1960" s="1">
        <f t="array" ref="G1960">IF(ISNUMBER(MATCH(1987,Camille!$A:$A,0)), IF(OR(INDEX(Camille!$D:$D,MATCH(1987,Camille!$A:$A,0))=1, INDEX(Camille!$D:$D,MATCH(1987,Camille!$A:$A,0))=2), INDEX(Camille!$D:$D,MATCH(1987,Camille!$A:$A,0)), 0), 0)</f>
        <v>0</v>
      </c>
      <c r="H1960" s="1">
        <f t="array" ref="H1960">IF(ISNUMBER(MATCH(1987,Telmo!$A:$A,0)), IF(OR(INDEX(Telmo!$D:$D,MATCH(1987,Telmo!$A:$A,0))=1, INDEX(Telmo!$D:$D,MATCH(1987,Telmo!$A:$A,0))=2), INDEX(Telmo!$D:$D,MATCH(1987,Telmo!$A:$A,0)), 0), 0)</f>
        <v>0</v>
      </c>
      <c r="I1960" s="1">
        <f t="array" ref="I1960">IF(ISNUMBER(MATCH(1987,Max!$A:$A,0)), IF(OR(INDEX(Max!$D:$D,MATCH(1987,Max!$A:$A,0))=1, INDEX(Max!$D:$D,MATCH(1987,Max!$A:$A,0))=2), INDEX(Max!$D:$D,MATCH(1987,Max!$A:$A,0)), 0), 0)</f>
        <v>2</v>
      </c>
    </row>
    <row r="1961" spans="1:9" ht="15.75" customHeight="1" x14ac:dyDescent="0.2">
      <c r="A1961" s="1">
        <v>9761</v>
      </c>
      <c r="B1961" s="1" t="s">
        <v>4454</v>
      </c>
      <c r="C1961" s="1" t="s">
        <v>4455</v>
      </c>
      <c r="D1961" s="1" t="str">
        <f t="shared" si="7"/>
        <v>2</v>
      </c>
      <c r="E1961" s="1" t="s">
        <v>4456</v>
      </c>
      <c r="G1961" s="1">
        <f t="array" ref="G1961">IF(ISNUMBER(MATCH(9761,Camille!$A:$A,0)), IF(OR(INDEX(Camille!$D:$D,MATCH(9761,Camille!$A:$A,0))=1, INDEX(Camille!$D:$D,MATCH(9761,Camille!$A:$A,0))=2), INDEX(Camille!$D:$D,MATCH(9761,Camille!$A:$A,0)), 0), 0)</f>
        <v>0</v>
      </c>
      <c r="H1961" s="1">
        <f t="array" ref="H1961">IF(ISNUMBER(MATCH(9761,Telmo!$A:$A,0)), IF(OR(INDEX(Telmo!$D:$D,MATCH(9761,Telmo!$A:$A,0))=1, INDEX(Telmo!$D:$D,MATCH(9761,Telmo!$A:$A,0))=2), INDEX(Telmo!$D:$D,MATCH(9761,Telmo!$A:$A,0)), 0), 0)</f>
        <v>0</v>
      </c>
      <c r="I1961" s="1">
        <f t="array" ref="I1961">IF(ISNUMBER(MATCH(9761,Max!$A:$A,0)), IF(OR(INDEX(Max!$D:$D,MATCH(9761,Max!$A:$A,0))=1, INDEX(Max!$D:$D,MATCH(9761,Max!$A:$A,0))=2), INDEX(Max!$D:$D,MATCH(9761,Max!$A:$A,0)), 0), 0)</f>
        <v>2</v>
      </c>
    </row>
    <row r="1962" spans="1:9" ht="15.75" customHeight="1" x14ac:dyDescent="0.2">
      <c r="A1962" s="1">
        <v>22264</v>
      </c>
      <c r="B1962" s="1" t="s">
        <v>808</v>
      </c>
      <c r="C1962" s="1" t="s">
        <v>4457</v>
      </c>
      <c r="D1962" s="1" t="str">
        <f t="shared" si="7"/>
        <v>2</v>
      </c>
      <c r="E1962" s="1" t="s">
        <v>4458</v>
      </c>
      <c r="G1962" s="1">
        <f t="array" ref="G1962">IF(ISNUMBER(MATCH(22264,Camille!$A:$A,0)), IF(OR(INDEX(Camille!$D:$D,MATCH(22264,Camille!$A:$A,0))=1, INDEX(Camille!$D:$D,MATCH(22264,Camille!$A:$A,0))=2), INDEX(Camille!$D:$D,MATCH(22264,Camille!$A:$A,0)), 0), 0)</f>
        <v>0</v>
      </c>
      <c r="H1962" s="1">
        <f t="array" ref="H1962">IF(ISNUMBER(MATCH(22264,Telmo!$A:$A,0)), IF(OR(INDEX(Telmo!$D:$D,MATCH(22264,Telmo!$A:$A,0))=1, INDEX(Telmo!$D:$D,MATCH(22264,Telmo!$A:$A,0))=2), INDEX(Telmo!$D:$D,MATCH(22264,Telmo!$A:$A,0)), 0), 0)</f>
        <v>0</v>
      </c>
      <c r="I1962" s="1">
        <f t="array" ref="I1962">IF(ISNUMBER(MATCH(22264,Max!$A:$A,0)), IF(OR(INDEX(Max!$D:$D,MATCH(22264,Max!$A:$A,0))=1, INDEX(Max!$D:$D,MATCH(22264,Max!$A:$A,0))=2), INDEX(Max!$D:$D,MATCH(22264,Max!$A:$A,0)), 0), 0)</f>
        <v>2</v>
      </c>
    </row>
    <row r="1963" spans="1:9" ht="15.75" customHeight="1" x14ac:dyDescent="0.2">
      <c r="A1963" s="1">
        <v>31016</v>
      </c>
      <c r="B1963" s="1" t="s">
        <v>466</v>
      </c>
      <c r="C1963" s="1" t="s">
        <v>4459</v>
      </c>
      <c r="D1963" s="1" t="str">
        <f t="shared" si="7"/>
        <v>2</v>
      </c>
      <c r="E1963" s="1" t="s">
        <v>4460</v>
      </c>
      <c r="G1963" s="1">
        <f t="array" ref="G1963">IF(ISNUMBER(MATCH(31016,Camille!$A:$A,0)), IF(OR(INDEX(Camille!$D:$D,MATCH(31016,Camille!$A:$A,0))=1, INDEX(Camille!$D:$D,MATCH(31016,Camille!$A:$A,0))=2), INDEX(Camille!$D:$D,MATCH(31016,Camille!$A:$A,0)), 0), 0)</f>
        <v>0</v>
      </c>
      <c r="H1963" s="1">
        <f t="array" ref="H1963">IF(ISNUMBER(MATCH(31016,Telmo!$A:$A,0)), IF(OR(INDEX(Telmo!$D:$D,MATCH(31016,Telmo!$A:$A,0))=1, INDEX(Telmo!$D:$D,MATCH(31016,Telmo!$A:$A,0))=2), INDEX(Telmo!$D:$D,MATCH(31016,Telmo!$A:$A,0)), 0), 0)</f>
        <v>0</v>
      </c>
      <c r="I1963" s="1">
        <f t="array" ref="I1963">IF(ISNUMBER(MATCH(31016,Max!$A:$A,0)), IF(OR(INDEX(Max!$D:$D,MATCH(31016,Max!$A:$A,0))=1, INDEX(Max!$D:$D,MATCH(31016,Max!$A:$A,0))=2), INDEX(Max!$D:$D,MATCH(31016,Max!$A:$A,0)), 0), 0)</f>
        <v>2</v>
      </c>
    </row>
    <row r="1964" spans="1:9" ht="15.75" customHeight="1" x14ac:dyDescent="0.2">
      <c r="A1964" s="1">
        <v>64958</v>
      </c>
      <c r="B1964" s="1" t="s">
        <v>254</v>
      </c>
      <c r="C1964" s="1" t="s">
        <v>4461</v>
      </c>
      <c r="D1964" s="1" t="str">
        <f t="shared" si="7"/>
        <v>2</v>
      </c>
      <c r="E1964" s="1" t="s">
        <v>4462</v>
      </c>
      <c r="G1964" s="1">
        <f t="array" ref="G1964">IF(ISNUMBER(MATCH(64958,Camille!$A:$A,0)), IF(OR(INDEX(Camille!$D:$D,MATCH(64958,Camille!$A:$A,0))=1, INDEX(Camille!$D:$D,MATCH(64958,Camille!$A:$A,0))=2), INDEX(Camille!$D:$D,MATCH(64958,Camille!$A:$A,0)), 0), 0)</f>
        <v>0</v>
      </c>
      <c r="H1964" s="1">
        <f t="array" ref="H1964">IF(ISNUMBER(MATCH(64958,Telmo!$A:$A,0)), IF(OR(INDEX(Telmo!$D:$D,MATCH(64958,Telmo!$A:$A,0))=1, INDEX(Telmo!$D:$D,MATCH(64958,Telmo!$A:$A,0))=2), INDEX(Telmo!$D:$D,MATCH(64958,Telmo!$A:$A,0)), 0), 0)</f>
        <v>0</v>
      </c>
      <c r="I1964" s="1">
        <f t="array" ref="I1964">IF(ISNUMBER(MATCH(64958,Max!$A:$A,0)), IF(OR(INDEX(Max!$D:$D,MATCH(64958,Max!$A:$A,0))=1, INDEX(Max!$D:$D,MATCH(64958,Max!$A:$A,0))=2), INDEX(Max!$D:$D,MATCH(64958,Max!$A:$A,0)), 0), 0)</f>
        <v>2</v>
      </c>
    </row>
    <row r="1965" spans="1:9" ht="15.75" customHeight="1" x14ac:dyDescent="0.2">
      <c r="A1965" s="1">
        <v>49632</v>
      </c>
      <c r="B1965" s="1" t="s">
        <v>167</v>
      </c>
      <c r="C1965" s="1" t="s">
        <v>4463</v>
      </c>
      <c r="D1965" s="1" t="str">
        <f t="shared" si="7"/>
        <v>1</v>
      </c>
      <c r="E1965" s="1" t="s">
        <v>4464</v>
      </c>
      <c r="G1965" s="1">
        <f t="array" ref="G1965">IF(ISNUMBER(MATCH(49632,Camille!$A:$A,0)), IF(OR(INDEX(Camille!$D:$D,MATCH(49632,Camille!$A:$A,0))=1, INDEX(Camille!$D:$D,MATCH(49632,Camille!$A:$A,0))=2), INDEX(Camille!$D:$D,MATCH(49632,Camille!$A:$A,0)), 0), 0)</f>
        <v>0</v>
      </c>
      <c r="H1965" s="1">
        <f t="array" ref="H1965">IF(ISNUMBER(MATCH(49632,Telmo!$A:$A,0)), IF(OR(INDEX(Telmo!$D:$D,MATCH(49632,Telmo!$A:$A,0))=1, INDEX(Telmo!$D:$D,MATCH(49632,Telmo!$A:$A,0))=2), INDEX(Telmo!$D:$D,MATCH(49632,Telmo!$A:$A,0)), 0), 0)</f>
        <v>0</v>
      </c>
      <c r="I1965" s="1">
        <f t="array" ref="I1965">IF(ISNUMBER(MATCH(49632,Max!$A:$A,0)), IF(OR(INDEX(Max!$D:$D,MATCH(49632,Max!$A:$A,0))=1, INDEX(Max!$D:$D,MATCH(49632,Max!$A:$A,0))=2), INDEX(Max!$D:$D,MATCH(49632,Max!$A:$A,0)), 0), 0)</f>
        <v>1</v>
      </c>
    </row>
    <row r="1966" spans="1:9" ht="15.75" customHeight="1" x14ac:dyDescent="0.2">
      <c r="A1966" s="1">
        <v>55937</v>
      </c>
      <c r="B1966" s="1" t="s">
        <v>191</v>
      </c>
      <c r="C1966" s="1" t="s">
        <v>4465</v>
      </c>
      <c r="D1966" s="1" t="str">
        <f t="shared" si="7"/>
        <v>2</v>
      </c>
      <c r="E1966" s="1" t="s">
        <v>4466</v>
      </c>
      <c r="G1966" s="1">
        <f t="array" ref="G1966">IF(ISNUMBER(MATCH(55937,Camille!$A:$A,0)), IF(OR(INDEX(Camille!$D:$D,MATCH(55937,Camille!$A:$A,0))=1, INDEX(Camille!$D:$D,MATCH(55937,Camille!$A:$A,0))=2), INDEX(Camille!$D:$D,MATCH(55937,Camille!$A:$A,0)), 0), 0)</f>
        <v>0</v>
      </c>
      <c r="H1966" s="1">
        <f t="array" ref="H1966">IF(ISNUMBER(MATCH(55937,Telmo!$A:$A,0)), IF(OR(INDEX(Telmo!$D:$D,MATCH(55937,Telmo!$A:$A,0))=1, INDEX(Telmo!$D:$D,MATCH(55937,Telmo!$A:$A,0))=2), INDEX(Telmo!$D:$D,MATCH(55937,Telmo!$A:$A,0)), 0), 0)</f>
        <v>0</v>
      </c>
      <c r="I1966" s="1">
        <f t="array" ref="I1966">IF(ISNUMBER(MATCH(55937,Max!$A:$A,0)), IF(OR(INDEX(Max!$D:$D,MATCH(55937,Max!$A:$A,0))=1, INDEX(Max!$D:$D,MATCH(55937,Max!$A:$A,0))=2), INDEX(Max!$D:$D,MATCH(55937,Max!$A:$A,0)), 0), 0)</f>
        <v>2</v>
      </c>
    </row>
    <row r="1967" spans="1:9" ht="15.75" customHeight="1" x14ac:dyDescent="0.2">
      <c r="A1967" s="1">
        <v>61167</v>
      </c>
      <c r="B1967" s="1" t="s">
        <v>342</v>
      </c>
      <c r="C1967" s="1" t="s">
        <v>4467</v>
      </c>
      <c r="D1967" s="1" t="str">
        <f t="shared" si="7"/>
        <v>2</v>
      </c>
      <c r="E1967" s="1" t="s">
        <v>4468</v>
      </c>
      <c r="G1967" s="1">
        <f t="array" ref="G1967">IF(ISNUMBER(MATCH(61167,Camille!$A:$A,0)), IF(OR(INDEX(Camille!$D:$D,MATCH(61167,Camille!$A:$A,0))=1, INDEX(Camille!$D:$D,MATCH(61167,Camille!$A:$A,0))=2), INDEX(Camille!$D:$D,MATCH(61167,Camille!$A:$A,0)), 0), 0)</f>
        <v>0</v>
      </c>
      <c r="H1967" s="1">
        <f t="array" ref="H1967">IF(ISNUMBER(MATCH(61167,Telmo!$A:$A,0)), IF(OR(INDEX(Telmo!$D:$D,MATCH(61167,Telmo!$A:$A,0))=1, INDEX(Telmo!$D:$D,MATCH(61167,Telmo!$A:$A,0))=2), INDEX(Telmo!$D:$D,MATCH(61167,Telmo!$A:$A,0)), 0), 0)</f>
        <v>0</v>
      </c>
      <c r="I1967" s="1">
        <f t="array" ref="I1967">IF(ISNUMBER(MATCH(61167,Max!$A:$A,0)), IF(OR(INDEX(Max!$D:$D,MATCH(61167,Max!$A:$A,0))=1, INDEX(Max!$D:$D,MATCH(61167,Max!$A:$A,0))=2), INDEX(Max!$D:$D,MATCH(61167,Max!$A:$A,0)), 0), 0)</f>
        <v>2</v>
      </c>
    </row>
    <row r="1968" spans="1:9" ht="15.75" customHeight="1" x14ac:dyDescent="0.2">
      <c r="A1968" s="1">
        <v>67304</v>
      </c>
      <c r="B1968" s="1" t="s">
        <v>1211</v>
      </c>
      <c r="C1968" s="1" t="s">
        <v>4469</v>
      </c>
      <c r="D1968" s="1" t="str">
        <f t="shared" si="7"/>
        <v>1</v>
      </c>
      <c r="E1968" s="1" t="s">
        <v>4470</v>
      </c>
      <c r="G1968" s="1">
        <f t="array" ref="G1968">IF(ISNUMBER(MATCH(67304,Camille!$A:$A,0)), IF(OR(INDEX(Camille!$D:$D,MATCH(67304,Camille!$A:$A,0))=1, INDEX(Camille!$D:$D,MATCH(67304,Camille!$A:$A,0))=2), INDEX(Camille!$D:$D,MATCH(67304,Camille!$A:$A,0)), 0), 0)</f>
        <v>0</v>
      </c>
      <c r="H1968" s="1">
        <f t="array" ref="H1968">IF(ISNUMBER(MATCH(67304,Telmo!$A:$A,0)), IF(OR(INDEX(Telmo!$D:$D,MATCH(67304,Telmo!$A:$A,0))=1, INDEX(Telmo!$D:$D,MATCH(67304,Telmo!$A:$A,0))=2), INDEX(Telmo!$D:$D,MATCH(67304,Telmo!$A:$A,0)), 0), 0)</f>
        <v>0</v>
      </c>
      <c r="I1968" s="1">
        <f t="array" ref="I1968">IF(ISNUMBER(MATCH(67304,Max!$A:$A,0)), IF(OR(INDEX(Max!$D:$D,MATCH(67304,Max!$A:$A,0))=1, INDEX(Max!$D:$D,MATCH(67304,Max!$A:$A,0))=2), INDEX(Max!$D:$D,MATCH(67304,Max!$A:$A,0)), 0), 0)</f>
        <v>1</v>
      </c>
    </row>
    <row r="1969" spans="1:9" ht="15.75" customHeight="1" x14ac:dyDescent="0.2">
      <c r="A1969" s="1">
        <v>18338</v>
      </c>
      <c r="B1969" s="1" t="s">
        <v>1463</v>
      </c>
      <c r="C1969" s="1" t="s">
        <v>4471</v>
      </c>
      <c r="D1969" s="1" t="str">
        <f t="shared" si="7"/>
        <v>2</v>
      </c>
      <c r="E1969" s="1" t="s">
        <v>4472</v>
      </c>
      <c r="G1969" s="1">
        <f t="array" ref="G1969">IF(ISNUMBER(MATCH(18338,Camille!$A:$A,0)), IF(OR(INDEX(Camille!$D:$D,MATCH(18338,Camille!$A:$A,0))=1, INDEX(Camille!$D:$D,MATCH(18338,Camille!$A:$A,0))=2), INDEX(Camille!$D:$D,MATCH(18338,Camille!$A:$A,0)), 0), 0)</f>
        <v>0</v>
      </c>
      <c r="H1969" s="1">
        <f t="array" ref="H1969">IF(ISNUMBER(MATCH(18338,Telmo!$A:$A,0)), IF(OR(INDEX(Telmo!$D:$D,MATCH(18338,Telmo!$A:$A,0))=1, INDEX(Telmo!$D:$D,MATCH(18338,Telmo!$A:$A,0))=2), INDEX(Telmo!$D:$D,MATCH(18338,Telmo!$A:$A,0)), 0), 0)</f>
        <v>0</v>
      </c>
      <c r="I1969" s="1">
        <f t="array" ref="I1969">IF(ISNUMBER(MATCH(18338,Max!$A:$A,0)), IF(OR(INDEX(Max!$D:$D,MATCH(18338,Max!$A:$A,0))=1, INDEX(Max!$D:$D,MATCH(18338,Max!$A:$A,0))=2), INDEX(Max!$D:$D,MATCH(18338,Max!$A:$A,0)), 0), 0)</f>
        <v>2</v>
      </c>
    </row>
    <row r="1970" spans="1:9" ht="15.75" customHeight="1" x14ac:dyDescent="0.2">
      <c r="A1970" s="1">
        <v>58294</v>
      </c>
      <c r="B1970" s="1" t="s">
        <v>1698</v>
      </c>
      <c r="C1970" s="1" t="s">
        <v>4473</v>
      </c>
      <c r="D1970" s="1" t="str">
        <f t="shared" si="7"/>
        <v>2</v>
      </c>
      <c r="E1970" s="1" t="s">
        <v>4474</v>
      </c>
      <c r="G1970" s="1">
        <f t="array" ref="G1970">IF(ISNUMBER(MATCH(58294,Camille!$A:$A,0)), IF(OR(INDEX(Camille!$D:$D,MATCH(58294,Camille!$A:$A,0))=1, INDEX(Camille!$D:$D,MATCH(58294,Camille!$A:$A,0))=2), INDEX(Camille!$D:$D,MATCH(58294,Camille!$A:$A,0)), 0), 0)</f>
        <v>0</v>
      </c>
      <c r="H1970" s="1">
        <f t="array" ref="H1970">IF(ISNUMBER(MATCH(58294,Telmo!$A:$A,0)), IF(OR(INDEX(Telmo!$D:$D,MATCH(58294,Telmo!$A:$A,0))=1, INDEX(Telmo!$D:$D,MATCH(58294,Telmo!$A:$A,0))=2), INDEX(Telmo!$D:$D,MATCH(58294,Telmo!$A:$A,0)), 0), 0)</f>
        <v>0</v>
      </c>
      <c r="I1970" s="1">
        <f t="array" ref="I1970">IF(ISNUMBER(MATCH(58294,Max!$A:$A,0)), IF(OR(INDEX(Max!$D:$D,MATCH(58294,Max!$A:$A,0))=1, INDEX(Max!$D:$D,MATCH(58294,Max!$A:$A,0))=2), INDEX(Max!$D:$D,MATCH(58294,Max!$A:$A,0)), 0), 0)</f>
        <v>2</v>
      </c>
    </row>
    <row r="1971" spans="1:9" ht="15.75" customHeight="1" x14ac:dyDescent="0.2">
      <c r="A1971" s="1">
        <v>1011</v>
      </c>
      <c r="B1971" s="1" t="s">
        <v>4475</v>
      </c>
      <c r="C1971" s="1" t="s">
        <v>4476</v>
      </c>
      <c r="D1971" s="1" t="str">
        <f t="shared" si="7"/>
        <v>2</v>
      </c>
      <c r="E1971" s="1" t="s">
        <v>4477</v>
      </c>
      <c r="G1971" s="1">
        <f t="array" ref="G1971">IF(ISNUMBER(MATCH(1011,Camille!$A:$A,0)), IF(OR(INDEX(Camille!$D:$D,MATCH(1011,Camille!$A:$A,0))=1, INDEX(Camille!$D:$D,MATCH(1011,Camille!$A:$A,0))=2), INDEX(Camille!$D:$D,MATCH(1011,Camille!$A:$A,0)), 0), 0)</f>
        <v>0</v>
      </c>
      <c r="H1971" s="1">
        <f t="array" ref="H1971">IF(ISNUMBER(MATCH(1011,Telmo!$A:$A,0)), IF(OR(INDEX(Telmo!$D:$D,MATCH(1011,Telmo!$A:$A,0))=1, INDEX(Telmo!$D:$D,MATCH(1011,Telmo!$A:$A,0))=2), INDEX(Telmo!$D:$D,MATCH(1011,Telmo!$A:$A,0)), 0), 0)</f>
        <v>0</v>
      </c>
      <c r="I1971" s="1">
        <f t="array" ref="I1971">IF(ISNUMBER(MATCH(1011,Max!$A:$A,0)), IF(OR(INDEX(Max!$D:$D,MATCH(1011,Max!$A:$A,0))=1, INDEX(Max!$D:$D,MATCH(1011,Max!$A:$A,0))=2), INDEX(Max!$D:$D,MATCH(1011,Max!$A:$A,0)), 0), 0)</f>
        <v>2</v>
      </c>
    </row>
    <row r="1972" spans="1:9" ht="15.75" customHeight="1" x14ac:dyDescent="0.2">
      <c r="A1972" s="1">
        <v>19234</v>
      </c>
      <c r="B1972" s="1" t="s">
        <v>333</v>
      </c>
      <c r="C1972" s="1" t="s">
        <v>4478</v>
      </c>
      <c r="D1972" s="1" t="str">
        <f t="shared" si="7"/>
        <v>2</v>
      </c>
      <c r="E1972" s="1" t="s">
        <v>4479</v>
      </c>
      <c r="G1972" s="1">
        <f t="array" ref="G1972">IF(ISNUMBER(MATCH(19234,Camille!$A:$A,0)), IF(OR(INDEX(Camille!$D:$D,MATCH(19234,Camille!$A:$A,0))=1, INDEX(Camille!$D:$D,MATCH(19234,Camille!$A:$A,0))=2), INDEX(Camille!$D:$D,MATCH(19234,Camille!$A:$A,0)), 0), 0)</f>
        <v>0</v>
      </c>
      <c r="H1972" s="1">
        <f t="array" ref="H1972">IF(ISNUMBER(MATCH(19234,Telmo!$A:$A,0)), IF(OR(INDEX(Telmo!$D:$D,MATCH(19234,Telmo!$A:$A,0))=1, INDEX(Telmo!$D:$D,MATCH(19234,Telmo!$A:$A,0))=2), INDEX(Telmo!$D:$D,MATCH(19234,Telmo!$A:$A,0)), 0), 0)</f>
        <v>0</v>
      </c>
      <c r="I1972" s="1">
        <f t="array" ref="I1972">IF(ISNUMBER(MATCH(19234,Max!$A:$A,0)), IF(OR(INDEX(Max!$D:$D,MATCH(19234,Max!$A:$A,0))=1, INDEX(Max!$D:$D,MATCH(19234,Max!$A:$A,0))=2), INDEX(Max!$D:$D,MATCH(19234,Max!$A:$A,0)), 0), 0)</f>
        <v>2</v>
      </c>
    </row>
    <row r="1973" spans="1:9" ht="15.75" customHeight="1" x14ac:dyDescent="0.2">
      <c r="A1973" s="1">
        <v>1069</v>
      </c>
      <c r="B1973" s="1" t="s">
        <v>430</v>
      </c>
      <c r="C1973" s="1" t="s">
        <v>4480</v>
      </c>
      <c r="D1973" s="1" t="str">
        <f t="shared" si="7"/>
        <v>2</v>
      </c>
      <c r="E1973" s="1" t="s">
        <v>4481</v>
      </c>
      <c r="G1973" s="1">
        <f t="array" ref="G1973">IF(ISNUMBER(MATCH(1069,Camille!$A:$A,0)), IF(OR(INDEX(Camille!$D:$D,MATCH(1069,Camille!$A:$A,0))=1, INDEX(Camille!$D:$D,MATCH(1069,Camille!$A:$A,0))=2), INDEX(Camille!$D:$D,MATCH(1069,Camille!$A:$A,0)), 0), 0)</f>
        <v>0</v>
      </c>
      <c r="H1973" s="1">
        <f t="array" ref="H1973">IF(ISNUMBER(MATCH(1069,Telmo!$A:$A,0)), IF(OR(INDEX(Telmo!$D:$D,MATCH(1069,Telmo!$A:$A,0))=1, INDEX(Telmo!$D:$D,MATCH(1069,Telmo!$A:$A,0))=2), INDEX(Telmo!$D:$D,MATCH(1069,Telmo!$A:$A,0)), 0), 0)</f>
        <v>0</v>
      </c>
      <c r="I1973" s="1">
        <f t="array" ref="I1973">IF(ISNUMBER(MATCH(1069,Max!$A:$A,0)), IF(OR(INDEX(Max!$D:$D,MATCH(1069,Max!$A:$A,0))=1, INDEX(Max!$D:$D,MATCH(1069,Max!$A:$A,0))=2), INDEX(Max!$D:$D,MATCH(1069,Max!$A:$A,0)), 0), 0)</f>
        <v>2</v>
      </c>
    </row>
    <row r="1974" spans="1:9" ht="15.75" customHeight="1" x14ac:dyDescent="0.2">
      <c r="A1974" s="1">
        <v>10391</v>
      </c>
      <c r="B1974" s="1" t="s">
        <v>153</v>
      </c>
      <c r="C1974" s="1" t="s">
        <v>4482</v>
      </c>
      <c r="D1974" s="1" t="str">
        <f t="shared" si="7"/>
        <v>2</v>
      </c>
      <c r="E1974" s="1" t="s">
        <v>4483</v>
      </c>
      <c r="G1974" s="1">
        <f t="array" ref="G1974">IF(ISNUMBER(MATCH(10391,Camille!$A:$A,0)), IF(OR(INDEX(Camille!$D:$D,MATCH(10391,Camille!$A:$A,0))=1, INDEX(Camille!$D:$D,MATCH(10391,Camille!$A:$A,0))=2), INDEX(Camille!$D:$D,MATCH(10391,Camille!$A:$A,0)), 0), 0)</f>
        <v>0</v>
      </c>
      <c r="H1974" s="1">
        <f t="array" ref="H1974">IF(ISNUMBER(MATCH(10391,Telmo!$A:$A,0)), IF(OR(INDEX(Telmo!$D:$D,MATCH(10391,Telmo!$A:$A,0))=1, INDEX(Telmo!$D:$D,MATCH(10391,Telmo!$A:$A,0))=2), INDEX(Telmo!$D:$D,MATCH(10391,Telmo!$A:$A,0)), 0), 0)</f>
        <v>0</v>
      </c>
      <c r="I1974" s="1">
        <f t="array" ref="I1974">IF(ISNUMBER(MATCH(10391,Max!$A:$A,0)), IF(OR(INDEX(Max!$D:$D,MATCH(10391,Max!$A:$A,0))=1, INDEX(Max!$D:$D,MATCH(10391,Max!$A:$A,0))=2), INDEX(Max!$D:$D,MATCH(10391,Max!$A:$A,0)), 0), 0)</f>
        <v>2</v>
      </c>
    </row>
    <row r="1975" spans="1:9" ht="15.75" customHeight="1" x14ac:dyDescent="0.2">
      <c r="A1975" s="1">
        <v>30225</v>
      </c>
      <c r="B1975" s="1" t="s">
        <v>3277</v>
      </c>
      <c r="C1975" s="1" t="s">
        <v>4484</v>
      </c>
      <c r="D1975" s="1" t="str">
        <f t="shared" si="7"/>
        <v>2</v>
      </c>
      <c r="E1975" s="1" t="s">
        <v>4485</v>
      </c>
      <c r="G1975" s="1">
        <f t="array" ref="G1975">IF(ISNUMBER(MATCH(30225,Camille!$A:$A,0)), IF(OR(INDEX(Camille!$D:$D,MATCH(30225,Camille!$A:$A,0))=1, INDEX(Camille!$D:$D,MATCH(30225,Camille!$A:$A,0))=2), INDEX(Camille!$D:$D,MATCH(30225,Camille!$A:$A,0)), 0), 0)</f>
        <v>0</v>
      </c>
      <c r="H1975" s="1">
        <f t="array" ref="H1975">IF(ISNUMBER(MATCH(30225,Telmo!$A:$A,0)), IF(OR(INDEX(Telmo!$D:$D,MATCH(30225,Telmo!$A:$A,0))=1, INDEX(Telmo!$D:$D,MATCH(30225,Telmo!$A:$A,0))=2), INDEX(Telmo!$D:$D,MATCH(30225,Telmo!$A:$A,0)), 0), 0)</f>
        <v>0</v>
      </c>
      <c r="I1975" s="1">
        <f t="array" ref="I1975">IF(ISNUMBER(MATCH(30225,Max!$A:$A,0)), IF(OR(INDEX(Max!$D:$D,MATCH(30225,Max!$A:$A,0))=1, INDEX(Max!$D:$D,MATCH(30225,Max!$A:$A,0))=2), INDEX(Max!$D:$D,MATCH(30225,Max!$A:$A,0)), 0), 0)</f>
        <v>2</v>
      </c>
    </row>
    <row r="1976" spans="1:9" ht="15.75" customHeight="1" x14ac:dyDescent="0.2">
      <c r="A1976" s="1">
        <v>25939</v>
      </c>
      <c r="B1976" s="1" t="s">
        <v>172</v>
      </c>
      <c r="C1976" s="1" t="s">
        <v>4486</v>
      </c>
      <c r="D1976" s="1" t="str">
        <f t="shared" si="7"/>
        <v>2</v>
      </c>
      <c r="E1976" s="1" t="s">
        <v>4487</v>
      </c>
      <c r="G1976" s="1">
        <f t="array" ref="G1976">IF(ISNUMBER(MATCH(25939,Camille!$A:$A,0)), IF(OR(INDEX(Camille!$D:$D,MATCH(25939,Camille!$A:$A,0))=1, INDEX(Camille!$D:$D,MATCH(25939,Camille!$A:$A,0))=2), INDEX(Camille!$D:$D,MATCH(25939,Camille!$A:$A,0)), 0), 0)</f>
        <v>0</v>
      </c>
      <c r="H1976" s="1">
        <f t="array" ref="H1976">IF(ISNUMBER(MATCH(25939,Telmo!$A:$A,0)), IF(OR(INDEX(Telmo!$D:$D,MATCH(25939,Telmo!$A:$A,0))=1, INDEX(Telmo!$D:$D,MATCH(25939,Telmo!$A:$A,0))=2), INDEX(Telmo!$D:$D,MATCH(25939,Telmo!$A:$A,0)), 0), 0)</f>
        <v>0</v>
      </c>
      <c r="I1976" s="1">
        <f t="array" ref="I1976">IF(ISNUMBER(MATCH(25939,Max!$A:$A,0)), IF(OR(INDEX(Max!$D:$D,MATCH(25939,Max!$A:$A,0))=1, INDEX(Max!$D:$D,MATCH(25939,Max!$A:$A,0))=2), INDEX(Max!$D:$D,MATCH(25939,Max!$A:$A,0)), 0), 0)</f>
        <v>2</v>
      </c>
    </row>
    <row r="1977" spans="1:9" ht="15.75" customHeight="1" x14ac:dyDescent="0.2">
      <c r="A1977" s="1">
        <v>823</v>
      </c>
      <c r="B1977" s="1" t="s">
        <v>4211</v>
      </c>
      <c r="C1977" s="1" t="s">
        <v>4488</v>
      </c>
      <c r="D1977" s="1" t="str">
        <f t="shared" si="7"/>
        <v>2</v>
      </c>
      <c r="E1977" s="1" t="s">
        <v>4489</v>
      </c>
      <c r="G1977" s="1">
        <f t="array" ref="G1977">IF(ISNUMBER(MATCH(823,Camille!$A:$A,0)), IF(OR(INDEX(Camille!$D:$D,MATCH(823,Camille!$A:$A,0))=1, INDEX(Camille!$D:$D,MATCH(823,Camille!$A:$A,0))=2), INDEX(Camille!$D:$D,MATCH(823,Camille!$A:$A,0)), 0), 0)</f>
        <v>0</v>
      </c>
      <c r="H1977" s="1">
        <f t="array" ref="H1977">IF(ISNUMBER(MATCH(823,Telmo!$A:$A,0)), IF(OR(INDEX(Telmo!$D:$D,MATCH(823,Telmo!$A:$A,0))=1, INDEX(Telmo!$D:$D,MATCH(823,Telmo!$A:$A,0))=2), INDEX(Telmo!$D:$D,MATCH(823,Telmo!$A:$A,0)), 0), 0)</f>
        <v>0</v>
      </c>
      <c r="I1977" s="1">
        <f t="array" ref="I1977">IF(ISNUMBER(MATCH(823,Max!$A:$A,0)), IF(OR(INDEX(Max!$D:$D,MATCH(823,Max!$A:$A,0))=1, INDEX(Max!$D:$D,MATCH(823,Max!$A:$A,0))=2), INDEX(Max!$D:$D,MATCH(823,Max!$A:$A,0)), 0), 0)</f>
        <v>2</v>
      </c>
    </row>
    <row r="1978" spans="1:9" ht="15.75" customHeight="1" x14ac:dyDescent="0.2">
      <c r="A1978" s="1">
        <v>47575</v>
      </c>
      <c r="B1978" s="1" t="s">
        <v>482</v>
      </c>
      <c r="C1978" s="1" t="s">
        <v>4490</v>
      </c>
      <c r="D1978" s="1" t="str">
        <f t="shared" si="7"/>
        <v>2</v>
      </c>
      <c r="E1978" s="1" t="s">
        <v>4491</v>
      </c>
      <c r="G1978" s="1">
        <f t="array" ref="G1978">IF(ISNUMBER(MATCH(47575,Camille!$A:$A,0)), IF(OR(INDEX(Camille!$D:$D,MATCH(47575,Camille!$A:$A,0))=1, INDEX(Camille!$D:$D,MATCH(47575,Camille!$A:$A,0))=2), INDEX(Camille!$D:$D,MATCH(47575,Camille!$A:$A,0)), 0), 0)</f>
        <v>0</v>
      </c>
      <c r="H1978" s="1">
        <f t="array" ref="H1978">IF(ISNUMBER(MATCH(47575,Telmo!$A:$A,0)), IF(OR(INDEX(Telmo!$D:$D,MATCH(47575,Telmo!$A:$A,0))=1, INDEX(Telmo!$D:$D,MATCH(47575,Telmo!$A:$A,0))=2), INDEX(Telmo!$D:$D,MATCH(47575,Telmo!$A:$A,0)), 0), 0)</f>
        <v>0</v>
      </c>
      <c r="I1978" s="1">
        <f t="array" ref="I1978">IF(ISNUMBER(MATCH(47575,Max!$A:$A,0)), IF(OR(INDEX(Max!$D:$D,MATCH(47575,Max!$A:$A,0))=1, INDEX(Max!$D:$D,MATCH(47575,Max!$A:$A,0))=2), INDEX(Max!$D:$D,MATCH(47575,Max!$A:$A,0)), 0), 0)</f>
        <v>2</v>
      </c>
    </row>
    <row r="1979" spans="1:9" ht="15.75" customHeight="1" x14ac:dyDescent="0.2">
      <c r="A1979" s="1">
        <v>63576</v>
      </c>
      <c r="B1979" s="1" t="s">
        <v>1347</v>
      </c>
      <c r="C1979" s="1" t="s">
        <v>4492</v>
      </c>
      <c r="D1979" s="1" t="str">
        <f t="shared" si="7"/>
        <v>1</v>
      </c>
      <c r="E1979" s="1" t="s">
        <v>4493</v>
      </c>
      <c r="G1979" s="1">
        <f t="array" ref="G1979">IF(ISNUMBER(MATCH(63576,Camille!$A:$A,0)), IF(OR(INDEX(Camille!$D:$D,MATCH(63576,Camille!$A:$A,0))=1, INDEX(Camille!$D:$D,MATCH(63576,Camille!$A:$A,0))=2), INDEX(Camille!$D:$D,MATCH(63576,Camille!$A:$A,0)), 0), 0)</f>
        <v>0</v>
      </c>
      <c r="H1979" s="1">
        <f t="array" ref="H1979">IF(ISNUMBER(MATCH(63576,Telmo!$A:$A,0)), IF(OR(INDEX(Telmo!$D:$D,MATCH(63576,Telmo!$A:$A,0))=1, INDEX(Telmo!$D:$D,MATCH(63576,Telmo!$A:$A,0))=2), INDEX(Telmo!$D:$D,MATCH(63576,Telmo!$A:$A,0)), 0), 0)</f>
        <v>0</v>
      </c>
      <c r="I1979" s="1">
        <f t="array" ref="I1979">IF(ISNUMBER(MATCH(63576,Max!$A:$A,0)), IF(OR(INDEX(Max!$D:$D,MATCH(63576,Max!$A:$A,0))=1, INDEX(Max!$D:$D,MATCH(63576,Max!$A:$A,0))=2), INDEX(Max!$D:$D,MATCH(63576,Max!$A:$A,0)), 0), 0)</f>
        <v>1</v>
      </c>
    </row>
    <row r="1980" spans="1:9" ht="15.75" customHeight="1" x14ac:dyDescent="0.2">
      <c r="A1980" s="1">
        <v>877</v>
      </c>
      <c r="B1980" s="1" t="s">
        <v>44</v>
      </c>
      <c r="C1980" s="1" t="s">
        <v>4494</v>
      </c>
      <c r="D1980" s="1" t="str">
        <f t="shared" si="7"/>
        <v>2</v>
      </c>
      <c r="E1980" s="1" t="s">
        <v>4495</v>
      </c>
      <c r="G1980" s="1">
        <f t="array" ref="G1980">IF(ISNUMBER(MATCH(877,Camille!$A:$A,0)), IF(OR(INDEX(Camille!$D:$D,MATCH(877,Camille!$A:$A,0))=1, INDEX(Camille!$D:$D,MATCH(877,Camille!$A:$A,0))=2), INDEX(Camille!$D:$D,MATCH(877,Camille!$A:$A,0)), 0), 0)</f>
        <v>0</v>
      </c>
      <c r="H1980" s="1">
        <f t="array" ref="H1980">IF(ISNUMBER(MATCH(877,Telmo!$A:$A,0)), IF(OR(INDEX(Telmo!$D:$D,MATCH(877,Telmo!$A:$A,0))=1, INDEX(Telmo!$D:$D,MATCH(877,Telmo!$A:$A,0))=2), INDEX(Telmo!$D:$D,MATCH(877,Telmo!$A:$A,0)), 0), 0)</f>
        <v>0</v>
      </c>
      <c r="I1980" s="1">
        <f t="array" ref="I1980">IF(ISNUMBER(MATCH(877,Max!$A:$A,0)), IF(OR(INDEX(Max!$D:$D,MATCH(877,Max!$A:$A,0))=1, INDEX(Max!$D:$D,MATCH(877,Max!$A:$A,0))=2), INDEX(Max!$D:$D,MATCH(877,Max!$A:$A,0)), 0), 0)</f>
        <v>2</v>
      </c>
    </row>
    <row r="1981" spans="1:9" ht="15.75" customHeight="1" x14ac:dyDescent="0.2">
      <c r="A1981" s="1">
        <v>31858</v>
      </c>
      <c r="B1981" s="1" t="s">
        <v>4496</v>
      </c>
      <c r="C1981" s="1" t="s">
        <v>4497</v>
      </c>
      <c r="D1981" s="1" t="str">
        <f t="shared" si="7"/>
        <v>2</v>
      </c>
      <c r="E1981" s="1" t="s">
        <v>4498</v>
      </c>
      <c r="G1981" s="1">
        <f t="array" ref="G1981">IF(ISNUMBER(MATCH(31858,Camille!$A:$A,0)), IF(OR(INDEX(Camille!$D:$D,MATCH(31858,Camille!$A:$A,0))=1, INDEX(Camille!$D:$D,MATCH(31858,Camille!$A:$A,0))=2), INDEX(Camille!$D:$D,MATCH(31858,Camille!$A:$A,0)), 0), 0)</f>
        <v>0</v>
      </c>
      <c r="H1981" s="1">
        <f t="array" ref="H1981">IF(ISNUMBER(MATCH(31858,Telmo!$A:$A,0)), IF(OR(INDEX(Telmo!$D:$D,MATCH(31858,Telmo!$A:$A,0))=1, INDEX(Telmo!$D:$D,MATCH(31858,Telmo!$A:$A,0))=2), INDEX(Telmo!$D:$D,MATCH(31858,Telmo!$A:$A,0)), 0), 0)</f>
        <v>0</v>
      </c>
      <c r="I1981" s="1">
        <f t="array" ref="I1981">IF(ISNUMBER(MATCH(31858,Max!$A:$A,0)), IF(OR(INDEX(Max!$D:$D,MATCH(31858,Max!$A:$A,0))=1, INDEX(Max!$D:$D,MATCH(31858,Max!$A:$A,0))=2), INDEX(Max!$D:$D,MATCH(31858,Max!$A:$A,0)), 0), 0)</f>
        <v>2</v>
      </c>
    </row>
    <row r="1982" spans="1:9" ht="15.75" customHeight="1" x14ac:dyDescent="0.2">
      <c r="A1982" s="1">
        <v>30088</v>
      </c>
      <c r="B1982" s="1" t="s">
        <v>336</v>
      </c>
      <c r="C1982" s="1" t="s">
        <v>4499</v>
      </c>
      <c r="D1982" s="1" t="str">
        <f t="shared" si="7"/>
        <v>2</v>
      </c>
      <c r="E1982" s="1" t="s">
        <v>4500</v>
      </c>
      <c r="G1982" s="1">
        <f t="array" ref="G1982">IF(ISNUMBER(MATCH(30088,Camille!$A:$A,0)), IF(OR(INDEX(Camille!$D:$D,MATCH(30088,Camille!$A:$A,0))=1, INDEX(Camille!$D:$D,MATCH(30088,Camille!$A:$A,0))=2), INDEX(Camille!$D:$D,MATCH(30088,Camille!$A:$A,0)), 0), 0)</f>
        <v>0</v>
      </c>
      <c r="H1982" s="1">
        <f t="array" ref="H1982">IF(ISNUMBER(MATCH(30088,Telmo!$A:$A,0)), IF(OR(INDEX(Telmo!$D:$D,MATCH(30088,Telmo!$A:$A,0))=1, INDEX(Telmo!$D:$D,MATCH(30088,Telmo!$A:$A,0))=2), INDEX(Telmo!$D:$D,MATCH(30088,Telmo!$A:$A,0)), 0), 0)</f>
        <v>0</v>
      </c>
      <c r="I1982" s="1">
        <f t="array" ref="I1982">IF(ISNUMBER(MATCH(30088,Max!$A:$A,0)), IF(OR(INDEX(Max!$D:$D,MATCH(30088,Max!$A:$A,0))=1, INDEX(Max!$D:$D,MATCH(30088,Max!$A:$A,0))=2), INDEX(Max!$D:$D,MATCH(30088,Max!$A:$A,0)), 0), 0)</f>
        <v>2</v>
      </c>
    </row>
    <row r="1983" spans="1:9" ht="15.75" customHeight="1" x14ac:dyDescent="0.2">
      <c r="A1983" s="1">
        <v>39564</v>
      </c>
      <c r="B1983" s="1" t="s">
        <v>385</v>
      </c>
      <c r="C1983" s="1" t="s">
        <v>4501</v>
      </c>
      <c r="D1983" s="1" t="str">
        <f t="shared" si="7"/>
        <v>2</v>
      </c>
      <c r="E1983" s="1" t="s">
        <v>4502</v>
      </c>
      <c r="G1983" s="1">
        <f t="array" ref="G1983">IF(ISNUMBER(MATCH(39564,Camille!$A:$A,0)), IF(OR(INDEX(Camille!$D:$D,MATCH(39564,Camille!$A:$A,0))=1, INDEX(Camille!$D:$D,MATCH(39564,Camille!$A:$A,0))=2), INDEX(Camille!$D:$D,MATCH(39564,Camille!$A:$A,0)), 0), 0)</f>
        <v>0</v>
      </c>
      <c r="H1983" s="1">
        <f t="array" ref="H1983">IF(ISNUMBER(MATCH(39564,Telmo!$A:$A,0)), IF(OR(INDEX(Telmo!$D:$D,MATCH(39564,Telmo!$A:$A,0))=1, INDEX(Telmo!$D:$D,MATCH(39564,Telmo!$A:$A,0))=2), INDEX(Telmo!$D:$D,MATCH(39564,Telmo!$A:$A,0)), 0), 0)</f>
        <v>0</v>
      </c>
      <c r="I1983" s="1">
        <f t="array" ref="I1983">IF(ISNUMBER(MATCH(39564,Max!$A:$A,0)), IF(OR(INDEX(Max!$D:$D,MATCH(39564,Max!$A:$A,0))=1, INDEX(Max!$D:$D,MATCH(39564,Max!$A:$A,0))=2), INDEX(Max!$D:$D,MATCH(39564,Max!$A:$A,0)), 0), 0)</f>
        <v>2</v>
      </c>
    </row>
    <row r="1984" spans="1:9" ht="15.75" customHeight="1" x14ac:dyDescent="0.2">
      <c r="A1984" s="1">
        <v>13694</v>
      </c>
      <c r="B1984" s="1" t="s">
        <v>23</v>
      </c>
      <c r="C1984" s="1" t="s">
        <v>4503</v>
      </c>
      <c r="D1984" s="1" t="str">
        <f t="shared" si="7"/>
        <v>2</v>
      </c>
      <c r="E1984" s="1" t="s">
        <v>4504</v>
      </c>
      <c r="G1984" s="1">
        <f t="array" ref="G1984">IF(ISNUMBER(MATCH(13694,Camille!$A:$A,0)), IF(OR(INDEX(Camille!$D:$D,MATCH(13694,Camille!$A:$A,0))=1, INDEX(Camille!$D:$D,MATCH(13694,Camille!$A:$A,0))=2), INDEX(Camille!$D:$D,MATCH(13694,Camille!$A:$A,0)), 0), 0)</f>
        <v>0</v>
      </c>
      <c r="H1984" s="1">
        <f t="array" ref="H1984">IF(ISNUMBER(MATCH(13694,Telmo!$A:$A,0)), IF(OR(INDEX(Telmo!$D:$D,MATCH(13694,Telmo!$A:$A,0))=1, INDEX(Telmo!$D:$D,MATCH(13694,Telmo!$A:$A,0))=2), INDEX(Telmo!$D:$D,MATCH(13694,Telmo!$A:$A,0)), 0), 0)</f>
        <v>0</v>
      </c>
      <c r="I1984" s="1">
        <f t="array" ref="I1984">IF(ISNUMBER(MATCH(13694,Max!$A:$A,0)), IF(OR(INDEX(Max!$D:$D,MATCH(13694,Max!$A:$A,0))=1, INDEX(Max!$D:$D,MATCH(13694,Max!$A:$A,0))=2), INDEX(Max!$D:$D,MATCH(13694,Max!$A:$A,0)), 0), 0)</f>
        <v>2</v>
      </c>
    </row>
    <row r="1985" spans="1:9" ht="15.75" customHeight="1" x14ac:dyDescent="0.2">
      <c r="A1985" s="1">
        <v>38258</v>
      </c>
      <c r="B1985" s="1" t="s">
        <v>969</v>
      </c>
      <c r="C1985" s="1" t="s">
        <v>4505</v>
      </c>
      <c r="D1985" s="1" t="str">
        <f t="shared" si="7"/>
        <v>2</v>
      </c>
      <c r="E1985" s="1" t="s">
        <v>4506</v>
      </c>
      <c r="G1985" s="1">
        <f t="array" ref="G1985">IF(ISNUMBER(MATCH(38258,Camille!$A:$A,0)), IF(OR(INDEX(Camille!$D:$D,MATCH(38258,Camille!$A:$A,0))=1, INDEX(Camille!$D:$D,MATCH(38258,Camille!$A:$A,0))=2), INDEX(Camille!$D:$D,MATCH(38258,Camille!$A:$A,0)), 0), 0)</f>
        <v>0</v>
      </c>
      <c r="H1985" s="1">
        <f t="array" ref="H1985">IF(ISNUMBER(MATCH(38258,Telmo!$A:$A,0)), IF(OR(INDEX(Telmo!$D:$D,MATCH(38258,Telmo!$A:$A,0))=1, INDEX(Telmo!$D:$D,MATCH(38258,Telmo!$A:$A,0))=2), INDEX(Telmo!$D:$D,MATCH(38258,Telmo!$A:$A,0)), 0), 0)</f>
        <v>0</v>
      </c>
      <c r="I1985" s="1">
        <f t="array" ref="I1985">IF(ISNUMBER(MATCH(38258,Max!$A:$A,0)), IF(OR(INDEX(Max!$D:$D,MATCH(38258,Max!$A:$A,0))=1, INDEX(Max!$D:$D,MATCH(38258,Max!$A:$A,0))=2), INDEX(Max!$D:$D,MATCH(38258,Max!$A:$A,0)), 0), 0)</f>
        <v>2</v>
      </c>
    </row>
    <row r="1986" spans="1:9" ht="15.75" customHeight="1" x14ac:dyDescent="0.2">
      <c r="A1986" s="1">
        <v>9851</v>
      </c>
      <c r="B1986" s="1" t="s">
        <v>172</v>
      </c>
      <c r="C1986" s="1" t="s">
        <v>4507</v>
      </c>
      <c r="D1986" s="1" t="str">
        <f t="shared" si="7"/>
        <v>2</v>
      </c>
      <c r="E1986" s="1" t="s">
        <v>4508</v>
      </c>
      <c r="G1986" s="1">
        <f t="array" ref="G1986">IF(ISNUMBER(MATCH(9851,Camille!$A:$A,0)), IF(OR(INDEX(Camille!$D:$D,MATCH(9851,Camille!$A:$A,0))=1, INDEX(Camille!$D:$D,MATCH(9851,Camille!$A:$A,0))=2), INDEX(Camille!$D:$D,MATCH(9851,Camille!$A:$A,0)), 0), 0)</f>
        <v>0</v>
      </c>
      <c r="H1986" s="1">
        <f t="array" ref="H1986">IF(ISNUMBER(MATCH(9851,Telmo!$A:$A,0)), IF(OR(INDEX(Telmo!$D:$D,MATCH(9851,Telmo!$A:$A,0))=1, INDEX(Telmo!$D:$D,MATCH(9851,Telmo!$A:$A,0))=2), INDEX(Telmo!$D:$D,MATCH(9851,Telmo!$A:$A,0)), 0), 0)</f>
        <v>0</v>
      </c>
      <c r="I1986" s="1">
        <f t="array" ref="I1986">IF(ISNUMBER(MATCH(9851,Max!$A:$A,0)), IF(OR(INDEX(Max!$D:$D,MATCH(9851,Max!$A:$A,0))=1, INDEX(Max!$D:$D,MATCH(9851,Max!$A:$A,0))=2), INDEX(Max!$D:$D,MATCH(9851,Max!$A:$A,0)), 0), 0)</f>
        <v>2</v>
      </c>
    </row>
    <row r="1987" spans="1:9" ht="15.75" customHeight="1" x14ac:dyDescent="0.2">
      <c r="A1987" s="1">
        <v>52082</v>
      </c>
      <c r="B1987" s="1" t="s">
        <v>4027</v>
      </c>
      <c r="C1987" s="1" t="s">
        <v>4509</v>
      </c>
      <c r="D1987" s="1" t="str">
        <f t="shared" si="7"/>
        <v>2</v>
      </c>
      <c r="E1987" s="1" t="s">
        <v>4510</v>
      </c>
      <c r="G1987" s="1">
        <f t="array" ref="G1987">IF(ISNUMBER(MATCH(52082,Camille!$A:$A,0)), IF(OR(INDEX(Camille!$D:$D,MATCH(52082,Camille!$A:$A,0))=1, INDEX(Camille!$D:$D,MATCH(52082,Camille!$A:$A,0))=2), INDEX(Camille!$D:$D,MATCH(52082,Camille!$A:$A,0)), 0), 0)</f>
        <v>0</v>
      </c>
      <c r="H1987" s="1">
        <f t="array" ref="H1987">IF(ISNUMBER(MATCH(52082,Telmo!$A:$A,0)), IF(OR(INDEX(Telmo!$D:$D,MATCH(52082,Telmo!$A:$A,0))=1, INDEX(Telmo!$D:$D,MATCH(52082,Telmo!$A:$A,0))=2), INDEX(Telmo!$D:$D,MATCH(52082,Telmo!$A:$A,0)), 0), 0)</f>
        <v>0</v>
      </c>
      <c r="I1987" s="1">
        <f t="array" ref="I1987">IF(ISNUMBER(MATCH(52082,Max!$A:$A,0)), IF(OR(INDEX(Max!$D:$D,MATCH(52082,Max!$A:$A,0))=1, INDEX(Max!$D:$D,MATCH(52082,Max!$A:$A,0))=2), INDEX(Max!$D:$D,MATCH(52082,Max!$A:$A,0)), 0), 0)</f>
        <v>2</v>
      </c>
    </row>
    <row r="1988" spans="1:9" ht="15.75" customHeight="1" x14ac:dyDescent="0.2">
      <c r="A1988" s="1">
        <v>69685</v>
      </c>
      <c r="B1988" s="1" t="s">
        <v>172</v>
      </c>
      <c r="C1988" s="1" t="s">
        <v>4511</v>
      </c>
      <c r="D1988" s="1" t="str">
        <f t="shared" si="7"/>
        <v>2</v>
      </c>
      <c r="E1988" s="1" t="s">
        <v>4512</v>
      </c>
      <c r="G1988" s="1">
        <f t="array" ref="G1988">IF(ISNUMBER(MATCH(69685,Camille!$A:$A,0)), IF(OR(INDEX(Camille!$D:$D,MATCH(69685,Camille!$A:$A,0))=1, INDEX(Camille!$D:$D,MATCH(69685,Camille!$A:$A,0))=2), INDEX(Camille!$D:$D,MATCH(69685,Camille!$A:$A,0)), 0), 0)</f>
        <v>0</v>
      </c>
      <c r="H1988" s="1">
        <f t="array" ref="H1988">IF(ISNUMBER(MATCH(69685,Telmo!$A:$A,0)), IF(OR(INDEX(Telmo!$D:$D,MATCH(69685,Telmo!$A:$A,0))=1, INDEX(Telmo!$D:$D,MATCH(69685,Telmo!$A:$A,0))=2), INDEX(Telmo!$D:$D,MATCH(69685,Telmo!$A:$A,0)), 0), 0)</f>
        <v>0</v>
      </c>
      <c r="I1988" s="1">
        <f t="array" ref="I1988">IF(ISNUMBER(MATCH(69685,Max!$A:$A,0)), IF(OR(INDEX(Max!$D:$D,MATCH(69685,Max!$A:$A,0))=1, INDEX(Max!$D:$D,MATCH(69685,Max!$A:$A,0))=2), INDEX(Max!$D:$D,MATCH(69685,Max!$A:$A,0)), 0), 0)</f>
        <v>2</v>
      </c>
    </row>
    <row r="1989" spans="1:9" ht="15.75" customHeight="1" x14ac:dyDescent="0.2">
      <c r="A1989" s="1">
        <v>55772</v>
      </c>
      <c r="B1989" s="1" t="s">
        <v>4513</v>
      </c>
      <c r="C1989" s="1" t="s">
        <v>4514</v>
      </c>
      <c r="D1989" s="1" t="str">
        <f t="shared" si="7"/>
        <v>2</v>
      </c>
      <c r="E1989" s="1" t="s">
        <v>4515</v>
      </c>
      <c r="G1989" s="1">
        <f t="array" ref="G1989">IF(ISNUMBER(MATCH(55772,Camille!$A:$A,0)), IF(OR(INDEX(Camille!$D:$D,MATCH(55772,Camille!$A:$A,0))=1, INDEX(Camille!$D:$D,MATCH(55772,Camille!$A:$A,0))=2), INDEX(Camille!$D:$D,MATCH(55772,Camille!$A:$A,0)), 0), 0)</f>
        <v>0</v>
      </c>
      <c r="H1989" s="1">
        <f t="array" ref="H1989">IF(ISNUMBER(MATCH(55772,Telmo!$A:$A,0)), IF(OR(INDEX(Telmo!$D:$D,MATCH(55772,Telmo!$A:$A,0))=1, INDEX(Telmo!$D:$D,MATCH(55772,Telmo!$A:$A,0))=2), INDEX(Telmo!$D:$D,MATCH(55772,Telmo!$A:$A,0)), 0), 0)</f>
        <v>0</v>
      </c>
      <c r="I1989" s="1">
        <f t="array" ref="I1989">IF(ISNUMBER(MATCH(55772,Max!$A:$A,0)), IF(OR(INDEX(Max!$D:$D,MATCH(55772,Max!$A:$A,0))=1, INDEX(Max!$D:$D,MATCH(55772,Max!$A:$A,0))=2), INDEX(Max!$D:$D,MATCH(55772,Max!$A:$A,0)), 0), 0)</f>
        <v>2</v>
      </c>
    </row>
    <row r="1990" spans="1:9" ht="15.75" customHeight="1" x14ac:dyDescent="0.2">
      <c r="A1990" s="1">
        <v>69978</v>
      </c>
      <c r="B1990" s="1" t="s">
        <v>939</v>
      </c>
      <c r="C1990" s="1" t="s">
        <v>4516</v>
      </c>
      <c r="D1990" s="1" t="str">
        <f t="shared" si="7"/>
        <v>2</v>
      </c>
      <c r="E1990" s="1" t="s">
        <v>4517</v>
      </c>
      <c r="G1990" s="1">
        <f t="array" ref="G1990">IF(ISNUMBER(MATCH(69978,Camille!$A:$A,0)), IF(OR(INDEX(Camille!$D:$D,MATCH(69978,Camille!$A:$A,0))=1, INDEX(Camille!$D:$D,MATCH(69978,Camille!$A:$A,0))=2), INDEX(Camille!$D:$D,MATCH(69978,Camille!$A:$A,0)), 0), 0)</f>
        <v>0</v>
      </c>
      <c r="H1990" s="1">
        <f t="array" ref="H1990">IF(ISNUMBER(MATCH(69978,Telmo!$A:$A,0)), IF(OR(INDEX(Telmo!$D:$D,MATCH(69978,Telmo!$A:$A,0))=1, INDEX(Telmo!$D:$D,MATCH(69978,Telmo!$A:$A,0))=2), INDEX(Telmo!$D:$D,MATCH(69978,Telmo!$A:$A,0)), 0), 0)</f>
        <v>0</v>
      </c>
      <c r="I1990" s="1">
        <f t="array" ref="I1990">IF(ISNUMBER(MATCH(69978,Max!$A:$A,0)), IF(OR(INDEX(Max!$D:$D,MATCH(69978,Max!$A:$A,0))=1, INDEX(Max!$D:$D,MATCH(69978,Max!$A:$A,0))=2), INDEX(Max!$D:$D,MATCH(69978,Max!$A:$A,0)), 0), 0)</f>
        <v>2</v>
      </c>
    </row>
    <row r="1991" spans="1:9" ht="15.75" customHeight="1" x14ac:dyDescent="0.2">
      <c r="A1991" s="1">
        <v>26038</v>
      </c>
      <c r="B1991" s="1" t="s">
        <v>244</v>
      </c>
      <c r="C1991" s="1" t="s">
        <v>4518</v>
      </c>
      <c r="D1991" s="1" t="str">
        <f t="shared" si="7"/>
        <v>2</v>
      </c>
      <c r="E1991" s="1" t="s">
        <v>4519</v>
      </c>
      <c r="G1991" s="1">
        <f t="array" ref="G1991">IF(ISNUMBER(MATCH(26038,Camille!$A:$A,0)), IF(OR(INDEX(Camille!$D:$D,MATCH(26038,Camille!$A:$A,0))=1, INDEX(Camille!$D:$D,MATCH(26038,Camille!$A:$A,0))=2), INDEX(Camille!$D:$D,MATCH(26038,Camille!$A:$A,0)), 0), 0)</f>
        <v>0</v>
      </c>
      <c r="H1991" s="1">
        <f t="array" ref="H1991">IF(ISNUMBER(MATCH(26038,Telmo!$A:$A,0)), IF(OR(INDEX(Telmo!$D:$D,MATCH(26038,Telmo!$A:$A,0))=1, INDEX(Telmo!$D:$D,MATCH(26038,Telmo!$A:$A,0))=2), INDEX(Telmo!$D:$D,MATCH(26038,Telmo!$A:$A,0)), 0), 0)</f>
        <v>0</v>
      </c>
      <c r="I1991" s="1">
        <f t="array" ref="I1991">IF(ISNUMBER(MATCH(26038,Max!$A:$A,0)), IF(OR(INDEX(Max!$D:$D,MATCH(26038,Max!$A:$A,0))=1, INDEX(Max!$D:$D,MATCH(26038,Max!$A:$A,0))=2), INDEX(Max!$D:$D,MATCH(26038,Max!$A:$A,0)), 0), 0)</f>
        <v>2</v>
      </c>
    </row>
    <row r="1992" spans="1:9" ht="15.75" customHeight="1" x14ac:dyDescent="0.2">
      <c r="A1992" s="1">
        <v>33543</v>
      </c>
      <c r="B1992" s="1" t="s">
        <v>485</v>
      </c>
      <c r="C1992" s="1" t="s">
        <v>4520</v>
      </c>
      <c r="D1992" s="1" t="str">
        <f t="shared" si="7"/>
        <v>1</v>
      </c>
      <c r="E1992" s="1" t="s">
        <v>4521</v>
      </c>
      <c r="G1992" s="1">
        <f t="array" ref="G1992">IF(ISNUMBER(MATCH(33543,Camille!$A:$A,0)), IF(OR(INDEX(Camille!$D:$D,MATCH(33543,Camille!$A:$A,0))=1, INDEX(Camille!$D:$D,MATCH(33543,Camille!$A:$A,0))=2), INDEX(Camille!$D:$D,MATCH(33543,Camille!$A:$A,0)), 0), 0)</f>
        <v>0</v>
      </c>
      <c r="H1992" s="1">
        <f t="array" ref="H1992">IF(ISNUMBER(MATCH(33543,Telmo!$A:$A,0)), IF(OR(INDEX(Telmo!$D:$D,MATCH(33543,Telmo!$A:$A,0))=1, INDEX(Telmo!$D:$D,MATCH(33543,Telmo!$A:$A,0))=2), INDEX(Telmo!$D:$D,MATCH(33543,Telmo!$A:$A,0)), 0), 0)</f>
        <v>0</v>
      </c>
      <c r="I1992" s="1">
        <f t="array" ref="I1992">IF(ISNUMBER(MATCH(33543,Max!$A:$A,0)), IF(OR(INDEX(Max!$D:$D,MATCH(33543,Max!$A:$A,0))=1, INDEX(Max!$D:$D,MATCH(33543,Max!$A:$A,0))=2), INDEX(Max!$D:$D,MATCH(33543,Max!$A:$A,0)), 0), 0)</f>
        <v>1</v>
      </c>
    </row>
    <row r="1993" spans="1:9" ht="15.75" customHeight="1" x14ac:dyDescent="0.2">
      <c r="A1993" s="1">
        <v>71276</v>
      </c>
      <c r="B1993" s="1" t="s">
        <v>3159</v>
      </c>
      <c r="C1993" s="1" t="s">
        <v>4522</v>
      </c>
      <c r="D1993" s="1" t="str">
        <f t="shared" si="7"/>
        <v>2</v>
      </c>
      <c r="E1993" s="1" t="s">
        <v>4523</v>
      </c>
      <c r="G1993" s="1">
        <f t="array" ref="G1993">IF(ISNUMBER(MATCH(71276,Camille!$A:$A,0)), IF(OR(INDEX(Camille!$D:$D,MATCH(71276,Camille!$A:$A,0))=1, INDEX(Camille!$D:$D,MATCH(71276,Camille!$A:$A,0))=2), INDEX(Camille!$D:$D,MATCH(71276,Camille!$A:$A,0)), 0), 0)</f>
        <v>0</v>
      </c>
      <c r="H1993" s="1">
        <f t="array" ref="H1993">IF(ISNUMBER(MATCH(71276,Telmo!$A:$A,0)), IF(OR(INDEX(Telmo!$D:$D,MATCH(71276,Telmo!$A:$A,0))=1, INDEX(Telmo!$D:$D,MATCH(71276,Telmo!$A:$A,0))=2), INDEX(Telmo!$D:$D,MATCH(71276,Telmo!$A:$A,0)), 0), 0)</f>
        <v>0</v>
      </c>
      <c r="I1993" s="1">
        <f t="array" ref="I1993">IF(ISNUMBER(MATCH(71276,Max!$A:$A,0)), IF(OR(INDEX(Max!$D:$D,MATCH(71276,Max!$A:$A,0))=1, INDEX(Max!$D:$D,MATCH(71276,Max!$A:$A,0))=2), INDEX(Max!$D:$D,MATCH(71276,Max!$A:$A,0)), 0), 0)</f>
        <v>2</v>
      </c>
    </row>
    <row r="1994" spans="1:9" ht="15.75" customHeight="1" x14ac:dyDescent="0.2">
      <c r="A1994" s="1">
        <v>20481</v>
      </c>
      <c r="B1994" s="1" t="s">
        <v>1965</v>
      </c>
      <c r="C1994" s="1" t="s">
        <v>4524</v>
      </c>
      <c r="D1994" s="1" t="str">
        <f t="shared" si="7"/>
        <v>2</v>
      </c>
      <c r="E1994" s="1" t="s">
        <v>4525</v>
      </c>
      <c r="G1994" s="1">
        <f t="array" ref="G1994">IF(ISNUMBER(MATCH(20481,Camille!$A:$A,0)), IF(OR(INDEX(Camille!$D:$D,MATCH(20481,Camille!$A:$A,0))=1, INDEX(Camille!$D:$D,MATCH(20481,Camille!$A:$A,0))=2), INDEX(Camille!$D:$D,MATCH(20481,Camille!$A:$A,0)), 0), 0)</f>
        <v>0</v>
      </c>
      <c r="H1994" s="1">
        <f t="array" ref="H1994">IF(ISNUMBER(MATCH(20481,Telmo!$A:$A,0)), IF(OR(INDEX(Telmo!$D:$D,MATCH(20481,Telmo!$A:$A,0))=1, INDEX(Telmo!$D:$D,MATCH(20481,Telmo!$A:$A,0))=2), INDEX(Telmo!$D:$D,MATCH(20481,Telmo!$A:$A,0)), 0), 0)</f>
        <v>0</v>
      </c>
      <c r="I1994" s="1">
        <f t="array" ref="I1994">IF(ISNUMBER(MATCH(20481,Max!$A:$A,0)), IF(OR(INDEX(Max!$D:$D,MATCH(20481,Max!$A:$A,0))=1, INDEX(Max!$D:$D,MATCH(20481,Max!$A:$A,0))=2), INDEX(Max!$D:$D,MATCH(20481,Max!$A:$A,0)), 0), 0)</f>
        <v>2</v>
      </c>
    </row>
    <row r="1995" spans="1:9" ht="15.75" customHeight="1" x14ac:dyDescent="0.2">
      <c r="A1995" s="1">
        <v>13955</v>
      </c>
      <c r="B1995" s="1" t="s">
        <v>4526</v>
      </c>
      <c r="C1995" s="1" t="s">
        <v>4527</v>
      </c>
      <c r="D1995" s="1" t="str">
        <f t="shared" si="7"/>
        <v>2</v>
      </c>
      <c r="E1995" s="1" t="s">
        <v>4528</v>
      </c>
      <c r="G1995" s="1">
        <f t="array" ref="G1995">IF(ISNUMBER(MATCH(13955,Camille!$A:$A,0)), IF(OR(INDEX(Camille!$D:$D,MATCH(13955,Camille!$A:$A,0))=1, INDEX(Camille!$D:$D,MATCH(13955,Camille!$A:$A,0))=2), INDEX(Camille!$D:$D,MATCH(13955,Camille!$A:$A,0)), 0), 0)</f>
        <v>0</v>
      </c>
      <c r="H1995" s="1">
        <f t="array" ref="H1995">IF(ISNUMBER(MATCH(13955,Telmo!$A:$A,0)), IF(OR(INDEX(Telmo!$D:$D,MATCH(13955,Telmo!$A:$A,0))=1, INDEX(Telmo!$D:$D,MATCH(13955,Telmo!$A:$A,0))=2), INDEX(Telmo!$D:$D,MATCH(13955,Telmo!$A:$A,0)), 0), 0)</f>
        <v>0</v>
      </c>
      <c r="I1995" s="1">
        <f t="array" ref="I1995">IF(ISNUMBER(MATCH(13955,Max!$A:$A,0)), IF(OR(INDEX(Max!$D:$D,MATCH(13955,Max!$A:$A,0))=1, INDEX(Max!$D:$D,MATCH(13955,Max!$A:$A,0))=2), INDEX(Max!$D:$D,MATCH(13955,Max!$A:$A,0)), 0), 0)</f>
        <v>2</v>
      </c>
    </row>
    <row r="1996" spans="1:9" ht="15.75" customHeight="1" x14ac:dyDescent="0.2">
      <c r="A1996" s="1">
        <v>40656</v>
      </c>
      <c r="B1996" s="1" t="s">
        <v>14</v>
      </c>
      <c r="C1996" s="1" t="s">
        <v>4529</v>
      </c>
      <c r="D1996" s="1" t="str">
        <f t="shared" si="7"/>
        <v>2</v>
      </c>
      <c r="E1996" s="1" t="s">
        <v>4530</v>
      </c>
      <c r="G1996" s="1">
        <f t="array" ref="G1996">IF(ISNUMBER(MATCH(40656,Camille!$A:$A,0)), IF(OR(INDEX(Camille!$D:$D,MATCH(40656,Camille!$A:$A,0))=1, INDEX(Camille!$D:$D,MATCH(40656,Camille!$A:$A,0))=2), INDEX(Camille!$D:$D,MATCH(40656,Camille!$A:$A,0)), 0), 0)</f>
        <v>0</v>
      </c>
      <c r="H1996" s="1">
        <f t="array" ref="H1996">IF(ISNUMBER(MATCH(40656,Telmo!$A:$A,0)), IF(OR(INDEX(Telmo!$D:$D,MATCH(40656,Telmo!$A:$A,0))=1, INDEX(Telmo!$D:$D,MATCH(40656,Telmo!$A:$A,0))=2), INDEX(Telmo!$D:$D,MATCH(40656,Telmo!$A:$A,0)), 0), 0)</f>
        <v>0</v>
      </c>
      <c r="I1996" s="1">
        <f t="array" ref="I1996">IF(ISNUMBER(MATCH(40656,Max!$A:$A,0)), IF(OR(INDEX(Max!$D:$D,MATCH(40656,Max!$A:$A,0))=1, INDEX(Max!$D:$D,MATCH(40656,Max!$A:$A,0))=2), INDEX(Max!$D:$D,MATCH(40656,Max!$A:$A,0)), 0), 0)</f>
        <v>2</v>
      </c>
    </row>
    <row r="1997" spans="1:9" ht="15.75" customHeight="1" x14ac:dyDescent="0.2">
      <c r="A1997" s="1">
        <v>23467</v>
      </c>
      <c r="B1997" s="1" t="s">
        <v>144</v>
      </c>
      <c r="C1997" s="1" t="s">
        <v>4531</v>
      </c>
      <c r="D1997" s="1" t="str">
        <f t="shared" si="7"/>
        <v>2</v>
      </c>
      <c r="E1997" s="1" t="s">
        <v>4532</v>
      </c>
      <c r="G1997" s="1">
        <f t="array" ref="G1997">IF(ISNUMBER(MATCH(23467,Camille!$A:$A,0)), IF(OR(INDEX(Camille!$D:$D,MATCH(23467,Camille!$A:$A,0))=1, INDEX(Camille!$D:$D,MATCH(23467,Camille!$A:$A,0))=2), INDEX(Camille!$D:$D,MATCH(23467,Camille!$A:$A,0)), 0), 0)</f>
        <v>0</v>
      </c>
      <c r="H1997" s="1">
        <f t="array" ref="H1997">IF(ISNUMBER(MATCH(23467,Telmo!$A:$A,0)), IF(OR(INDEX(Telmo!$D:$D,MATCH(23467,Telmo!$A:$A,0))=1, INDEX(Telmo!$D:$D,MATCH(23467,Telmo!$A:$A,0))=2), INDEX(Telmo!$D:$D,MATCH(23467,Telmo!$A:$A,0)), 0), 0)</f>
        <v>0</v>
      </c>
      <c r="I1997" s="1">
        <f t="array" ref="I1997">IF(ISNUMBER(MATCH(23467,Max!$A:$A,0)), IF(OR(INDEX(Max!$D:$D,MATCH(23467,Max!$A:$A,0))=1, INDEX(Max!$D:$D,MATCH(23467,Max!$A:$A,0))=2), INDEX(Max!$D:$D,MATCH(23467,Max!$A:$A,0)), 0), 0)</f>
        <v>2</v>
      </c>
    </row>
    <row r="1998" spans="1:9" ht="15.75" customHeight="1" x14ac:dyDescent="0.2">
      <c r="A1998" s="1">
        <v>22598</v>
      </c>
      <c r="B1998" s="1" t="s">
        <v>466</v>
      </c>
      <c r="C1998" s="1" t="s">
        <v>4533</v>
      </c>
      <c r="D1998" s="1" t="str">
        <f t="shared" si="7"/>
        <v>1</v>
      </c>
      <c r="E1998" s="1" t="s">
        <v>4534</v>
      </c>
      <c r="G1998" s="1">
        <f t="array" ref="G1998">IF(ISNUMBER(MATCH(22598,Camille!$A:$A,0)), IF(OR(INDEX(Camille!$D:$D,MATCH(22598,Camille!$A:$A,0))=1, INDEX(Camille!$D:$D,MATCH(22598,Camille!$A:$A,0))=2), INDEX(Camille!$D:$D,MATCH(22598,Camille!$A:$A,0)), 0), 0)</f>
        <v>0</v>
      </c>
      <c r="H1998" s="1">
        <f t="array" ref="H1998">IF(ISNUMBER(MATCH(22598,Telmo!$A:$A,0)), IF(OR(INDEX(Telmo!$D:$D,MATCH(22598,Telmo!$A:$A,0))=1, INDEX(Telmo!$D:$D,MATCH(22598,Telmo!$A:$A,0))=2), INDEX(Telmo!$D:$D,MATCH(22598,Telmo!$A:$A,0)), 0), 0)</f>
        <v>0</v>
      </c>
      <c r="I1998" s="1">
        <f t="array" ref="I1998">IF(ISNUMBER(MATCH(22598,Max!$A:$A,0)), IF(OR(INDEX(Max!$D:$D,MATCH(22598,Max!$A:$A,0))=1, INDEX(Max!$D:$D,MATCH(22598,Max!$A:$A,0))=2), INDEX(Max!$D:$D,MATCH(22598,Max!$A:$A,0)), 0), 0)</f>
        <v>1</v>
      </c>
    </row>
    <row r="1999" spans="1:9" ht="15.75" customHeight="1" x14ac:dyDescent="0.2">
      <c r="A1999" s="1">
        <v>51045</v>
      </c>
      <c r="B1999" s="1" t="s">
        <v>4535</v>
      </c>
      <c r="C1999" s="1" t="s">
        <v>4536</v>
      </c>
      <c r="D1999" s="1" t="str">
        <f t="shared" si="7"/>
        <v>2</v>
      </c>
      <c r="E1999" s="1" t="s">
        <v>4537</v>
      </c>
      <c r="G1999" s="1">
        <f t="array" ref="G1999">IF(ISNUMBER(MATCH(51045,Camille!$A:$A,0)), IF(OR(INDEX(Camille!$D:$D,MATCH(51045,Camille!$A:$A,0))=1, INDEX(Camille!$D:$D,MATCH(51045,Camille!$A:$A,0))=2), INDEX(Camille!$D:$D,MATCH(51045,Camille!$A:$A,0)), 0), 0)</f>
        <v>0</v>
      </c>
      <c r="H1999" s="1">
        <f t="array" ref="H1999">IF(ISNUMBER(MATCH(51045,Telmo!$A:$A,0)), IF(OR(INDEX(Telmo!$D:$D,MATCH(51045,Telmo!$A:$A,0))=1, INDEX(Telmo!$D:$D,MATCH(51045,Telmo!$A:$A,0))=2), INDEX(Telmo!$D:$D,MATCH(51045,Telmo!$A:$A,0)), 0), 0)</f>
        <v>0</v>
      </c>
      <c r="I1999" s="1">
        <f t="array" ref="I1999">IF(ISNUMBER(MATCH(51045,Max!$A:$A,0)), IF(OR(INDEX(Max!$D:$D,MATCH(51045,Max!$A:$A,0))=1, INDEX(Max!$D:$D,MATCH(51045,Max!$A:$A,0))=2), INDEX(Max!$D:$D,MATCH(51045,Max!$A:$A,0)), 0), 0)</f>
        <v>2</v>
      </c>
    </row>
    <row r="2000" spans="1:9" ht="15.75" customHeight="1" x14ac:dyDescent="0.2">
      <c r="A2000" s="1">
        <v>57388</v>
      </c>
      <c r="B2000" s="1" t="s">
        <v>1021</v>
      </c>
      <c r="C2000" s="1" t="s">
        <v>4538</v>
      </c>
      <c r="D2000" s="1" t="str">
        <f t="shared" si="7"/>
        <v>2</v>
      </c>
      <c r="E2000" s="1" t="s">
        <v>4539</v>
      </c>
      <c r="G2000" s="1">
        <f t="array" ref="G2000">IF(ISNUMBER(MATCH(57388,Camille!$A:$A,0)), IF(OR(INDEX(Camille!$D:$D,MATCH(57388,Camille!$A:$A,0))=1, INDEX(Camille!$D:$D,MATCH(57388,Camille!$A:$A,0))=2), INDEX(Camille!$D:$D,MATCH(57388,Camille!$A:$A,0)), 0), 0)</f>
        <v>0</v>
      </c>
      <c r="H2000" s="1">
        <f t="array" ref="H2000">IF(ISNUMBER(MATCH(57388,Telmo!$A:$A,0)), IF(OR(INDEX(Telmo!$D:$D,MATCH(57388,Telmo!$A:$A,0))=1, INDEX(Telmo!$D:$D,MATCH(57388,Telmo!$A:$A,0))=2), INDEX(Telmo!$D:$D,MATCH(57388,Telmo!$A:$A,0)), 0), 0)</f>
        <v>0</v>
      </c>
      <c r="I2000" s="1">
        <f t="array" ref="I2000">IF(ISNUMBER(MATCH(57388,Max!$A:$A,0)), IF(OR(INDEX(Max!$D:$D,MATCH(57388,Max!$A:$A,0))=1, INDEX(Max!$D:$D,MATCH(57388,Max!$A:$A,0))=2), INDEX(Max!$D:$D,MATCH(57388,Max!$A:$A,0)), 0), 0)</f>
        <v>2</v>
      </c>
    </row>
    <row r="2001" spans="1:9" ht="15.75" customHeight="1" x14ac:dyDescent="0.2">
      <c r="A2001" s="1">
        <v>57336</v>
      </c>
      <c r="B2001" s="1" t="s">
        <v>4540</v>
      </c>
      <c r="C2001" s="1" t="s">
        <v>4541</v>
      </c>
      <c r="D2001" s="1" t="str">
        <f t="shared" si="7"/>
        <v>2</v>
      </c>
      <c r="E2001" s="1" t="s">
        <v>4542</v>
      </c>
      <c r="G2001" s="1">
        <f t="array" ref="G2001">IF(ISNUMBER(MATCH(57336,Camille!$A:$A,0)), IF(OR(INDEX(Camille!$D:$D,MATCH(57336,Camille!$A:$A,0))=1, INDEX(Camille!$D:$D,MATCH(57336,Camille!$A:$A,0))=2), INDEX(Camille!$D:$D,MATCH(57336,Camille!$A:$A,0)), 0), 0)</f>
        <v>0</v>
      </c>
      <c r="H2001" s="1">
        <f t="array" ref="H2001">IF(ISNUMBER(MATCH(57336,Telmo!$A:$A,0)), IF(OR(INDEX(Telmo!$D:$D,MATCH(57336,Telmo!$A:$A,0))=1, INDEX(Telmo!$D:$D,MATCH(57336,Telmo!$A:$A,0))=2), INDEX(Telmo!$D:$D,MATCH(57336,Telmo!$A:$A,0)), 0), 0)</f>
        <v>0</v>
      </c>
      <c r="I2001" s="1">
        <f t="array" ref="I2001">IF(ISNUMBER(MATCH(57336,Max!$A:$A,0)), IF(OR(INDEX(Max!$D:$D,MATCH(57336,Max!$A:$A,0))=1, INDEX(Max!$D:$D,MATCH(57336,Max!$A:$A,0))=2), INDEX(Max!$D:$D,MATCH(57336,Max!$A:$A,0)), 0), 0)</f>
        <v>2</v>
      </c>
    </row>
    <row r="2002" spans="1:9" ht="15.75" customHeight="1" x14ac:dyDescent="0.2">
      <c r="A2002" s="1">
        <v>45221</v>
      </c>
      <c r="B2002" s="1" t="s">
        <v>205</v>
      </c>
      <c r="C2002" s="1" t="s">
        <v>4543</v>
      </c>
      <c r="D2002" s="1" t="str">
        <f t="shared" si="7"/>
        <v>2</v>
      </c>
      <c r="E2002" s="1" t="s">
        <v>4544</v>
      </c>
      <c r="G2002" s="1">
        <f t="array" ref="G2002">IF(ISNUMBER(MATCH(45221,Camille!$A:$A,0)), IF(OR(INDEX(Camille!$D:$D,MATCH(45221,Camille!$A:$A,0))=1, INDEX(Camille!$D:$D,MATCH(45221,Camille!$A:$A,0))=2), INDEX(Camille!$D:$D,MATCH(45221,Camille!$A:$A,0)), 0), 0)</f>
        <v>0</v>
      </c>
      <c r="H2002" s="1">
        <f t="array" ref="H2002">IF(ISNUMBER(MATCH(45221,Telmo!$A:$A,0)), IF(OR(INDEX(Telmo!$D:$D,MATCH(45221,Telmo!$A:$A,0))=1, INDEX(Telmo!$D:$D,MATCH(45221,Telmo!$A:$A,0))=2), INDEX(Telmo!$D:$D,MATCH(45221,Telmo!$A:$A,0)), 0), 0)</f>
        <v>0</v>
      </c>
      <c r="I2002" s="1">
        <f t="array" ref="I2002">IF(ISNUMBER(MATCH(45221,Max!$A:$A,0)), IF(OR(INDEX(Max!$D:$D,MATCH(45221,Max!$A:$A,0))=1, INDEX(Max!$D:$D,MATCH(45221,Max!$A:$A,0))=2), INDEX(Max!$D:$D,MATCH(45221,Max!$A:$A,0)), 0), 0)</f>
        <v>2</v>
      </c>
    </row>
    <row r="2003" spans="1:9" ht="15.75" customHeight="1" x14ac:dyDescent="0.2">
      <c r="A2003" s="1">
        <v>65112</v>
      </c>
      <c r="B2003" s="1" t="s">
        <v>4545</v>
      </c>
      <c r="C2003" s="1" t="s">
        <v>4546</v>
      </c>
      <c r="D2003" s="1" t="str">
        <f t="shared" si="7"/>
        <v>1</v>
      </c>
      <c r="E2003" s="1" t="s">
        <v>4547</v>
      </c>
      <c r="G2003" s="1">
        <f t="array" ref="G2003">IF(ISNUMBER(MATCH(65112,Camille!$A:$A,0)), IF(OR(INDEX(Camille!$D:$D,MATCH(65112,Camille!$A:$A,0))=1, INDEX(Camille!$D:$D,MATCH(65112,Camille!$A:$A,0))=2), INDEX(Camille!$D:$D,MATCH(65112,Camille!$A:$A,0)), 0), 0)</f>
        <v>0</v>
      </c>
      <c r="H2003" s="1">
        <f t="array" ref="H2003">IF(ISNUMBER(MATCH(65112,Telmo!$A:$A,0)), IF(OR(INDEX(Telmo!$D:$D,MATCH(65112,Telmo!$A:$A,0))=1, INDEX(Telmo!$D:$D,MATCH(65112,Telmo!$A:$A,0))=2), INDEX(Telmo!$D:$D,MATCH(65112,Telmo!$A:$A,0)), 0), 0)</f>
        <v>0</v>
      </c>
      <c r="I2003" s="1">
        <f t="array" ref="I2003">IF(ISNUMBER(MATCH(65112,Max!$A:$A,0)), IF(OR(INDEX(Max!$D:$D,MATCH(65112,Max!$A:$A,0))=1, INDEX(Max!$D:$D,MATCH(65112,Max!$A:$A,0))=2), INDEX(Max!$D:$D,MATCH(65112,Max!$A:$A,0)), 0), 0)</f>
        <v>1</v>
      </c>
    </row>
    <row r="2004" spans="1:9" ht="15.75" customHeight="1" x14ac:dyDescent="0.2">
      <c r="A2004" s="1">
        <v>30274</v>
      </c>
      <c r="B2004" s="1" t="s">
        <v>194</v>
      </c>
      <c r="C2004" s="1" t="s">
        <v>4548</v>
      </c>
      <c r="D2004" s="1" t="str">
        <f t="shared" si="7"/>
        <v>2</v>
      </c>
      <c r="E2004" s="1" t="s">
        <v>4549</v>
      </c>
      <c r="G2004" s="1">
        <f t="array" ref="G2004">IF(ISNUMBER(MATCH(30274,Camille!$A:$A,0)), IF(OR(INDEX(Camille!$D:$D,MATCH(30274,Camille!$A:$A,0))=1, INDEX(Camille!$D:$D,MATCH(30274,Camille!$A:$A,0))=2), INDEX(Camille!$D:$D,MATCH(30274,Camille!$A:$A,0)), 0), 0)</f>
        <v>0</v>
      </c>
      <c r="H2004" s="1">
        <f t="array" ref="H2004">IF(ISNUMBER(MATCH(30274,Telmo!$A:$A,0)), IF(OR(INDEX(Telmo!$D:$D,MATCH(30274,Telmo!$A:$A,0))=1, INDEX(Telmo!$D:$D,MATCH(30274,Telmo!$A:$A,0))=2), INDEX(Telmo!$D:$D,MATCH(30274,Telmo!$A:$A,0)), 0), 0)</f>
        <v>0</v>
      </c>
      <c r="I2004" s="1">
        <f t="array" ref="I2004">IF(ISNUMBER(MATCH(30274,Max!$A:$A,0)), IF(OR(INDEX(Max!$D:$D,MATCH(30274,Max!$A:$A,0))=1, INDEX(Max!$D:$D,MATCH(30274,Max!$A:$A,0))=2), INDEX(Max!$D:$D,MATCH(30274,Max!$A:$A,0)), 0), 0)</f>
        <v>2</v>
      </c>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baseColWidth="10" defaultColWidth="14.5" defaultRowHeight="15" customHeight="1" x14ac:dyDescent="0.2"/>
  <cols>
    <col min="1" max="1" width="8.6640625" customWidth="1"/>
    <col min="2" max="2" width="10.83203125" customWidth="1"/>
    <col min="3" max="3" width="75.1640625" customWidth="1"/>
    <col min="4" max="4" width="13.33203125" customWidth="1"/>
    <col min="5" max="5" width="26.5" customWidth="1"/>
    <col min="6" max="6" width="13.5" customWidth="1"/>
    <col min="7" max="26" width="8.6640625" customWidth="1"/>
  </cols>
  <sheetData>
    <row r="1" spans="1:6" x14ac:dyDescent="0.2">
      <c r="A1" s="2" t="s">
        <v>2</v>
      </c>
      <c r="B1" s="2" t="s">
        <v>3</v>
      </c>
      <c r="C1" s="2" t="s">
        <v>4</v>
      </c>
      <c r="D1" s="2" t="s">
        <v>5</v>
      </c>
      <c r="E1" s="2" t="s">
        <v>6</v>
      </c>
      <c r="F1" s="2" t="s">
        <v>7</v>
      </c>
    </row>
    <row r="2" spans="1:6" x14ac:dyDescent="0.2">
      <c r="A2" s="1">
        <v>35699</v>
      </c>
      <c r="B2" s="1" t="s">
        <v>11</v>
      </c>
      <c r="C2" s="1" t="s">
        <v>12</v>
      </c>
      <c r="D2" s="1">
        <v>2</v>
      </c>
      <c r="E2" s="1" t="s">
        <v>13</v>
      </c>
    </row>
    <row r="3" spans="1:6" x14ac:dyDescent="0.2">
      <c r="A3" s="1">
        <v>55584</v>
      </c>
      <c r="B3" s="1" t="s">
        <v>14</v>
      </c>
      <c r="C3" s="1" t="s">
        <v>15</v>
      </c>
      <c r="D3" s="1">
        <v>2</v>
      </c>
      <c r="E3" s="1" t="s">
        <v>16</v>
      </c>
    </row>
    <row r="4" spans="1:6" x14ac:dyDescent="0.2">
      <c r="A4" s="1">
        <v>25412</v>
      </c>
      <c r="B4" s="1" t="s">
        <v>17</v>
      </c>
      <c r="C4" s="1" t="s">
        <v>18</v>
      </c>
      <c r="D4" s="1">
        <v>2</v>
      </c>
      <c r="E4" s="1" t="s">
        <v>19</v>
      </c>
    </row>
    <row r="5" spans="1:6" x14ac:dyDescent="0.2">
      <c r="A5" s="1">
        <v>68767</v>
      </c>
      <c r="B5" s="1" t="s">
        <v>20</v>
      </c>
      <c r="C5" s="1" t="s">
        <v>21</v>
      </c>
      <c r="D5" s="1">
        <v>2</v>
      </c>
      <c r="E5" s="1" t="s">
        <v>22</v>
      </c>
    </row>
    <row r="6" spans="1:6" x14ac:dyDescent="0.2">
      <c r="A6" s="1">
        <v>26817</v>
      </c>
      <c r="B6" s="1" t="s">
        <v>23</v>
      </c>
      <c r="C6" s="1" t="s">
        <v>24</v>
      </c>
      <c r="D6" s="1">
        <v>2</v>
      </c>
      <c r="E6" s="1" t="s">
        <v>25</v>
      </c>
    </row>
    <row r="7" spans="1:6" x14ac:dyDescent="0.2">
      <c r="A7" s="1">
        <v>10477</v>
      </c>
      <c r="B7" s="1" t="s">
        <v>26</v>
      </c>
      <c r="C7" s="1" t="s">
        <v>27</v>
      </c>
      <c r="D7" s="1">
        <v>1</v>
      </c>
      <c r="E7" s="1" t="s">
        <v>28</v>
      </c>
    </row>
    <row r="8" spans="1:6" x14ac:dyDescent="0.2">
      <c r="A8" s="1">
        <v>13866</v>
      </c>
      <c r="B8" s="1" t="s">
        <v>29</v>
      </c>
      <c r="C8" s="1" t="s">
        <v>30</v>
      </c>
      <c r="D8" s="1">
        <v>2</v>
      </c>
      <c r="E8" s="1" t="s">
        <v>31</v>
      </c>
    </row>
    <row r="9" spans="1:6" x14ac:dyDescent="0.2">
      <c r="A9" s="1">
        <v>3631</v>
      </c>
      <c r="B9" s="1" t="s">
        <v>32</v>
      </c>
      <c r="C9" s="1" t="s">
        <v>33</v>
      </c>
      <c r="D9" s="1">
        <v>2</v>
      </c>
      <c r="E9" s="1" t="s">
        <v>34</v>
      </c>
    </row>
    <row r="10" spans="1:6" x14ac:dyDescent="0.2">
      <c r="A10" s="1">
        <v>49909</v>
      </c>
      <c r="B10" s="1" t="s">
        <v>35</v>
      </c>
      <c r="C10" s="1" t="s">
        <v>36</v>
      </c>
      <c r="D10" s="1">
        <v>2</v>
      </c>
      <c r="E10" s="1" t="s">
        <v>37</v>
      </c>
    </row>
    <row r="11" spans="1:6" x14ac:dyDescent="0.2">
      <c r="A11" s="1">
        <v>40040</v>
      </c>
      <c r="B11" s="1" t="s">
        <v>38</v>
      </c>
      <c r="C11" s="1" t="s">
        <v>39</v>
      </c>
      <c r="D11" s="1">
        <v>2</v>
      </c>
      <c r="E11" s="1" t="s">
        <v>40</v>
      </c>
    </row>
    <row r="12" spans="1:6" x14ac:dyDescent="0.2">
      <c r="A12" s="1">
        <v>48368</v>
      </c>
      <c r="B12" s="1" t="s">
        <v>41</v>
      </c>
      <c r="C12" s="1" t="s">
        <v>42</v>
      </c>
      <c r="D12" s="1">
        <v>2</v>
      </c>
      <c r="E12" s="1" t="s">
        <v>43</v>
      </c>
    </row>
    <row r="13" spans="1:6" x14ac:dyDescent="0.2">
      <c r="A13" s="1">
        <v>22937</v>
      </c>
      <c r="B13" s="1" t="s">
        <v>44</v>
      </c>
      <c r="C13" s="1" t="s">
        <v>45</v>
      </c>
      <c r="D13" s="1">
        <v>2</v>
      </c>
      <c r="E13" s="1" t="s">
        <v>46</v>
      </c>
    </row>
    <row r="14" spans="1:6" x14ac:dyDescent="0.2">
      <c r="A14" s="1">
        <v>2788</v>
      </c>
      <c r="B14" s="1" t="s">
        <v>47</v>
      </c>
      <c r="C14" s="1" t="s">
        <v>48</v>
      </c>
      <c r="D14" s="1">
        <v>2</v>
      </c>
      <c r="E14" s="1" t="s">
        <v>49</v>
      </c>
    </row>
    <row r="15" spans="1:6" x14ac:dyDescent="0.2">
      <c r="A15" s="1">
        <v>49178</v>
      </c>
      <c r="B15" s="1" t="s">
        <v>50</v>
      </c>
      <c r="C15" s="1" t="s">
        <v>51</v>
      </c>
      <c r="D15" s="1">
        <v>1</v>
      </c>
      <c r="E15" s="1" t="s">
        <v>52</v>
      </c>
    </row>
    <row r="16" spans="1:6" x14ac:dyDescent="0.2">
      <c r="A16" s="1">
        <v>51698</v>
      </c>
      <c r="B16" s="1" t="s">
        <v>53</v>
      </c>
      <c r="C16" s="1" t="s">
        <v>54</v>
      </c>
      <c r="D16" s="1">
        <v>2</v>
      </c>
      <c r="E16" s="1" t="s">
        <v>55</v>
      </c>
    </row>
    <row r="17" spans="1:5" x14ac:dyDescent="0.2">
      <c r="A17" s="1">
        <v>26502</v>
      </c>
      <c r="B17" s="1" t="s">
        <v>56</v>
      </c>
      <c r="C17" s="1" t="s">
        <v>57</v>
      </c>
      <c r="D17" s="1">
        <v>2</v>
      </c>
      <c r="E17" s="1" t="s">
        <v>58</v>
      </c>
    </row>
    <row r="18" spans="1:5" x14ac:dyDescent="0.2">
      <c r="A18" s="1">
        <v>8231</v>
      </c>
      <c r="B18" s="1" t="s">
        <v>26</v>
      </c>
      <c r="C18" s="1" t="s">
        <v>59</v>
      </c>
      <c r="D18" s="1">
        <v>2</v>
      </c>
      <c r="E18" s="1" t="s">
        <v>60</v>
      </c>
    </row>
    <row r="19" spans="1:5" x14ac:dyDescent="0.2">
      <c r="A19" s="1">
        <v>25299</v>
      </c>
      <c r="B19" s="1" t="s">
        <v>61</v>
      </c>
      <c r="C19" s="1" t="s">
        <v>62</v>
      </c>
      <c r="D19" s="1">
        <v>2</v>
      </c>
      <c r="E19" s="1" t="s">
        <v>63</v>
      </c>
    </row>
    <row r="20" spans="1:5" x14ac:dyDescent="0.2">
      <c r="A20" s="1">
        <v>1952</v>
      </c>
      <c r="B20" s="1" t="s">
        <v>64</v>
      </c>
      <c r="C20" s="1" t="s">
        <v>65</v>
      </c>
      <c r="D20" s="1">
        <v>1</v>
      </c>
      <c r="E20" s="1" t="s">
        <v>66</v>
      </c>
    </row>
    <row r="21" spans="1:5" ht="15.75" customHeight="1" x14ac:dyDescent="0.2">
      <c r="A21" s="1">
        <v>55985</v>
      </c>
      <c r="B21" s="1" t="s">
        <v>67</v>
      </c>
      <c r="C21" s="1" t="s">
        <v>68</v>
      </c>
      <c r="D21" s="1">
        <v>2</v>
      </c>
      <c r="E21" s="1" t="s">
        <v>69</v>
      </c>
    </row>
    <row r="22" spans="1:5" ht="15.75" customHeight="1" x14ac:dyDescent="0.2">
      <c r="A22" s="1">
        <v>3073</v>
      </c>
      <c r="B22" s="1" t="s">
        <v>70</v>
      </c>
      <c r="C22" s="1" t="s">
        <v>71</v>
      </c>
      <c r="D22" s="1">
        <v>2</v>
      </c>
      <c r="E22" s="1" t="s">
        <v>72</v>
      </c>
    </row>
    <row r="23" spans="1:5" ht="15.75" customHeight="1" x14ac:dyDescent="0.2">
      <c r="A23" s="1">
        <v>39927</v>
      </c>
      <c r="B23" s="1" t="s">
        <v>38</v>
      </c>
      <c r="C23" s="1" t="s">
        <v>73</v>
      </c>
      <c r="D23" s="1">
        <v>2</v>
      </c>
      <c r="E23" s="1" t="s">
        <v>74</v>
      </c>
    </row>
    <row r="24" spans="1:5" ht="15.75" customHeight="1" x14ac:dyDescent="0.2">
      <c r="A24" s="1">
        <v>58087</v>
      </c>
      <c r="B24" s="1" t="s">
        <v>75</v>
      </c>
      <c r="C24" s="1" t="s">
        <v>76</v>
      </c>
      <c r="D24" s="1">
        <v>2</v>
      </c>
      <c r="E24" s="1" t="s">
        <v>77</v>
      </c>
    </row>
    <row r="25" spans="1:5" ht="15.75" customHeight="1" x14ac:dyDescent="0.2">
      <c r="A25" s="1">
        <v>57775</v>
      </c>
      <c r="B25" s="1" t="s">
        <v>78</v>
      </c>
      <c r="C25" s="1" t="s">
        <v>79</v>
      </c>
      <c r="D25" s="1">
        <v>2</v>
      </c>
      <c r="E25" s="1" t="s">
        <v>80</v>
      </c>
    </row>
    <row r="26" spans="1:5" ht="15.75" customHeight="1" x14ac:dyDescent="0.2">
      <c r="A26" s="1">
        <v>59763</v>
      </c>
      <c r="B26" s="1" t="s">
        <v>81</v>
      </c>
      <c r="C26" s="1" t="s">
        <v>82</v>
      </c>
      <c r="D26" s="1">
        <v>2</v>
      </c>
      <c r="E26" s="1" t="s">
        <v>83</v>
      </c>
    </row>
    <row r="27" spans="1:5" ht="15.75" customHeight="1" x14ac:dyDescent="0.2">
      <c r="A27" s="1">
        <v>21615</v>
      </c>
      <c r="B27" s="1" t="s">
        <v>84</v>
      </c>
      <c r="C27" s="1" t="s">
        <v>85</v>
      </c>
      <c r="D27" s="1">
        <v>1</v>
      </c>
      <c r="E27" s="1" t="s">
        <v>86</v>
      </c>
    </row>
    <row r="28" spans="1:5" ht="15.75" customHeight="1" x14ac:dyDescent="0.2">
      <c r="A28" s="1">
        <v>25371</v>
      </c>
      <c r="B28" s="1" t="s">
        <v>87</v>
      </c>
      <c r="C28" s="1" t="s">
        <v>88</v>
      </c>
      <c r="D28" s="1">
        <v>2</v>
      </c>
      <c r="E28" s="1" t="s">
        <v>89</v>
      </c>
    </row>
    <row r="29" spans="1:5" ht="15.75" customHeight="1" x14ac:dyDescent="0.2">
      <c r="A29" s="1">
        <v>15836</v>
      </c>
      <c r="B29" s="1" t="s">
        <v>90</v>
      </c>
      <c r="C29" s="1" t="s">
        <v>91</v>
      </c>
      <c r="D29" s="1">
        <v>2</v>
      </c>
      <c r="E29" s="1" t="s">
        <v>92</v>
      </c>
    </row>
    <row r="30" spans="1:5" ht="15.75" customHeight="1" x14ac:dyDescent="0.2">
      <c r="A30" s="1">
        <v>29302</v>
      </c>
      <c r="B30" s="1" t="s">
        <v>41</v>
      </c>
      <c r="C30" s="1" t="s">
        <v>93</v>
      </c>
      <c r="D30" s="1">
        <v>2</v>
      </c>
      <c r="E30" s="1" t="s">
        <v>94</v>
      </c>
    </row>
    <row r="31" spans="1:5" ht="15.75" customHeight="1" x14ac:dyDescent="0.2">
      <c r="A31" s="1">
        <v>53284</v>
      </c>
      <c r="B31" s="1" t="s">
        <v>95</v>
      </c>
      <c r="C31" s="1" t="s">
        <v>96</v>
      </c>
      <c r="D31" s="1">
        <v>2</v>
      </c>
      <c r="E31" s="1" t="s">
        <v>97</v>
      </c>
    </row>
    <row r="32" spans="1:5" ht="15.75" customHeight="1" x14ac:dyDescent="0.2">
      <c r="A32" s="1">
        <v>58177</v>
      </c>
      <c r="B32" s="1" t="s">
        <v>32</v>
      </c>
      <c r="C32" s="1" t="s">
        <v>98</v>
      </c>
      <c r="D32" s="1">
        <v>2</v>
      </c>
      <c r="E32" s="1" t="s">
        <v>99</v>
      </c>
    </row>
    <row r="33" spans="1:5" ht="15.75" customHeight="1" x14ac:dyDescent="0.2">
      <c r="A33" s="1">
        <v>66237</v>
      </c>
      <c r="B33" s="1" t="s">
        <v>100</v>
      </c>
      <c r="C33" s="1" t="s">
        <v>101</v>
      </c>
      <c r="D33" s="1">
        <v>2</v>
      </c>
      <c r="E33" s="1" t="s">
        <v>102</v>
      </c>
    </row>
    <row r="34" spans="1:5" ht="15.75" customHeight="1" x14ac:dyDescent="0.2">
      <c r="A34" s="1">
        <v>10903</v>
      </c>
      <c r="B34" s="1" t="s">
        <v>103</v>
      </c>
      <c r="C34" s="1" t="s">
        <v>104</v>
      </c>
      <c r="D34" s="1">
        <v>1</v>
      </c>
      <c r="E34" s="1" t="s">
        <v>105</v>
      </c>
    </row>
    <row r="35" spans="1:5" ht="15.75" customHeight="1" x14ac:dyDescent="0.2">
      <c r="A35" s="1">
        <v>4135</v>
      </c>
      <c r="B35" s="1" t="s">
        <v>106</v>
      </c>
      <c r="C35" s="1" t="s">
        <v>107</v>
      </c>
      <c r="D35" s="1">
        <v>2</v>
      </c>
      <c r="E35" s="1" t="s">
        <v>108</v>
      </c>
    </row>
    <row r="36" spans="1:5" ht="15.75" customHeight="1" x14ac:dyDescent="0.2">
      <c r="A36" s="1">
        <v>17062</v>
      </c>
      <c r="B36" s="1" t="s">
        <v>109</v>
      </c>
      <c r="C36" s="1" t="s">
        <v>110</v>
      </c>
      <c r="D36" s="1">
        <v>2</v>
      </c>
      <c r="E36" s="1" t="s">
        <v>111</v>
      </c>
    </row>
    <row r="37" spans="1:5" ht="15.75" customHeight="1" x14ac:dyDescent="0.2">
      <c r="A37" s="1">
        <v>47230</v>
      </c>
      <c r="B37" s="1" t="s">
        <v>109</v>
      </c>
      <c r="C37" s="1" t="s">
        <v>112</v>
      </c>
      <c r="D37" s="1">
        <v>1</v>
      </c>
      <c r="E37" s="1" t="s">
        <v>113</v>
      </c>
    </row>
    <row r="38" spans="1:5" ht="15.75" customHeight="1" x14ac:dyDescent="0.2">
      <c r="A38" s="1">
        <v>52344</v>
      </c>
      <c r="B38" s="1" t="s">
        <v>32</v>
      </c>
      <c r="C38" s="1" t="s">
        <v>114</v>
      </c>
      <c r="D38" s="1">
        <v>1</v>
      </c>
      <c r="E38" s="1" t="s">
        <v>115</v>
      </c>
    </row>
    <row r="39" spans="1:5" ht="15.75" customHeight="1" x14ac:dyDescent="0.2">
      <c r="A39" s="1">
        <v>18935</v>
      </c>
      <c r="B39" s="1" t="s">
        <v>32</v>
      </c>
      <c r="C39" s="1" t="s">
        <v>116</v>
      </c>
      <c r="D39" s="1">
        <v>2</v>
      </c>
      <c r="E39" s="1" t="s">
        <v>117</v>
      </c>
    </row>
    <row r="40" spans="1:5" ht="15.75" customHeight="1" x14ac:dyDescent="0.2">
      <c r="A40" s="1">
        <v>55680</v>
      </c>
      <c r="B40" s="1" t="s">
        <v>75</v>
      </c>
      <c r="C40" s="1" t="s">
        <v>118</v>
      </c>
      <c r="D40" s="1">
        <v>2</v>
      </c>
      <c r="E40" s="1" t="s">
        <v>119</v>
      </c>
    </row>
    <row r="41" spans="1:5" ht="15.75" customHeight="1" x14ac:dyDescent="0.2">
      <c r="A41" s="1">
        <v>64789</v>
      </c>
      <c r="B41" s="1" t="s">
        <v>120</v>
      </c>
      <c r="C41" s="1" t="s">
        <v>121</v>
      </c>
      <c r="D41" s="1">
        <v>2</v>
      </c>
      <c r="E41" s="1" t="s">
        <v>122</v>
      </c>
    </row>
    <row r="42" spans="1:5" ht="15.75" customHeight="1" x14ac:dyDescent="0.2">
      <c r="A42" s="1">
        <v>24730</v>
      </c>
      <c r="B42" s="1" t="s">
        <v>123</v>
      </c>
      <c r="C42" s="1" t="s">
        <v>124</v>
      </c>
      <c r="D42" s="1">
        <v>1</v>
      </c>
      <c r="E42" s="1" t="s">
        <v>125</v>
      </c>
    </row>
    <row r="43" spans="1:5" ht="15.75" customHeight="1" x14ac:dyDescent="0.2">
      <c r="A43" s="1">
        <v>53940</v>
      </c>
      <c r="B43" s="1" t="s">
        <v>126</v>
      </c>
      <c r="C43" s="1" t="s">
        <v>127</v>
      </c>
      <c r="D43" s="1">
        <v>2</v>
      </c>
      <c r="E43" s="1" t="s">
        <v>128</v>
      </c>
    </row>
    <row r="44" spans="1:5" ht="15.75" customHeight="1" x14ac:dyDescent="0.2">
      <c r="A44" s="1">
        <v>30743</v>
      </c>
      <c r="B44" s="1" t="s">
        <v>129</v>
      </c>
      <c r="C44" s="1" t="s">
        <v>130</v>
      </c>
      <c r="D44" s="1">
        <v>2</v>
      </c>
      <c r="E44" s="1" t="s">
        <v>131</v>
      </c>
    </row>
    <row r="45" spans="1:5" ht="15.75" customHeight="1" x14ac:dyDescent="0.2">
      <c r="A45" s="1">
        <v>43650</v>
      </c>
      <c r="B45" s="1" t="s">
        <v>132</v>
      </c>
      <c r="C45" s="1" t="s">
        <v>133</v>
      </c>
      <c r="D45" s="1">
        <v>1</v>
      </c>
      <c r="E45" s="1" t="s">
        <v>134</v>
      </c>
    </row>
    <row r="46" spans="1:5" ht="15.75" customHeight="1" x14ac:dyDescent="0.2">
      <c r="A46" s="1">
        <v>65505</v>
      </c>
      <c r="B46" s="1" t="s">
        <v>135</v>
      </c>
      <c r="C46" s="1" t="s">
        <v>136</v>
      </c>
      <c r="D46" s="1">
        <v>2</v>
      </c>
      <c r="E46" s="1" t="s">
        <v>137</v>
      </c>
    </row>
    <row r="47" spans="1:5" ht="15.75" customHeight="1" x14ac:dyDescent="0.2">
      <c r="A47" s="1">
        <v>2503</v>
      </c>
      <c r="B47" s="1" t="s">
        <v>138</v>
      </c>
      <c r="C47" s="1" t="s">
        <v>139</v>
      </c>
      <c r="D47" s="1">
        <v>2</v>
      </c>
      <c r="E47" s="1" t="s">
        <v>140</v>
      </c>
    </row>
    <row r="48" spans="1:5" ht="15.75" customHeight="1" x14ac:dyDescent="0.2">
      <c r="A48" s="1">
        <v>39551</v>
      </c>
      <c r="B48" s="1" t="s">
        <v>141</v>
      </c>
      <c r="C48" s="1" t="s">
        <v>142</v>
      </c>
      <c r="D48" s="1">
        <v>1</v>
      </c>
      <c r="E48" s="1" t="s">
        <v>143</v>
      </c>
    </row>
    <row r="49" spans="1:5" ht="15.75" customHeight="1" x14ac:dyDescent="0.2">
      <c r="A49" s="1">
        <v>19617</v>
      </c>
      <c r="B49" s="1" t="s">
        <v>144</v>
      </c>
      <c r="C49" s="1" t="s">
        <v>145</v>
      </c>
      <c r="D49" s="1">
        <v>2</v>
      </c>
      <c r="E49" s="1" t="s">
        <v>146</v>
      </c>
    </row>
    <row r="50" spans="1:5" ht="15.75" customHeight="1" x14ac:dyDescent="0.2">
      <c r="A50" s="1">
        <v>65366</v>
      </c>
      <c r="B50" s="1" t="s">
        <v>147</v>
      </c>
      <c r="C50" s="1" t="s">
        <v>148</v>
      </c>
      <c r="D50" s="1">
        <v>1</v>
      </c>
      <c r="E50" s="1" t="s">
        <v>149</v>
      </c>
    </row>
    <row r="51" spans="1:5" ht="15.75" customHeight="1" x14ac:dyDescent="0.2">
      <c r="A51" s="1">
        <v>70504</v>
      </c>
      <c r="B51" s="1" t="s">
        <v>150</v>
      </c>
      <c r="C51" s="1" t="s">
        <v>151</v>
      </c>
      <c r="D51" s="1">
        <v>2</v>
      </c>
      <c r="E51" s="1" t="s">
        <v>152</v>
      </c>
    </row>
    <row r="52" spans="1:5" ht="15.75" customHeight="1" x14ac:dyDescent="0.2">
      <c r="A52" s="1">
        <v>18547</v>
      </c>
      <c r="B52" s="1" t="s">
        <v>153</v>
      </c>
      <c r="C52" s="1" t="s">
        <v>154</v>
      </c>
      <c r="D52" s="1">
        <v>2</v>
      </c>
      <c r="E52" s="1" t="s">
        <v>155</v>
      </c>
    </row>
    <row r="53" spans="1:5" ht="15.75" customHeight="1" x14ac:dyDescent="0.2">
      <c r="A53" s="1">
        <v>28713</v>
      </c>
      <c r="B53" s="1" t="s">
        <v>156</v>
      </c>
      <c r="C53" s="1" t="s">
        <v>157</v>
      </c>
      <c r="D53" s="1">
        <v>2</v>
      </c>
      <c r="E53" s="1" t="s">
        <v>158</v>
      </c>
    </row>
    <row r="54" spans="1:5" ht="15.75" customHeight="1" x14ac:dyDescent="0.2">
      <c r="A54" s="1">
        <v>21949</v>
      </c>
      <c r="B54" s="1" t="s">
        <v>159</v>
      </c>
      <c r="C54" s="1" t="s">
        <v>160</v>
      </c>
      <c r="D54" s="1">
        <v>2</v>
      </c>
      <c r="E54" s="1" t="s">
        <v>161</v>
      </c>
    </row>
    <row r="55" spans="1:5" ht="15.75" customHeight="1" x14ac:dyDescent="0.2">
      <c r="A55" s="1">
        <v>61065</v>
      </c>
      <c r="B55" s="1" t="s">
        <v>162</v>
      </c>
      <c r="C55" s="1" t="s">
        <v>163</v>
      </c>
      <c r="D55" s="1">
        <v>2</v>
      </c>
      <c r="E55" s="1" t="s">
        <v>164</v>
      </c>
    </row>
    <row r="56" spans="1:5" ht="15.75" customHeight="1" x14ac:dyDescent="0.2">
      <c r="A56" s="1">
        <v>55086</v>
      </c>
      <c r="B56" s="1" t="s">
        <v>153</v>
      </c>
      <c r="C56" s="1" t="s">
        <v>165</v>
      </c>
      <c r="D56" s="1">
        <v>2</v>
      </c>
      <c r="E56" s="1" t="s">
        <v>166</v>
      </c>
    </row>
    <row r="57" spans="1:5" ht="15.75" customHeight="1" x14ac:dyDescent="0.2">
      <c r="A57" s="1">
        <v>29855</v>
      </c>
      <c r="B57" s="1" t="s">
        <v>167</v>
      </c>
      <c r="C57" s="1" t="s">
        <v>168</v>
      </c>
      <c r="D57" s="1">
        <v>1</v>
      </c>
      <c r="E57" s="1" t="s">
        <v>169</v>
      </c>
    </row>
    <row r="58" spans="1:5" ht="15.75" customHeight="1" x14ac:dyDescent="0.2">
      <c r="A58" s="1">
        <v>71790</v>
      </c>
      <c r="B58" s="1" t="s">
        <v>23</v>
      </c>
      <c r="C58" s="1" t="s">
        <v>170</v>
      </c>
      <c r="D58" s="1">
        <v>2</v>
      </c>
      <c r="E58" s="1" t="s">
        <v>171</v>
      </c>
    </row>
    <row r="59" spans="1:5" ht="15.75" customHeight="1" x14ac:dyDescent="0.2">
      <c r="A59" s="1">
        <v>60753</v>
      </c>
      <c r="B59" s="1" t="s">
        <v>172</v>
      </c>
      <c r="C59" s="1" t="s">
        <v>173</v>
      </c>
      <c r="D59" s="1">
        <v>2</v>
      </c>
      <c r="E59" s="1" t="s">
        <v>174</v>
      </c>
    </row>
    <row r="60" spans="1:5" ht="15.75" customHeight="1" x14ac:dyDescent="0.2">
      <c r="A60" s="1">
        <v>43695</v>
      </c>
      <c r="B60" s="1" t="s">
        <v>175</v>
      </c>
      <c r="C60" s="1" t="s">
        <v>176</v>
      </c>
      <c r="D60" s="1">
        <v>2</v>
      </c>
      <c r="E60" s="1" t="s">
        <v>177</v>
      </c>
    </row>
    <row r="61" spans="1:5" ht="15.75" customHeight="1" x14ac:dyDescent="0.2">
      <c r="A61" s="1">
        <v>32465</v>
      </c>
      <c r="B61" s="1" t="s">
        <v>144</v>
      </c>
      <c r="C61" s="1" t="s">
        <v>178</v>
      </c>
      <c r="D61" s="1">
        <v>2</v>
      </c>
      <c r="E61" s="1" t="s">
        <v>179</v>
      </c>
    </row>
    <row r="62" spans="1:5" ht="15.75" customHeight="1" x14ac:dyDescent="0.2">
      <c r="A62" s="1">
        <v>10326</v>
      </c>
      <c r="B62" s="1" t="s">
        <v>180</v>
      </c>
      <c r="C62" s="1" t="s">
        <v>181</v>
      </c>
      <c r="D62" s="1">
        <v>2</v>
      </c>
      <c r="E62" s="1" t="s">
        <v>182</v>
      </c>
    </row>
    <row r="63" spans="1:5" ht="15.75" customHeight="1" x14ac:dyDescent="0.2">
      <c r="A63" s="1">
        <v>36216</v>
      </c>
      <c r="B63" s="1" t="s">
        <v>14</v>
      </c>
      <c r="C63" s="1" t="s">
        <v>183</v>
      </c>
      <c r="D63" s="1">
        <v>1</v>
      </c>
      <c r="E63" s="1" t="s">
        <v>184</v>
      </c>
    </row>
    <row r="64" spans="1:5" ht="15.75" customHeight="1" x14ac:dyDescent="0.2">
      <c r="A64" s="1">
        <v>49152</v>
      </c>
      <c r="B64" s="1" t="s">
        <v>185</v>
      </c>
      <c r="C64" s="1" t="s">
        <v>186</v>
      </c>
      <c r="D64" s="1">
        <v>2</v>
      </c>
      <c r="E64" s="1" t="s">
        <v>187</v>
      </c>
    </row>
    <row r="65" spans="1:5" ht="15.75" customHeight="1" x14ac:dyDescent="0.2">
      <c r="A65" s="1">
        <v>22390</v>
      </c>
      <c r="B65" s="1" t="s">
        <v>188</v>
      </c>
      <c r="C65" s="1" t="s">
        <v>189</v>
      </c>
      <c r="D65" s="1">
        <v>1</v>
      </c>
      <c r="E65" s="1" t="s">
        <v>190</v>
      </c>
    </row>
    <row r="66" spans="1:5" ht="15.75" customHeight="1" x14ac:dyDescent="0.2">
      <c r="A66" s="1">
        <v>56306</v>
      </c>
      <c r="B66" s="1" t="s">
        <v>191</v>
      </c>
      <c r="C66" s="1" t="s">
        <v>192</v>
      </c>
      <c r="D66" s="1">
        <v>2</v>
      </c>
      <c r="E66" s="1" t="s">
        <v>193</v>
      </c>
    </row>
    <row r="67" spans="1:5" ht="15.75" customHeight="1" x14ac:dyDescent="0.2">
      <c r="A67" s="1">
        <v>68263</v>
      </c>
      <c r="B67" s="1" t="s">
        <v>194</v>
      </c>
      <c r="C67" s="1" t="s">
        <v>195</v>
      </c>
      <c r="D67" s="1">
        <v>2</v>
      </c>
      <c r="E67" s="1" t="s">
        <v>196</v>
      </c>
    </row>
    <row r="68" spans="1:5" ht="15.75" customHeight="1" x14ac:dyDescent="0.2">
      <c r="A68" s="1">
        <v>50523</v>
      </c>
      <c r="B68" s="1" t="s">
        <v>197</v>
      </c>
      <c r="C68" s="1" t="s">
        <v>198</v>
      </c>
      <c r="D68" s="1">
        <v>2</v>
      </c>
      <c r="E68" s="1" t="s">
        <v>199</v>
      </c>
    </row>
    <row r="69" spans="1:5" ht="15.75" customHeight="1" x14ac:dyDescent="0.2">
      <c r="A69" s="1">
        <v>33445</v>
      </c>
      <c r="B69" s="1" t="s">
        <v>109</v>
      </c>
      <c r="C69" s="1" t="s">
        <v>200</v>
      </c>
      <c r="D69" s="1">
        <v>2</v>
      </c>
      <c r="E69" s="1" t="s">
        <v>201</v>
      </c>
    </row>
    <row r="70" spans="1:5" ht="15.75" customHeight="1" x14ac:dyDescent="0.2">
      <c r="A70" s="1">
        <v>17155</v>
      </c>
      <c r="B70" s="1" t="s">
        <v>202</v>
      </c>
      <c r="C70" s="1" t="s">
        <v>203</v>
      </c>
      <c r="D70" s="1">
        <v>2</v>
      </c>
      <c r="E70" s="1" t="s">
        <v>204</v>
      </c>
    </row>
    <row r="71" spans="1:5" ht="15.75" customHeight="1" x14ac:dyDescent="0.2">
      <c r="A71" s="1">
        <v>61853</v>
      </c>
      <c r="B71" s="1" t="s">
        <v>205</v>
      </c>
      <c r="C71" s="1" t="s">
        <v>206</v>
      </c>
      <c r="D71" s="1">
        <v>2</v>
      </c>
      <c r="E71" s="1" t="s">
        <v>207</v>
      </c>
    </row>
    <row r="72" spans="1:5" ht="15.75" customHeight="1" x14ac:dyDescent="0.2">
      <c r="A72" s="1">
        <v>66489</v>
      </c>
      <c r="B72" s="1" t="s">
        <v>172</v>
      </c>
      <c r="C72" s="1" t="s">
        <v>208</v>
      </c>
      <c r="D72" s="1">
        <v>2</v>
      </c>
      <c r="E72" s="1" t="s">
        <v>209</v>
      </c>
    </row>
    <row r="73" spans="1:5" ht="15.75" customHeight="1" x14ac:dyDescent="0.2">
      <c r="A73" s="1">
        <v>43748</v>
      </c>
      <c r="B73" s="1" t="s">
        <v>210</v>
      </c>
      <c r="C73" s="1" t="s">
        <v>211</v>
      </c>
      <c r="D73" s="1">
        <v>2</v>
      </c>
      <c r="E73" s="1" t="s">
        <v>212</v>
      </c>
    </row>
    <row r="74" spans="1:5" ht="15.75" customHeight="1" x14ac:dyDescent="0.2">
      <c r="A74" s="1">
        <v>54342</v>
      </c>
      <c r="B74" s="1" t="s">
        <v>14</v>
      </c>
      <c r="C74" s="1" t="s">
        <v>213</v>
      </c>
      <c r="D74" s="1">
        <v>1</v>
      </c>
      <c r="E74" s="1" t="s">
        <v>214</v>
      </c>
    </row>
    <row r="75" spans="1:5" ht="15.75" customHeight="1" x14ac:dyDescent="0.2">
      <c r="A75" s="1">
        <v>47251</v>
      </c>
      <c r="B75" s="1" t="s">
        <v>215</v>
      </c>
      <c r="C75" s="1" t="s">
        <v>216</v>
      </c>
      <c r="D75" s="1">
        <v>2</v>
      </c>
      <c r="E75" s="1" t="s">
        <v>217</v>
      </c>
    </row>
    <row r="76" spans="1:5" ht="15.75" customHeight="1" x14ac:dyDescent="0.2">
      <c r="A76" s="1">
        <v>18066</v>
      </c>
      <c r="B76" s="1" t="s">
        <v>218</v>
      </c>
      <c r="C76" s="1" t="s">
        <v>219</v>
      </c>
      <c r="D76" s="1">
        <v>2</v>
      </c>
      <c r="E76" s="1" t="s">
        <v>220</v>
      </c>
    </row>
    <row r="77" spans="1:5" ht="15.75" customHeight="1" x14ac:dyDescent="0.2">
      <c r="A77" s="1">
        <v>53824</v>
      </c>
      <c r="B77" s="1" t="s">
        <v>23</v>
      </c>
      <c r="C77" s="1" t="s">
        <v>221</v>
      </c>
      <c r="D77" s="1">
        <v>2</v>
      </c>
      <c r="E77" s="1" t="s">
        <v>222</v>
      </c>
    </row>
    <row r="78" spans="1:5" ht="15.75" customHeight="1" x14ac:dyDescent="0.2">
      <c r="A78" s="1">
        <v>27401</v>
      </c>
      <c r="B78" s="1" t="s">
        <v>153</v>
      </c>
      <c r="C78" s="1" t="s">
        <v>223</v>
      </c>
      <c r="D78" s="1">
        <v>2</v>
      </c>
      <c r="E78" s="1" t="s">
        <v>224</v>
      </c>
    </row>
    <row r="79" spans="1:5" ht="15.75" customHeight="1" x14ac:dyDescent="0.2">
      <c r="A79" s="1">
        <v>34837</v>
      </c>
      <c r="B79" s="1" t="s">
        <v>225</v>
      </c>
      <c r="C79" s="1" t="s">
        <v>226</v>
      </c>
      <c r="D79" s="1">
        <v>2</v>
      </c>
      <c r="E79" s="1" t="s">
        <v>227</v>
      </c>
    </row>
    <row r="80" spans="1:5" ht="15.75" customHeight="1" x14ac:dyDescent="0.2">
      <c r="A80" s="1">
        <v>14921</v>
      </c>
      <c r="B80" s="1" t="s">
        <v>90</v>
      </c>
      <c r="C80" s="1" t="s">
        <v>228</v>
      </c>
      <c r="D80" s="1">
        <v>2</v>
      </c>
      <c r="E80" s="1" t="s">
        <v>229</v>
      </c>
    </row>
    <row r="81" spans="1:5" ht="15.75" customHeight="1" x14ac:dyDescent="0.2">
      <c r="A81" s="1">
        <v>22211</v>
      </c>
      <c r="B81" s="1" t="s">
        <v>230</v>
      </c>
      <c r="C81" s="1" t="s">
        <v>231</v>
      </c>
      <c r="D81" s="1">
        <v>1</v>
      </c>
      <c r="E81" s="1" t="s">
        <v>232</v>
      </c>
    </row>
    <row r="82" spans="1:5" ht="15.75" customHeight="1" x14ac:dyDescent="0.2">
      <c r="A82" s="1">
        <v>51311</v>
      </c>
      <c r="B82" s="1" t="s">
        <v>233</v>
      </c>
      <c r="C82" s="1" t="s">
        <v>234</v>
      </c>
      <c r="D82" s="1">
        <v>2</v>
      </c>
      <c r="E82" s="1" t="s">
        <v>235</v>
      </c>
    </row>
    <row r="83" spans="1:5" ht="15.75" customHeight="1" x14ac:dyDescent="0.2">
      <c r="A83" s="1">
        <v>12820</v>
      </c>
      <c r="B83" s="1" t="s">
        <v>172</v>
      </c>
      <c r="C83" s="1" t="s">
        <v>236</v>
      </c>
      <c r="D83" s="1">
        <v>2</v>
      </c>
      <c r="E83" s="1" t="s">
        <v>237</v>
      </c>
    </row>
    <row r="84" spans="1:5" ht="15.75" customHeight="1" x14ac:dyDescent="0.2">
      <c r="A84" s="1">
        <v>65047</v>
      </c>
      <c r="B84" s="1" t="s">
        <v>238</v>
      </c>
      <c r="C84" s="1" t="s">
        <v>239</v>
      </c>
      <c r="D84" s="1">
        <v>1</v>
      </c>
      <c r="E84" s="1" t="s">
        <v>240</v>
      </c>
    </row>
    <row r="85" spans="1:5" ht="15.75" customHeight="1" x14ac:dyDescent="0.2">
      <c r="A85" s="1">
        <v>69346</v>
      </c>
      <c r="B85" s="1" t="s">
        <v>241</v>
      </c>
      <c r="C85" s="1" t="s">
        <v>242</v>
      </c>
      <c r="D85" s="1">
        <v>1</v>
      </c>
      <c r="E85" s="1" t="s">
        <v>243</v>
      </c>
    </row>
    <row r="86" spans="1:5" ht="15.75" customHeight="1" x14ac:dyDescent="0.2">
      <c r="A86" s="1">
        <v>43015</v>
      </c>
      <c r="B86" s="1" t="s">
        <v>244</v>
      </c>
      <c r="C86" s="1" t="s">
        <v>245</v>
      </c>
      <c r="D86" s="1">
        <v>1</v>
      </c>
      <c r="E86" s="1" t="s">
        <v>246</v>
      </c>
    </row>
    <row r="87" spans="1:5" ht="15.75" customHeight="1" x14ac:dyDescent="0.2">
      <c r="A87" s="1">
        <v>52441</v>
      </c>
      <c r="B87" s="1" t="s">
        <v>38</v>
      </c>
      <c r="C87" s="1" t="s">
        <v>247</v>
      </c>
      <c r="D87" s="1">
        <v>1</v>
      </c>
      <c r="E87" s="1" t="s">
        <v>248</v>
      </c>
    </row>
    <row r="88" spans="1:5" ht="15.75" customHeight="1" x14ac:dyDescent="0.2">
      <c r="A88" s="1">
        <v>48395</v>
      </c>
      <c r="B88" s="1" t="s">
        <v>249</v>
      </c>
      <c r="C88" s="1" t="s">
        <v>250</v>
      </c>
      <c r="D88" s="1">
        <v>2</v>
      </c>
      <c r="E88" s="1" t="s">
        <v>251</v>
      </c>
    </row>
    <row r="89" spans="1:5" ht="15.75" customHeight="1" x14ac:dyDescent="0.2">
      <c r="A89" s="1">
        <v>11988</v>
      </c>
      <c r="B89" s="1" t="s">
        <v>233</v>
      </c>
      <c r="C89" s="1" t="s">
        <v>252</v>
      </c>
      <c r="D89" s="1">
        <v>2</v>
      </c>
      <c r="E89" s="1" t="s">
        <v>253</v>
      </c>
    </row>
    <row r="90" spans="1:5" ht="15.75" customHeight="1" x14ac:dyDescent="0.2">
      <c r="A90" s="1">
        <v>54892</v>
      </c>
      <c r="B90" s="1" t="s">
        <v>254</v>
      </c>
      <c r="C90" s="1" t="s">
        <v>255</v>
      </c>
      <c r="D90" s="1">
        <v>1</v>
      </c>
      <c r="E90" s="1" t="s">
        <v>256</v>
      </c>
    </row>
    <row r="91" spans="1:5" ht="15.75" customHeight="1" x14ac:dyDescent="0.2">
      <c r="A91" s="1">
        <v>28331</v>
      </c>
      <c r="B91" s="1" t="s">
        <v>78</v>
      </c>
      <c r="C91" s="1" t="s">
        <v>257</v>
      </c>
      <c r="D91" s="1">
        <v>2</v>
      </c>
      <c r="E91" s="1" t="s">
        <v>258</v>
      </c>
    </row>
    <row r="92" spans="1:5" ht="15.75" customHeight="1" x14ac:dyDescent="0.2">
      <c r="A92" s="1">
        <v>14426</v>
      </c>
      <c r="B92" s="1" t="s">
        <v>259</v>
      </c>
      <c r="C92" s="1" t="s">
        <v>260</v>
      </c>
      <c r="D92" s="1">
        <v>1</v>
      </c>
      <c r="E92" s="1" t="s">
        <v>261</v>
      </c>
    </row>
    <row r="93" spans="1:5" ht="15.75" customHeight="1" x14ac:dyDescent="0.2">
      <c r="A93" s="1">
        <v>51148</v>
      </c>
      <c r="B93" s="1" t="s">
        <v>262</v>
      </c>
      <c r="C93" s="1" t="s">
        <v>263</v>
      </c>
      <c r="D93" s="1">
        <v>2</v>
      </c>
      <c r="E93" s="1" t="s">
        <v>264</v>
      </c>
    </row>
    <row r="94" spans="1:5" ht="15.75" customHeight="1" x14ac:dyDescent="0.2">
      <c r="A94" s="1">
        <v>71322</v>
      </c>
      <c r="B94" s="1" t="s">
        <v>265</v>
      </c>
      <c r="C94" s="1" t="s">
        <v>266</v>
      </c>
      <c r="D94" s="1">
        <v>2</v>
      </c>
      <c r="E94" s="1" t="s">
        <v>267</v>
      </c>
    </row>
    <row r="95" spans="1:5" ht="15.75" customHeight="1" x14ac:dyDescent="0.2">
      <c r="A95" s="1">
        <v>23497</v>
      </c>
      <c r="B95" s="1" t="s">
        <v>268</v>
      </c>
      <c r="C95" s="1" t="s">
        <v>269</v>
      </c>
      <c r="D95" s="1">
        <v>1</v>
      </c>
      <c r="E95" s="1" t="s">
        <v>270</v>
      </c>
    </row>
    <row r="96" spans="1:5" ht="15.75" customHeight="1" x14ac:dyDescent="0.2">
      <c r="A96" s="1">
        <v>30466</v>
      </c>
      <c r="B96" s="1" t="s">
        <v>103</v>
      </c>
      <c r="C96" s="1" t="s">
        <v>271</v>
      </c>
      <c r="D96" s="1">
        <v>1</v>
      </c>
      <c r="E96" s="1" t="s">
        <v>272</v>
      </c>
    </row>
    <row r="97" spans="1:5" ht="15.75" customHeight="1" x14ac:dyDescent="0.2">
      <c r="A97" s="1">
        <v>39813</v>
      </c>
      <c r="B97" s="1" t="s">
        <v>273</v>
      </c>
      <c r="C97" s="1" t="s">
        <v>274</v>
      </c>
      <c r="D97" s="1">
        <v>2</v>
      </c>
      <c r="E97" s="1" t="s">
        <v>275</v>
      </c>
    </row>
    <row r="98" spans="1:5" ht="15.75" customHeight="1" x14ac:dyDescent="0.2">
      <c r="A98" s="1">
        <v>15896</v>
      </c>
      <c r="B98" s="1" t="s">
        <v>276</v>
      </c>
      <c r="C98" s="1" t="s">
        <v>277</v>
      </c>
      <c r="D98" s="1">
        <v>1</v>
      </c>
      <c r="E98" s="1" t="s">
        <v>278</v>
      </c>
    </row>
    <row r="99" spans="1:5" ht="15.75" customHeight="1" x14ac:dyDescent="0.2">
      <c r="A99" s="1">
        <v>70243</v>
      </c>
      <c r="B99" s="1" t="s">
        <v>279</v>
      </c>
      <c r="C99" s="1" t="s">
        <v>280</v>
      </c>
      <c r="D99" s="1">
        <v>2</v>
      </c>
      <c r="E99" s="1" t="s">
        <v>281</v>
      </c>
    </row>
    <row r="100" spans="1:5" ht="15.75" customHeight="1" x14ac:dyDescent="0.2">
      <c r="A100" s="1">
        <v>43563</v>
      </c>
      <c r="B100" s="1" t="s">
        <v>282</v>
      </c>
      <c r="C100" s="1" t="s">
        <v>283</v>
      </c>
      <c r="D100" s="1">
        <v>2</v>
      </c>
      <c r="E100" s="1" t="s">
        <v>284</v>
      </c>
    </row>
    <row r="101" spans="1:5" ht="15.75" customHeight="1" x14ac:dyDescent="0.2">
      <c r="A101" s="1">
        <v>61629</v>
      </c>
      <c r="B101" s="1" t="s">
        <v>84</v>
      </c>
      <c r="C101" s="1" t="s">
        <v>285</v>
      </c>
      <c r="D101" s="1">
        <v>2</v>
      </c>
      <c r="E101" s="1" t="s">
        <v>286</v>
      </c>
    </row>
    <row r="102" spans="1:5" ht="15.75" customHeight="1" x14ac:dyDescent="0.2">
      <c r="A102" s="1">
        <v>32493</v>
      </c>
      <c r="B102" s="1" t="s">
        <v>287</v>
      </c>
      <c r="C102" s="1" t="s">
        <v>288</v>
      </c>
      <c r="D102" s="1">
        <v>1</v>
      </c>
      <c r="E102" s="1" t="s">
        <v>289</v>
      </c>
    </row>
    <row r="103" spans="1:5" ht="15.75" customHeight="1" x14ac:dyDescent="0.2">
      <c r="A103" s="1">
        <v>30312</v>
      </c>
      <c r="B103" s="1" t="s">
        <v>290</v>
      </c>
      <c r="C103" s="1" t="s">
        <v>291</v>
      </c>
      <c r="D103" s="1">
        <v>1</v>
      </c>
      <c r="E103" s="1" t="s">
        <v>292</v>
      </c>
    </row>
    <row r="104" spans="1:5" ht="15.75" customHeight="1" x14ac:dyDescent="0.2">
      <c r="A104" s="1">
        <v>6465</v>
      </c>
      <c r="B104" s="1" t="s">
        <v>14</v>
      </c>
      <c r="C104" s="1" t="s">
        <v>293</v>
      </c>
      <c r="D104" s="1">
        <v>1</v>
      </c>
      <c r="E104" s="1" t="s">
        <v>294</v>
      </c>
    </row>
    <row r="105" spans="1:5" ht="15.75" customHeight="1" x14ac:dyDescent="0.2">
      <c r="A105" s="1">
        <v>23889</v>
      </c>
      <c r="B105" s="1" t="s">
        <v>295</v>
      </c>
      <c r="C105" s="1" t="s">
        <v>296</v>
      </c>
      <c r="D105" s="1">
        <v>2</v>
      </c>
      <c r="E105" s="1" t="s">
        <v>297</v>
      </c>
    </row>
    <row r="106" spans="1:5" ht="15.75" customHeight="1" x14ac:dyDescent="0.2">
      <c r="A106" s="1">
        <v>43432</v>
      </c>
      <c r="B106" s="1" t="s">
        <v>298</v>
      </c>
      <c r="C106" s="1" t="s">
        <v>299</v>
      </c>
      <c r="D106" s="1">
        <v>1</v>
      </c>
      <c r="E106" s="1" t="s">
        <v>300</v>
      </c>
    </row>
    <row r="107" spans="1:5" ht="15.75" customHeight="1" x14ac:dyDescent="0.2">
      <c r="A107" s="1">
        <v>4325</v>
      </c>
      <c r="B107" s="1" t="s">
        <v>301</v>
      </c>
      <c r="C107" s="1" t="s">
        <v>302</v>
      </c>
      <c r="D107" s="1">
        <v>2</v>
      </c>
      <c r="E107" s="1" t="s">
        <v>303</v>
      </c>
    </row>
    <row r="108" spans="1:5" ht="15.75" customHeight="1" x14ac:dyDescent="0.2">
      <c r="A108" s="1">
        <v>10082</v>
      </c>
      <c r="B108" s="1" t="s">
        <v>304</v>
      </c>
      <c r="C108" s="1" t="s">
        <v>305</v>
      </c>
      <c r="D108" s="1">
        <v>2</v>
      </c>
      <c r="E108" s="1" t="s">
        <v>306</v>
      </c>
    </row>
    <row r="109" spans="1:5" ht="15.75" customHeight="1" x14ac:dyDescent="0.2">
      <c r="A109" s="1">
        <v>12158</v>
      </c>
      <c r="B109" s="1" t="s">
        <v>307</v>
      </c>
      <c r="C109" s="1" t="s">
        <v>308</v>
      </c>
      <c r="D109" s="1">
        <v>2</v>
      </c>
      <c r="E109" s="1" t="s">
        <v>309</v>
      </c>
    </row>
    <row r="110" spans="1:5" ht="15.75" customHeight="1" x14ac:dyDescent="0.2">
      <c r="A110" s="1">
        <v>55122</v>
      </c>
      <c r="B110" s="1" t="s">
        <v>32</v>
      </c>
      <c r="C110" s="1" t="s">
        <v>310</v>
      </c>
      <c r="D110" s="1">
        <v>2</v>
      </c>
      <c r="E110" s="1" t="s">
        <v>311</v>
      </c>
    </row>
    <row r="111" spans="1:5" ht="15.75" customHeight="1" x14ac:dyDescent="0.2">
      <c r="A111" s="1">
        <v>14436</v>
      </c>
      <c r="B111" s="1" t="s">
        <v>312</v>
      </c>
      <c r="C111" s="1" t="s">
        <v>313</v>
      </c>
      <c r="D111" s="1">
        <v>2</v>
      </c>
      <c r="E111" s="1" t="s">
        <v>314</v>
      </c>
    </row>
    <row r="112" spans="1:5" ht="15.75" customHeight="1" x14ac:dyDescent="0.2">
      <c r="A112" s="1">
        <v>33</v>
      </c>
      <c r="B112" s="1" t="s">
        <v>315</v>
      </c>
      <c r="C112" s="1" t="s">
        <v>316</v>
      </c>
      <c r="D112" s="1">
        <v>2</v>
      </c>
      <c r="E112" s="1" t="s">
        <v>317</v>
      </c>
    </row>
    <row r="113" spans="1:5" ht="15.75" customHeight="1" x14ac:dyDescent="0.2">
      <c r="A113" s="1">
        <v>55925</v>
      </c>
      <c r="B113" s="1" t="s">
        <v>318</v>
      </c>
      <c r="C113" s="1" t="s">
        <v>319</v>
      </c>
      <c r="D113" s="1">
        <v>1</v>
      </c>
      <c r="E113" s="1" t="s">
        <v>320</v>
      </c>
    </row>
    <row r="114" spans="1:5" ht="15.75" customHeight="1" x14ac:dyDescent="0.2">
      <c r="A114" s="1">
        <v>27929</v>
      </c>
      <c r="B114" s="1" t="s">
        <v>321</v>
      </c>
      <c r="C114" s="1" t="s">
        <v>322</v>
      </c>
      <c r="D114" s="1">
        <v>2</v>
      </c>
      <c r="E114" s="1" t="s">
        <v>323</v>
      </c>
    </row>
    <row r="115" spans="1:5" ht="15.75" customHeight="1" x14ac:dyDescent="0.2">
      <c r="A115" s="1">
        <v>11024</v>
      </c>
      <c r="B115" s="1" t="s">
        <v>90</v>
      </c>
      <c r="C115" s="1" t="s">
        <v>324</v>
      </c>
      <c r="D115" s="1">
        <v>1</v>
      </c>
      <c r="E115" s="1" t="s">
        <v>325</v>
      </c>
    </row>
    <row r="116" spans="1:5" ht="15.75" customHeight="1" x14ac:dyDescent="0.2">
      <c r="A116" s="1">
        <v>57538</v>
      </c>
      <c r="B116" s="1" t="s">
        <v>326</v>
      </c>
      <c r="C116" s="1" t="s">
        <v>327</v>
      </c>
      <c r="D116" s="1">
        <v>1</v>
      </c>
      <c r="E116" s="1" t="s">
        <v>328</v>
      </c>
    </row>
    <row r="117" spans="1:5" ht="15.75" customHeight="1" x14ac:dyDescent="0.2">
      <c r="A117" s="1">
        <v>10656</v>
      </c>
      <c r="B117" s="1" t="s">
        <v>32</v>
      </c>
      <c r="C117" s="1" t="s">
        <v>329</v>
      </c>
      <c r="D117" s="1">
        <v>2</v>
      </c>
      <c r="E117" s="1" t="s">
        <v>330</v>
      </c>
    </row>
    <row r="118" spans="1:5" ht="15.75" customHeight="1" x14ac:dyDescent="0.2">
      <c r="A118" s="1">
        <v>66452</v>
      </c>
      <c r="B118" s="1" t="s">
        <v>78</v>
      </c>
      <c r="C118" s="1" t="s">
        <v>331</v>
      </c>
      <c r="D118" s="1">
        <v>1</v>
      </c>
      <c r="E118" s="1" t="s">
        <v>332</v>
      </c>
    </row>
    <row r="119" spans="1:5" ht="15.75" customHeight="1" x14ac:dyDescent="0.2">
      <c r="A119" s="1">
        <v>53716</v>
      </c>
      <c r="B119" s="1" t="s">
        <v>333</v>
      </c>
      <c r="C119" s="1" t="s">
        <v>334</v>
      </c>
      <c r="D119" s="1">
        <v>1</v>
      </c>
      <c r="E119" s="1" t="s">
        <v>335</v>
      </c>
    </row>
    <row r="120" spans="1:5" ht="15.75" customHeight="1" x14ac:dyDescent="0.2">
      <c r="A120" s="1">
        <v>41549</v>
      </c>
      <c r="B120" s="1" t="s">
        <v>336</v>
      </c>
      <c r="C120" s="1" t="s">
        <v>337</v>
      </c>
      <c r="D120" s="1">
        <v>1</v>
      </c>
      <c r="E120" s="1" t="s">
        <v>338</v>
      </c>
    </row>
    <row r="121" spans="1:5" ht="15.75" customHeight="1" x14ac:dyDescent="0.2">
      <c r="A121" s="1">
        <v>29952</v>
      </c>
      <c r="B121" s="1" t="s">
        <v>339</v>
      </c>
      <c r="C121" s="1" t="s">
        <v>340</v>
      </c>
      <c r="D121" s="1">
        <v>2</v>
      </c>
      <c r="E121" s="1" t="s">
        <v>341</v>
      </c>
    </row>
    <row r="122" spans="1:5" ht="15.75" customHeight="1" x14ac:dyDescent="0.2">
      <c r="A122" s="1">
        <v>42925</v>
      </c>
      <c r="B122" s="1" t="s">
        <v>342</v>
      </c>
      <c r="C122" s="1" t="s">
        <v>343</v>
      </c>
      <c r="D122" s="1">
        <v>2</v>
      </c>
      <c r="E122" s="1" t="s">
        <v>344</v>
      </c>
    </row>
    <row r="123" spans="1:5" ht="15.75" customHeight="1" x14ac:dyDescent="0.2">
      <c r="A123" s="1">
        <v>63724</v>
      </c>
      <c r="B123" s="1" t="s">
        <v>345</v>
      </c>
      <c r="C123" s="1" t="s">
        <v>346</v>
      </c>
      <c r="D123" s="1">
        <v>1</v>
      </c>
      <c r="E123" s="1" t="s">
        <v>347</v>
      </c>
    </row>
    <row r="124" spans="1:5" ht="15.75" customHeight="1" x14ac:dyDescent="0.2">
      <c r="A124" s="1">
        <v>17450</v>
      </c>
      <c r="B124" s="1" t="s">
        <v>348</v>
      </c>
      <c r="C124" s="1" t="s">
        <v>349</v>
      </c>
      <c r="D124" s="1">
        <v>1</v>
      </c>
      <c r="E124" s="1" t="s">
        <v>350</v>
      </c>
    </row>
    <row r="125" spans="1:5" ht="15.75" customHeight="1" x14ac:dyDescent="0.2">
      <c r="A125" s="1">
        <v>20940</v>
      </c>
      <c r="B125" s="1" t="s">
        <v>351</v>
      </c>
      <c r="C125" s="1" t="s">
        <v>352</v>
      </c>
      <c r="D125" s="1">
        <v>1</v>
      </c>
      <c r="E125" s="1" t="s">
        <v>353</v>
      </c>
    </row>
    <row r="126" spans="1:5" ht="15.75" customHeight="1" x14ac:dyDescent="0.2">
      <c r="A126" s="1">
        <v>60609</v>
      </c>
      <c r="B126" s="1" t="s">
        <v>354</v>
      </c>
      <c r="C126" s="1" t="s">
        <v>355</v>
      </c>
      <c r="D126" s="1">
        <v>2</v>
      </c>
      <c r="E126" s="1" t="s">
        <v>356</v>
      </c>
    </row>
    <row r="127" spans="1:5" ht="15.75" customHeight="1" x14ac:dyDescent="0.2">
      <c r="A127" s="1">
        <v>6362</v>
      </c>
      <c r="B127" s="1" t="s">
        <v>357</v>
      </c>
      <c r="C127" s="1" t="s">
        <v>358</v>
      </c>
      <c r="D127" s="1">
        <v>1</v>
      </c>
      <c r="E127" s="1" t="s">
        <v>359</v>
      </c>
    </row>
    <row r="128" spans="1:5" ht="15.75" customHeight="1" x14ac:dyDescent="0.2">
      <c r="A128" s="1">
        <v>31767</v>
      </c>
      <c r="B128" s="1" t="s">
        <v>153</v>
      </c>
      <c r="C128" s="1" t="s">
        <v>360</v>
      </c>
      <c r="D128" s="1">
        <v>2</v>
      </c>
      <c r="E128" s="1" t="s">
        <v>361</v>
      </c>
    </row>
    <row r="129" spans="1:5" ht="15.75" customHeight="1" x14ac:dyDescent="0.2">
      <c r="A129" s="1">
        <v>18653</v>
      </c>
      <c r="B129" s="1" t="s">
        <v>362</v>
      </c>
      <c r="C129" s="1" t="s">
        <v>363</v>
      </c>
      <c r="D129" s="1">
        <v>1</v>
      </c>
      <c r="E129" s="1" t="s">
        <v>364</v>
      </c>
    </row>
    <row r="130" spans="1:5" ht="15.75" customHeight="1" x14ac:dyDescent="0.2">
      <c r="A130" s="1">
        <v>6127</v>
      </c>
      <c r="B130" s="1" t="s">
        <v>172</v>
      </c>
      <c r="C130" s="1" t="s">
        <v>365</v>
      </c>
      <c r="D130" s="1">
        <v>2</v>
      </c>
      <c r="E130" s="1" t="s">
        <v>366</v>
      </c>
    </row>
    <row r="131" spans="1:5" ht="15.75" customHeight="1" x14ac:dyDescent="0.2">
      <c r="A131" s="1">
        <v>5573</v>
      </c>
      <c r="B131" s="1" t="s">
        <v>244</v>
      </c>
      <c r="C131" s="1" t="s">
        <v>367</v>
      </c>
      <c r="D131" s="1">
        <v>1</v>
      </c>
      <c r="E131" s="1" t="s">
        <v>368</v>
      </c>
    </row>
    <row r="132" spans="1:5" ht="15.75" customHeight="1" x14ac:dyDescent="0.2">
      <c r="A132" s="1">
        <v>67490</v>
      </c>
      <c r="B132" s="1" t="s">
        <v>369</v>
      </c>
      <c r="C132" s="1" t="s">
        <v>370</v>
      </c>
      <c r="D132" s="1">
        <v>1</v>
      </c>
      <c r="E132" s="1" t="s">
        <v>371</v>
      </c>
    </row>
    <row r="133" spans="1:5" ht="15.75" customHeight="1" x14ac:dyDescent="0.2">
      <c r="A133" s="1">
        <v>46455</v>
      </c>
      <c r="B133" s="1" t="s">
        <v>167</v>
      </c>
      <c r="C133" s="1" t="s">
        <v>372</v>
      </c>
      <c r="D133" s="1">
        <v>1</v>
      </c>
      <c r="E133" s="1" t="s">
        <v>373</v>
      </c>
    </row>
    <row r="134" spans="1:5" ht="15.75" customHeight="1" x14ac:dyDescent="0.2">
      <c r="A134" s="1">
        <v>19235</v>
      </c>
      <c r="B134" s="1" t="s">
        <v>374</v>
      </c>
      <c r="C134" s="1" t="s">
        <v>375</v>
      </c>
      <c r="D134" s="1">
        <v>1</v>
      </c>
      <c r="E134" s="1" t="s">
        <v>376</v>
      </c>
    </row>
    <row r="135" spans="1:5" ht="15.75" customHeight="1" x14ac:dyDescent="0.2">
      <c r="A135" s="1">
        <v>17834</v>
      </c>
      <c r="B135" s="1" t="s">
        <v>377</v>
      </c>
      <c r="C135" s="1" t="s">
        <v>378</v>
      </c>
      <c r="D135" s="1">
        <v>1</v>
      </c>
      <c r="E135" s="1" t="s">
        <v>379</v>
      </c>
    </row>
    <row r="136" spans="1:5" ht="15.75" customHeight="1" x14ac:dyDescent="0.2">
      <c r="A136" s="1">
        <v>18388</v>
      </c>
      <c r="B136" s="1" t="s">
        <v>301</v>
      </c>
      <c r="C136" s="1" t="s">
        <v>380</v>
      </c>
      <c r="D136" s="1">
        <v>1</v>
      </c>
      <c r="E136" s="1" t="s">
        <v>381</v>
      </c>
    </row>
    <row r="137" spans="1:5" ht="15.75" customHeight="1" x14ac:dyDescent="0.2">
      <c r="A137" s="1">
        <v>66429</v>
      </c>
      <c r="B137" s="1" t="s">
        <v>382</v>
      </c>
      <c r="C137" s="1" t="s">
        <v>383</v>
      </c>
      <c r="D137" s="1">
        <v>1</v>
      </c>
      <c r="E137" s="1" t="s">
        <v>384</v>
      </c>
    </row>
    <row r="138" spans="1:5" ht="15.75" customHeight="1" x14ac:dyDescent="0.2">
      <c r="A138" s="1">
        <v>69435</v>
      </c>
      <c r="B138" s="1" t="s">
        <v>385</v>
      </c>
      <c r="C138" s="1" t="s">
        <v>386</v>
      </c>
      <c r="D138" s="1">
        <v>2</v>
      </c>
      <c r="E138" s="1" t="s">
        <v>387</v>
      </c>
    </row>
    <row r="139" spans="1:5" ht="15.75" customHeight="1" x14ac:dyDescent="0.2">
      <c r="A139" s="1">
        <v>23678</v>
      </c>
      <c r="B139" s="1" t="s">
        <v>11</v>
      </c>
      <c r="C139" s="1" t="s">
        <v>388</v>
      </c>
      <c r="D139" s="1">
        <v>2</v>
      </c>
      <c r="E139" s="1" t="s">
        <v>389</v>
      </c>
    </row>
    <row r="140" spans="1:5" ht="15.75" customHeight="1" x14ac:dyDescent="0.2">
      <c r="A140" s="1">
        <v>41958</v>
      </c>
      <c r="B140" s="1" t="s">
        <v>385</v>
      </c>
      <c r="C140" s="1" t="s">
        <v>390</v>
      </c>
      <c r="D140" s="1">
        <v>2</v>
      </c>
      <c r="E140" s="1" t="s">
        <v>391</v>
      </c>
    </row>
    <row r="141" spans="1:5" ht="15.75" customHeight="1" x14ac:dyDescent="0.2">
      <c r="A141" s="1">
        <v>47798</v>
      </c>
      <c r="B141" s="1" t="s">
        <v>32</v>
      </c>
      <c r="C141" s="1" t="s">
        <v>392</v>
      </c>
      <c r="D141" s="1">
        <v>1</v>
      </c>
      <c r="E141" s="1" t="s">
        <v>393</v>
      </c>
    </row>
    <row r="142" spans="1:5" ht="15.75" customHeight="1" x14ac:dyDescent="0.2">
      <c r="A142" s="1">
        <v>55820</v>
      </c>
      <c r="B142" s="1" t="s">
        <v>394</v>
      </c>
      <c r="C142" s="1" t="s">
        <v>395</v>
      </c>
      <c r="D142" s="1">
        <v>2</v>
      </c>
      <c r="E142" s="1" t="s">
        <v>396</v>
      </c>
    </row>
    <row r="143" spans="1:5" ht="15.75" customHeight="1" x14ac:dyDescent="0.2">
      <c r="A143" s="1">
        <v>43937</v>
      </c>
      <c r="B143" s="1" t="s">
        <v>106</v>
      </c>
      <c r="C143" s="1" t="s">
        <v>397</v>
      </c>
      <c r="D143" s="1">
        <v>2</v>
      </c>
      <c r="E143" s="1" t="s">
        <v>398</v>
      </c>
    </row>
    <row r="144" spans="1:5" ht="15.75" customHeight="1" x14ac:dyDescent="0.2">
      <c r="A144" s="1">
        <v>57924</v>
      </c>
      <c r="B144" s="1" t="s">
        <v>399</v>
      </c>
      <c r="C144" s="1" t="s">
        <v>400</v>
      </c>
      <c r="D144" s="1">
        <v>1</v>
      </c>
      <c r="E144" s="1" t="s">
        <v>401</v>
      </c>
    </row>
    <row r="145" spans="1:5" ht="15.75" customHeight="1" x14ac:dyDescent="0.2">
      <c r="A145" s="1">
        <v>33162</v>
      </c>
      <c r="B145" s="1" t="s">
        <v>402</v>
      </c>
      <c r="C145" s="1" t="s">
        <v>403</v>
      </c>
      <c r="D145" s="1">
        <v>1</v>
      </c>
      <c r="E145" s="1" t="s">
        <v>404</v>
      </c>
    </row>
    <row r="146" spans="1:5" ht="15.75" customHeight="1" x14ac:dyDescent="0.2">
      <c r="A146" s="1">
        <v>10101</v>
      </c>
      <c r="B146" s="1" t="s">
        <v>405</v>
      </c>
      <c r="C146" s="1" t="s">
        <v>406</v>
      </c>
      <c r="D146" s="1">
        <v>2</v>
      </c>
      <c r="E146" s="1" t="s">
        <v>407</v>
      </c>
    </row>
    <row r="147" spans="1:5" ht="15.75" customHeight="1" x14ac:dyDescent="0.2">
      <c r="A147" s="1">
        <v>44871</v>
      </c>
      <c r="B147" s="1" t="s">
        <v>408</v>
      </c>
      <c r="C147" s="1" t="s">
        <v>409</v>
      </c>
      <c r="D147" s="1">
        <v>2</v>
      </c>
      <c r="E147" s="1" t="s">
        <v>410</v>
      </c>
    </row>
    <row r="148" spans="1:5" ht="15.75" customHeight="1" x14ac:dyDescent="0.2">
      <c r="A148" s="1">
        <v>3043</v>
      </c>
      <c r="B148" s="1" t="s">
        <v>32</v>
      </c>
      <c r="C148" s="1" t="s">
        <v>411</v>
      </c>
      <c r="D148" s="1">
        <v>2</v>
      </c>
      <c r="E148" s="1" t="s">
        <v>412</v>
      </c>
    </row>
    <row r="149" spans="1:5" ht="15.75" customHeight="1" x14ac:dyDescent="0.2">
      <c r="A149" s="1">
        <v>60732</v>
      </c>
      <c r="B149" s="1" t="s">
        <v>413</v>
      </c>
      <c r="C149" s="1" t="s">
        <v>414</v>
      </c>
      <c r="D149" s="1">
        <v>2</v>
      </c>
      <c r="E149" s="1" t="s">
        <v>415</v>
      </c>
    </row>
    <row r="150" spans="1:5" ht="15.75" customHeight="1" x14ac:dyDescent="0.2">
      <c r="A150" s="1">
        <v>25504</v>
      </c>
      <c r="B150" s="1" t="s">
        <v>416</v>
      </c>
      <c r="C150" s="1" t="s">
        <v>417</v>
      </c>
      <c r="D150" s="1">
        <v>1</v>
      </c>
      <c r="E150" s="1" t="s">
        <v>418</v>
      </c>
    </row>
    <row r="151" spans="1:5" ht="15.75" customHeight="1" x14ac:dyDescent="0.2">
      <c r="A151" s="1">
        <v>25008</v>
      </c>
      <c r="B151" s="1" t="s">
        <v>419</v>
      </c>
      <c r="C151" s="1" t="s">
        <v>420</v>
      </c>
      <c r="D151" s="1">
        <v>2</v>
      </c>
      <c r="E151" s="1" t="s">
        <v>421</v>
      </c>
    </row>
    <row r="152" spans="1:5" ht="15.75" customHeight="1" x14ac:dyDescent="0.2">
      <c r="A152" s="1">
        <v>61531</v>
      </c>
      <c r="B152" s="1" t="s">
        <v>422</v>
      </c>
      <c r="C152" s="1" t="s">
        <v>423</v>
      </c>
      <c r="D152" s="1">
        <v>1</v>
      </c>
      <c r="E152" s="1" t="s">
        <v>424</v>
      </c>
    </row>
    <row r="153" spans="1:5" ht="15.75" customHeight="1" x14ac:dyDescent="0.2">
      <c r="A153" s="1">
        <v>70695</v>
      </c>
      <c r="B153" s="1" t="s">
        <v>425</v>
      </c>
      <c r="C153" s="1" t="s">
        <v>426</v>
      </c>
      <c r="D153" s="1">
        <v>2</v>
      </c>
      <c r="E153" s="1" t="s">
        <v>427</v>
      </c>
    </row>
    <row r="154" spans="1:5" ht="15.75" customHeight="1" x14ac:dyDescent="0.2">
      <c r="A154" s="1">
        <v>41935</v>
      </c>
      <c r="B154" s="1" t="s">
        <v>17</v>
      </c>
      <c r="C154" s="1" t="s">
        <v>428</v>
      </c>
      <c r="D154" s="1">
        <v>2</v>
      </c>
      <c r="E154" s="1" t="s">
        <v>429</v>
      </c>
    </row>
    <row r="155" spans="1:5" ht="15.75" customHeight="1" x14ac:dyDescent="0.2">
      <c r="A155" s="1">
        <v>20562</v>
      </c>
      <c r="B155" s="1" t="s">
        <v>430</v>
      </c>
      <c r="C155" s="1" t="s">
        <v>431</v>
      </c>
      <c r="D155" s="1">
        <v>2</v>
      </c>
      <c r="E155" s="1" t="s">
        <v>432</v>
      </c>
    </row>
    <row r="156" spans="1:5" ht="15.75" customHeight="1" x14ac:dyDescent="0.2">
      <c r="A156" s="1">
        <v>49143</v>
      </c>
      <c r="B156" s="1" t="s">
        <v>433</v>
      </c>
      <c r="C156" s="1" t="s">
        <v>434</v>
      </c>
      <c r="D156" s="1">
        <v>2</v>
      </c>
      <c r="E156" s="1" t="s">
        <v>435</v>
      </c>
    </row>
    <row r="157" spans="1:5" ht="15.75" customHeight="1" x14ac:dyDescent="0.2">
      <c r="A157" s="1">
        <v>48211</v>
      </c>
      <c r="B157" s="1" t="s">
        <v>254</v>
      </c>
      <c r="C157" s="1" t="s">
        <v>436</v>
      </c>
      <c r="D157" s="1">
        <v>1</v>
      </c>
      <c r="E157" s="1" t="s">
        <v>437</v>
      </c>
    </row>
    <row r="158" spans="1:5" ht="15.75" customHeight="1" x14ac:dyDescent="0.2">
      <c r="A158" s="1">
        <v>47501</v>
      </c>
      <c r="B158" s="1" t="s">
        <v>385</v>
      </c>
      <c r="C158" s="1" t="s">
        <v>438</v>
      </c>
      <c r="D158" s="1">
        <v>2</v>
      </c>
      <c r="E158" s="1" t="s">
        <v>439</v>
      </c>
    </row>
    <row r="159" spans="1:5" ht="15.75" customHeight="1" x14ac:dyDescent="0.2">
      <c r="A159" s="1">
        <v>4225</v>
      </c>
      <c r="B159" s="1" t="s">
        <v>90</v>
      </c>
      <c r="C159" s="1" t="s">
        <v>440</v>
      </c>
      <c r="D159" s="1">
        <v>2</v>
      </c>
      <c r="E159" s="1" t="s">
        <v>441</v>
      </c>
    </row>
    <row r="160" spans="1:5" ht="15.75" customHeight="1" x14ac:dyDescent="0.2">
      <c r="A160" s="1">
        <v>697</v>
      </c>
      <c r="B160" s="1" t="s">
        <v>442</v>
      </c>
      <c r="C160" s="1" t="s">
        <v>443</v>
      </c>
      <c r="D160" s="1">
        <v>2</v>
      </c>
      <c r="E160" s="1" t="s">
        <v>444</v>
      </c>
    </row>
    <row r="161" spans="1:5" ht="15.75" customHeight="1" x14ac:dyDescent="0.2">
      <c r="A161" s="1">
        <v>7916</v>
      </c>
      <c r="B161" s="1" t="s">
        <v>172</v>
      </c>
      <c r="C161" s="1" t="s">
        <v>445</v>
      </c>
      <c r="D161" s="1">
        <v>2</v>
      </c>
      <c r="E161" s="1" t="s">
        <v>446</v>
      </c>
    </row>
    <row r="162" spans="1:5" ht="15.75" customHeight="1" x14ac:dyDescent="0.2">
      <c r="A162" s="1">
        <v>50787</v>
      </c>
      <c r="B162" s="1" t="s">
        <v>447</v>
      </c>
      <c r="C162" s="1" t="s">
        <v>448</v>
      </c>
      <c r="D162" s="1">
        <v>1</v>
      </c>
      <c r="E162" s="1" t="s">
        <v>449</v>
      </c>
    </row>
    <row r="163" spans="1:5" ht="15.75" customHeight="1" x14ac:dyDescent="0.2">
      <c r="A163" s="1">
        <v>1925</v>
      </c>
      <c r="B163" s="1" t="s">
        <v>450</v>
      </c>
      <c r="C163" s="1" t="s">
        <v>451</v>
      </c>
      <c r="D163" s="1">
        <v>1</v>
      </c>
      <c r="E163" s="1" t="s">
        <v>452</v>
      </c>
    </row>
    <row r="164" spans="1:5" ht="15.75" customHeight="1" x14ac:dyDescent="0.2">
      <c r="A164" s="1">
        <v>66943</v>
      </c>
      <c r="B164" s="1" t="s">
        <v>14</v>
      </c>
      <c r="C164" s="1" t="s">
        <v>453</v>
      </c>
      <c r="D164" s="1">
        <v>1</v>
      </c>
      <c r="E164" s="1" t="s">
        <v>454</v>
      </c>
    </row>
    <row r="165" spans="1:5" ht="15.75" customHeight="1" x14ac:dyDescent="0.2">
      <c r="A165" s="1">
        <v>34012</v>
      </c>
      <c r="B165" s="1" t="s">
        <v>244</v>
      </c>
      <c r="C165" s="1" t="s">
        <v>455</v>
      </c>
      <c r="D165" s="1">
        <v>1</v>
      </c>
      <c r="E165" s="1" t="s">
        <v>456</v>
      </c>
    </row>
    <row r="166" spans="1:5" ht="15.75" customHeight="1" x14ac:dyDescent="0.2">
      <c r="A166" s="1">
        <v>15596</v>
      </c>
      <c r="B166" s="1" t="s">
        <v>457</v>
      </c>
      <c r="C166" s="1" t="s">
        <v>458</v>
      </c>
      <c r="D166" s="1">
        <v>2</v>
      </c>
      <c r="E166" s="1" t="s">
        <v>459</v>
      </c>
    </row>
    <row r="167" spans="1:5" ht="15.75" customHeight="1" x14ac:dyDescent="0.2">
      <c r="A167" s="1">
        <v>46488</v>
      </c>
      <c r="B167" s="1" t="s">
        <v>460</v>
      </c>
      <c r="C167" s="1" t="s">
        <v>461</v>
      </c>
      <c r="D167" s="1">
        <v>1</v>
      </c>
      <c r="E167" s="1" t="s">
        <v>462</v>
      </c>
    </row>
    <row r="168" spans="1:5" ht="15.75" customHeight="1" x14ac:dyDescent="0.2">
      <c r="A168" s="1">
        <v>58103</v>
      </c>
      <c r="B168" s="1" t="s">
        <v>463</v>
      </c>
      <c r="C168" s="1" t="s">
        <v>464</v>
      </c>
      <c r="D168" s="1">
        <v>2</v>
      </c>
      <c r="E168" s="1" t="s">
        <v>465</v>
      </c>
    </row>
    <row r="169" spans="1:5" ht="15.75" customHeight="1" x14ac:dyDescent="0.2">
      <c r="A169" s="1">
        <v>29095</v>
      </c>
      <c r="B169" s="1" t="s">
        <v>466</v>
      </c>
      <c r="C169" s="1" t="s">
        <v>467</v>
      </c>
      <c r="D169" s="1">
        <v>2</v>
      </c>
      <c r="E169" s="1" t="s">
        <v>468</v>
      </c>
    </row>
    <row r="170" spans="1:5" ht="15.75" customHeight="1" x14ac:dyDescent="0.2">
      <c r="A170" s="1">
        <v>26364</v>
      </c>
      <c r="B170" s="1" t="s">
        <v>336</v>
      </c>
      <c r="C170" s="1" t="s">
        <v>469</v>
      </c>
      <c r="D170" s="1">
        <v>1</v>
      </c>
      <c r="E170" s="1" t="s">
        <v>470</v>
      </c>
    </row>
    <row r="171" spans="1:5" ht="15.75" customHeight="1" x14ac:dyDescent="0.2">
      <c r="A171" s="1">
        <v>1715</v>
      </c>
      <c r="B171" s="1" t="s">
        <v>268</v>
      </c>
      <c r="C171" s="1" t="s">
        <v>471</v>
      </c>
      <c r="D171" s="1">
        <v>2</v>
      </c>
      <c r="E171" s="1" t="s">
        <v>472</v>
      </c>
    </row>
    <row r="172" spans="1:5" ht="15.75" customHeight="1" x14ac:dyDescent="0.2">
      <c r="A172" s="1">
        <v>52626</v>
      </c>
      <c r="B172" s="1" t="s">
        <v>473</v>
      </c>
      <c r="C172" s="1" t="s">
        <v>474</v>
      </c>
      <c r="D172" s="1">
        <v>1</v>
      </c>
      <c r="E172" s="1" t="s">
        <v>475</v>
      </c>
    </row>
    <row r="173" spans="1:5" ht="15.75" customHeight="1" x14ac:dyDescent="0.2">
      <c r="A173" s="1">
        <v>50360</v>
      </c>
      <c r="B173" s="1" t="s">
        <v>210</v>
      </c>
      <c r="C173" s="1" t="s">
        <v>476</v>
      </c>
      <c r="D173" s="1">
        <v>2</v>
      </c>
      <c r="E173" s="1" t="s">
        <v>477</v>
      </c>
    </row>
    <row r="174" spans="1:5" ht="15.75" customHeight="1" x14ac:dyDescent="0.2">
      <c r="A174" s="1">
        <v>24778</v>
      </c>
      <c r="B174" s="1" t="s">
        <v>126</v>
      </c>
      <c r="C174" s="1" t="s">
        <v>478</v>
      </c>
      <c r="D174" s="1">
        <v>2</v>
      </c>
      <c r="E174" s="1" t="s">
        <v>479</v>
      </c>
    </row>
    <row r="175" spans="1:5" ht="15.75" customHeight="1" x14ac:dyDescent="0.2">
      <c r="A175" s="1">
        <v>68798</v>
      </c>
      <c r="B175" s="1" t="s">
        <v>315</v>
      </c>
      <c r="C175" s="1" t="s">
        <v>480</v>
      </c>
      <c r="D175" s="1">
        <v>2</v>
      </c>
      <c r="E175" s="1" t="s">
        <v>481</v>
      </c>
    </row>
    <row r="176" spans="1:5" ht="15.75" customHeight="1" x14ac:dyDescent="0.2">
      <c r="A176" s="1">
        <v>64376</v>
      </c>
      <c r="B176" s="1" t="s">
        <v>482</v>
      </c>
      <c r="C176" s="1" t="s">
        <v>483</v>
      </c>
      <c r="D176" s="1">
        <v>2</v>
      </c>
      <c r="E176" s="1" t="s">
        <v>484</v>
      </c>
    </row>
    <row r="177" spans="1:5" ht="15.75" customHeight="1" x14ac:dyDescent="0.2">
      <c r="A177" s="1">
        <v>31342</v>
      </c>
      <c r="B177" s="1" t="s">
        <v>485</v>
      </c>
      <c r="C177" s="1" t="s">
        <v>486</v>
      </c>
      <c r="D177" s="1">
        <v>1</v>
      </c>
      <c r="E177" s="1" t="s">
        <v>487</v>
      </c>
    </row>
    <row r="178" spans="1:5" ht="15.75" customHeight="1" x14ac:dyDescent="0.2">
      <c r="A178" s="1">
        <v>23698</v>
      </c>
      <c r="B178" s="1" t="s">
        <v>276</v>
      </c>
      <c r="C178" s="1" t="s">
        <v>488</v>
      </c>
      <c r="D178" s="1">
        <v>1</v>
      </c>
      <c r="E178" s="1" t="s">
        <v>489</v>
      </c>
    </row>
    <row r="179" spans="1:5" ht="15.75" customHeight="1" x14ac:dyDescent="0.2">
      <c r="A179" s="1">
        <v>17691</v>
      </c>
      <c r="B179" s="1" t="s">
        <v>490</v>
      </c>
      <c r="C179" s="1" t="s">
        <v>491</v>
      </c>
      <c r="D179" s="1">
        <v>1</v>
      </c>
      <c r="E179" s="1" t="s">
        <v>492</v>
      </c>
    </row>
    <row r="180" spans="1:5" ht="15.75" customHeight="1" x14ac:dyDescent="0.2">
      <c r="A180" s="1">
        <v>43024</v>
      </c>
      <c r="B180" s="1" t="s">
        <v>493</v>
      </c>
      <c r="C180" s="1" t="s">
        <v>494</v>
      </c>
      <c r="D180" s="1">
        <v>1</v>
      </c>
      <c r="E180" s="1" t="s">
        <v>495</v>
      </c>
    </row>
    <row r="181" spans="1:5" ht="15.75" customHeight="1" x14ac:dyDescent="0.2">
      <c r="A181" s="1">
        <v>32012</v>
      </c>
      <c r="B181" s="1" t="s">
        <v>496</v>
      </c>
      <c r="C181" s="1" t="s">
        <v>497</v>
      </c>
      <c r="D181" s="1">
        <v>2</v>
      </c>
      <c r="E181" s="1" t="s">
        <v>498</v>
      </c>
    </row>
    <row r="182" spans="1:5" ht="15.75" customHeight="1" x14ac:dyDescent="0.2">
      <c r="A182" s="1">
        <v>8010</v>
      </c>
      <c r="B182" s="1" t="s">
        <v>23</v>
      </c>
      <c r="C182" s="1" t="s">
        <v>499</v>
      </c>
      <c r="D182" s="1">
        <v>2</v>
      </c>
      <c r="E182" s="1" t="s">
        <v>500</v>
      </c>
    </row>
    <row r="183" spans="1:5" ht="15.75" customHeight="1" x14ac:dyDescent="0.2">
      <c r="A183" s="1">
        <v>44674</v>
      </c>
      <c r="B183" s="1" t="s">
        <v>501</v>
      </c>
      <c r="C183" s="1" t="s">
        <v>502</v>
      </c>
      <c r="D183" s="1">
        <v>2</v>
      </c>
      <c r="E183" s="1" t="s">
        <v>503</v>
      </c>
    </row>
    <row r="184" spans="1:5" ht="15.75" customHeight="1" x14ac:dyDescent="0.2">
      <c r="A184" s="1">
        <v>17559</v>
      </c>
      <c r="B184" s="1" t="s">
        <v>95</v>
      </c>
      <c r="C184" s="1" t="s">
        <v>504</v>
      </c>
      <c r="D184" s="1">
        <v>2</v>
      </c>
      <c r="E184" s="1" t="s">
        <v>505</v>
      </c>
    </row>
    <row r="185" spans="1:5" ht="15.75" customHeight="1" x14ac:dyDescent="0.2">
      <c r="A185" s="1">
        <v>40885</v>
      </c>
      <c r="B185" s="1" t="s">
        <v>506</v>
      </c>
      <c r="C185" s="1" t="s">
        <v>507</v>
      </c>
      <c r="D185" s="1">
        <v>2</v>
      </c>
      <c r="E185" s="1" t="s">
        <v>508</v>
      </c>
    </row>
    <row r="186" spans="1:5" ht="15.75" customHeight="1" x14ac:dyDescent="0.2">
      <c r="A186" s="1">
        <v>53901</v>
      </c>
      <c r="B186" s="1" t="s">
        <v>509</v>
      </c>
      <c r="C186" s="1" t="s">
        <v>510</v>
      </c>
      <c r="D186" s="1">
        <v>2</v>
      </c>
      <c r="E186" s="1" t="s">
        <v>511</v>
      </c>
    </row>
    <row r="187" spans="1:5" ht="15.75" customHeight="1" x14ac:dyDescent="0.2">
      <c r="A187" s="1">
        <v>23148</v>
      </c>
      <c r="B187" s="1" t="s">
        <v>14</v>
      </c>
      <c r="C187" s="1" t="s">
        <v>512</v>
      </c>
      <c r="D187" s="1">
        <v>1</v>
      </c>
      <c r="E187" s="1" t="s">
        <v>513</v>
      </c>
    </row>
    <row r="188" spans="1:5" ht="15.75" customHeight="1" x14ac:dyDescent="0.2">
      <c r="A188" s="1">
        <v>13432</v>
      </c>
      <c r="B188" s="1" t="s">
        <v>106</v>
      </c>
      <c r="C188" s="1" t="s">
        <v>514</v>
      </c>
      <c r="D188" s="1">
        <v>2</v>
      </c>
      <c r="E188" s="1" t="s">
        <v>515</v>
      </c>
    </row>
    <row r="189" spans="1:5" ht="15.75" customHeight="1" x14ac:dyDescent="0.2">
      <c r="A189" s="1">
        <v>21675</v>
      </c>
      <c r="B189" s="1" t="s">
        <v>191</v>
      </c>
      <c r="C189" s="1" t="s">
        <v>516</v>
      </c>
      <c r="D189" s="1">
        <v>2</v>
      </c>
      <c r="E189" s="1" t="s">
        <v>517</v>
      </c>
    </row>
    <row r="190" spans="1:5" ht="15.75" customHeight="1" x14ac:dyDescent="0.2">
      <c r="A190" s="1">
        <v>19901</v>
      </c>
      <c r="B190" s="1" t="s">
        <v>466</v>
      </c>
      <c r="C190" s="1" t="s">
        <v>518</v>
      </c>
      <c r="D190" s="1">
        <v>2</v>
      </c>
      <c r="E190" s="1" t="s">
        <v>519</v>
      </c>
    </row>
    <row r="191" spans="1:5" ht="15.75" customHeight="1" x14ac:dyDescent="0.2">
      <c r="A191" s="1">
        <v>2971</v>
      </c>
      <c r="B191" s="1" t="s">
        <v>194</v>
      </c>
      <c r="C191" s="1" t="s">
        <v>520</v>
      </c>
      <c r="D191" s="1">
        <v>2</v>
      </c>
      <c r="E191" s="1" t="s">
        <v>521</v>
      </c>
    </row>
    <row r="192" spans="1:5" ht="15.75" customHeight="1" x14ac:dyDescent="0.2">
      <c r="A192" s="1">
        <v>698</v>
      </c>
      <c r="B192" s="1" t="s">
        <v>87</v>
      </c>
      <c r="C192" s="1" t="s">
        <v>522</v>
      </c>
      <c r="D192" s="1">
        <v>2</v>
      </c>
      <c r="E192" s="1" t="s">
        <v>523</v>
      </c>
    </row>
    <row r="193" spans="1:5" ht="15.75" customHeight="1" x14ac:dyDescent="0.2">
      <c r="A193" s="1">
        <v>16157</v>
      </c>
      <c r="B193" s="1" t="s">
        <v>524</v>
      </c>
      <c r="C193" s="1" t="s">
        <v>525</v>
      </c>
      <c r="D193" s="1">
        <v>2</v>
      </c>
      <c r="E193" s="1" t="s">
        <v>526</v>
      </c>
    </row>
    <row r="194" spans="1:5" ht="15.75" customHeight="1" x14ac:dyDescent="0.2">
      <c r="A194" s="1">
        <v>31862</v>
      </c>
      <c r="B194" s="1" t="s">
        <v>527</v>
      </c>
      <c r="C194" s="1" t="s">
        <v>528</v>
      </c>
      <c r="D194" s="1">
        <v>1</v>
      </c>
      <c r="E194" s="1" t="s">
        <v>529</v>
      </c>
    </row>
    <row r="195" spans="1:5" ht="15.75" customHeight="1" x14ac:dyDescent="0.2">
      <c r="A195" s="1">
        <v>54683</v>
      </c>
      <c r="B195" s="1" t="s">
        <v>530</v>
      </c>
      <c r="C195" s="1" t="s">
        <v>531</v>
      </c>
      <c r="D195" s="1">
        <v>2</v>
      </c>
      <c r="E195" s="1" t="s">
        <v>532</v>
      </c>
    </row>
    <row r="196" spans="1:5" ht="15.75" customHeight="1" x14ac:dyDescent="0.2">
      <c r="A196" s="1">
        <v>14683</v>
      </c>
      <c r="B196" s="1" t="s">
        <v>533</v>
      </c>
      <c r="C196" s="1" t="s">
        <v>534</v>
      </c>
      <c r="D196" s="1">
        <v>2</v>
      </c>
      <c r="E196" s="1" t="s">
        <v>535</v>
      </c>
    </row>
    <row r="197" spans="1:5" ht="15.75" customHeight="1" x14ac:dyDescent="0.2">
      <c r="A197" s="1">
        <v>35757</v>
      </c>
      <c r="B197" s="1" t="s">
        <v>490</v>
      </c>
      <c r="C197" s="1" t="s">
        <v>536</v>
      </c>
      <c r="D197" s="1">
        <v>1</v>
      </c>
      <c r="E197" s="1" t="s">
        <v>537</v>
      </c>
    </row>
    <row r="198" spans="1:5" ht="15.75" customHeight="1" x14ac:dyDescent="0.2">
      <c r="A198" s="1">
        <v>31441</v>
      </c>
      <c r="B198" s="1" t="s">
        <v>295</v>
      </c>
      <c r="C198" s="1" t="s">
        <v>538</v>
      </c>
      <c r="D198" s="1">
        <v>2</v>
      </c>
      <c r="E198" s="1" t="s">
        <v>539</v>
      </c>
    </row>
    <row r="199" spans="1:5" ht="15.75" customHeight="1" x14ac:dyDescent="0.2">
      <c r="A199" s="1">
        <v>22079</v>
      </c>
      <c r="B199" s="1" t="s">
        <v>442</v>
      </c>
      <c r="C199" s="1" t="s">
        <v>540</v>
      </c>
      <c r="D199" s="1">
        <v>2</v>
      </c>
      <c r="E199" s="1" t="s">
        <v>541</v>
      </c>
    </row>
    <row r="200" spans="1:5" ht="15.75" customHeight="1" x14ac:dyDescent="0.2">
      <c r="A200" s="1">
        <v>23831</v>
      </c>
      <c r="B200" s="1" t="s">
        <v>23</v>
      </c>
      <c r="C200" s="1" t="s">
        <v>542</v>
      </c>
      <c r="D200" s="1">
        <v>2</v>
      </c>
      <c r="E200" s="1" t="s">
        <v>543</v>
      </c>
    </row>
    <row r="201" spans="1:5" ht="15.75" customHeight="1" x14ac:dyDescent="0.2">
      <c r="A201" s="1">
        <v>24128</v>
      </c>
      <c r="B201" s="1" t="s">
        <v>544</v>
      </c>
      <c r="C201" s="1" t="s">
        <v>545</v>
      </c>
      <c r="D201" s="1">
        <v>2</v>
      </c>
      <c r="E201" s="1" t="s">
        <v>546</v>
      </c>
    </row>
    <row r="202" spans="1:5" ht="15.75" customHeight="1" x14ac:dyDescent="0.2">
      <c r="A202" s="1">
        <v>4723</v>
      </c>
      <c r="B202" s="1" t="s">
        <v>167</v>
      </c>
      <c r="C202" s="1" t="s">
        <v>547</v>
      </c>
      <c r="D202" s="1">
        <v>1</v>
      </c>
      <c r="E202" s="1" t="s">
        <v>548</v>
      </c>
    </row>
    <row r="203" spans="1:5" ht="15.75" customHeight="1" x14ac:dyDescent="0.2">
      <c r="A203" s="1">
        <v>17265</v>
      </c>
      <c r="B203" s="1" t="s">
        <v>549</v>
      </c>
      <c r="C203" s="1" t="s">
        <v>550</v>
      </c>
      <c r="D203" s="1">
        <v>2</v>
      </c>
      <c r="E203" s="1" t="s">
        <v>551</v>
      </c>
    </row>
    <row r="204" spans="1:5" ht="15.75" customHeight="1" x14ac:dyDescent="0.2">
      <c r="A204" s="1">
        <v>29938</v>
      </c>
      <c r="B204" s="1" t="s">
        <v>552</v>
      </c>
      <c r="C204" s="1" t="s">
        <v>553</v>
      </c>
      <c r="D204" s="1">
        <v>1</v>
      </c>
      <c r="E204" s="1" t="s">
        <v>554</v>
      </c>
    </row>
    <row r="205" spans="1:5" ht="15.75" customHeight="1" x14ac:dyDescent="0.2">
      <c r="A205" s="1">
        <v>62181</v>
      </c>
      <c r="B205" s="1" t="s">
        <v>218</v>
      </c>
      <c r="C205" s="1" t="s">
        <v>555</v>
      </c>
      <c r="D205" s="1">
        <v>1</v>
      </c>
      <c r="E205" s="1" t="s">
        <v>556</v>
      </c>
    </row>
    <row r="206" spans="1:5" ht="15.75" customHeight="1" x14ac:dyDescent="0.2">
      <c r="A206" s="1">
        <v>29443</v>
      </c>
      <c r="B206" s="1" t="s">
        <v>84</v>
      </c>
      <c r="C206" s="1" t="s">
        <v>557</v>
      </c>
      <c r="D206" s="1">
        <v>2</v>
      </c>
      <c r="E206" s="1" t="s">
        <v>558</v>
      </c>
    </row>
    <row r="207" spans="1:5" ht="15.75" customHeight="1" x14ac:dyDescent="0.2">
      <c r="A207" s="1">
        <v>23616</v>
      </c>
      <c r="B207" s="1" t="s">
        <v>559</v>
      </c>
      <c r="C207" s="1" t="s">
        <v>560</v>
      </c>
      <c r="D207" s="1">
        <v>2</v>
      </c>
      <c r="E207" s="1" t="s">
        <v>561</v>
      </c>
    </row>
    <row r="208" spans="1:5" ht="15.75" customHeight="1" x14ac:dyDescent="0.2">
      <c r="A208" s="1">
        <v>44809</v>
      </c>
      <c r="B208" s="1" t="s">
        <v>562</v>
      </c>
      <c r="C208" s="1" t="s">
        <v>563</v>
      </c>
      <c r="D208" s="1">
        <v>2</v>
      </c>
      <c r="E208" s="1" t="s">
        <v>564</v>
      </c>
    </row>
    <row r="209" spans="1:5" ht="15.75" customHeight="1" x14ac:dyDescent="0.2">
      <c r="A209" s="1">
        <v>9901</v>
      </c>
      <c r="B209" s="1" t="s">
        <v>159</v>
      </c>
      <c r="C209" s="1" t="s">
        <v>565</v>
      </c>
      <c r="D209" s="1">
        <v>2</v>
      </c>
      <c r="E209" s="1" t="s">
        <v>566</v>
      </c>
    </row>
    <row r="210" spans="1:5" ht="15.75" customHeight="1" x14ac:dyDescent="0.2">
      <c r="A210" s="1">
        <v>26342</v>
      </c>
      <c r="B210" s="1" t="s">
        <v>11</v>
      </c>
      <c r="C210" s="1" t="s">
        <v>567</v>
      </c>
      <c r="D210" s="1">
        <v>2</v>
      </c>
      <c r="E210" s="1" t="s">
        <v>568</v>
      </c>
    </row>
    <row r="211" spans="1:5" ht="15.75" customHeight="1" x14ac:dyDescent="0.2">
      <c r="A211" s="1">
        <v>10752</v>
      </c>
      <c r="B211" s="1" t="s">
        <v>100</v>
      </c>
      <c r="C211" s="1" t="s">
        <v>569</v>
      </c>
      <c r="D211" s="1">
        <v>2</v>
      </c>
      <c r="E211" s="1" t="s">
        <v>570</v>
      </c>
    </row>
    <row r="212" spans="1:5" ht="15.75" customHeight="1" x14ac:dyDescent="0.2">
      <c r="A212" s="1">
        <v>4109</v>
      </c>
      <c r="B212" s="1" t="s">
        <v>571</v>
      </c>
      <c r="C212" s="1" t="s">
        <v>572</v>
      </c>
      <c r="D212" s="1">
        <v>1</v>
      </c>
      <c r="E212" s="1" t="s">
        <v>573</v>
      </c>
    </row>
    <row r="213" spans="1:5" ht="15.75" customHeight="1" x14ac:dyDescent="0.2">
      <c r="A213" s="1">
        <v>3964</v>
      </c>
      <c r="B213" s="1" t="s">
        <v>244</v>
      </c>
      <c r="C213" s="1" t="s">
        <v>574</v>
      </c>
      <c r="D213" s="1">
        <v>1</v>
      </c>
      <c r="E213" s="1" t="s">
        <v>575</v>
      </c>
    </row>
    <row r="214" spans="1:5" ht="15.75" customHeight="1" x14ac:dyDescent="0.2">
      <c r="A214" s="1">
        <v>62060</v>
      </c>
      <c r="B214" s="1" t="s">
        <v>576</v>
      </c>
      <c r="C214" s="1" t="s">
        <v>577</v>
      </c>
      <c r="D214" s="1">
        <v>2</v>
      </c>
      <c r="E214" s="1" t="s">
        <v>578</v>
      </c>
    </row>
    <row r="215" spans="1:5" ht="15.75" customHeight="1" x14ac:dyDescent="0.2">
      <c r="A215" s="1">
        <v>18420</v>
      </c>
      <c r="B215" s="1" t="s">
        <v>109</v>
      </c>
      <c r="C215" s="1" t="s">
        <v>579</v>
      </c>
      <c r="D215" s="1">
        <v>1</v>
      </c>
      <c r="E215" s="1" t="s">
        <v>580</v>
      </c>
    </row>
    <row r="216" spans="1:5" ht="15.75" customHeight="1" x14ac:dyDescent="0.2">
      <c r="A216" s="1">
        <v>54700</v>
      </c>
      <c r="B216" s="1" t="s">
        <v>581</v>
      </c>
      <c r="C216" s="1" t="s">
        <v>582</v>
      </c>
      <c r="D216" s="1">
        <v>2</v>
      </c>
      <c r="E216" s="1" t="s">
        <v>583</v>
      </c>
    </row>
    <row r="217" spans="1:5" ht="15.75" customHeight="1" x14ac:dyDescent="0.2">
      <c r="A217" s="1">
        <v>8144</v>
      </c>
      <c r="B217" s="1" t="s">
        <v>584</v>
      </c>
      <c r="C217" s="1" t="s">
        <v>585</v>
      </c>
      <c r="D217" s="1">
        <v>1</v>
      </c>
      <c r="E217" s="1" t="s">
        <v>586</v>
      </c>
    </row>
    <row r="218" spans="1:5" ht="15.75" customHeight="1" x14ac:dyDescent="0.2">
      <c r="A218" s="1">
        <v>39192</v>
      </c>
      <c r="B218" s="1" t="s">
        <v>244</v>
      </c>
      <c r="C218" s="1" t="s">
        <v>587</v>
      </c>
      <c r="D218" s="1">
        <v>1</v>
      </c>
      <c r="E218" s="1" t="s">
        <v>588</v>
      </c>
    </row>
    <row r="219" spans="1:5" ht="15.75" customHeight="1" x14ac:dyDescent="0.2">
      <c r="A219" s="1">
        <v>8496</v>
      </c>
      <c r="B219" s="1" t="s">
        <v>589</v>
      </c>
      <c r="C219" s="1" t="s">
        <v>590</v>
      </c>
      <c r="D219" s="1">
        <v>2</v>
      </c>
      <c r="E219" s="1" t="s">
        <v>591</v>
      </c>
    </row>
    <row r="220" spans="1:5" ht="15.75" customHeight="1" x14ac:dyDescent="0.2">
      <c r="A220" s="1">
        <v>26254</v>
      </c>
      <c r="B220" s="1" t="s">
        <v>32</v>
      </c>
      <c r="C220" s="1" t="s">
        <v>592</v>
      </c>
      <c r="D220" s="1">
        <v>1</v>
      </c>
      <c r="E220" s="1" t="s">
        <v>593</v>
      </c>
    </row>
    <row r="221" spans="1:5" ht="15.75" customHeight="1" x14ac:dyDescent="0.2">
      <c r="A221" s="1">
        <v>17107</v>
      </c>
      <c r="B221" s="1" t="s">
        <v>594</v>
      </c>
      <c r="C221" s="1" t="s">
        <v>595</v>
      </c>
      <c r="D221" s="1">
        <v>1</v>
      </c>
      <c r="E221" s="1" t="s">
        <v>596</v>
      </c>
    </row>
    <row r="222" spans="1:5" ht="15.75" customHeight="1" x14ac:dyDescent="0.2">
      <c r="A222" s="1">
        <v>16646</v>
      </c>
      <c r="B222" s="1" t="s">
        <v>597</v>
      </c>
      <c r="C222" s="1" t="s">
        <v>598</v>
      </c>
      <c r="D222" s="1">
        <v>1</v>
      </c>
      <c r="E222" s="1" t="s">
        <v>599</v>
      </c>
    </row>
    <row r="223" spans="1:5" ht="15.75" customHeight="1" x14ac:dyDescent="0.2">
      <c r="A223" s="1">
        <v>37394</v>
      </c>
      <c r="B223" s="1" t="s">
        <v>600</v>
      </c>
      <c r="C223" s="1" t="s">
        <v>601</v>
      </c>
      <c r="D223" s="1">
        <v>2</v>
      </c>
      <c r="E223" s="1" t="s">
        <v>602</v>
      </c>
    </row>
    <row r="224" spans="1:5" ht="15.75" customHeight="1" x14ac:dyDescent="0.2">
      <c r="A224" s="1">
        <v>27272</v>
      </c>
      <c r="B224" s="1" t="s">
        <v>422</v>
      </c>
      <c r="C224" s="1" t="s">
        <v>603</v>
      </c>
      <c r="D224" s="1">
        <v>2</v>
      </c>
      <c r="E224" s="1" t="s">
        <v>604</v>
      </c>
    </row>
    <row r="225" spans="1:5" ht="15.75" customHeight="1" x14ac:dyDescent="0.2">
      <c r="A225" s="1">
        <v>36882</v>
      </c>
      <c r="B225" s="1" t="s">
        <v>153</v>
      </c>
      <c r="C225" s="1" t="s">
        <v>605</v>
      </c>
      <c r="D225" s="1">
        <v>2</v>
      </c>
      <c r="E225" s="1" t="s">
        <v>606</v>
      </c>
    </row>
    <row r="226" spans="1:5" ht="15.75" customHeight="1" x14ac:dyDescent="0.2">
      <c r="A226" s="1">
        <v>15277</v>
      </c>
      <c r="B226" s="1" t="s">
        <v>172</v>
      </c>
      <c r="C226" s="1" t="s">
        <v>607</v>
      </c>
      <c r="D226" s="1">
        <v>2</v>
      </c>
      <c r="E226" s="1" t="s">
        <v>608</v>
      </c>
    </row>
    <row r="227" spans="1:5" ht="15.75" customHeight="1" x14ac:dyDescent="0.2">
      <c r="A227" s="1">
        <v>36188</v>
      </c>
      <c r="B227" s="1" t="s">
        <v>609</v>
      </c>
      <c r="C227" s="1" t="s">
        <v>610</v>
      </c>
      <c r="D227" s="1">
        <v>2</v>
      </c>
      <c r="E227" s="1" t="s">
        <v>611</v>
      </c>
    </row>
    <row r="228" spans="1:5" ht="15.75" customHeight="1" x14ac:dyDescent="0.2">
      <c r="A228" s="1">
        <v>16861</v>
      </c>
      <c r="B228" s="1" t="s">
        <v>405</v>
      </c>
      <c r="C228" s="1" t="s">
        <v>612</v>
      </c>
      <c r="D228" s="1">
        <v>2</v>
      </c>
      <c r="E228" s="1" t="s">
        <v>613</v>
      </c>
    </row>
    <row r="229" spans="1:5" ht="15.75" customHeight="1" x14ac:dyDescent="0.2">
      <c r="A229" s="1">
        <v>18466</v>
      </c>
      <c r="B229" s="1" t="s">
        <v>259</v>
      </c>
      <c r="C229" s="1" t="s">
        <v>614</v>
      </c>
      <c r="D229" s="1">
        <v>1</v>
      </c>
      <c r="E229" s="1" t="s">
        <v>615</v>
      </c>
    </row>
    <row r="230" spans="1:5" ht="15.75" customHeight="1" x14ac:dyDescent="0.2">
      <c r="A230" s="1">
        <v>46422</v>
      </c>
      <c r="B230" s="1" t="s">
        <v>90</v>
      </c>
      <c r="C230" s="1" t="s">
        <v>616</v>
      </c>
      <c r="D230" s="1">
        <v>2</v>
      </c>
      <c r="E230" s="1" t="s">
        <v>617</v>
      </c>
    </row>
    <row r="231" spans="1:5" ht="15.75" customHeight="1" x14ac:dyDescent="0.2">
      <c r="A231" s="1">
        <v>29530</v>
      </c>
      <c r="B231" s="1" t="s">
        <v>618</v>
      </c>
      <c r="C231" s="1" t="s">
        <v>619</v>
      </c>
      <c r="D231" s="1">
        <v>1</v>
      </c>
      <c r="E231" s="1" t="s">
        <v>620</v>
      </c>
    </row>
    <row r="232" spans="1:5" ht="15.75" customHeight="1" x14ac:dyDescent="0.2">
      <c r="A232" s="1">
        <v>38002</v>
      </c>
      <c r="B232" s="1" t="s">
        <v>32</v>
      </c>
      <c r="C232" s="1" t="s">
        <v>621</v>
      </c>
      <c r="D232" s="1">
        <v>1</v>
      </c>
      <c r="E232" s="1" t="s">
        <v>622</v>
      </c>
    </row>
    <row r="233" spans="1:5" ht="15.75" customHeight="1" x14ac:dyDescent="0.2">
      <c r="A233" s="1">
        <v>763</v>
      </c>
      <c r="B233" s="1" t="s">
        <v>103</v>
      </c>
      <c r="C233" s="1" t="s">
        <v>623</v>
      </c>
      <c r="D233" s="1">
        <v>2</v>
      </c>
      <c r="E233" s="1" t="s">
        <v>624</v>
      </c>
    </row>
    <row r="234" spans="1:5" ht="15.75" customHeight="1" x14ac:dyDescent="0.2">
      <c r="A234" s="1">
        <v>42216</v>
      </c>
      <c r="B234" s="1" t="s">
        <v>625</v>
      </c>
      <c r="C234" s="1" t="s">
        <v>626</v>
      </c>
      <c r="D234" s="1">
        <v>2</v>
      </c>
      <c r="E234" s="1" t="s">
        <v>627</v>
      </c>
    </row>
    <row r="235" spans="1:5" ht="15.75" customHeight="1" x14ac:dyDescent="0.2">
      <c r="A235" s="1">
        <v>3108</v>
      </c>
      <c r="B235" s="1" t="s">
        <v>385</v>
      </c>
      <c r="C235" s="1" t="s">
        <v>628</v>
      </c>
      <c r="D235" s="1">
        <v>2</v>
      </c>
      <c r="E235" s="1" t="s">
        <v>629</v>
      </c>
    </row>
    <row r="236" spans="1:5" ht="15.75" customHeight="1" x14ac:dyDescent="0.2">
      <c r="A236" s="1">
        <v>71257</v>
      </c>
      <c r="B236" s="1" t="s">
        <v>307</v>
      </c>
      <c r="C236" s="1" t="s">
        <v>630</v>
      </c>
      <c r="D236" s="1">
        <v>2</v>
      </c>
      <c r="E236" s="1" t="s">
        <v>631</v>
      </c>
    </row>
    <row r="237" spans="1:5" ht="15.75" customHeight="1" x14ac:dyDescent="0.2">
      <c r="A237" s="1">
        <v>19223</v>
      </c>
      <c r="B237" s="1" t="s">
        <v>354</v>
      </c>
      <c r="C237" s="1" t="s">
        <v>632</v>
      </c>
      <c r="D237" s="1">
        <v>2</v>
      </c>
      <c r="E237" s="1" t="s">
        <v>633</v>
      </c>
    </row>
    <row r="238" spans="1:5" ht="15.75" customHeight="1" x14ac:dyDescent="0.2">
      <c r="A238" s="1">
        <v>33961</v>
      </c>
      <c r="B238" s="1" t="s">
        <v>135</v>
      </c>
      <c r="C238" s="1" t="s">
        <v>634</v>
      </c>
      <c r="D238" s="1">
        <v>1</v>
      </c>
      <c r="E238" s="1" t="s">
        <v>635</v>
      </c>
    </row>
    <row r="239" spans="1:5" ht="15.75" customHeight="1" x14ac:dyDescent="0.2">
      <c r="A239" s="1">
        <v>21568</v>
      </c>
      <c r="B239" s="1" t="s">
        <v>636</v>
      </c>
      <c r="C239" s="1" t="s">
        <v>637</v>
      </c>
      <c r="D239" s="1">
        <v>2</v>
      </c>
      <c r="E239" s="1" t="s">
        <v>638</v>
      </c>
    </row>
    <row r="240" spans="1:5" ht="15.75" customHeight="1" x14ac:dyDescent="0.2">
      <c r="A240" s="1">
        <v>41228</v>
      </c>
      <c r="B240" s="1" t="s">
        <v>639</v>
      </c>
      <c r="C240" s="1" t="s">
        <v>640</v>
      </c>
      <c r="D240" s="1">
        <v>2</v>
      </c>
      <c r="E240" s="1" t="s">
        <v>641</v>
      </c>
    </row>
    <row r="241" spans="1:5" ht="15.75" customHeight="1" x14ac:dyDescent="0.2">
      <c r="A241" s="1">
        <v>40806</v>
      </c>
      <c r="B241" s="1" t="s">
        <v>642</v>
      </c>
      <c r="C241" s="1" t="s">
        <v>643</v>
      </c>
      <c r="D241" s="1">
        <v>2</v>
      </c>
      <c r="E241" s="1" t="s">
        <v>644</v>
      </c>
    </row>
    <row r="242" spans="1:5" ht="15.75" customHeight="1" x14ac:dyDescent="0.2">
      <c r="A242" s="1">
        <v>63737</v>
      </c>
      <c r="B242" s="1" t="s">
        <v>14</v>
      </c>
      <c r="C242" s="1" t="s">
        <v>645</v>
      </c>
      <c r="D242" s="1">
        <v>1</v>
      </c>
      <c r="E242" s="1" t="s">
        <v>646</v>
      </c>
    </row>
    <row r="243" spans="1:5" ht="15.75" customHeight="1" x14ac:dyDescent="0.2">
      <c r="A243" s="1">
        <v>5568</v>
      </c>
      <c r="B243" s="1" t="s">
        <v>159</v>
      </c>
      <c r="C243" s="1" t="s">
        <v>647</v>
      </c>
      <c r="D243" s="1">
        <v>2</v>
      </c>
      <c r="E243" s="1" t="s">
        <v>648</v>
      </c>
    </row>
    <row r="244" spans="1:5" ht="15.75" customHeight="1" x14ac:dyDescent="0.2">
      <c r="A244" s="1">
        <v>25506</v>
      </c>
      <c r="B244" s="1" t="s">
        <v>649</v>
      </c>
      <c r="C244" s="1" t="s">
        <v>650</v>
      </c>
      <c r="D244" s="1">
        <v>2</v>
      </c>
      <c r="E244" s="1" t="s">
        <v>651</v>
      </c>
    </row>
    <row r="245" spans="1:5" ht="15.75" customHeight="1" x14ac:dyDescent="0.2">
      <c r="A245" s="1">
        <v>51927</v>
      </c>
      <c r="B245" s="1" t="s">
        <v>268</v>
      </c>
      <c r="C245" s="1" t="s">
        <v>652</v>
      </c>
      <c r="D245" s="1">
        <v>2</v>
      </c>
      <c r="E245" s="1" t="s">
        <v>653</v>
      </c>
    </row>
    <row r="246" spans="1:5" ht="15.75" customHeight="1" x14ac:dyDescent="0.2">
      <c r="A246" s="1">
        <v>39447</v>
      </c>
      <c r="B246" s="1" t="s">
        <v>552</v>
      </c>
      <c r="C246" s="1" t="s">
        <v>654</v>
      </c>
      <c r="D246" s="1">
        <v>2</v>
      </c>
      <c r="E246" s="1" t="s">
        <v>655</v>
      </c>
    </row>
    <row r="247" spans="1:5" ht="15.75" customHeight="1" x14ac:dyDescent="0.2">
      <c r="A247" s="1">
        <v>71384</v>
      </c>
      <c r="B247" s="1" t="s">
        <v>656</v>
      </c>
      <c r="C247" s="1" t="s">
        <v>657</v>
      </c>
      <c r="D247" s="1">
        <v>2</v>
      </c>
      <c r="E247" s="1" t="s">
        <v>658</v>
      </c>
    </row>
    <row r="248" spans="1:5" ht="15.75" customHeight="1" x14ac:dyDescent="0.2">
      <c r="A248" s="1">
        <v>55048</v>
      </c>
      <c r="B248" s="1" t="s">
        <v>659</v>
      </c>
      <c r="C248" s="1" t="s">
        <v>660</v>
      </c>
      <c r="D248" s="1">
        <v>2</v>
      </c>
      <c r="E248" s="1" t="s">
        <v>661</v>
      </c>
    </row>
    <row r="249" spans="1:5" ht="15.75" customHeight="1" x14ac:dyDescent="0.2">
      <c r="A249" s="1">
        <v>71586</v>
      </c>
      <c r="B249" s="1" t="s">
        <v>44</v>
      </c>
      <c r="C249" s="1" t="s">
        <v>662</v>
      </c>
      <c r="D249" s="1">
        <v>2</v>
      </c>
      <c r="E249" s="1" t="s">
        <v>663</v>
      </c>
    </row>
    <row r="250" spans="1:5" ht="15.75" customHeight="1" x14ac:dyDescent="0.2">
      <c r="A250" s="1">
        <v>38176</v>
      </c>
      <c r="B250" s="1" t="s">
        <v>32</v>
      </c>
      <c r="C250" s="1" t="s">
        <v>664</v>
      </c>
      <c r="D250" s="1">
        <v>1</v>
      </c>
      <c r="E250" s="1" t="s">
        <v>665</v>
      </c>
    </row>
    <row r="251" spans="1:5" ht="15.75" customHeight="1" x14ac:dyDescent="0.2">
      <c r="A251" s="1">
        <v>22718</v>
      </c>
      <c r="B251" s="1" t="s">
        <v>666</v>
      </c>
      <c r="C251" s="1" t="s">
        <v>667</v>
      </c>
      <c r="D251" s="1">
        <v>1</v>
      </c>
      <c r="E251" s="1" t="s">
        <v>668</v>
      </c>
    </row>
    <row r="252" spans="1:5" ht="15.75" customHeight="1" x14ac:dyDescent="0.2">
      <c r="A252" s="1">
        <v>56873</v>
      </c>
      <c r="B252" s="1" t="s">
        <v>354</v>
      </c>
      <c r="C252" s="1" t="s">
        <v>669</v>
      </c>
      <c r="D252" s="1">
        <v>2</v>
      </c>
      <c r="E252" s="1" t="s">
        <v>670</v>
      </c>
    </row>
    <row r="253" spans="1:5" ht="15.75" customHeight="1" x14ac:dyDescent="0.2">
      <c r="A253" s="1">
        <v>14351</v>
      </c>
      <c r="B253" s="1" t="s">
        <v>671</v>
      </c>
      <c r="C253" s="1" t="s">
        <v>672</v>
      </c>
      <c r="D253" s="1">
        <v>2</v>
      </c>
      <c r="E253" s="1" t="s">
        <v>673</v>
      </c>
    </row>
    <row r="254" spans="1:5" ht="15.75" customHeight="1" x14ac:dyDescent="0.2">
      <c r="A254" s="1">
        <v>25818</v>
      </c>
      <c r="B254" s="1" t="s">
        <v>405</v>
      </c>
      <c r="C254" s="1" t="s">
        <v>674</v>
      </c>
      <c r="D254" s="1">
        <v>2</v>
      </c>
      <c r="E254" s="1" t="s">
        <v>675</v>
      </c>
    </row>
    <row r="255" spans="1:5" ht="15.75" customHeight="1" x14ac:dyDescent="0.2">
      <c r="A255" s="1">
        <v>19017</v>
      </c>
      <c r="B255" s="1" t="s">
        <v>656</v>
      </c>
      <c r="C255" s="1" t="s">
        <v>676</v>
      </c>
      <c r="D255" s="1">
        <v>2</v>
      </c>
      <c r="E255" s="1" t="s">
        <v>677</v>
      </c>
    </row>
    <row r="256" spans="1:5" ht="15.75" customHeight="1" x14ac:dyDescent="0.2">
      <c r="A256" s="1">
        <v>52251</v>
      </c>
      <c r="B256" s="1" t="s">
        <v>678</v>
      </c>
      <c r="C256" s="1" t="s">
        <v>679</v>
      </c>
      <c r="D256" s="1">
        <v>1</v>
      </c>
      <c r="E256" s="1" t="s">
        <v>680</v>
      </c>
    </row>
    <row r="257" spans="1:5" ht="15.75" customHeight="1" x14ac:dyDescent="0.2">
      <c r="A257" s="1">
        <v>31248</v>
      </c>
      <c r="B257" s="1" t="s">
        <v>656</v>
      </c>
      <c r="C257" s="1" t="s">
        <v>681</v>
      </c>
      <c r="D257" s="1">
        <v>2</v>
      </c>
      <c r="E257" s="1" t="s">
        <v>682</v>
      </c>
    </row>
    <row r="258" spans="1:5" ht="15.75" customHeight="1" x14ac:dyDescent="0.2">
      <c r="A258" s="1">
        <v>6665</v>
      </c>
      <c r="B258" s="1" t="s">
        <v>524</v>
      </c>
      <c r="C258" s="1" t="s">
        <v>683</v>
      </c>
      <c r="D258" s="1">
        <v>2</v>
      </c>
      <c r="E258" s="1" t="s">
        <v>684</v>
      </c>
    </row>
    <row r="259" spans="1:5" ht="15.75" customHeight="1" x14ac:dyDescent="0.2">
      <c r="A259" s="1">
        <v>22016</v>
      </c>
      <c r="B259" s="1" t="s">
        <v>172</v>
      </c>
      <c r="C259" s="1" t="s">
        <v>685</v>
      </c>
      <c r="D259" s="1">
        <v>2</v>
      </c>
      <c r="E259" s="1" t="s">
        <v>686</v>
      </c>
    </row>
    <row r="260" spans="1:5" ht="15.75" customHeight="1" x14ac:dyDescent="0.2">
      <c r="A260" s="1">
        <v>785</v>
      </c>
      <c r="B260" s="1" t="s">
        <v>687</v>
      </c>
      <c r="C260" s="1" t="s">
        <v>688</v>
      </c>
      <c r="D260" s="1">
        <v>1</v>
      </c>
      <c r="E260" s="1" t="s">
        <v>689</v>
      </c>
    </row>
    <row r="261" spans="1:5" ht="15.75" customHeight="1" x14ac:dyDescent="0.2">
      <c r="A261" s="1">
        <v>24309</v>
      </c>
      <c r="B261" s="1" t="s">
        <v>144</v>
      </c>
      <c r="C261" s="1" t="s">
        <v>690</v>
      </c>
      <c r="D261" s="1">
        <v>1</v>
      </c>
      <c r="E261" s="1" t="s">
        <v>691</v>
      </c>
    </row>
    <row r="262" spans="1:5" ht="15.75" customHeight="1" x14ac:dyDescent="0.2">
      <c r="A262" s="1">
        <v>14994</v>
      </c>
      <c r="B262" s="1" t="s">
        <v>315</v>
      </c>
      <c r="C262" s="1" t="s">
        <v>692</v>
      </c>
      <c r="D262" s="1">
        <v>2</v>
      </c>
      <c r="E262" s="1" t="s">
        <v>693</v>
      </c>
    </row>
    <row r="263" spans="1:5" ht="15.75" customHeight="1" x14ac:dyDescent="0.2">
      <c r="A263" s="1">
        <v>2087</v>
      </c>
      <c r="B263" s="1" t="s">
        <v>138</v>
      </c>
      <c r="C263" s="1" t="s">
        <v>694</v>
      </c>
      <c r="D263" s="1">
        <v>2</v>
      </c>
      <c r="E263" s="1" t="s">
        <v>695</v>
      </c>
    </row>
    <row r="264" spans="1:5" ht="15.75" customHeight="1" x14ac:dyDescent="0.2">
      <c r="A264" s="1">
        <v>8286</v>
      </c>
      <c r="B264" s="1" t="s">
        <v>696</v>
      </c>
      <c r="C264" s="1" t="s">
        <v>697</v>
      </c>
      <c r="D264" s="1">
        <v>2</v>
      </c>
      <c r="E264" s="1" t="s">
        <v>698</v>
      </c>
    </row>
    <row r="265" spans="1:5" ht="15.75" customHeight="1" x14ac:dyDescent="0.2">
      <c r="A265" s="1">
        <v>70750</v>
      </c>
      <c r="B265" s="1" t="s">
        <v>326</v>
      </c>
      <c r="C265" s="1" t="s">
        <v>699</v>
      </c>
      <c r="D265" s="1">
        <v>2</v>
      </c>
      <c r="E265" s="1" t="s">
        <v>700</v>
      </c>
    </row>
    <row r="266" spans="1:5" ht="15.75" customHeight="1" x14ac:dyDescent="0.2">
      <c r="A266" s="1">
        <v>39894</v>
      </c>
      <c r="B266" s="1" t="s">
        <v>701</v>
      </c>
      <c r="C266" s="1" t="s">
        <v>702</v>
      </c>
      <c r="D266" s="1">
        <v>2</v>
      </c>
      <c r="E266" s="1" t="s">
        <v>703</v>
      </c>
    </row>
    <row r="267" spans="1:5" ht="15.75" customHeight="1" x14ac:dyDescent="0.2">
      <c r="A267" s="1">
        <v>48531</v>
      </c>
      <c r="B267" s="1" t="s">
        <v>405</v>
      </c>
      <c r="C267" s="1" t="s">
        <v>704</v>
      </c>
      <c r="D267" s="1">
        <v>2</v>
      </c>
      <c r="E267" s="1" t="s">
        <v>705</v>
      </c>
    </row>
    <row r="268" spans="1:5" ht="15.75" customHeight="1" x14ac:dyDescent="0.2">
      <c r="A268" s="1">
        <v>21607</v>
      </c>
      <c r="B268" s="1" t="s">
        <v>706</v>
      </c>
      <c r="C268" s="1" t="s">
        <v>707</v>
      </c>
      <c r="D268" s="1">
        <v>2</v>
      </c>
      <c r="E268" s="1" t="s">
        <v>708</v>
      </c>
    </row>
    <row r="269" spans="1:5" ht="15.75" customHeight="1" x14ac:dyDescent="0.2">
      <c r="A269" s="1">
        <v>33710</v>
      </c>
      <c r="B269" s="1" t="s">
        <v>225</v>
      </c>
      <c r="C269" s="1" t="s">
        <v>709</v>
      </c>
      <c r="D269" s="1">
        <v>2</v>
      </c>
      <c r="E269" s="1" t="s">
        <v>710</v>
      </c>
    </row>
    <row r="270" spans="1:5" ht="15.75" customHeight="1" x14ac:dyDescent="0.2">
      <c r="A270" s="1">
        <v>26450</v>
      </c>
      <c r="B270" s="1" t="s">
        <v>571</v>
      </c>
      <c r="C270" s="1" t="s">
        <v>711</v>
      </c>
      <c r="D270" s="1">
        <v>1</v>
      </c>
      <c r="E270" s="1" t="s">
        <v>712</v>
      </c>
    </row>
    <row r="271" spans="1:5" ht="15.75" customHeight="1" x14ac:dyDescent="0.2">
      <c r="A271" s="1">
        <v>65696</v>
      </c>
      <c r="B271" s="1" t="s">
        <v>713</v>
      </c>
      <c r="C271" s="1" t="s">
        <v>714</v>
      </c>
      <c r="D271" s="1">
        <v>2</v>
      </c>
      <c r="E271" s="1" t="s">
        <v>715</v>
      </c>
    </row>
    <row r="272" spans="1:5" ht="15.75" customHeight="1" x14ac:dyDescent="0.2">
      <c r="A272" s="1">
        <v>25541</v>
      </c>
      <c r="B272" s="1" t="s">
        <v>298</v>
      </c>
      <c r="C272" s="1" t="s">
        <v>716</v>
      </c>
      <c r="D272" s="1">
        <v>2</v>
      </c>
      <c r="E272" s="1" t="s">
        <v>717</v>
      </c>
    </row>
    <row r="273" spans="1:5" ht="15.75" customHeight="1" x14ac:dyDescent="0.2">
      <c r="A273" s="1">
        <v>12823</v>
      </c>
      <c r="B273" s="1" t="s">
        <v>35</v>
      </c>
      <c r="C273" s="1" t="s">
        <v>718</v>
      </c>
      <c r="D273" s="1">
        <v>2</v>
      </c>
      <c r="E273" s="1" t="s">
        <v>719</v>
      </c>
    </row>
    <row r="274" spans="1:5" ht="15.75" customHeight="1" x14ac:dyDescent="0.2">
      <c r="A274" s="1">
        <v>18235</v>
      </c>
      <c r="B274" s="1" t="s">
        <v>720</v>
      </c>
      <c r="C274" s="1" t="s">
        <v>721</v>
      </c>
      <c r="D274" s="1">
        <v>2</v>
      </c>
      <c r="E274" s="1" t="s">
        <v>722</v>
      </c>
    </row>
    <row r="275" spans="1:5" ht="15.75" customHeight="1" x14ac:dyDescent="0.2">
      <c r="A275" s="1">
        <v>31352</v>
      </c>
      <c r="B275" s="1" t="s">
        <v>723</v>
      </c>
      <c r="C275" s="1" t="s">
        <v>724</v>
      </c>
      <c r="D275" s="1">
        <v>2</v>
      </c>
      <c r="E275" s="1" t="s">
        <v>725</v>
      </c>
    </row>
    <row r="276" spans="1:5" ht="15.75" customHeight="1" x14ac:dyDescent="0.2">
      <c r="A276" s="1">
        <v>40659</v>
      </c>
      <c r="B276" s="1" t="s">
        <v>87</v>
      </c>
      <c r="C276" s="1" t="s">
        <v>726</v>
      </c>
      <c r="D276" s="1">
        <v>2</v>
      </c>
      <c r="E276" s="1" t="s">
        <v>727</v>
      </c>
    </row>
    <row r="277" spans="1:5" ht="15.75" customHeight="1" x14ac:dyDescent="0.2">
      <c r="A277" s="1">
        <v>70647</v>
      </c>
      <c r="B277" s="1" t="s">
        <v>728</v>
      </c>
      <c r="C277" s="1" t="s">
        <v>729</v>
      </c>
      <c r="D277" s="1">
        <v>2</v>
      </c>
      <c r="E277" s="1" t="s">
        <v>730</v>
      </c>
    </row>
    <row r="278" spans="1:5" ht="15.75" customHeight="1" x14ac:dyDescent="0.2">
      <c r="A278" s="1">
        <v>15989</v>
      </c>
      <c r="B278" s="1" t="s">
        <v>731</v>
      </c>
      <c r="C278" s="1" t="s">
        <v>732</v>
      </c>
      <c r="D278" s="1">
        <v>2</v>
      </c>
      <c r="E278" s="1" t="s">
        <v>733</v>
      </c>
    </row>
    <row r="279" spans="1:5" ht="15.75" customHeight="1" x14ac:dyDescent="0.2">
      <c r="A279" s="1">
        <v>14514</v>
      </c>
      <c r="B279" s="1" t="s">
        <v>61</v>
      </c>
      <c r="C279" s="1" t="s">
        <v>734</v>
      </c>
      <c r="D279" s="1">
        <v>2</v>
      </c>
      <c r="E279" s="1" t="s">
        <v>735</v>
      </c>
    </row>
    <row r="280" spans="1:5" ht="15.75" customHeight="1" x14ac:dyDescent="0.2">
      <c r="A280" s="1">
        <v>67257</v>
      </c>
      <c r="B280" s="1" t="s">
        <v>736</v>
      </c>
      <c r="C280" s="1" t="s">
        <v>737</v>
      </c>
      <c r="D280" s="1">
        <v>2</v>
      </c>
      <c r="E280" s="1" t="s">
        <v>738</v>
      </c>
    </row>
    <row r="281" spans="1:5" ht="15.75" customHeight="1" x14ac:dyDescent="0.2">
      <c r="A281" s="1">
        <v>39112</v>
      </c>
      <c r="B281" s="1" t="s">
        <v>408</v>
      </c>
      <c r="C281" s="1" t="s">
        <v>739</v>
      </c>
      <c r="D281" s="1">
        <v>2</v>
      </c>
      <c r="E281" s="1" t="s">
        <v>740</v>
      </c>
    </row>
    <row r="282" spans="1:5" ht="15.75" customHeight="1" x14ac:dyDescent="0.2">
      <c r="A282" s="1">
        <v>67316</v>
      </c>
      <c r="B282" s="1" t="s">
        <v>336</v>
      </c>
      <c r="C282" s="1" t="s">
        <v>741</v>
      </c>
      <c r="D282" s="1">
        <v>2</v>
      </c>
      <c r="E282" s="1" t="s">
        <v>742</v>
      </c>
    </row>
    <row r="283" spans="1:5" ht="15.75" customHeight="1" x14ac:dyDescent="0.2">
      <c r="A283" s="1">
        <v>44125</v>
      </c>
      <c r="B283" s="1" t="s">
        <v>276</v>
      </c>
      <c r="C283" s="1" t="s">
        <v>743</v>
      </c>
      <c r="D283" s="1">
        <v>1</v>
      </c>
      <c r="E283" s="1" t="s">
        <v>744</v>
      </c>
    </row>
    <row r="284" spans="1:5" ht="15.75" customHeight="1" x14ac:dyDescent="0.2">
      <c r="A284" s="1">
        <v>39663</v>
      </c>
      <c r="B284" s="1" t="s">
        <v>745</v>
      </c>
      <c r="C284" s="1" t="s">
        <v>746</v>
      </c>
      <c r="D284" s="1">
        <v>1</v>
      </c>
      <c r="E284" s="1" t="s">
        <v>747</v>
      </c>
    </row>
    <row r="285" spans="1:5" ht="15.75" customHeight="1" x14ac:dyDescent="0.2">
      <c r="A285" s="1">
        <v>43373</v>
      </c>
      <c r="B285" s="1" t="s">
        <v>748</v>
      </c>
      <c r="C285" s="1" t="s">
        <v>749</v>
      </c>
      <c r="D285" s="1">
        <v>2</v>
      </c>
      <c r="E285" s="1" t="s">
        <v>750</v>
      </c>
    </row>
    <row r="286" spans="1:5" ht="15.75" customHeight="1" x14ac:dyDescent="0.2">
      <c r="A286" s="1">
        <v>8598</v>
      </c>
      <c r="B286" s="1" t="s">
        <v>751</v>
      </c>
      <c r="C286" s="1" t="s">
        <v>752</v>
      </c>
      <c r="D286" s="1">
        <v>1</v>
      </c>
      <c r="E286" s="1" t="s">
        <v>753</v>
      </c>
    </row>
    <row r="287" spans="1:5" ht="15.75" customHeight="1" x14ac:dyDescent="0.2">
      <c r="A287" s="1">
        <v>15433</v>
      </c>
      <c r="B287" s="1" t="s">
        <v>600</v>
      </c>
      <c r="C287" s="1" t="s">
        <v>754</v>
      </c>
      <c r="D287" s="1">
        <v>1</v>
      </c>
      <c r="E287" s="1" t="s">
        <v>755</v>
      </c>
    </row>
    <row r="288" spans="1:5" ht="15.75" customHeight="1" x14ac:dyDescent="0.2">
      <c r="A288" s="1">
        <v>354</v>
      </c>
      <c r="B288" s="1" t="s">
        <v>244</v>
      </c>
      <c r="C288" s="1" t="s">
        <v>756</v>
      </c>
      <c r="D288" s="1">
        <v>2</v>
      </c>
      <c r="E288" s="1" t="s">
        <v>757</v>
      </c>
    </row>
    <row r="289" spans="1:5" ht="15.75" customHeight="1" x14ac:dyDescent="0.2">
      <c r="A289" s="1">
        <v>21657</v>
      </c>
      <c r="B289" s="1" t="s">
        <v>95</v>
      </c>
      <c r="C289" s="1" t="s">
        <v>758</v>
      </c>
      <c r="D289" s="1">
        <v>2</v>
      </c>
      <c r="E289" s="1" t="s">
        <v>759</v>
      </c>
    </row>
    <row r="290" spans="1:5" ht="15.75" customHeight="1" x14ac:dyDescent="0.2">
      <c r="A290" s="1">
        <v>49259</v>
      </c>
      <c r="B290" s="1" t="s">
        <v>336</v>
      </c>
      <c r="C290" s="1" t="s">
        <v>760</v>
      </c>
      <c r="D290" s="1">
        <v>2</v>
      </c>
      <c r="E290" s="1" t="s">
        <v>761</v>
      </c>
    </row>
    <row r="291" spans="1:5" ht="15.75" customHeight="1" x14ac:dyDescent="0.2">
      <c r="A291" s="1">
        <v>67580</v>
      </c>
      <c r="B291" s="1" t="s">
        <v>527</v>
      </c>
      <c r="C291" s="1" t="s">
        <v>762</v>
      </c>
      <c r="D291" s="1">
        <v>1</v>
      </c>
      <c r="E291" s="1" t="s">
        <v>763</v>
      </c>
    </row>
    <row r="292" spans="1:5" ht="15.75" customHeight="1" x14ac:dyDescent="0.2">
      <c r="A292" s="1">
        <v>59904</v>
      </c>
      <c r="B292" s="1" t="s">
        <v>701</v>
      </c>
      <c r="C292" s="1" t="s">
        <v>764</v>
      </c>
      <c r="D292" s="1">
        <v>2</v>
      </c>
      <c r="E292" s="1" t="s">
        <v>765</v>
      </c>
    </row>
    <row r="293" spans="1:5" ht="15.75" customHeight="1" x14ac:dyDescent="0.2">
      <c r="A293" s="1">
        <v>29861</v>
      </c>
      <c r="B293" s="1" t="s">
        <v>307</v>
      </c>
      <c r="C293" s="1" t="s">
        <v>766</v>
      </c>
      <c r="D293" s="1">
        <v>2</v>
      </c>
      <c r="E293" s="1" t="s">
        <v>767</v>
      </c>
    </row>
    <row r="294" spans="1:5" ht="15.75" customHeight="1" x14ac:dyDescent="0.2">
      <c r="A294" s="1">
        <v>41704</v>
      </c>
      <c r="B294" s="1" t="s">
        <v>768</v>
      </c>
      <c r="C294" s="1" t="s">
        <v>769</v>
      </c>
      <c r="D294" s="1">
        <v>1</v>
      </c>
      <c r="E294" s="1" t="s">
        <v>770</v>
      </c>
    </row>
    <row r="295" spans="1:5" ht="15.75" customHeight="1" x14ac:dyDescent="0.2">
      <c r="A295" s="1">
        <v>19361</v>
      </c>
      <c r="B295" s="1" t="s">
        <v>32</v>
      </c>
      <c r="C295" s="1" t="s">
        <v>771</v>
      </c>
      <c r="D295" s="1">
        <v>1</v>
      </c>
      <c r="E295" s="1" t="s">
        <v>772</v>
      </c>
    </row>
    <row r="296" spans="1:5" ht="15.75" customHeight="1" x14ac:dyDescent="0.2">
      <c r="A296" s="1">
        <v>41593</v>
      </c>
      <c r="B296" s="1" t="s">
        <v>172</v>
      </c>
      <c r="C296" s="1" t="s">
        <v>773</v>
      </c>
      <c r="D296" s="1">
        <v>2</v>
      </c>
      <c r="E296" s="1" t="s">
        <v>774</v>
      </c>
    </row>
    <row r="297" spans="1:5" ht="15.75" customHeight="1" x14ac:dyDescent="0.2">
      <c r="A297" s="1">
        <v>62373</v>
      </c>
      <c r="B297" s="1" t="s">
        <v>244</v>
      </c>
      <c r="C297" s="1" t="s">
        <v>775</v>
      </c>
      <c r="D297" s="1">
        <v>2</v>
      </c>
      <c r="E297" s="1" t="s">
        <v>776</v>
      </c>
    </row>
    <row r="298" spans="1:5" ht="15.75" customHeight="1" x14ac:dyDescent="0.2">
      <c r="A298" s="1">
        <v>3819</v>
      </c>
      <c r="B298" s="1" t="s">
        <v>144</v>
      </c>
      <c r="C298" s="1" t="s">
        <v>777</v>
      </c>
      <c r="D298" s="1">
        <v>2</v>
      </c>
      <c r="E298" s="1" t="s">
        <v>778</v>
      </c>
    </row>
    <row r="299" spans="1:5" ht="15.75" customHeight="1" x14ac:dyDescent="0.2">
      <c r="A299" s="1">
        <v>32606</v>
      </c>
      <c r="B299" s="1" t="s">
        <v>594</v>
      </c>
      <c r="C299" s="1" t="s">
        <v>779</v>
      </c>
      <c r="D299" s="1">
        <v>1</v>
      </c>
      <c r="E299" s="1" t="s">
        <v>780</v>
      </c>
    </row>
    <row r="300" spans="1:5" ht="15.75" customHeight="1" x14ac:dyDescent="0.2">
      <c r="A300" s="1">
        <v>6705</v>
      </c>
      <c r="B300" s="1" t="s">
        <v>781</v>
      </c>
      <c r="C300" s="1" t="s">
        <v>782</v>
      </c>
      <c r="D300" s="1">
        <v>1</v>
      </c>
      <c r="E300" s="1" t="s">
        <v>783</v>
      </c>
    </row>
    <row r="301" spans="1:5" ht="15.75" customHeight="1" x14ac:dyDescent="0.2">
      <c r="A301" s="1">
        <v>40824</v>
      </c>
      <c r="B301" s="1" t="s">
        <v>167</v>
      </c>
      <c r="C301" s="1" t="s">
        <v>784</v>
      </c>
      <c r="D301" s="1">
        <v>1</v>
      </c>
      <c r="E301" s="1" t="s">
        <v>785</v>
      </c>
    </row>
    <row r="302" spans="1:5" ht="15.75" customHeight="1" x14ac:dyDescent="0.2">
      <c r="A302" s="1">
        <v>49364</v>
      </c>
      <c r="B302" s="1" t="s">
        <v>786</v>
      </c>
      <c r="C302" s="1" t="s">
        <v>787</v>
      </c>
      <c r="D302" s="1">
        <v>2</v>
      </c>
      <c r="E302" s="1" t="s">
        <v>788</v>
      </c>
    </row>
    <row r="303" spans="1:5" ht="15.75" customHeight="1" x14ac:dyDescent="0.2">
      <c r="A303" s="1">
        <v>4331</v>
      </c>
      <c r="B303" s="1" t="s">
        <v>90</v>
      </c>
      <c r="C303" s="1" t="s">
        <v>789</v>
      </c>
      <c r="D303" s="1">
        <v>2</v>
      </c>
      <c r="E303" s="1" t="s">
        <v>790</v>
      </c>
    </row>
    <row r="304" spans="1:5" ht="15.75" customHeight="1" x14ac:dyDescent="0.2">
      <c r="A304" s="1">
        <v>3051</v>
      </c>
      <c r="B304" s="1" t="s">
        <v>791</v>
      </c>
      <c r="C304" s="1" t="s">
        <v>792</v>
      </c>
      <c r="D304" s="1">
        <v>2</v>
      </c>
      <c r="E304" s="1" t="s">
        <v>793</v>
      </c>
    </row>
    <row r="305" spans="1:5" ht="15.75" customHeight="1" x14ac:dyDescent="0.2">
      <c r="A305" s="1">
        <v>19713</v>
      </c>
      <c r="B305" s="1" t="s">
        <v>794</v>
      </c>
      <c r="C305" s="1" t="s">
        <v>795</v>
      </c>
      <c r="D305" s="1">
        <v>2</v>
      </c>
      <c r="E305" s="1" t="s">
        <v>796</v>
      </c>
    </row>
    <row r="306" spans="1:5" ht="15.75" customHeight="1" x14ac:dyDescent="0.2">
      <c r="A306" s="1">
        <v>40691</v>
      </c>
      <c r="B306" s="1" t="s">
        <v>797</v>
      </c>
      <c r="C306" s="1" t="s">
        <v>798</v>
      </c>
      <c r="D306" s="1">
        <v>2</v>
      </c>
      <c r="E306" s="1" t="s">
        <v>799</v>
      </c>
    </row>
    <row r="307" spans="1:5" ht="15.75" customHeight="1" x14ac:dyDescent="0.2">
      <c r="A307" s="1">
        <v>7255</v>
      </c>
      <c r="B307" s="1" t="s">
        <v>800</v>
      </c>
      <c r="C307" s="1" t="s">
        <v>801</v>
      </c>
      <c r="D307" s="1">
        <v>2</v>
      </c>
      <c r="E307" s="1" t="s">
        <v>802</v>
      </c>
    </row>
    <row r="308" spans="1:5" ht="15.75" customHeight="1" x14ac:dyDescent="0.2">
      <c r="A308" s="1">
        <v>29627</v>
      </c>
      <c r="B308" s="1" t="s">
        <v>180</v>
      </c>
      <c r="C308" s="1" t="s">
        <v>803</v>
      </c>
      <c r="D308" s="1">
        <v>2</v>
      </c>
      <c r="E308" s="1" t="s">
        <v>804</v>
      </c>
    </row>
    <row r="309" spans="1:5" ht="15.75" customHeight="1" x14ac:dyDescent="0.2">
      <c r="A309" s="1">
        <v>50147</v>
      </c>
      <c r="B309" s="1" t="s">
        <v>805</v>
      </c>
      <c r="C309" s="1" t="s">
        <v>806</v>
      </c>
      <c r="D309" s="1">
        <v>1</v>
      </c>
      <c r="E309" s="1" t="s">
        <v>807</v>
      </c>
    </row>
    <row r="310" spans="1:5" ht="15.75" customHeight="1" x14ac:dyDescent="0.2">
      <c r="A310" s="1">
        <v>29546</v>
      </c>
      <c r="B310" s="1" t="s">
        <v>808</v>
      </c>
      <c r="C310" s="1" t="s">
        <v>809</v>
      </c>
      <c r="D310" s="1">
        <v>2</v>
      </c>
      <c r="E310" s="1" t="s">
        <v>810</v>
      </c>
    </row>
    <row r="311" spans="1:5" ht="15.75" customHeight="1" x14ac:dyDescent="0.2">
      <c r="A311" s="1">
        <v>65070</v>
      </c>
      <c r="B311" s="1" t="s">
        <v>282</v>
      </c>
      <c r="C311" s="1" t="s">
        <v>811</v>
      </c>
      <c r="D311" s="1">
        <v>2</v>
      </c>
      <c r="E311" s="1" t="s">
        <v>812</v>
      </c>
    </row>
    <row r="312" spans="1:5" ht="15.75" customHeight="1" x14ac:dyDescent="0.2">
      <c r="A312" s="1">
        <v>26917</v>
      </c>
      <c r="B312" s="1" t="s">
        <v>254</v>
      </c>
      <c r="C312" s="1" t="s">
        <v>813</v>
      </c>
      <c r="D312" s="1">
        <v>2</v>
      </c>
      <c r="E312" s="1" t="s">
        <v>814</v>
      </c>
    </row>
    <row r="313" spans="1:5" ht="15.75" customHeight="1" x14ac:dyDescent="0.2">
      <c r="A313" s="1">
        <v>53858</v>
      </c>
      <c r="B313" s="1" t="s">
        <v>336</v>
      </c>
      <c r="C313" s="1" t="s">
        <v>815</v>
      </c>
      <c r="D313" s="1">
        <v>1</v>
      </c>
      <c r="E313" s="1" t="s">
        <v>816</v>
      </c>
    </row>
    <row r="314" spans="1:5" ht="15.75" customHeight="1" x14ac:dyDescent="0.2">
      <c r="A314" s="1">
        <v>51982</v>
      </c>
      <c r="B314" s="1" t="s">
        <v>188</v>
      </c>
      <c r="C314" s="1" t="s">
        <v>817</v>
      </c>
      <c r="D314" s="1">
        <v>1</v>
      </c>
      <c r="E314" s="1" t="s">
        <v>818</v>
      </c>
    </row>
    <row r="315" spans="1:5" ht="15.75" customHeight="1" x14ac:dyDescent="0.2">
      <c r="A315" s="1">
        <v>15014</v>
      </c>
      <c r="B315" s="1" t="s">
        <v>819</v>
      </c>
      <c r="C315" s="1" t="s">
        <v>820</v>
      </c>
      <c r="D315" s="1">
        <v>1</v>
      </c>
      <c r="E315" s="1" t="s">
        <v>821</v>
      </c>
    </row>
    <row r="316" spans="1:5" ht="15.75" customHeight="1" x14ac:dyDescent="0.2">
      <c r="A316" s="1">
        <v>64903</v>
      </c>
      <c r="B316" s="1" t="s">
        <v>32</v>
      </c>
      <c r="C316" s="1" t="s">
        <v>822</v>
      </c>
      <c r="D316" s="1">
        <v>1</v>
      </c>
      <c r="E316" s="1" t="s">
        <v>823</v>
      </c>
    </row>
    <row r="317" spans="1:5" ht="15.75" customHeight="1" x14ac:dyDescent="0.2">
      <c r="A317" s="1">
        <v>9424</v>
      </c>
      <c r="B317" s="1" t="s">
        <v>268</v>
      </c>
      <c r="C317" s="1" t="s">
        <v>824</v>
      </c>
      <c r="D317" s="1">
        <v>2</v>
      </c>
      <c r="E317" s="1" t="s">
        <v>825</v>
      </c>
    </row>
    <row r="318" spans="1:5" ht="15.75" customHeight="1" x14ac:dyDescent="0.2">
      <c r="A318" s="1">
        <v>43958</v>
      </c>
      <c r="B318" s="1" t="s">
        <v>32</v>
      </c>
      <c r="C318" s="1" t="s">
        <v>826</v>
      </c>
      <c r="D318" s="1">
        <v>1</v>
      </c>
      <c r="E318" s="1" t="s">
        <v>827</v>
      </c>
    </row>
    <row r="319" spans="1:5" ht="15.75" customHeight="1" x14ac:dyDescent="0.2">
      <c r="A319" s="1">
        <v>19098</v>
      </c>
      <c r="B319" s="1" t="s">
        <v>23</v>
      </c>
      <c r="C319" s="1" t="s">
        <v>828</v>
      </c>
      <c r="D319" s="1">
        <v>1</v>
      </c>
      <c r="E319" s="1" t="s">
        <v>829</v>
      </c>
    </row>
    <row r="320" spans="1:5" ht="15.75" customHeight="1" x14ac:dyDescent="0.2">
      <c r="A320" s="1">
        <v>21053</v>
      </c>
      <c r="B320" s="1" t="s">
        <v>38</v>
      </c>
      <c r="C320" s="1" t="s">
        <v>830</v>
      </c>
      <c r="D320" s="1">
        <v>2</v>
      </c>
      <c r="E320" s="1" t="s">
        <v>831</v>
      </c>
    </row>
    <row r="321" spans="1:5" ht="15.75" customHeight="1" x14ac:dyDescent="0.2">
      <c r="A321" s="1">
        <v>2082</v>
      </c>
      <c r="B321" s="1" t="s">
        <v>524</v>
      </c>
      <c r="C321" s="1" t="s">
        <v>832</v>
      </c>
      <c r="D321" s="1">
        <v>2</v>
      </c>
      <c r="E321" s="1" t="s">
        <v>833</v>
      </c>
    </row>
    <row r="322" spans="1:5" ht="15.75" customHeight="1" x14ac:dyDescent="0.2">
      <c r="A322" s="1">
        <v>62272</v>
      </c>
      <c r="B322" s="1" t="s">
        <v>301</v>
      </c>
      <c r="C322" s="1" t="s">
        <v>834</v>
      </c>
      <c r="D322" s="1">
        <v>2</v>
      </c>
      <c r="E322" s="1" t="s">
        <v>835</v>
      </c>
    </row>
    <row r="323" spans="1:5" ht="15.75" customHeight="1" x14ac:dyDescent="0.2">
      <c r="A323" s="1">
        <v>42161</v>
      </c>
      <c r="B323" s="1" t="s">
        <v>382</v>
      </c>
      <c r="C323" s="1" t="s">
        <v>836</v>
      </c>
      <c r="D323" s="1">
        <v>1</v>
      </c>
      <c r="E323" s="1" t="s">
        <v>837</v>
      </c>
    </row>
    <row r="324" spans="1:5" ht="15.75" customHeight="1" x14ac:dyDescent="0.2">
      <c r="A324" s="1">
        <v>17861</v>
      </c>
      <c r="B324" s="1" t="s">
        <v>838</v>
      </c>
      <c r="C324" s="1" t="s">
        <v>839</v>
      </c>
      <c r="D324" s="1">
        <v>2</v>
      </c>
      <c r="E324" s="1" t="s">
        <v>840</v>
      </c>
    </row>
    <row r="325" spans="1:5" ht="15.75" customHeight="1" x14ac:dyDescent="0.2">
      <c r="A325" s="1">
        <v>37119</v>
      </c>
      <c r="B325" s="1" t="s">
        <v>841</v>
      </c>
      <c r="C325" s="1" t="s">
        <v>842</v>
      </c>
      <c r="D325" s="1">
        <v>2</v>
      </c>
      <c r="E325" s="1" t="s">
        <v>843</v>
      </c>
    </row>
    <row r="326" spans="1:5" ht="15.75" customHeight="1" x14ac:dyDescent="0.2">
      <c r="A326" s="1">
        <v>48971</v>
      </c>
      <c r="B326" s="1" t="s">
        <v>109</v>
      </c>
      <c r="C326" s="1" t="s">
        <v>844</v>
      </c>
      <c r="D326" s="1">
        <v>2</v>
      </c>
      <c r="E326" s="1" t="s">
        <v>845</v>
      </c>
    </row>
    <row r="327" spans="1:5" ht="15.75" customHeight="1" x14ac:dyDescent="0.2">
      <c r="A327" s="1">
        <v>31375</v>
      </c>
      <c r="B327" s="1" t="s">
        <v>405</v>
      </c>
      <c r="C327" s="1" t="s">
        <v>846</v>
      </c>
      <c r="D327" s="1">
        <v>2</v>
      </c>
      <c r="E327" s="1" t="s">
        <v>847</v>
      </c>
    </row>
    <row r="328" spans="1:5" ht="15.75" customHeight="1" x14ac:dyDescent="0.2">
      <c r="A328" s="1">
        <v>9706</v>
      </c>
      <c r="B328" s="1" t="s">
        <v>848</v>
      </c>
      <c r="C328" s="1" t="s">
        <v>849</v>
      </c>
      <c r="D328" s="1">
        <v>2</v>
      </c>
      <c r="E328" s="1" t="s">
        <v>850</v>
      </c>
    </row>
    <row r="329" spans="1:5" ht="15.75" customHeight="1" x14ac:dyDescent="0.2">
      <c r="A329" s="1">
        <v>71071</v>
      </c>
      <c r="B329" s="1" t="s">
        <v>377</v>
      </c>
      <c r="C329" s="1" t="s">
        <v>851</v>
      </c>
      <c r="D329" s="1">
        <v>1</v>
      </c>
      <c r="E329" s="1" t="s">
        <v>852</v>
      </c>
    </row>
    <row r="330" spans="1:5" ht="15.75" customHeight="1" x14ac:dyDescent="0.2">
      <c r="A330" s="1">
        <v>56693</v>
      </c>
      <c r="B330" s="1" t="s">
        <v>301</v>
      </c>
      <c r="C330" s="1" t="s">
        <v>853</v>
      </c>
      <c r="D330" s="1">
        <v>2</v>
      </c>
      <c r="E330" s="1" t="s">
        <v>854</v>
      </c>
    </row>
    <row r="331" spans="1:5" ht="15.75" customHeight="1" x14ac:dyDescent="0.2">
      <c r="A331" s="1">
        <v>2791</v>
      </c>
      <c r="B331" s="1" t="s">
        <v>855</v>
      </c>
      <c r="C331" s="1" t="s">
        <v>856</v>
      </c>
      <c r="D331" s="1">
        <v>2</v>
      </c>
      <c r="E331" s="1" t="s">
        <v>857</v>
      </c>
    </row>
    <row r="332" spans="1:5" ht="15.75" customHeight="1" x14ac:dyDescent="0.2">
      <c r="A332" s="1">
        <v>28227</v>
      </c>
      <c r="B332" s="1" t="s">
        <v>751</v>
      </c>
      <c r="C332" s="1" t="s">
        <v>858</v>
      </c>
      <c r="D332" s="1">
        <v>2</v>
      </c>
      <c r="E332" s="1" t="s">
        <v>859</v>
      </c>
    </row>
    <row r="333" spans="1:5" ht="15.75" customHeight="1" x14ac:dyDescent="0.2">
      <c r="A333" s="1">
        <v>60795</v>
      </c>
      <c r="B333" s="1" t="s">
        <v>860</v>
      </c>
      <c r="C333" s="1" t="s">
        <v>861</v>
      </c>
      <c r="D333" s="1">
        <v>2</v>
      </c>
      <c r="E333" s="1" t="s">
        <v>862</v>
      </c>
    </row>
    <row r="334" spans="1:5" ht="15.75" customHeight="1" x14ac:dyDescent="0.2">
      <c r="A334" s="1">
        <v>61987</v>
      </c>
      <c r="B334" s="1" t="s">
        <v>863</v>
      </c>
      <c r="C334" s="1" t="s">
        <v>864</v>
      </c>
      <c r="D334" s="1">
        <v>2</v>
      </c>
      <c r="E334" s="1" t="s">
        <v>865</v>
      </c>
    </row>
    <row r="335" spans="1:5" ht="15.75" customHeight="1" x14ac:dyDescent="0.2">
      <c r="A335" s="1">
        <v>19038</v>
      </c>
      <c r="B335" s="1" t="s">
        <v>866</v>
      </c>
      <c r="C335" s="1" t="s">
        <v>867</v>
      </c>
      <c r="D335" s="1">
        <v>2</v>
      </c>
      <c r="E335" s="1" t="s">
        <v>868</v>
      </c>
    </row>
    <row r="336" spans="1:5" ht="15.75" customHeight="1" x14ac:dyDescent="0.2">
      <c r="A336" s="1">
        <v>50888</v>
      </c>
      <c r="B336" s="1" t="s">
        <v>552</v>
      </c>
      <c r="C336" s="1" t="s">
        <v>869</v>
      </c>
      <c r="D336" s="1">
        <v>1</v>
      </c>
      <c r="E336" s="1" t="s">
        <v>870</v>
      </c>
    </row>
    <row r="337" spans="1:5" ht="15.75" customHeight="1" x14ac:dyDescent="0.2">
      <c r="A337" s="1">
        <v>36696</v>
      </c>
      <c r="B337" s="1" t="s">
        <v>385</v>
      </c>
      <c r="C337" s="1" t="s">
        <v>871</v>
      </c>
      <c r="D337" s="1">
        <v>2</v>
      </c>
      <c r="E337" s="1" t="s">
        <v>872</v>
      </c>
    </row>
    <row r="338" spans="1:5" ht="15.75" customHeight="1" x14ac:dyDescent="0.2">
      <c r="A338" s="1">
        <v>40810</v>
      </c>
      <c r="B338" s="1" t="s">
        <v>873</v>
      </c>
      <c r="C338" s="1" t="s">
        <v>874</v>
      </c>
      <c r="D338" s="1">
        <v>2</v>
      </c>
      <c r="E338" s="1" t="s">
        <v>875</v>
      </c>
    </row>
    <row r="339" spans="1:5" ht="15.75" customHeight="1" x14ac:dyDescent="0.2">
      <c r="A339" s="1">
        <v>71670</v>
      </c>
      <c r="B339" s="1" t="s">
        <v>53</v>
      </c>
      <c r="C339" s="1" t="s">
        <v>876</v>
      </c>
      <c r="D339" s="1">
        <v>2</v>
      </c>
      <c r="E339" s="1" t="s">
        <v>877</v>
      </c>
    </row>
    <row r="340" spans="1:5" ht="15.75" customHeight="1" x14ac:dyDescent="0.2">
      <c r="A340" s="1">
        <v>38285</v>
      </c>
      <c r="B340" s="1" t="s">
        <v>805</v>
      </c>
      <c r="C340" s="1" t="s">
        <v>878</v>
      </c>
      <c r="D340" s="1">
        <v>1</v>
      </c>
      <c r="E340" s="1" t="s">
        <v>879</v>
      </c>
    </row>
    <row r="341" spans="1:5" ht="15.75" customHeight="1" x14ac:dyDescent="0.2">
      <c r="A341" s="1">
        <v>6983</v>
      </c>
      <c r="B341" s="1" t="s">
        <v>552</v>
      </c>
      <c r="C341" s="1" t="s">
        <v>880</v>
      </c>
      <c r="D341" s="1">
        <v>1</v>
      </c>
      <c r="E341" s="1" t="s">
        <v>881</v>
      </c>
    </row>
    <row r="342" spans="1:5" ht="15.75" customHeight="1" x14ac:dyDescent="0.2">
      <c r="A342" s="1">
        <v>51886</v>
      </c>
      <c r="B342" s="1" t="s">
        <v>882</v>
      </c>
      <c r="C342" s="1" t="s">
        <v>883</v>
      </c>
      <c r="D342" s="1">
        <v>2</v>
      </c>
      <c r="E342" s="1" t="s">
        <v>884</v>
      </c>
    </row>
    <row r="343" spans="1:5" ht="15.75" customHeight="1" x14ac:dyDescent="0.2">
      <c r="A343" s="1">
        <v>46945</v>
      </c>
      <c r="B343" s="1" t="s">
        <v>254</v>
      </c>
      <c r="C343" s="1" t="s">
        <v>885</v>
      </c>
      <c r="D343" s="1">
        <v>2</v>
      </c>
      <c r="E343" s="1" t="s">
        <v>886</v>
      </c>
    </row>
    <row r="344" spans="1:5" ht="15.75" customHeight="1" x14ac:dyDescent="0.2">
      <c r="A344" s="1">
        <v>12514</v>
      </c>
      <c r="B344" s="1" t="s">
        <v>14</v>
      </c>
      <c r="C344" s="1" t="s">
        <v>887</v>
      </c>
      <c r="D344" s="1">
        <v>2</v>
      </c>
      <c r="E344" s="1" t="s">
        <v>888</v>
      </c>
    </row>
    <row r="345" spans="1:5" ht="15.75" customHeight="1" x14ac:dyDescent="0.2">
      <c r="A345" s="1">
        <v>59376</v>
      </c>
      <c r="B345" s="1" t="s">
        <v>552</v>
      </c>
      <c r="C345" s="1" t="s">
        <v>889</v>
      </c>
      <c r="D345" s="1">
        <v>1</v>
      </c>
      <c r="E345" s="1" t="s">
        <v>890</v>
      </c>
    </row>
    <row r="346" spans="1:5" ht="15.75" customHeight="1" x14ac:dyDescent="0.2">
      <c r="A346" s="1">
        <v>33850</v>
      </c>
      <c r="B346" s="1" t="s">
        <v>244</v>
      </c>
      <c r="C346" s="1" t="s">
        <v>891</v>
      </c>
      <c r="D346" s="1">
        <v>2</v>
      </c>
      <c r="E346" s="1" t="s">
        <v>892</v>
      </c>
    </row>
    <row r="347" spans="1:5" ht="15.75" customHeight="1" x14ac:dyDescent="0.2">
      <c r="A347" s="1">
        <v>64039</v>
      </c>
      <c r="B347" s="1" t="s">
        <v>893</v>
      </c>
      <c r="C347" s="1" t="s">
        <v>894</v>
      </c>
      <c r="D347" s="1">
        <v>1</v>
      </c>
      <c r="E347" s="1" t="s">
        <v>895</v>
      </c>
    </row>
    <row r="348" spans="1:5" ht="15.75" customHeight="1" x14ac:dyDescent="0.2">
      <c r="A348" s="1">
        <v>25470</v>
      </c>
      <c r="B348" s="1" t="s">
        <v>524</v>
      </c>
      <c r="C348" s="1" t="s">
        <v>896</v>
      </c>
      <c r="D348" s="1">
        <v>2</v>
      </c>
      <c r="E348" s="1" t="s">
        <v>897</v>
      </c>
    </row>
    <row r="349" spans="1:5" ht="15.75" customHeight="1" x14ac:dyDescent="0.2">
      <c r="A349" s="1">
        <v>41063</v>
      </c>
      <c r="B349" s="1" t="s">
        <v>64</v>
      </c>
      <c r="C349" s="1" t="s">
        <v>898</v>
      </c>
      <c r="D349" s="1">
        <v>1</v>
      </c>
      <c r="E349" s="1" t="s">
        <v>899</v>
      </c>
    </row>
    <row r="350" spans="1:5" ht="15.75" customHeight="1" x14ac:dyDescent="0.2">
      <c r="A350" s="1">
        <v>36798</v>
      </c>
      <c r="B350" s="1" t="s">
        <v>244</v>
      </c>
      <c r="C350" s="1" t="s">
        <v>900</v>
      </c>
      <c r="D350" s="1">
        <v>1</v>
      </c>
      <c r="E350" s="1" t="s">
        <v>901</v>
      </c>
    </row>
    <row r="351" spans="1:5" ht="15.75" customHeight="1" x14ac:dyDescent="0.2">
      <c r="A351" s="1">
        <v>53951</v>
      </c>
      <c r="B351" s="1" t="s">
        <v>38</v>
      </c>
      <c r="C351" s="1" t="s">
        <v>902</v>
      </c>
      <c r="D351" s="1">
        <v>2</v>
      </c>
      <c r="E351" s="1" t="s">
        <v>903</v>
      </c>
    </row>
    <row r="352" spans="1:5" ht="15.75" customHeight="1" x14ac:dyDescent="0.2">
      <c r="A352" s="1">
        <v>28806</v>
      </c>
      <c r="B352" s="1" t="s">
        <v>32</v>
      </c>
      <c r="C352" s="1" t="s">
        <v>904</v>
      </c>
      <c r="D352" s="1">
        <v>2</v>
      </c>
      <c r="E352" s="1" t="s">
        <v>905</v>
      </c>
    </row>
    <row r="353" spans="1:5" ht="15.75" customHeight="1" x14ac:dyDescent="0.2">
      <c r="A353" s="1">
        <v>34144</v>
      </c>
      <c r="B353" s="1" t="s">
        <v>906</v>
      </c>
      <c r="C353" s="1" t="s">
        <v>907</v>
      </c>
      <c r="D353" s="1">
        <v>1</v>
      </c>
      <c r="E353" s="1" t="s">
        <v>908</v>
      </c>
    </row>
    <row r="354" spans="1:5" ht="15.75" customHeight="1" x14ac:dyDescent="0.2">
      <c r="A354" s="1">
        <v>35420</v>
      </c>
      <c r="B354" s="1" t="s">
        <v>666</v>
      </c>
      <c r="C354" s="1" t="s">
        <v>909</v>
      </c>
      <c r="D354" s="1">
        <v>2</v>
      </c>
      <c r="E354" s="1" t="s">
        <v>910</v>
      </c>
    </row>
    <row r="355" spans="1:5" ht="15.75" customHeight="1" x14ac:dyDescent="0.2">
      <c r="A355" s="1">
        <v>13300</v>
      </c>
      <c r="B355" s="1" t="s">
        <v>597</v>
      </c>
      <c r="C355" s="1" t="s">
        <v>911</v>
      </c>
      <c r="D355" s="1">
        <v>1</v>
      </c>
      <c r="E355" s="1" t="s">
        <v>912</v>
      </c>
    </row>
    <row r="356" spans="1:5" ht="15.75" customHeight="1" x14ac:dyDescent="0.2">
      <c r="A356" s="1">
        <v>47037</v>
      </c>
      <c r="B356" s="1" t="s">
        <v>597</v>
      </c>
      <c r="C356" s="1" t="s">
        <v>913</v>
      </c>
      <c r="D356" s="1">
        <v>1</v>
      </c>
      <c r="E356" s="1" t="s">
        <v>914</v>
      </c>
    </row>
    <row r="357" spans="1:5" ht="15.75" customHeight="1" x14ac:dyDescent="0.2">
      <c r="A357" s="1">
        <v>18107</v>
      </c>
      <c r="B357" s="1" t="s">
        <v>466</v>
      </c>
      <c r="C357" s="1" t="s">
        <v>915</v>
      </c>
      <c r="D357" s="1">
        <v>2</v>
      </c>
      <c r="E357" s="1" t="s">
        <v>916</v>
      </c>
    </row>
    <row r="358" spans="1:5" ht="15.75" customHeight="1" x14ac:dyDescent="0.2">
      <c r="A358" s="1">
        <v>7667</v>
      </c>
      <c r="B358" s="1" t="s">
        <v>917</v>
      </c>
      <c r="C358" s="1" t="s">
        <v>918</v>
      </c>
      <c r="D358" s="1">
        <v>1</v>
      </c>
      <c r="E358" s="1" t="s">
        <v>919</v>
      </c>
    </row>
    <row r="359" spans="1:5" ht="15.75" customHeight="1" x14ac:dyDescent="0.2">
      <c r="A359" s="1">
        <v>12075</v>
      </c>
      <c r="B359" s="1" t="s">
        <v>920</v>
      </c>
      <c r="C359" s="1" t="s">
        <v>921</v>
      </c>
      <c r="D359" s="1">
        <v>2</v>
      </c>
      <c r="E359" s="1" t="s">
        <v>922</v>
      </c>
    </row>
    <row r="360" spans="1:5" ht="15.75" customHeight="1" x14ac:dyDescent="0.2">
      <c r="A360" s="1">
        <v>65018</v>
      </c>
      <c r="B360" s="1" t="s">
        <v>405</v>
      </c>
      <c r="C360" s="1" t="s">
        <v>923</v>
      </c>
      <c r="D360" s="1">
        <v>1</v>
      </c>
      <c r="E360" s="1" t="s">
        <v>924</v>
      </c>
    </row>
    <row r="361" spans="1:5" ht="15.75" customHeight="1" x14ac:dyDescent="0.2">
      <c r="A361" s="1">
        <v>45534</v>
      </c>
      <c r="B361" s="1" t="s">
        <v>405</v>
      </c>
      <c r="C361" s="1" t="s">
        <v>925</v>
      </c>
      <c r="D361" s="1">
        <v>2</v>
      </c>
      <c r="E361" s="1" t="s">
        <v>926</v>
      </c>
    </row>
    <row r="362" spans="1:5" ht="15.75" customHeight="1" x14ac:dyDescent="0.2">
      <c r="A362" s="1">
        <v>20613</v>
      </c>
      <c r="B362" s="1" t="s">
        <v>273</v>
      </c>
      <c r="C362" s="1" t="s">
        <v>927</v>
      </c>
      <c r="D362" s="1">
        <v>2</v>
      </c>
      <c r="E362" s="1" t="s">
        <v>928</v>
      </c>
    </row>
    <row r="363" spans="1:5" ht="15.75" customHeight="1" x14ac:dyDescent="0.2">
      <c r="A363" s="1">
        <v>60280</v>
      </c>
      <c r="B363" s="1" t="s">
        <v>906</v>
      </c>
      <c r="C363" s="1" t="s">
        <v>929</v>
      </c>
      <c r="D363" s="1">
        <v>1</v>
      </c>
      <c r="E363" s="1" t="s">
        <v>930</v>
      </c>
    </row>
    <row r="364" spans="1:5" ht="15.75" customHeight="1" x14ac:dyDescent="0.2">
      <c r="A364" s="1">
        <v>31193</v>
      </c>
      <c r="B364" s="1" t="s">
        <v>931</v>
      </c>
      <c r="C364" s="1" t="s">
        <v>932</v>
      </c>
      <c r="D364" s="1">
        <v>1</v>
      </c>
      <c r="E364" s="1" t="s">
        <v>933</v>
      </c>
    </row>
    <row r="365" spans="1:5" ht="15.75" customHeight="1" x14ac:dyDescent="0.2">
      <c r="A365" s="1">
        <v>61052</v>
      </c>
      <c r="B365" s="1" t="s">
        <v>32</v>
      </c>
      <c r="C365" s="1" t="s">
        <v>934</v>
      </c>
      <c r="D365" s="1">
        <v>1</v>
      </c>
      <c r="E365" s="1" t="s">
        <v>935</v>
      </c>
    </row>
    <row r="366" spans="1:5" ht="15.75" customHeight="1" x14ac:dyDescent="0.2">
      <c r="A366" s="1">
        <v>62340</v>
      </c>
      <c r="B366" s="1" t="s">
        <v>936</v>
      </c>
      <c r="C366" s="1" t="s">
        <v>937</v>
      </c>
      <c r="D366" s="1">
        <v>1</v>
      </c>
      <c r="E366" s="1" t="s">
        <v>938</v>
      </c>
    </row>
    <row r="367" spans="1:5" ht="15.75" customHeight="1" x14ac:dyDescent="0.2">
      <c r="A367" s="1">
        <v>60693</v>
      </c>
      <c r="B367" s="1" t="s">
        <v>939</v>
      </c>
      <c r="C367" s="1" t="s">
        <v>940</v>
      </c>
      <c r="D367" s="1">
        <v>2</v>
      </c>
      <c r="E367" s="1" t="s">
        <v>941</v>
      </c>
    </row>
    <row r="368" spans="1:5" ht="15.75" customHeight="1" x14ac:dyDescent="0.2">
      <c r="A368" s="1">
        <v>69394</v>
      </c>
      <c r="B368" s="1" t="s">
        <v>32</v>
      </c>
      <c r="C368" s="1" t="s">
        <v>942</v>
      </c>
      <c r="D368" s="1">
        <v>1</v>
      </c>
      <c r="E368" s="1" t="s">
        <v>943</v>
      </c>
    </row>
    <row r="369" spans="1:5" ht="15.75" customHeight="1" x14ac:dyDescent="0.2">
      <c r="A369" s="1">
        <v>60956</v>
      </c>
      <c r="B369" s="1" t="s">
        <v>244</v>
      </c>
      <c r="C369" s="1" t="s">
        <v>944</v>
      </c>
      <c r="D369" s="1">
        <v>1</v>
      </c>
      <c r="E369" s="1" t="s">
        <v>945</v>
      </c>
    </row>
    <row r="370" spans="1:5" ht="15.75" customHeight="1" x14ac:dyDescent="0.2">
      <c r="A370" s="1">
        <v>62848</v>
      </c>
      <c r="B370" s="1" t="s">
        <v>244</v>
      </c>
      <c r="C370" s="1" t="s">
        <v>946</v>
      </c>
      <c r="D370" s="1">
        <v>1</v>
      </c>
      <c r="E370" s="1" t="s">
        <v>947</v>
      </c>
    </row>
    <row r="371" spans="1:5" ht="15.75" customHeight="1" x14ac:dyDescent="0.2">
      <c r="A371" s="1">
        <v>64848</v>
      </c>
      <c r="B371" s="1" t="s">
        <v>153</v>
      </c>
      <c r="C371" s="1" t="s">
        <v>948</v>
      </c>
      <c r="D371" s="1">
        <v>2</v>
      </c>
      <c r="E371" s="1" t="s">
        <v>949</v>
      </c>
    </row>
    <row r="372" spans="1:5" ht="15.75" customHeight="1" x14ac:dyDescent="0.2">
      <c r="A372" s="1">
        <v>7697</v>
      </c>
      <c r="B372" s="1" t="s">
        <v>210</v>
      </c>
      <c r="C372" s="1" t="s">
        <v>950</v>
      </c>
      <c r="D372" s="1">
        <v>2</v>
      </c>
      <c r="E372" s="1" t="s">
        <v>951</v>
      </c>
    </row>
    <row r="373" spans="1:5" ht="15.75" customHeight="1" x14ac:dyDescent="0.2">
      <c r="A373" s="1">
        <v>36099</v>
      </c>
      <c r="B373" s="1" t="s">
        <v>952</v>
      </c>
      <c r="C373" s="1" t="s">
        <v>953</v>
      </c>
      <c r="D373" s="1">
        <v>2</v>
      </c>
      <c r="E373" s="1" t="s">
        <v>954</v>
      </c>
    </row>
    <row r="374" spans="1:5" ht="15.75" customHeight="1" x14ac:dyDescent="0.2">
      <c r="A374" s="1">
        <v>56328</v>
      </c>
      <c r="B374" s="1" t="s">
        <v>14</v>
      </c>
      <c r="C374" s="1" t="s">
        <v>955</v>
      </c>
      <c r="D374" s="1">
        <v>2</v>
      </c>
      <c r="E374" s="1" t="s">
        <v>956</v>
      </c>
    </row>
    <row r="375" spans="1:5" ht="15.75" customHeight="1" x14ac:dyDescent="0.2">
      <c r="A375" s="1">
        <v>36013</v>
      </c>
      <c r="B375" s="1" t="s">
        <v>808</v>
      </c>
      <c r="C375" s="1" t="s">
        <v>957</v>
      </c>
      <c r="D375" s="1">
        <v>2</v>
      </c>
      <c r="E375" s="1" t="s">
        <v>958</v>
      </c>
    </row>
    <row r="376" spans="1:5" ht="15.75" customHeight="1" x14ac:dyDescent="0.2">
      <c r="A376" s="1">
        <v>67108</v>
      </c>
      <c r="B376" s="1" t="s">
        <v>959</v>
      </c>
      <c r="C376" s="1" t="s">
        <v>960</v>
      </c>
      <c r="D376" s="1">
        <v>1</v>
      </c>
      <c r="E376" s="1" t="s">
        <v>961</v>
      </c>
    </row>
    <row r="377" spans="1:5" ht="15.75" customHeight="1" x14ac:dyDescent="0.2">
      <c r="A377" s="1">
        <v>43743</v>
      </c>
      <c r="B377" s="1" t="s">
        <v>78</v>
      </c>
      <c r="C377" s="1" t="s">
        <v>962</v>
      </c>
      <c r="D377" s="1">
        <v>2</v>
      </c>
      <c r="E377" s="1" t="s">
        <v>963</v>
      </c>
    </row>
    <row r="378" spans="1:5" ht="15.75" customHeight="1" x14ac:dyDescent="0.2">
      <c r="A378" s="1">
        <v>10677</v>
      </c>
      <c r="B378" s="1" t="s">
        <v>964</v>
      </c>
      <c r="C378" s="1" t="s">
        <v>965</v>
      </c>
      <c r="D378" s="1">
        <v>2</v>
      </c>
      <c r="E378" s="1" t="s">
        <v>966</v>
      </c>
    </row>
    <row r="379" spans="1:5" ht="15.75" customHeight="1" x14ac:dyDescent="0.2">
      <c r="A379" s="1">
        <v>3210</v>
      </c>
      <c r="B379" s="1" t="s">
        <v>210</v>
      </c>
      <c r="C379" s="1" t="s">
        <v>967</v>
      </c>
      <c r="D379" s="1">
        <v>2</v>
      </c>
      <c r="E379" s="1" t="s">
        <v>968</v>
      </c>
    </row>
    <row r="380" spans="1:5" ht="15.75" customHeight="1" x14ac:dyDescent="0.2">
      <c r="A380" s="1">
        <v>29972</v>
      </c>
      <c r="B380" s="1" t="s">
        <v>969</v>
      </c>
      <c r="C380" s="1" t="s">
        <v>970</v>
      </c>
      <c r="D380" s="1">
        <v>2</v>
      </c>
      <c r="E380" s="1" t="s">
        <v>971</v>
      </c>
    </row>
    <row r="381" spans="1:5" ht="15.75" customHeight="1" x14ac:dyDescent="0.2">
      <c r="A381" s="1">
        <v>70059</v>
      </c>
      <c r="B381" s="1" t="s">
        <v>32</v>
      </c>
      <c r="C381" s="1" t="s">
        <v>972</v>
      </c>
      <c r="D381" s="1">
        <v>2</v>
      </c>
      <c r="E381" s="1" t="s">
        <v>973</v>
      </c>
    </row>
    <row r="382" spans="1:5" ht="15.75" customHeight="1" x14ac:dyDescent="0.2">
      <c r="A382" s="1">
        <v>54392</v>
      </c>
      <c r="B382" s="1" t="s">
        <v>167</v>
      </c>
      <c r="C382" s="1" t="s">
        <v>974</v>
      </c>
      <c r="D382" s="1">
        <v>1</v>
      </c>
      <c r="E382" s="1" t="s">
        <v>975</v>
      </c>
    </row>
    <row r="383" spans="1:5" ht="15.75" customHeight="1" x14ac:dyDescent="0.2">
      <c r="A383" s="1">
        <v>22883</v>
      </c>
      <c r="B383" s="1" t="s">
        <v>11</v>
      </c>
      <c r="C383" s="1" t="s">
        <v>976</v>
      </c>
      <c r="D383" s="1">
        <v>1</v>
      </c>
      <c r="E383" s="1" t="s">
        <v>977</v>
      </c>
    </row>
    <row r="384" spans="1:5" ht="15.75" customHeight="1" x14ac:dyDescent="0.2">
      <c r="A384" s="1">
        <v>4190</v>
      </c>
      <c r="B384" s="1" t="s">
        <v>906</v>
      </c>
      <c r="C384" s="1" t="s">
        <v>978</v>
      </c>
      <c r="D384" s="1">
        <v>2</v>
      </c>
      <c r="E384" s="1" t="s">
        <v>979</v>
      </c>
    </row>
    <row r="385" spans="1:5" ht="15.75" customHeight="1" x14ac:dyDescent="0.2">
      <c r="A385" s="1">
        <v>43410</v>
      </c>
      <c r="B385" s="1" t="s">
        <v>103</v>
      </c>
      <c r="C385" s="1" t="s">
        <v>980</v>
      </c>
      <c r="D385" s="1">
        <v>2</v>
      </c>
      <c r="E385" s="1" t="s">
        <v>981</v>
      </c>
    </row>
    <row r="386" spans="1:5" ht="15.75" customHeight="1" x14ac:dyDescent="0.2">
      <c r="A386" s="1">
        <v>55736</v>
      </c>
      <c r="B386" s="1" t="s">
        <v>524</v>
      </c>
      <c r="C386" s="1" t="s">
        <v>982</v>
      </c>
      <c r="D386" s="1">
        <v>2</v>
      </c>
      <c r="E386" s="1" t="s">
        <v>983</v>
      </c>
    </row>
    <row r="387" spans="1:5" ht="15.75" customHeight="1" x14ac:dyDescent="0.2">
      <c r="A387" s="1">
        <v>15216</v>
      </c>
      <c r="B387" s="1" t="s">
        <v>215</v>
      </c>
      <c r="C387" s="1" t="s">
        <v>984</v>
      </c>
      <c r="D387" s="1">
        <v>2</v>
      </c>
      <c r="E387" s="1" t="s">
        <v>985</v>
      </c>
    </row>
    <row r="388" spans="1:5" ht="15.75" customHeight="1" x14ac:dyDescent="0.2">
      <c r="A388" s="1">
        <v>1157</v>
      </c>
      <c r="B388" s="1" t="s">
        <v>986</v>
      </c>
      <c r="C388" s="1" t="s">
        <v>987</v>
      </c>
      <c r="D388" s="1">
        <v>2</v>
      </c>
      <c r="E388" s="1" t="s">
        <v>988</v>
      </c>
    </row>
    <row r="389" spans="1:5" ht="15.75" customHeight="1" x14ac:dyDescent="0.2">
      <c r="A389" s="1">
        <v>65880</v>
      </c>
      <c r="B389" s="1" t="s">
        <v>273</v>
      </c>
      <c r="C389" s="1" t="s">
        <v>989</v>
      </c>
      <c r="D389" s="1">
        <v>2</v>
      </c>
      <c r="E389" s="1" t="s">
        <v>990</v>
      </c>
    </row>
    <row r="390" spans="1:5" ht="15.75" customHeight="1" x14ac:dyDescent="0.2">
      <c r="A390" s="1">
        <v>15095</v>
      </c>
      <c r="B390" s="1" t="s">
        <v>991</v>
      </c>
      <c r="C390" s="1" t="s">
        <v>992</v>
      </c>
      <c r="D390" s="1">
        <v>2</v>
      </c>
      <c r="E390" s="1" t="s">
        <v>993</v>
      </c>
    </row>
    <row r="391" spans="1:5" ht="15.75" customHeight="1" x14ac:dyDescent="0.2">
      <c r="A391" s="1">
        <v>65401</v>
      </c>
      <c r="B391" s="1" t="s">
        <v>14</v>
      </c>
      <c r="C391" s="1" t="s">
        <v>994</v>
      </c>
      <c r="D391" s="1">
        <v>1</v>
      </c>
      <c r="E391" s="1" t="s">
        <v>995</v>
      </c>
    </row>
    <row r="392" spans="1:5" ht="15.75" customHeight="1" x14ac:dyDescent="0.2">
      <c r="A392" s="1">
        <v>24854</v>
      </c>
      <c r="B392" s="1" t="s">
        <v>996</v>
      </c>
      <c r="C392" s="1" t="s">
        <v>997</v>
      </c>
      <c r="D392" s="1">
        <v>2</v>
      </c>
      <c r="E392" s="1" t="s">
        <v>998</v>
      </c>
    </row>
    <row r="393" spans="1:5" ht="15.75" customHeight="1" x14ac:dyDescent="0.2">
      <c r="A393" s="1">
        <v>43759</v>
      </c>
      <c r="B393" s="1" t="s">
        <v>819</v>
      </c>
      <c r="C393" s="1" t="s">
        <v>999</v>
      </c>
      <c r="D393" s="1">
        <v>1</v>
      </c>
      <c r="E393" s="1" t="s">
        <v>1000</v>
      </c>
    </row>
    <row r="394" spans="1:5" ht="15.75" customHeight="1" x14ac:dyDescent="0.2">
      <c r="A394" s="1">
        <v>55311</v>
      </c>
      <c r="B394" s="1" t="s">
        <v>1001</v>
      </c>
      <c r="C394" s="1" t="s">
        <v>1002</v>
      </c>
      <c r="D394" s="1">
        <v>1</v>
      </c>
      <c r="E394" s="1" t="s">
        <v>1003</v>
      </c>
    </row>
    <row r="395" spans="1:5" ht="15.75" customHeight="1" x14ac:dyDescent="0.2">
      <c r="A395" s="1">
        <v>47390</v>
      </c>
      <c r="B395" s="1" t="s">
        <v>1004</v>
      </c>
      <c r="C395" s="1" t="s">
        <v>1005</v>
      </c>
      <c r="D395" s="1">
        <v>2</v>
      </c>
      <c r="E395" s="1" t="s">
        <v>1006</v>
      </c>
    </row>
    <row r="396" spans="1:5" ht="15.75" customHeight="1" x14ac:dyDescent="0.2">
      <c r="A396" s="1">
        <v>43196</v>
      </c>
      <c r="B396" s="1" t="s">
        <v>524</v>
      </c>
      <c r="C396" s="1" t="s">
        <v>1007</v>
      </c>
      <c r="D396" s="1">
        <v>2</v>
      </c>
      <c r="E396" s="1" t="s">
        <v>1008</v>
      </c>
    </row>
    <row r="397" spans="1:5" ht="15.75" customHeight="1" x14ac:dyDescent="0.2">
      <c r="A397" s="1">
        <v>31833</v>
      </c>
      <c r="B397" s="1" t="s">
        <v>153</v>
      </c>
      <c r="C397" s="1" t="s">
        <v>1009</v>
      </c>
      <c r="D397" s="1">
        <v>2</v>
      </c>
      <c r="E397" s="1" t="s">
        <v>1010</v>
      </c>
    </row>
    <row r="398" spans="1:5" ht="15.75" customHeight="1" x14ac:dyDescent="0.2">
      <c r="A398" s="1">
        <v>20443</v>
      </c>
      <c r="B398" s="1" t="s">
        <v>1011</v>
      </c>
      <c r="C398" s="1" t="s">
        <v>1012</v>
      </c>
      <c r="D398" s="1">
        <v>2</v>
      </c>
      <c r="E398" s="1" t="s">
        <v>1013</v>
      </c>
    </row>
    <row r="399" spans="1:5" ht="15.75" customHeight="1" x14ac:dyDescent="0.2">
      <c r="A399" s="1">
        <v>2903</v>
      </c>
      <c r="B399" s="1" t="s">
        <v>493</v>
      </c>
      <c r="C399" s="1" t="s">
        <v>1014</v>
      </c>
      <c r="D399" s="1">
        <v>1</v>
      </c>
      <c r="E399" s="1" t="s">
        <v>1015</v>
      </c>
    </row>
    <row r="400" spans="1:5" ht="15.75" customHeight="1" x14ac:dyDescent="0.2">
      <c r="A400" s="1">
        <v>7767</v>
      </c>
      <c r="B400" s="1" t="s">
        <v>254</v>
      </c>
      <c r="C400" s="1" t="s">
        <v>1016</v>
      </c>
      <c r="D400" s="1">
        <v>2</v>
      </c>
      <c r="E400" s="1" t="s">
        <v>1017</v>
      </c>
    </row>
    <row r="401" spans="1:5" ht="15.75" customHeight="1" x14ac:dyDescent="0.2">
      <c r="A401" s="1">
        <v>55100</v>
      </c>
      <c r="B401" s="1" t="s">
        <v>1018</v>
      </c>
      <c r="C401" s="1" t="s">
        <v>1019</v>
      </c>
      <c r="D401" s="1">
        <v>2</v>
      </c>
      <c r="E401" s="1" t="s">
        <v>1020</v>
      </c>
    </row>
    <row r="402" spans="1:5" ht="15.75" customHeight="1" x14ac:dyDescent="0.2">
      <c r="A402" s="1">
        <v>6945</v>
      </c>
      <c r="B402" s="1" t="s">
        <v>1021</v>
      </c>
      <c r="C402" s="1" t="s">
        <v>1022</v>
      </c>
      <c r="D402" s="1">
        <v>2</v>
      </c>
      <c r="E402" s="1" t="s">
        <v>1023</v>
      </c>
    </row>
    <row r="403" spans="1:5" ht="15.75" customHeight="1" x14ac:dyDescent="0.2">
      <c r="A403" s="1">
        <v>8310</v>
      </c>
      <c r="B403" s="1" t="s">
        <v>172</v>
      </c>
      <c r="C403" s="1" t="s">
        <v>1024</v>
      </c>
      <c r="D403" s="1">
        <v>2</v>
      </c>
      <c r="E403" s="1" t="s">
        <v>1025</v>
      </c>
    </row>
    <row r="404" spans="1:5" ht="15.75" customHeight="1" x14ac:dyDescent="0.2">
      <c r="A404" s="1">
        <v>23636</v>
      </c>
      <c r="B404" s="1" t="s">
        <v>11</v>
      </c>
      <c r="C404" s="1" t="s">
        <v>1026</v>
      </c>
      <c r="D404" s="1">
        <v>2</v>
      </c>
      <c r="E404" s="1" t="s">
        <v>1027</v>
      </c>
    </row>
    <row r="405" spans="1:5" ht="15.75" customHeight="1" x14ac:dyDescent="0.2">
      <c r="A405" s="1">
        <v>11585</v>
      </c>
      <c r="B405" s="1" t="s">
        <v>1028</v>
      </c>
      <c r="C405" s="1" t="s">
        <v>1029</v>
      </c>
      <c r="D405" s="1">
        <v>2</v>
      </c>
      <c r="E405" s="1" t="s">
        <v>1030</v>
      </c>
    </row>
    <row r="406" spans="1:5" ht="15.75" customHeight="1" x14ac:dyDescent="0.2">
      <c r="A406" s="1">
        <v>36239</v>
      </c>
      <c r="B406" s="1" t="s">
        <v>1031</v>
      </c>
      <c r="C406" s="1" t="s">
        <v>1032</v>
      </c>
      <c r="D406" s="1">
        <v>1</v>
      </c>
      <c r="E406" s="1" t="s">
        <v>1033</v>
      </c>
    </row>
    <row r="407" spans="1:5" ht="15.75" customHeight="1" x14ac:dyDescent="0.2">
      <c r="A407" s="1">
        <v>69594</v>
      </c>
      <c r="B407" s="1" t="s">
        <v>1034</v>
      </c>
      <c r="C407" s="1" t="s">
        <v>1035</v>
      </c>
      <c r="D407" s="1">
        <v>2</v>
      </c>
      <c r="E407" s="1" t="s">
        <v>1036</v>
      </c>
    </row>
    <row r="408" spans="1:5" ht="15.75" customHeight="1" x14ac:dyDescent="0.2">
      <c r="A408" s="1">
        <v>39499</v>
      </c>
      <c r="B408" s="1" t="s">
        <v>1037</v>
      </c>
      <c r="C408" s="1" t="s">
        <v>1038</v>
      </c>
      <c r="D408" s="1">
        <v>2</v>
      </c>
      <c r="E408" s="1" t="s">
        <v>1039</v>
      </c>
    </row>
    <row r="409" spans="1:5" ht="15.75" customHeight="1" x14ac:dyDescent="0.2">
      <c r="A409" s="1">
        <v>67968</v>
      </c>
      <c r="B409" s="1" t="s">
        <v>1040</v>
      </c>
      <c r="C409" s="1" t="s">
        <v>1041</v>
      </c>
      <c r="D409" s="1">
        <v>2</v>
      </c>
      <c r="E409" s="1" t="s">
        <v>1042</v>
      </c>
    </row>
    <row r="410" spans="1:5" ht="15.75" customHeight="1" x14ac:dyDescent="0.2">
      <c r="A410" s="1">
        <v>39944</v>
      </c>
      <c r="B410" s="1" t="s">
        <v>819</v>
      </c>
      <c r="C410" s="1" t="s">
        <v>1043</v>
      </c>
      <c r="D410" s="1">
        <v>2</v>
      </c>
      <c r="E410" s="1" t="s">
        <v>1044</v>
      </c>
    </row>
    <row r="411" spans="1:5" ht="15.75" customHeight="1" x14ac:dyDescent="0.2">
      <c r="A411" s="1">
        <v>30133</v>
      </c>
      <c r="B411" s="1" t="s">
        <v>254</v>
      </c>
      <c r="C411" s="1" t="s">
        <v>1045</v>
      </c>
      <c r="D411" s="1">
        <v>1</v>
      </c>
      <c r="E411" s="1" t="s">
        <v>1046</v>
      </c>
    </row>
    <row r="412" spans="1:5" ht="15.75" customHeight="1" x14ac:dyDescent="0.2">
      <c r="A412" s="1">
        <v>34636</v>
      </c>
      <c r="B412" s="1" t="s">
        <v>1047</v>
      </c>
      <c r="C412" s="1" t="s">
        <v>1048</v>
      </c>
      <c r="D412" s="1">
        <v>2</v>
      </c>
      <c r="E412" s="1" t="s">
        <v>1049</v>
      </c>
    </row>
    <row r="413" spans="1:5" ht="15.75" customHeight="1" x14ac:dyDescent="0.2">
      <c r="A413" s="1">
        <v>19920</v>
      </c>
      <c r="B413" s="1" t="s">
        <v>167</v>
      </c>
      <c r="C413" s="1" t="s">
        <v>1050</v>
      </c>
      <c r="D413" s="1">
        <v>1</v>
      </c>
      <c r="E413" s="1" t="s">
        <v>1051</v>
      </c>
    </row>
    <row r="414" spans="1:5" ht="15.75" customHeight="1" x14ac:dyDescent="0.2">
      <c r="A414" s="1">
        <v>70556</v>
      </c>
      <c r="B414" s="1" t="s">
        <v>1052</v>
      </c>
      <c r="C414" s="1" t="s">
        <v>1053</v>
      </c>
      <c r="D414" s="1">
        <v>2</v>
      </c>
      <c r="E414" s="1" t="s">
        <v>1054</v>
      </c>
    </row>
    <row r="415" spans="1:5" ht="15.75" customHeight="1" x14ac:dyDescent="0.2">
      <c r="A415" s="1">
        <v>31826</v>
      </c>
      <c r="B415" s="1" t="s">
        <v>936</v>
      </c>
      <c r="C415" s="1" t="s">
        <v>1055</v>
      </c>
      <c r="D415" s="1">
        <v>2</v>
      </c>
      <c r="E415" s="1" t="s">
        <v>1056</v>
      </c>
    </row>
    <row r="416" spans="1:5" ht="15.75" customHeight="1" x14ac:dyDescent="0.2">
      <c r="A416" s="1">
        <v>10049</v>
      </c>
      <c r="B416" s="1" t="s">
        <v>20</v>
      </c>
      <c r="C416" s="1" t="s">
        <v>1057</v>
      </c>
      <c r="D416" s="1">
        <v>2</v>
      </c>
      <c r="E416" s="1" t="s">
        <v>1058</v>
      </c>
    </row>
    <row r="417" spans="1:5" ht="15.75" customHeight="1" x14ac:dyDescent="0.2">
      <c r="A417" s="1">
        <v>62902</v>
      </c>
      <c r="B417" s="1" t="s">
        <v>1059</v>
      </c>
      <c r="C417" s="1" t="s">
        <v>1060</v>
      </c>
      <c r="D417" s="1">
        <v>2</v>
      </c>
      <c r="E417" s="1" t="s">
        <v>1061</v>
      </c>
    </row>
    <row r="418" spans="1:5" ht="15.75" customHeight="1" x14ac:dyDescent="0.2">
      <c r="A418" s="1">
        <v>8950</v>
      </c>
      <c r="B418" s="1" t="s">
        <v>144</v>
      </c>
      <c r="C418" s="1" t="s">
        <v>1062</v>
      </c>
      <c r="D418" s="1">
        <v>2</v>
      </c>
      <c r="E418" s="1" t="s">
        <v>1063</v>
      </c>
    </row>
    <row r="419" spans="1:5" ht="15.75" customHeight="1" x14ac:dyDescent="0.2">
      <c r="A419" s="1">
        <v>10314</v>
      </c>
      <c r="B419" s="1" t="s">
        <v>215</v>
      </c>
      <c r="C419" s="1" t="s">
        <v>1064</v>
      </c>
      <c r="D419" s="1">
        <v>1</v>
      </c>
      <c r="E419" s="1" t="s">
        <v>1065</v>
      </c>
    </row>
    <row r="420" spans="1:5" ht="15.75" customHeight="1" x14ac:dyDescent="0.2">
      <c r="A420" s="1">
        <v>29121</v>
      </c>
      <c r="B420" s="1" t="s">
        <v>493</v>
      </c>
      <c r="C420" s="1" t="s">
        <v>1066</v>
      </c>
      <c r="D420" s="1">
        <v>1</v>
      </c>
      <c r="E420" s="1" t="s">
        <v>1067</v>
      </c>
    </row>
    <row r="421" spans="1:5" ht="15.75" customHeight="1" x14ac:dyDescent="0.2">
      <c r="A421" s="1">
        <v>20624</v>
      </c>
      <c r="B421" s="1" t="s">
        <v>11</v>
      </c>
      <c r="C421" s="1" t="s">
        <v>1068</v>
      </c>
      <c r="D421" s="3">
        <v>2</v>
      </c>
      <c r="E421" s="1" t="s">
        <v>1069</v>
      </c>
    </row>
    <row r="422" spans="1:5" ht="15.75" customHeight="1" x14ac:dyDescent="0.2">
      <c r="A422" s="1">
        <v>45877</v>
      </c>
      <c r="B422" s="1" t="s">
        <v>1070</v>
      </c>
      <c r="C422" s="1" t="s">
        <v>1071</v>
      </c>
      <c r="D422" s="3">
        <v>2</v>
      </c>
      <c r="E422" s="1" t="s">
        <v>1072</v>
      </c>
    </row>
    <row r="423" spans="1:5" ht="15.75" customHeight="1" x14ac:dyDescent="0.2">
      <c r="A423" s="1">
        <v>4173</v>
      </c>
      <c r="B423" s="1" t="s">
        <v>32</v>
      </c>
      <c r="C423" s="1" t="s">
        <v>1073</v>
      </c>
      <c r="D423" s="3">
        <v>1</v>
      </c>
      <c r="E423" s="1" t="s">
        <v>1074</v>
      </c>
    </row>
    <row r="424" spans="1:5" ht="15.75" customHeight="1" x14ac:dyDescent="0.2">
      <c r="A424" s="1">
        <v>16901</v>
      </c>
      <c r="B424" s="1" t="s">
        <v>1075</v>
      </c>
      <c r="C424" s="1" t="s">
        <v>1076</v>
      </c>
      <c r="D424" s="3">
        <v>2</v>
      </c>
      <c r="E424" s="1" t="s">
        <v>1077</v>
      </c>
    </row>
    <row r="425" spans="1:5" ht="15.75" customHeight="1" x14ac:dyDescent="0.2">
      <c r="A425" s="1">
        <v>18118</v>
      </c>
      <c r="B425" s="1" t="s">
        <v>326</v>
      </c>
      <c r="C425" s="1" t="s">
        <v>1078</v>
      </c>
      <c r="D425" s="3">
        <v>1</v>
      </c>
      <c r="E425" s="1" t="s">
        <v>1079</v>
      </c>
    </row>
    <row r="426" spans="1:5" ht="15.75" customHeight="1" x14ac:dyDescent="0.2">
      <c r="A426" s="1">
        <v>56811</v>
      </c>
      <c r="B426" s="1" t="s">
        <v>422</v>
      </c>
      <c r="C426" s="1" t="s">
        <v>1080</v>
      </c>
      <c r="D426" s="3">
        <v>1</v>
      </c>
      <c r="E426" s="1" t="s">
        <v>1081</v>
      </c>
    </row>
    <row r="427" spans="1:5" ht="15.75" customHeight="1" x14ac:dyDescent="0.2">
      <c r="A427" s="1">
        <v>25072</v>
      </c>
      <c r="B427" s="1" t="s">
        <v>996</v>
      </c>
      <c r="C427" s="1" t="s">
        <v>1082</v>
      </c>
      <c r="D427" s="3">
        <v>2</v>
      </c>
      <c r="E427" s="1" t="s">
        <v>1083</v>
      </c>
    </row>
    <row r="428" spans="1:5" ht="15.75" customHeight="1" x14ac:dyDescent="0.2">
      <c r="A428" s="1">
        <v>66380</v>
      </c>
      <c r="B428" s="1" t="s">
        <v>552</v>
      </c>
      <c r="C428" s="1" t="s">
        <v>1084</v>
      </c>
      <c r="D428" s="3">
        <v>1</v>
      </c>
      <c r="E428" s="1" t="s">
        <v>1085</v>
      </c>
    </row>
    <row r="429" spans="1:5" ht="15.75" customHeight="1" x14ac:dyDescent="0.2">
      <c r="A429" s="1">
        <v>379</v>
      </c>
      <c r="B429" s="1" t="s">
        <v>11</v>
      </c>
      <c r="C429" s="1" t="s">
        <v>1086</v>
      </c>
      <c r="D429" s="3">
        <v>1</v>
      </c>
      <c r="E429" s="1" t="s">
        <v>1087</v>
      </c>
    </row>
    <row r="430" spans="1:5" ht="15.75" customHeight="1" x14ac:dyDescent="0.2">
      <c r="A430" s="1">
        <v>45922</v>
      </c>
      <c r="B430" s="1" t="s">
        <v>90</v>
      </c>
      <c r="C430" s="1" t="s">
        <v>1088</v>
      </c>
      <c r="D430" s="3">
        <v>2</v>
      </c>
      <c r="E430" s="1" t="s">
        <v>1089</v>
      </c>
    </row>
    <row r="431" spans="1:5" ht="15.75" customHeight="1" x14ac:dyDescent="0.2">
      <c r="A431" s="1">
        <v>51414</v>
      </c>
      <c r="B431" s="1" t="s">
        <v>1090</v>
      </c>
      <c r="C431" s="1" t="s">
        <v>1091</v>
      </c>
      <c r="D431" s="3">
        <v>2</v>
      </c>
      <c r="E431" s="1" t="s">
        <v>1092</v>
      </c>
    </row>
    <row r="432" spans="1:5" ht="15.75" customHeight="1" x14ac:dyDescent="0.2">
      <c r="A432" s="1">
        <v>27175</v>
      </c>
      <c r="B432" s="1" t="s">
        <v>1093</v>
      </c>
      <c r="C432" s="1" t="s">
        <v>1094</v>
      </c>
      <c r="D432" s="3">
        <v>2</v>
      </c>
      <c r="E432" s="1" t="s">
        <v>1095</v>
      </c>
    </row>
    <row r="433" spans="1:5" ht="15.75" customHeight="1" x14ac:dyDescent="0.2">
      <c r="A433" s="1">
        <v>24574</v>
      </c>
      <c r="B433" s="1" t="s">
        <v>244</v>
      </c>
      <c r="C433" s="1" t="s">
        <v>1096</v>
      </c>
      <c r="D433" s="3">
        <v>2</v>
      </c>
      <c r="E433" s="1" t="s">
        <v>1097</v>
      </c>
    </row>
    <row r="434" spans="1:5" ht="15.75" customHeight="1" x14ac:dyDescent="0.2">
      <c r="A434" s="1">
        <v>6651</v>
      </c>
      <c r="B434" s="1" t="s">
        <v>265</v>
      </c>
      <c r="C434" s="1" t="s">
        <v>1098</v>
      </c>
      <c r="D434" s="3">
        <v>2</v>
      </c>
      <c r="E434" s="1" t="s">
        <v>1099</v>
      </c>
    </row>
    <row r="435" spans="1:5" ht="15.75" customHeight="1" x14ac:dyDescent="0.2">
      <c r="A435" s="1">
        <v>67086</v>
      </c>
      <c r="B435" s="1" t="s">
        <v>268</v>
      </c>
      <c r="C435" s="1" t="s">
        <v>1100</v>
      </c>
      <c r="D435" s="3">
        <v>2</v>
      </c>
      <c r="E435" s="1" t="s">
        <v>1101</v>
      </c>
    </row>
    <row r="436" spans="1:5" ht="15.75" customHeight="1" x14ac:dyDescent="0.2">
      <c r="A436" s="1">
        <v>20899</v>
      </c>
      <c r="B436" s="1" t="s">
        <v>1102</v>
      </c>
      <c r="C436" s="1" t="s">
        <v>1103</v>
      </c>
      <c r="D436" s="3">
        <v>2</v>
      </c>
      <c r="E436" s="1" t="s">
        <v>1104</v>
      </c>
    </row>
    <row r="437" spans="1:5" ht="15.75" customHeight="1" x14ac:dyDescent="0.2">
      <c r="A437" s="1">
        <v>71377</v>
      </c>
      <c r="B437" s="1" t="s">
        <v>425</v>
      </c>
      <c r="C437" s="1" t="s">
        <v>1105</v>
      </c>
      <c r="D437" s="3">
        <v>2</v>
      </c>
      <c r="E437" s="1" t="s">
        <v>1106</v>
      </c>
    </row>
    <row r="438" spans="1:5" ht="15.75" customHeight="1" x14ac:dyDescent="0.2">
      <c r="A438" s="1">
        <v>17053</v>
      </c>
      <c r="B438" s="1" t="s">
        <v>649</v>
      </c>
      <c r="C438" s="1" t="s">
        <v>1107</v>
      </c>
      <c r="D438" s="3">
        <v>2</v>
      </c>
      <c r="E438" s="1" t="s">
        <v>1108</v>
      </c>
    </row>
    <row r="439" spans="1:5" ht="15.75" customHeight="1" x14ac:dyDescent="0.2">
      <c r="A439" s="1">
        <v>36070</v>
      </c>
      <c r="B439" s="1" t="s">
        <v>1109</v>
      </c>
      <c r="C439" s="1" t="s">
        <v>1110</v>
      </c>
      <c r="D439" s="3">
        <v>2</v>
      </c>
      <c r="E439" s="1" t="s">
        <v>1111</v>
      </c>
    </row>
    <row r="440" spans="1:5" ht="15.75" customHeight="1" x14ac:dyDescent="0.2">
      <c r="A440" s="1">
        <v>9578</v>
      </c>
      <c r="B440" s="1" t="s">
        <v>1112</v>
      </c>
      <c r="C440" s="1" t="s">
        <v>1113</v>
      </c>
      <c r="D440" s="3">
        <v>2</v>
      </c>
      <c r="E440" s="1" t="s">
        <v>1114</v>
      </c>
    </row>
    <row r="441" spans="1:5" ht="15.75" customHeight="1" x14ac:dyDescent="0.2">
      <c r="A441" s="1">
        <v>15304</v>
      </c>
      <c r="B441" s="1" t="s">
        <v>32</v>
      </c>
      <c r="C441" s="1" t="s">
        <v>1115</v>
      </c>
      <c r="D441" s="3">
        <v>1</v>
      </c>
      <c r="E441" s="1" t="s">
        <v>1116</v>
      </c>
    </row>
    <row r="442" spans="1:5" ht="15.75" customHeight="1" x14ac:dyDescent="0.2">
      <c r="A442" s="1">
        <v>60109</v>
      </c>
      <c r="B442" s="1" t="s">
        <v>490</v>
      </c>
      <c r="C442" s="1" t="s">
        <v>1117</v>
      </c>
      <c r="D442" s="3">
        <v>2</v>
      </c>
      <c r="E442" s="1" t="s">
        <v>1118</v>
      </c>
    </row>
    <row r="443" spans="1:5" ht="15.75" customHeight="1" x14ac:dyDescent="0.2">
      <c r="A443" s="1">
        <v>28459</v>
      </c>
      <c r="B443" s="1" t="s">
        <v>180</v>
      </c>
      <c r="C443" s="1" t="s">
        <v>1119</v>
      </c>
      <c r="D443" s="3">
        <v>2</v>
      </c>
      <c r="E443" s="1" t="s">
        <v>1120</v>
      </c>
    </row>
    <row r="444" spans="1:5" ht="15.75" customHeight="1" x14ac:dyDescent="0.2">
      <c r="A444" s="1">
        <v>27779</v>
      </c>
      <c r="B444" s="1" t="s">
        <v>44</v>
      </c>
      <c r="C444" s="1" t="s">
        <v>1121</v>
      </c>
      <c r="D444" s="3">
        <v>2</v>
      </c>
      <c r="E444" s="1" t="s">
        <v>1122</v>
      </c>
    </row>
    <row r="445" spans="1:5" ht="15.75" customHeight="1" x14ac:dyDescent="0.2">
      <c r="A445" s="1">
        <v>46748</v>
      </c>
      <c r="B445" s="1" t="s">
        <v>1123</v>
      </c>
      <c r="C445" s="1" t="s">
        <v>1124</v>
      </c>
      <c r="D445" s="3">
        <v>2</v>
      </c>
      <c r="E445" s="1" t="s">
        <v>1125</v>
      </c>
    </row>
    <row r="446" spans="1:5" ht="15.75" customHeight="1" x14ac:dyDescent="0.2">
      <c r="A446" s="1">
        <v>12483</v>
      </c>
      <c r="B446" s="1" t="s">
        <v>326</v>
      </c>
      <c r="C446" s="1" t="s">
        <v>1126</v>
      </c>
      <c r="D446" s="3">
        <v>2</v>
      </c>
      <c r="E446" s="1" t="s">
        <v>1127</v>
      </c>
    </row>
    <row r="447" spans="1:5" ht="15.75" customHeight="1" x14ac:dyDescent="0.2">
      <c r="A447" s="1">
        <v>42690</v>
      </c>
      <c r="B447" s="1" t="s">
        <v>342</v>
      </c>
      <c r="C447" s="1" t="s">
        <v>1128</v>
      </c>
      <c r="D447" s="3">
        <v>2</v>
      </c>
      <c r="E447" s="1" t="s">
        <v>1129</v>
      </c>
    </row>
    <row r="448" spans="1:5" ht="15.75" customHeight="1" x14ac:dyDescent="0.2">
      <c r="A448" s="1">
        <v>62721</v>
      </c>
      <c r="B448" s="1" t="s">
        <v>132</v>
      </c>
      <c r="C448" s="1" t="s">
        <v>1130</v>
      </c>
      <c r="D448" s="3">
        <v>1</v>
      </c>
      <c r="E448" s="1" t="s">
        <v>1131</v>
      </c>
    </row>
    <row r="449" spans="1:5" ht="15.75" customHeight="1" x14ac:dyDescent="0.2">
      <c r="A449" s="1">
        <v>18961</v>
      </c>
      <c r="B449" s="1" t="s">
        <v>78</v>
      </c>
      <c r="C449" s="1" t="s">
        <v>1132</v>
      </c>
      <c r="D449" s="3">
        <v>1</v>
      </c>
      <c r="E449" s="1" t="s">
        <v>1133</v>
      </c>
    </row>
    <row r="450" spans="1:5" ht="15.75" customHeight="1" x14ac:dyDescent="0.2">
      <c r="A450" s="1">
        <v>43706</v>
      </c>
      <c r="B450" s="1" t="s">
        <v>457</v>
      </c>
      <c r="C450" s="1" t="s">
        <v>1134</v>
      </c>
      <c r="D450" s="3">
        <v>2</v>
      </c>
      <c r="E450" s="1" t="s">
        <v>1135</v>
      </c>
    </row>
    <row r="451" spans="1:5" ht="15.75" customHeight="1" x14ac:dyDescent="0.2">
      <c r="A451" s="1">
        <v>57062</v>
      </c>
      <c r="B451" s="1" t="s">
        <v>1011</v>
      </c>
      <c r="C451" s="1" t="s">
        <v>1136</v>
      </c>
      <c r="D451" s="3">
        <v>2</v>
      </c>
      <c r="E451" s="1" t="s">
        <v>1137</v>
      </c>
    </row>
    <row r="452" spans="1:5" ht="15.75" customHeight="1" x14ac:dyDescent="0.2">
      <c r="A452" s="1">
        <v>40902</v>
      </c>
      <c r="B452" s="1" t="s">
        <v>32</v>
      </c>
      <c r="C452" s="1" t="s">
        <v>1138</v>
      </c>
      <c r="D452" s="3">
        <v>1</v>
      </c>
      <c r="E452" s="1" t="s">
        <v>1139</v>
      </c>
    </row>
    <row r="453" spans="1:5" ht="15.75" customHeight="1" x14ac:dyDescent="0.2">
      <c r="A453" s="1">
        <v>550</v>
      </c>
      <c r="B453" s="1" t="s">
        <v>430</v>
      </c>
      <c r="C453" s="1" t="s">
        <v>1140</v>
      </c>
      <c r="D453" s="3">
        <v>2</v>
      </c>
      <c r="E453" s="1" t="s">
        <v>1141</v>
      </c>
    </row>
    <row r="454" spans="1:5" ht="15.75" customHeight="1" x14ac:dyDescent="0.2">
      <c r="A454" s="1">
        <v>47402</v>
      </c>
      <c r="B454" s="1" t="s">
        <v>430</v>
      </c>
      <c r="C454" s="1" t="s">
        <v>1142</v>
      </c>
      <c r="D454" s="3">
        <v>2</v>
      </c>
      <c r="E454" s="1" t="s">
        <v>1143</v>
      </c>
    </row>
    <row r="455" spans="1:5" ht="15.75" customHeight="1" x14ac:dyDescent="0.2">
      <c r="A455" s="1">
        <v>33197</v>
      </c>
      <c r="B455" s="1" t="s">
        <v>1144</v>
      </c>
      <c r="C455" s="1" t="s">
        <v>1145</v>
      </c>
      <c r="D455" s="3">
        <v>2</v>
      </c>
      <c r="E455" s="1" t="s">
        <v>1146</v>
      </c>
    </row>
    <row r="456" spans="1:5" ht="15.75" customHeight="1" x14ac:dyDescent="0.2">
      <c r="A456" s="1">
        <v>49942</v>
      </c>
      <c r="B456" s="1" t="s">
        <v>394</v>
      </c>
      <c r="C456" s="1" t="s">
        <v>1147</v>
      </c>
      <c r="D456" s="3">
        <v>2</v>
      </c>
      <c r="E456" s="1" t="s">
        <v>1148</v>
      </c>
    </row>
    <row r="457" spans="1:5" ht="15.75" customHeight="1" x14ac:dyDescent="0.2">
      <c r="A457" s="1">
        <v>61601</v>
      </c>
      <c r="B457" s="1" t="s">
        <v>1149</v>
      </c>
      <c r="C457" s="1" t="s">
        <v>1150</v>
      </c>
      <c r="D457" s="3">
        <v>2</v>
      </c>
      <c r="E457" s="1" t="s">
        <v>1151</v>
      </c>
    </row>
    <row r="458" spans="1:5" ht="15.75" customHeight="1" x14ac:dyDescent="0.2">
      <c r="A458" s="1">
        <v>13357</v>
      </c>
      <c r="B458" s="1" t="s">
        <v>11</v>
      </c>
      <c r="C458" s="1" t="s">
        <v>1152</v>
      </c>
      <c r="D458" s="3">
        <v>2</v>
      </c>
      <c r="E458" s="1" t="s">
        <v>1153</v>
      </c>
    </row>
    <row r="459" spans="1:5" ht="15.75" customHeight="1" x14ac:dyDescent="0.2">
      <c r="A459" s="1">
        <v>24731</v>
      </c>
      <c r="B459" s="1" t="s">
        <v>254</v>
      </c>
      <c r="C459" s="1" t="s">
        <v>1154</v>
      </c>
      <c r="D459" s="3">
        <v>1</v>
      </c>
      <c r="E459" s="1" t="s">
        <v>1155</v>
      </c>
    </row>
    <row r="460" spans="1:5" ht="15.75" customHeight="1" x14ac:dyDescent="0.2">
      <c r="A460" s="1">
        <v>63122</v>
      </c>
      <c r="B460" s="1" t="s">
        <v>1156</v>
      </c>
      <c r="C460" s="1" t="s">
        <v>1157</v>
      </c>
      <c r="D460" s="3">
        <v>2</v>
      </c>
      <c r="E460" s="1" t="s">
        <v>1158</v>
      </c>
    </row>
    <row r="461" spans="1:5" ht="15.75" customHeight="1" x14ac:dyDescent="0.2">
      <c r="A461" s="1">
        <v>40133</v>
      </c>
      <c r="B461" s="1" t="s">
        <v>153</v>
      </c>
      <c r="C461" s="1" t="s">
        <v>1159</v>
      </c>
      <c r="D461" s="3">
        <v>2</v>
      </c>
      <c r="E461" s="1" t="s">
        <v>1160</v>
      </c>
    </row>
    <row r="462" spans="1:5" ht="15.75" customHeight="1" x14ac:dyDescent="0.2">
      <c r="A462" s="1">
        <v>23980</v>
      </c>
      <c r="B462" s="1" t="s">
        <v>135</v>
      </c>
      <c r="C462" s="1" t="s">
        <v>1161</v>
      </c>
      <c r="D462" s="3">
        <v>2</v>
      </c>
      <c r="E462" s="1" t="s">
        <v>1162</v>
      </c>
    </row>
    <row r="463" spans="1:5" ht="15.75" customHeight="1" x14ac:dyDescent="0.2">
      <c r="A463" s="1">
        <v>23322</v>
      </c>
      <c r="B463" s="1" t="s">
        <v>315</v>
      </c>
      <c r="C463" s="1" t="s">
        <v>1163</v>
      </c>
      <c r="D463" s="3">
        <v>2</v>
      </c>
      <c r="E463" s="1" t="s">
        <v>1164</v>
      </c>
    </row>
    <row r="464" spans="1:5" ht="15.75" customHeight="1" x14ac:dyDescent="0.2">
      <c r="A464" s="1">
        <v>68773</v>
      </c>
      <c r="B464" s="1" t="s">
        <v>298</v>
      </c>
      <c r="C464" s="1" t="s">
        <v>1165</v>
      </c>
      <c r="D464" s="3">
        <v>2</v>
      </c>
      <c r="E464" s="1" t="s">
        <v>1166</v>
      </c>
    </row>
    <row r="465" spans="1:5" ht="15.75" customHeight="1" x14ac:dyDescent="0.2">
      <c r="A465" s="1">
        <v>23981</v>
      </c>
      <c r="B465" s="1" t="s">
        <v>1167</v>
      </c>
      <c r="C465" s="1" t="s">
        <v>1168</v>
      </c>
      <c r="D465" s="3">
        <v>2</v>
      </c>
      <c r="E465" s="1" t="s">
        <v>1169</v>
      </c>
    </row>
    <row r="466" spans="1:5" ht="15.75" customHeight="1" x14ac:dyDescent="0.2">
      <c r="A466" s="1">
        <v>22083</v>
      </c>
      <c r="B466" s="1" t="s">
        <v>191</v>
      </c>
      <c r="C466" s="1" t="s">
        <v>1170</v>
      </c>
      <c r="D466" s="3">
        <v>1</v>
      </c>
      <c r="E466" s="1" t="s">
        <v>1171</v>
      </c>
    </row>
    <row r="467" spans="1:5" ht="15.75" customHeight="1" x14ac:dyDescent="0.2">
      <c r="A467" s="1">
        <v>28984</v>
      </c>
      <c r="B467" s="1" t="s">
        <v>1172</v>
      </c>
      <c r="C467" s="1" t="s">
        <v>1173</v>
      </c>
      <c r="D467" s="3">
        <v>2</v>
      </c>
      <c r="E467" s="1" t="s">
        <v>1174</v>
      </c>
    </row>
    <row r="468" spans="1:5" ht="15.75" customHeight="1" x14ac:dyDescent="0.2">
      <c r="A468" s="1">
        <v>1787</v>
      </c>
      <c r="B468" s="1" t="s">
        <v>1175</v>
      </c>
      <c r="C468" s="1" t="s">
        <v>1176</v>
      </c>
      <c r="D468" s="3">
        <v>2</v>
      </c>
      <c r="E468" s="1" t="s">
        <v>1177</v>
      </c>
    </row>
    <row r="469" spans="1:5" ht="15.75" customHeight="1" x14ac:dyDescent="0.2">
      <c r="A469" s="1">
        <v>2626</v>
      </c>
      <c r="B469" s="1" t="s">
        <v>87</v>
      </c>
      <c r="C469" s="1" t="s">
        <v>1178</v>
      </c>
      <c r="D469" s="3">
        <v>2</v>
      </c>
      <c r="E469" s="1" t="s">
        <v>1179</v>
      </c>
    </row>
    <row r="470" spans="1:5" ht="15.75" customHeight="1" x14ac:dyDescent="0.2">
      <c r="A470" s="1">
        <v>33924</v>
      </c>
      <c r="B470" s="1" t="s">
        <v>1180</v>
      </c>
      <c r="C470" s="1" t="s">
        <v>1181</v>
      </c>
      <c r="D470" s="3">
        <v>2</v>
      </c>
      <c r="E470" s="1" t="s">
        <v>1182</v>
      </c>
    </row>
    <row r="471" spans="1:5" ht="15.75" customHeight="1" x14ac:dyDescent="0.2">
      <c r="A471" s="1">
        <v>640</v>
      </c>
      <c r="B471" s="1" t="s">
        <v>490</v>
      </c>
      <c r="C471" s="1" t="s">
        <v>1183</v>
      </c>
      <c r="D471" s="3">
        <v>2</v>
      </c>
      <c r="E471" s="1" t="s">
        <v>1184</v>
      </c>
    </row>
    <row r="472" spans="1:5" ht="15.75" customHeight="1" x14ac:dyDescent="0.2">
      <c r="A472" s="1">
        <v>58728</v>
      </c>
      <c r="B472" s="1" t="s">
        <v>14</v>
      </c>
      <c r="C472" s="1" t="s">
        <v>1185</v>
      </c>
      <c r="D472" s="3">
        <v>2</v>
      </c>
      <c r="E472" s="1" t="s">
        <v>1186</v>
      </c>
    </row>
    <row r="473" spans="1:5" ht="15.75" customHeight="1" x14ac:dyDescent="0.2">
      <c r="A473" s="1">
        <v>57297</v>
      </c>
      <c r="B473" s="1" t="s">
        <v>32</v>
      </c>
      <c r="C473" s="1" t="s">
        <v>1187</v>
      </c>
      <c r="D473" s="3">
        <v>1</v>
      </c>
      <c r="E473" s="1" t="s">
        <v>1188</v>
      </c>
    </row>
    <row r="474" spans="1:5" ht="15.75" customHeight="1" x14ac:dyDescent="0.2">
      <c r="A474" s="1">
        <v>22955</v>
      </c>
      <c r="B474" s="1" t="s">
        <v>1189</v>
      </c>
      <c r="C474" s="1" t="s">
        <v>1190</v>
      </c>
      <c r="D474" s="3">
        <v>2</v>
      </c>
      <c r="E474" s="1" t="s">
        <v>1191</v>
      </c>
    </row>
    <row r="475" spans="1:5" ht="15.75" customHeight="1" x14ac:dyDescent="0.2">
      <c r="A475" s="1">
        <v>68874</v>
      </c>
      <c r="B475" s="1" t="s">
        <v>1175</v>
      </c>
      <c r="C475" s="1" t="s">
        <v>1192</v>
      </c>
      <c r="D475" s="3">
        <v>1</v>
      </c>
      <c r="E475" s="1" t="s">
        <v>1193</v>
      </c>
    </row>
    <row r="476" spans="1:5" ht="15.75" customHeight="1" x14ac:dyDescent="0.2">
      <c r="A476" s="1">
        <v>45433</v>
      </c>
      <c r="B476" s="1" t="s">
        <v>17</v>
      </c>
      <c r="C476" s="1" t="s">
        <v>1194</v>
      </c>
      <c r="D476" s="3">
        <v>2</v>
      </c>
      <c r="E476" s="1" t="s">
        <v>1195</v>
      </c>
    </row>
    <row r="477" spans="1:5" ht="15.75" customHeight="1" x14ac:dyDescent="0.2">
      <c r="A477" s="1">
        <v>57002</v>
      </c>
      <c r="B477" s="1" t="s">
        <v>1196</v>
      </c>
      <c r="C477" s="1" t="s">
        <v>1197</v>
      </c>
      <c r="D477" s="3">
        <v>1</v>
      </c>
      <c r="E477" s="1" t="s">
        <v>1198</v>
      </c>
    </row>
    <row r="478" spans="1:5" ht="15.75" customHeight="1" x14ac:dyDescent="0.2">
      <c r="A478" s="1">
        <v>40472</v>
      </c>
      <c r="B478" s="1" t="s">
        <v>723</v>
      </c>
      <c r="C478" s="1" t="s">
        <v>1199</v>
      </c>
      <c r="D478" s="3">
        <v>2</v>
      </c>
      <c r="E478" s="1" t="s">
        <v>1200</v>
      </c>
    </row>
    <row r="479" spans="1:5" ht="15.75" customHeight="1" x14ac:dyDescent="0.2">
      <c r="A479" s="1">
        <v>21271</v>
      </c>
      <c r="B479" s="1" t="s">
        <v>1201</v>
      </c>
      <c r="C479" s="1" t="s">
        <v>1202</v>
      </c>
      <c r="D479" s="3">
        <v>1</v>
      </c>
      <c r="E479" s="1" t="s">
        <v>1203</v>
      </c>
    </row>
    <row r="480" spans="1:5" ht="15.75" customHeight="1" x14ac:dyDescent="0.2">
      <c r="A480" s="1">
        <v>54116</v>
      </c>
      <c r="B480" s="1" t="s">
        <v>225</v>
      </c>
      <c r="C480" s="1" t="s">
        <v>1204</v>
      </c>
      <c r="D480" s="3">
        <v>2</v>
      </c>
      <c r="E480" s="1" t="s">
        <v>1205</v>
      </c>
    </row>
    <row r="481" spans="1:5" ht="15.75" customHeight="1" x14ac:dyDescent="0.2">
      <c r="A481" s="1">
        <v>24120</v>
      </c>
      <c r="B481" s="1" t="s">
        <v>509</v>
      </c>
      <c r="C481" s="1" t="s">
        <v>1206</v>
      </c>
      <c r="D481" s="3">
        <v>2</v>
      </c>
      <c r="E481" s="1" t="s">
        <v>1207</v>
      </c>
    </row>
    <row r="482" spans="1:5" ht="15.75" customHeight="1" x14ac:dyDescent="0.2">
      <c r="A482" s="1">
        <v>39787</v>
      </c>
      <c r="B482" s="1" t="s">
        <v>1208</v>
      </c>
      <c r="C482" s="1" t="s">
        <v>1209</v>
      </c>
      <c r="D482" s="3">
        <v>1</v>
      </c>
      <c r="E482" s="1" t="s">
        <v>1210</v>
      </c>
    </row>
    <row r="483" spans="1:5" ht="15.75" customHeight="1" x14ac:dyDescent="0.2">
      <c r="A483" s="1">
        <v>9298</v>
      </c>
      <c r="B483" s="1" t="s">
        <v>1211</v>
      </c>
      <c r="C483" s="1" t="s">
        <v>1212</v>
      </c>
      <c r="D483" s="3">
        <v>1</v>
      </c>
      <c r="E483" s="1" t="s">
        <v>1213</v>
      </c>
    </row>
    <row r="484" spans="1:5" ht="15.75" customHeight="1" x14ac:dyDescent="0.2">
      <c r="A484" s="1">
        <v>36597</v>
      </c>
      <c r="B484" s="1" t="s">
        <v>276</v>
      </c>
      <c r="C484" s="1" t="s">
        <v>1214</v>
      </c>
      <c r="D484" s="3">
        <v>1</v>
      </c>
      <c r="E484" s="1" t="s">
        <v>1215</v>
      </c>
    </row>
    <row r="485" spans="1:5" ht="15.75" customHeight="1" x14ac:dyDescent="0.2">
      <c r="A485" s="1">
        <v>30533</v>
      </c>
      <c r="B485" s="1" t="s">
        <v>172</v>
      </c>
      <c r="C485" s="1" t="s">
        <v>1216</v>
      </c>
      <c r="D485" s="3">
        <v>2</v>
      </c>
      <c r="E485" s="1" t="s">
        <v>1217</v>
      </c>
    </row>
    <row r="486" spans="1:5" ht="15.75" customHeight="1" x14ac:dyDescent="0.2">
      <c r="A486" s="1">
        <v>12334</v>
      </c>
      <c r="B486" s="1" t="s">
        <v>1218</v>
      </c>
      <c r="C486" s="1" t="s">
        <v>1219</v>
      </c>
      <c r="D486" s="3">
        <v>1</v>
      </c>
      <c r="E486" s="1" t="s">
        <v>1220</v>
      </c>
    </row>
    <row r="487" spans="1:5" ht="15.75" customHeight="1" x14ac:dyDescent="0.2">
      <c r="A487" s="1">
        <v>63890</v>
      </c>
      <c r="B487" s="1" t="s">
        <v>180</v>
      </c>
      <c r="C487" s="1" t="s">
        <v>1221</v>
      </c>
      <c r="D487" s="3">
        <v>2</v>
      </c>
      <c r="E487" s="1" t="s">
        <v>1222</v>
      </c>
    </row>
    <row r="488" spans="1:5" ht="15.75" customHeight="1" x14ac:dyDescent="0.2">
      <c r="A488" s="1">
        <v>3836</v>
      </c>
      <c r="B488" s="1" t="s">
        <v>14</v>
      </c>
      <c r="C488" s="1" t="s">
        <v>1223</v>
      </c>
      <c r="D488" s="3">
        <v>2</v>
      </c>
      <c r="E488" s="1" t="s">
        <v>1224</v>
      </c>
    </row>
    <row r="489" spans="1:5" ht="15.75" customHeight="1" x14ac:dyDescent="0.2">
      <c r="A489" s="1">
        <v>3429</v>
      </c>
      <c r="B489" s="1" t="s">
        <v>1225</v>
      </c>
      <c r="C489" s="1" t="s">
        <v>1226</v>
      </c>
      <c r="D489" s="3">
        <v>2</v>
      </c>
      <c r="E489" s="1" t="s">
        <v>1227</v>
      </c>
    </row>
    <row r="490" spans="1:5" ht="15.75" customHeight="1" x14ac:dyDescent="0.2">
      <c r="A490" s="1">
        <v>27866</v>
      </c>
      <c r="B490" s="1" t="s">
        <v>485</v>
      </c>
      <c r="C490" s="1" t="s">
        <v>1228</v>
      </c>
      <c r="D490" s="3">
        <v>1</v>
      </c>
      <c r="E490" s="1" t="s">
        <v>1229</v>
      </c>
    </row>
    <row r="491" spans="1:5" ht="15.75" customHeight="1" x14ac:dyDescent="0.2">
      <c r="A491" s="1">
        <v>15618</v>
      </c>
      <c r="B491" s="1" t="s">
        <v>180</v>
      </c>
      <c r="C491" s="1" t="s">
        <v>1230</v>
      </c>
      <c r="D491" s="3">
        <v>2</v>
      </c>
      <c r="E491" s="1" t="s">
        <v>1231</v>
      </c>
    </row>
    <row r="492" spans="1:5" ht="15.75" customHeight="1" x14ac:dyDescent="0.2">
      <c r="A492" s="1">
        <v>8225</v>
      </c>
      <c r="B492" s="1" t="s">
        <v>442</v>
      </c>
      <c r="C492" s="1" t="s">
        <v>1232</v>
      </c>
      <c r="D492" s="3">
        <v>1</v>
      </c>
      <c r="E492" s="1" t="s">
        <v>1233</v>
      </c>
    </row>
    <row r="493" spans="1:5" ht="15.75" customHeight="1" x14ac:dyDescent="0.2">
      <c r="A493" s="1">
        <v>31575</v>
      </c>
      <c r="B493" s="1" t="s">
        <v>87</v>
      </c>
      <c r="C493" s="1" t="s">
        <v>1234</v>
      </c>
      <c r="D493" s="3">
        <v>2</v>
      </c>
      <c r="E493" s="1" t="s">
        <v>1235</v>
      </c>
    </row>
    <row r="494" spans="1:5" ht="15.75" customHeight="1" x14ac:dyDescent="0.2">
      <c r="A494" s="1">
        <v>8949</v>
      </c>
      <c r="B494" s="1" t="s">
        <v>1189</v>
      </c>
      <c r="C494" s="1" t="s">
        <v>1236</v>
      </c>
      <c r="D494" s="3">
        <v>2</v>
      </c>
      <c r="E494" s="1" t="s">
        <v>1237</v>
      </c>
    </row>
    <row r="495" spans="1:5" ht="15.75" customHeight="1" x14ac:dyDescent="0.2">
      <c r="A495" s="1">
        <v>41710</v>
      </c>
      <c r="B495" s="1" t="s">
        <v>268</v>
      </c>
      <c r="C495" s="1" t="s">
        <v>1238</v>
      </c>
      <c r="D495" s="3">
        <v>2</v>
      </c>
      <c r="E495" s="1" t="s">
        <v>1239</v>
      </c>
    </row>
    <row r="496" spans="1:5" ht="15.75" customHeight="1" x14ac:dyDescent="0.2">
      <c r="A496" s="1">
        <v>68097</v>
      </c>
      <c r="B496" s="1" t="s">
        <v>408</v>
      </c>
      <c r="C496" s="1" t="s">
        <v>1240</v>
      </c>
      <c r="D496" s="3">
        <v>2</v>
      </c>
      <c r="E496" s="1" t="s">
        <v>1241</v>
      </c>
    </row>
    <row r="497" spans="1:5" ht="15.75" customHeight="1" x14ac:dyDescent="0.2">
      <c r="A497" s="1">
        <v>24132</v>
      </c>
      <c r="B497" s="1" t="s">
        <v>493</v>
      </c>
      <c r="C497" s="1" t="s">
        <v>1242</v>
      </c>
      <c r="D497" s="3">
        <v>1</v>
      </c>
      <c r="E497" s="1" t="s">
        <v>1243</v>
      </c>
    </row>
    <row r="498" spans="1:5" ht="15.75" customHeight="1" x14ac:dyDescent="0.2">
      <c r="A498" s="1">
        <v>51149</v>
      </c>
      <c r="B498" s="1" t="s">
        <v>159</v>
      </c>
      <c r="C498" s="1" t="s">
        <v>1244</v>
      </c>
      <c r="D498" s="3">
        <v>2</v>
      </c>
      <c r="E498" s="1" t="s">
        <v>1245</v>
      </c>
    </row>
    <row r="499" spans="1:5" ht="15.75" customHeight="1" x14ac:dyDescent="0.2">
      <c r="A499" s="1">
        <v>23818</v>
      </c>
      <c r="B499" s="1" t="s">
        <v>1246</v>
      </c>
      <c r="C499" s="1" t="s">
        <v>1247</v>
      </c>
      <c r="D499" s="3">
        <v>2</v>
      </c>
      <c r="E499" s="1" t="s">
        <v>1248</v>
      </c>
    </row>
    <row r="500" spans="1:5" ht="15.75" customHeight="1" x14ac:dyDescent="0.2">
      <c r="A500" s="1">
        <v>13794</v>
      </c>
      <c r="B500" s="1" t="s">
        <v>32</v>
      </c>
      <c r="C500" s="1" t="s">
        <v>1249</v>
      </c>
      <c r="D500" s="3">
        <v>1</v>
      </c>
      <c r="E500" s="1" t="s">
        <v>1250</v>
      </c>
    </row>
    <row r="501" spans="1:5" ht="15.75" customHeight="1" x14ac:dyDescent="0.2">
      <c r="A501" s="1">
        <v>2373</v>
      </c>
      <c r="B501" s="1" t="s">
        <v>1251</v>
      </c>
      <c r="C501" s="1" t="s">
        <v>1252</v>
      </c>
      <c r="D501" s="3">
        <v>1</v>
      </c>
      <c r="E501" s="1" t="s">
        <v>1253</v>
      </c>
    </row>
    <row r="502" spans="1:5" ht="15.75" customHeight="1" x14ac:dyDescent="0.2">
      <c r="A502" s="1">
        <v>45754</v>
      </c>
      <c r="B502" s="1" t="s">
        <v>17</v>
      </c>
      <c r="C502" s="1" t="s">
        <v>1254</v>
      </c>
      <c r="D502" s="3">
        <v>2</v>
      </c>
      <c r="E502" s="1" t="s">
        <v>1255</v>
      </c>
    </row>
    <row r="503" spans="1:5" ht="15.75" customHeight="1" x14ac:dyDescent="0.2">
      <c r="A503" s="1">
        <v>14054</v>
      </c>
      <c r="B503" s="1" t="s">
        <v>1256</v>
      </c>
      <c r="C503" s="1" t="s">
        <v>1257</v>
      </c>
      <c r="D503" s="3">
        <v>2</v>
      </c>
      <c r="E503" s="1" t="s">
        <v>1258</v>
      </c>
    </row>
    <row r="504" spans="1:5" ht="15.75" customHeight="1" x14ac:dyDescent="0.2">
      <c r="A504" s="1">
        <v>61111</v>
      </c>
      <c r="B504" s="1" t="s">
        <v>848</v>
      </c>
      <c r="C504" s="1" t="s">
        <v>1259</v>
      </c>
      <c r="D504" s="3">
        <v>2</v>
      </c>
      <c r="E504" s="1" t="s">
        <v>1260</v>
      </c>
    </row>
    <row r="505" spans="1:5" ht="15.75" customHeight="1" x14ac:dyDescent="0.2">
      <c r="A505" s="1">
        <v>37855</v>
      </c>
      <c r="B505" s="1" t="s">
        <v>1261</v>
      </c>
      <c r="C505" s="1" t="s">
        <v>1262</v>
      </c>
      <c r="D505" s="3">
        <v>1</v>
      </c>
      <c r="E505" s="1" t="s">
        <v>1263</v>
      </c>
    </row>
    <row r="506" spans="1:5" ht="15.75" customHeight="1" x14ac:dyDescent="0.2">
      <c r="A506" s="1">
        <v>25589</v>
      </c>
      <c r="B506" s="1" t="s">
        <v>32</v>
      </c>
      <c r="C506" s="1" t="s">
        <v>1264</v>
      </c>
      <c r="D506" s="3">
        <v>2</v>
      </c>
      <c r="E506" s="1" t="s">
        <v>1265</v>
      </c>
    </row>
    <row r="507" spans="1:5" ht="15.75" customHeight="1" x14ac:dyDescent="0.2">
      <c r="A507" s="1">
        <v>17254</v>
      </c>
      <c r="B507" s="1" t="s">
        <v>109</v>
      </c>
      <c r="C507" s="1" t="s">
        <v>1266</v>
      </c>
      <c r="D507" s="3">
        <v>2</v>
      </c>
      <c r="E507" s="1" t="s">
        <v>1267</v>
      </c>
    </row>
    <row r="508" spans="1:5" ht="15.75" customHeight="1" x14ac:dyDescent="0.2">
      <c r="A508" s="1">
        <v>57839</v>
      </c>
      <c r="B508" s="1" t="s">
        <v>751</v>
      </c>
      <c r="C508" s="1" t="s">
        <v>1268</v>
      </c>
      <c r="D508" s="3">
        <v>2</v>
      </c>
      <c r="E508" s="1" t="s">
        <v>1269</v>
      </c>
    </row>
    <row r="509" spans="1:5" ht="15.75" customHeight="1" x14ac:dyDescent="0.2">
      <c r="A509" s="1">
        <v>16012</v>
      </c>
      <c r="B509" s="1" t="s">
        <v>87</v>
      </c>
      <c r="C509" s="1" t="s">
        <v>1270</v>
      </c>
      <c r="D509" s="3">
        <v>2</v>
      </c>
      <c r="E509" s="1" t="s">
        <v>1271</v>
      </c>
    </row>
    <row r="510" spans="1:5" ht="15.75" customHeight="1" x14ac:dyDescent="0.2">
      <c r="A510" s="1">
        <v>33784</v>
      </c>
      <c r="B510" s="1" t="s">
        <v>863</v>
      </c>
      <c r="C510" s="1" t="s">
        <v>1272</v>
      </c>
      <c r="D510" s="3">
        <v>2</v>
      </c>
      <c r="E510" s="1" t="s">
        <v>1273</v>
      </c>
    </row>
    <row r="511" spans="1:5" ht="15.75" customHeight="1" x14ac:dyDescent="0.2">
      <c r="A511" s="1">
        <v>41470</v>
      </c>
      <c r="B511" s="1" t="s">
        <v>1274</v>
      </c>
      <c r="C511" s="1" t="s">
        <v>1275</v>
      </c>
      <c r="D511" s="3">
        <v>2</v>
      </c>
      <c r="E511" s="1" t="s">
        <v>1276</v>
      </c>
    </row>
    <row r="512" spans="1:5" ht="15.75" customHeight="1" x14ac:dyDescent="0.2">
      <c r="A512" s="1">
        <v>33768</v>
      </c>
      <c r="B512" s="1" t="s">
        <v>1277</v>
      </c>
      <c r="C512" s="1" t="s">
        <v>1278</v>
      </c>
      <c r="D512" s="3">
        <v>1</v>
      </c>
      <c r="E512" s="1" t="s">
        <v>1279</v>
      </c>
    </row>
    <row r="513" spans="1:5" ht="15.75" customHeight="1" x14ac:dyDescent="0.2">
      <c r="A513" s="1">
        <v>60562</v>
      </c>
      <c r="B513" s="1" t="s">
        <v>751</v>
      </c>
      <c r="C513" s="1" t="s">
        <v>1280</v>
      </c>
      <c r="D513" s="3">
        <v>2</v>
      </c>
      <c r="E513" s="1" t="s">
        <v>1281</v>
      </c>
    </row>
    <row r="514" spans="1:5" ht="15.75" customHeight="1" x14ac:dyDescent="0.2">
      <c r="A514" s="1">
        <v>48387</v>
      </c>
      <c r="B514" s="1" t="s">
        <v>268</v>
      </c>
      <c r="C514" s="1" t="s">
        <v>1282</v>
      </c>
      <c r="D514" s="3">
        <v>2</v>
      </c>
      <c r="E514" s="1" t="s">
        <v>1283</v>
      </c>
    </row>
    <row r="515" spans="1:5" ht="15.75" customHeight="1" x14ac:dyDescent="0.2">
      <c r="A515" s="1">
        <v>299</v>
      </c>
      <c r="B515" s="1" t="s">
        <v>430</v>
      </c>
      <c r="C515" s="1" t="s">
        <v>1284</v>
      </c>
      <c r="D515" s="3">
        <v>2</v>
      </c>
      <c r="E515" s="1" t="s">
        <v>1285</v>
      </c>
    </row>
    <row r="516" spans="1:5" ht="15.75" customHeight="1" x14ac:dyDescent="0.2">
      <c r="A516" s="1">
        <v>42057</v>
      </c>
      <c r="B516" s="1" t="s">
        <v>38</v>
      </c>
      <c r="C516" s="1" t="s">
        <v>1286</v>
      </c>
      <c r="D516" s="3">
        <v>2</v>
      </c>
      <c r="E516" s="1" t="s">
        <v>1287</v>
      </c>
    </row>
    <row r="517" spans="1:5" ht="15.75" customHeight="1" x14ac:dyDescent="0.2">
      <c r="A517" s="1">
        <v>38040</v>
      </c>
      <c r="B517" s="1" t="s">
        <v>819</v>
      </c>
      <c r="C517" s="1" t="s">
        <v>1288</v>
      </c>
      <c r="D517" s="3">
        <v>1</v>
      </c>
      <c r="E517" s="1" t="s">
        <v>1289</v>
      </c>
    </row>
    <row r="518" spans="1:5" ht="15.75" customHeight="1" x14ac:dyDescent="0.2">
      <c r="A518" s="1">
        <v>43521</v>
      </c>
      <c r="B518" s="1" t="s">
        <v>1290</v>
      </c>
      <c r="C518" s="1" t="s">
        <v>1291</v>
      </c>
      <c r="D518" s="3">
        <v>2</v>
      </c>
      <c r="E518" s="1" t="s">
        <v>1292</v>
      </c>
    </row>
    <row r="519" spans="1:5" ht="15.75" customHeight="1" x14ac:dyDescent="0.2">
      <c r="A519" s="1">
        <v>70471</v>
      </c>
      <c r="B519" s="1" t="s">
        <v>723</v>
      </c>
      <c r="C519" s="1" t="s">
        <v>1293</v>
      </c>
      <c r="D519" s="3">
        <v>1</v>
      </c>
      <c r="E519" s="1" t="s">
        <v>1294</v>
      </c>
    </row>
    <row r="520" spans="1:5" ht="15.75" customHeight="1" x14ac:dyDescent="0.2">
      <c r="A520" s="1">
        <v>34667</v>
      </c>
      <c r="B520" s="1" t="s">
        <v>326</v>
      </c>
      <c r="C520" s="1" t="s">
        <v>1295</v>
      </c>
      <c r="D520" s="3">
        <v>1</v>
      </c>
      <c r="E520" s="1" t="s">
        <v>1296</v>
      </c>
    </row>
    <row r="521" spans="1:5" ht="15.75" customHeight="1" x14ac:dyDescent="0.2">
      <c r="A521" s="1">
        <v>24842</v>
      </c>
      <c r="B521" s="1" t="s">
        <v>138</v>
      </c>
      <c r="C521" s="1" t="s">
        <v>1297</v>
      </c>
      <c r="D521" s="3">
        <v>2</v>
      </c>
      <c r="E521" s="1" t="s">
        <v>1298</v>
      </c>
    </row>
    <row r="522" spans="1:5" ht="15.75" customHeight="1" x14ac:dyDescent="0.2">
      <c r="A522" s="1">
        <v>33105</v>
      </c>
      <c r="B522" s="1" t="s">
        <v>1299</v>
      </c>
      <c r="C522" s="1" t="s">
        <v>1300</v>
      </c>
      <c r="D522" s="3">
        <v>1</v>
      </c>
      <c r="E522" s="1" t="s">
        <v>1301</v>
      </c>
    </row>
    <row r="523" spans="1:5" ht="15.75" customHeight="1" x14ac:dyDescent="0.2">
      <c r="A523" s="1">
        <v>41463</v>
      </c>
      <c r="B523" s="1" t="s">
        <v>1302</v>
      </c>
      <c r="C523" s="1" t="s">
        <v>1303</v>
      </c>
      <c r="D523" s="3">
        <v>1</v>
      </c>
      <c r="E523" s="1" t="s">
        <v>1304</v>
      </c>
    </row>
    <row r="524" spans="1:5" ht="15.75" customHeight="1" x14ac:dyDescent="0.2">
      <c r="A524" s="1">
        <v>15011</v>
      </c>
      <c r="B524" s="1" t="s">
        <v>1167</v>
      </c>
      <c r="C524" s="1" t="s">
        <v>1305</v>
      </c>
      <c r="D524" s="3">
        <v>1</v>
      </c>
      <c r="E524" s="1" t="s">
        <v>1306</v>
      </c>
    </row>
    <row r="525" spans="1:5" ht="15.75" customHeight="1" x14ac:dyDescent="0.2">
      <c r="A525" s="1">
        <v>14884</v>
      </c>
      <c r="B525" s="1" t="s">
        <v>1307</v>
      </c>
      <c r="C525" s="1" t="s">
        <v>1308</v>
      </c>
      <c r="D525" s="3">
        <v>2</v>
      </c>
      <c r="E525" s="1" t="s">
        <v>1309</v>
      </c>
    </row>
    <row r="526" spans="1:5" ht="15.75" customHeight="1" x14ac:dyDescent="0.2">
      <c r="A526" s="1">
        <v>18650</v>
      </c>
      <c r="B526" s="1" t="s">
        <v>1310</v>
      </c>
      <c r="C526" s="1" t="s">
        <v>1311</v>
      </c>
      <c r="D526" s="3">
        <v>2</v>
      </c>
      <c r="E526" s="1" t="s">
        <v>1312</v>
      </c>
    </row>
    <row r="527" spans="1:5" ht="15.75" customHeight="1" x14ac:dyDescent="0.2">
      <c r="A527" s="1">
        <v>30</v>
      </c>
      <c r="B527" s="1" t="s">
        <v>1313</v>
      </c>
      <c r="C527" s="1" t="s">
        <v>1314</v>
      </c>
      <c r="D527" s="3">
        <v>1</v>
      </c>
      <c r="E527" s="1" t="s">
        <v>1315</v>
      </c>
    </row>
    <row r="528" spans="1:5" ht="15.75" customHeight="1" x14ac:dyDescent="0.2">
      <c r="A528" s="1">
        <v>47048</v>
      </c>
      <c r="B528" s="1" t="s">
        <v>1316</v>
      </c>
      <c r="C528" s="1" t="s">
        <v>1317</v>
      </c>
      <c r="D528" s="3">
        <v>2</v>
      </c>
      <c r="E528" s="1" t="s">
        <v>1318</v>
      </c>
    </row>
    <row r="529" spans="1:5" ht="15.75" customHeight="1" x14ac:dyDescent="0.2">
      <c r="A529" s="1">
        <v>42061</v>
      </c>
      <c r="B529" s="1" t="s">
        <v>144</v>
      </c>
      <c r="C529" s="1" t="s">
        <v>1319</v>
      </c>
      <c r="D529" s="3">
        <v>2</v>
      </c>
      <c r="E529" s="1" t="s">
        <v>1320</v>
      </c>
    </row>
    <row r="530" spans="1:5" ht="15.75" customHeight="1" x14ac:dyDescent="0.2">
      <c r="A530" s="1">
        <v>61503</v>
      </c>
      <c r="B530" s="1" t="s">
        <v>50</v>
      </c>
      <c r="C530" s="1" t="s">
        <v>1321</v>
      </c>
      <c r="D530" s="3">
        <v>1</v>
      </c>
      <c r="E530" s="1" t="s">
        <v>1322</v>
      </c>
    </row>
    <row r="531" spans="1:5" ht="15.75" customHeight="1" x14ac:dyDescent="0.2">
      <c r="A531" s="1">
        <v>5471</v>
      </c>
      <c r="B531" s="1" t="s">
        <v>906</v>
      </c>
      <c r="C531" s="1" t="s">
        <v>1323</v>
      </c>
      <c r="D531" s="3">
        <v>2</v>
      </c>
      <c r="E531" s="1" t="s">
        <v>1324</v>
      </c>
    </row>
    <row r="532" spans="1:5" ht="15.75" customHeight="1" x14ac:dyDescent="0.2">
      <c r="A532" s="1">
        <v>32799</v>
      </c>
      <c r="B532" s="1" t="s">
        <v>552</v>
      </c>
      <c r="C532" s="1" t="s">
        <v>1325</v>
      </c>
      <c r="D532" s="3">
        <v>1</v>
      </c>
      <c r="E532" s="1" t="s">
        <v>1326</v>
      </c>
    </row>
    <row r="533" spans="1:5" ht="15.75" customHeight="1" x14ac:dyDescent="0.2">
      <c r="A533" s="1">
        <v>1709</v>
      </c>
      <c r="B533" s="1" t="s">
        <v>1021</v>
      </c>
      <c r="C533" s="1" t="s">
        <v>1327</v>
      </c>
      <c r="D533" s="3">
        <v>2</v>
      </c>
      <c r="E533" s="1" t="s">
        <v>1328</v>
      </c>
    </row>
    <row r="534" spans="1:5" ht="15.75" customHeight="1" x14ac:dyDescent="0.2">
      <c r="A534" s="1">
        <v>5378</v>
      </c>
      <c r="B534" s="1" t="s">
        <v>180</v>
      </c>
      <c r="C534" s="1" t="s">
        <v>1329</v>
      </c>
      <c r="D534" s="3">
        <v>2</v>
      </c>
      <c r="E534" s="1" t="s">
        <v>1330</v>
      </c>
    </row>
    <row r="535" spans="1:5" ht="15.75" customHeight="1" x14ac:dyDescent="0.2">
      <c r="A535" s="1">
        <v>51469</v>
      </c>
      <c r="B535" s="1" t="s">
        <v>723</v>
      </c>
      <c r="C535" s="1" t="s">
        <v>1331</v>
      </c>
      <c r="D535" s="3">
        <v>2</v>
      </c>
      <c r="E535" s="1" t="s">
        <v>1332</v>
      </c>
    </row>
    <row r="536" spans="1:5" ht="15.75" customHeight="1" x14ac:dyDescent="0.2">
      <c r="A536" s="1">
        <v>21490</v>
      </c>
      <c r="B536" s="1" t="s">
        <v>1333</v>
      </c>
      <c r="C536" s="1" t="s">
        <v>1334</v>
      </c>
      <c r="D536" s="3">
        <v>2</v>
      </c>
      <c r="E536" s="1" t="s">
        <v>1335</v>
      </c>
    </row>
    <row r="537" spans="1:5" ht="15.75" customHeight="1" x14ac:dyDescent="0.2">
      <c r="A537" s="1">
        <v>44327</v>
      </c>
      <c r="B537" s="1" t="s">
        <v>1333</v>
      </c>
      <c r="C537" s="1" t="s">
        <v>1336</v>
      </c>
      <c r="D537" s="3">
        <v>2</v>
      </c>
      <c r="E537" s="1" t="s">
        <v>1337</v>
      </c>
    </row>
    <row r="538" spans="1:5" ht="15.75" customHeight="1" x14ac:dyDescent="0.2">
      <c r="A538" s="1">
        <v>48425</v>
      </c>
      <c r="B538" s="1" t="s">
        <v>282</v>
      </c>
      <c r="C538" s="1" t="s">
        <v>1338</v>
      </c>
      <c r="D538" s="3">
        <v>2</v>
      </c>
      <c r="E538" s="1" t="s">
        <v>1339</v>
      </c>
    </row>
    <row r="539" spans="1:5" ht="15.75" customHeight="1" x14ac:dyDescent="0.2">
      <c r="A539" s="1">
        <v>30083</v>
      </c>
      <c r="B539" s="1" t="s">
        <v>32</v>
      </c>
      <c r="C539" s="1" t="s">
        <v>1340</v>
      </c>
      <c r="D539" s="3">
        <v>2</v>
      </c>
      <c r="E539" s="1" t="s">
        <v>1341</v>
      </c>
    </row>
    <row r="540" spans="1:5" ht="15.75" customHeight="1" x14ac:dyDescent="0.2">
      <c r="A540" s="1">
        <v>12991</v>
      </c>
      <c r="B540" s="1" t="s">
        <v>153</v>
      </c>
      <c r="C540" s="1" t="s">
        <v>1342</v>
      </c>
      <c r="D540" s="3">
        <v>2</v>
      </c>
      <c r="E540" s="1" t="s">
        <v>1343</v>
      </c>
    </row>
    <row r="541" spans="1:5" ht="15.75" customHeight="1" x14ac:dyDescent="0.2">
      <c r="A541" s="1">
        <v>51204</v>
      </c>
      <c r="B541" s="1" t="s">
        <v>1344</v>
      </c>
      <c r="C541" s="1" t="s">
        <v>1345</v>
      </c>
      <c r="D541" s="3">
        <v>2</v>
      </c>
      <c r="E541" s="1" t="s">
        <v>1346</v>
      </c>
    </row>
    <row r="542" spans="1:5" ht="15.75" customHeight="1" x14ac:dyDescent="0.2">
      <c r="A542" s="1">
        <v>4379</v>
      </c>
      <c r="B542" s="1" t="s">
        <v>1347</v>
      </c>
      <c r="C542" s="1" t="s">
        <v>1348</v>
      </c>
      <c r="D542" s="3">
        <v>1</v>
      </c>
      <c r="E542" s="1" t="s">
        <v>1349</v>
      </c>
    </row>
    <row r="543" spans="1:5" ht="15.75" customHeight="1" x14ac:dyDescent="0.2">
      <c r="A543" s="1">
        <v>41529</v>
      </c>
      <c r="B543" s="1" t="s">
        <v>1350</v>
      </c>
      <c r="C543" s="1" t="s">
        <v>1351</v>
      </c>
      <c r="D543" s="3">
        <v>2</v>
      </c>
      <c r="E543" s="1" t="s">
        <v>1352</v>
      </c>
    </row>
    <row r="544" spans="1:5" ht="15.75" customHeight="1" x14ac:dyDescent="0.2">
      <c r="A544" s="1">
        <v>51617</v>
      </c>
      <c r="B544" s="1" t="s">
        <v>84</v>
      </c>
      <c r="C544" s="1" t="s">
        <v>1353</v>
      </c>
      <c r="D544" s="3">
        <v>1</v>
      </c>
      <c r="E544" s="1" t="s">
        <v>1354</v>
      </c>
    </row>
    <row r="545" spans="1:5" ht="15.75" customHeight="1" x14ac:dyDescent="0.2">
      <c r="A545" s="1">
        <v>23415</v>
      </c>
      <c r="B545" s="1" t="s">
        <v>460</v>
      </c>
      <c r="C545" s="1" t="s">
        <v>1355</v>
      </c>
      <c r="D545" s="3">
        <v>2</v>
      </c>
      <c r="E545" s="1" t="s">
        <v>1356</v>
      </c>
    </row>
    <row r="546" spans="1:5" ht="15.75" customHeight="1" x14ac:dyDescent="0.2">
      <c r="A546" s="1">
        <v>12660</v>
      </c>
      <c r="B546" s="1" t="s">
        <v>1357</v>
      </c>
      <c r="C546" s="1" t="s">
        <v>1358</v>
      </c>
      <c r="D546" s="3">
        <v>2</v>
      </c>
      <c r="E546" s="1" t="s">
        <v>1359</v>
      </c>
    </row>
    <row r="547" spans="1:5" ht="15.75" customHeight="1" x14ac:dyDescent="0.2">
      <c r="A547" s="1">
        <v>71430</v>
      </c>
      <c r="B547" s="1" t="s">
        <v>167</v>
      </c>
      <c r="C547" s="1" t="s">
        <v>1360</v>
      </c>
      <c r="D547" s="3">
        <v>1</v>
      </c>
      <c r="E547" s="1" t="s">
        <v>1361</v>
      </c>
    </row>
    <row r="548" spans="1:5" ht="15.75" customHeight="1" x14ac:dyDescent="0.2">
      <c r="A548" s="1">
        <v>36988</v>
      </c>
      <c r="B548" s="1" t="s">
        <v>35</v>
      </c>
      <c r="C548" s="1" t="s">
        <v>1362</v>
      </c>
      <c r="D548" s="3">
        <v>2</v>
      </c>
      <c r="E548" s="1" t="s">
        <v>1363</v>
      </c>
    </row>
    <row r="549" spans="1:5" ht="15.75" customHeight="1" x14ac:dyDescent="0.2">
      <c r="A549" s="1">
        <v>11555</v>
      </c>
      <c r="B549" s="1" t="s">
        <v>90</v>
      </c>
      <c r="C549" s="1" t="s">
        <v>1364</v>
      </c>
      <c r="D549" s="3">
        <v>2</v>
      </c>
      <c r="E549" s="1" t="s">
        <v>1365</v>
      </c>
    </row>
    <row r="550" spans="1:5" ht="15.75" customHeight="1" x14ac:dyDescent="0.2">
      <c r="A550" s="1">
        <v>7677</v>
      </c>
      <c r="B550" s="1" t="s">
        <v>35</v>
      </c>
      <c r="C550" s="1" t="s">
        <v>1366</v>
      </c>
      <c r="D550" s="3">
        <v>2</v>
      </c>
      <c r="E550" s="1" t="s">
        <v>1367</v>
      </c>
    </row>
    <row r="551" spans="1:5" ht="15.75" customHeight="1" x14ac:dyDescent="0.2">
      <c r="A551" s="1">
        <v>71370</v>
      </c>
      <c r="B551" s="1" t="s">
        <v>23</v>
      </c>
      <c r="C551" s="1" t="s">
        <v>1368</v>
      </c>
      <c r="D551" s="3">
        <v>2</v>
      </c>
      <c r="E551" s="1" t="s">
        <v>1369</v>
      </c>
    </row>
    <row r="552" spans="1:5" ht="15.75" customHeight="1" x14ac:dyDescent="0.2">
      <c r="A552" s="1">
        <v>58667</v>
      </c>
      <c r="B552" s="1" t="s">
        <v>1021</v>
      </c>
      <c r="C552" s="1" t="s">
        <v>1370</v>
      </c>
      <c r="D552" s="3">
        <v>2</v>
      </c>
      <c r="E552" s="1" t="s">
        <v>1371</v>
      </c>
    </row>
    <row r="553" spans="1:5" ht="15.75" customHeight="1" x14ac:dyDescent="0.2">
      <c r="A553" s="1">
        <v>42153</v>
      </c>
      <c r="B553" s="1" t="s">
        <v>936</v>
      </c>
      <c r="C553" s="1" t="s">
        <v>1372</v>
      </c>
      <c r="D553" s="3">
        <v>2</v>
      </c>
      <c r="E553" s="1" t="s">
        <v>1373</v>
      </c>
    </row>
    <row r="554" spans="1:5" ht="15.75" customHeight="1" x14ac:dyDescent="0.2">
      <c r="A554" s="1">
        <v>6154</v>
      </c>
      <c r="B554" s="1" t="s">
        <v>153</v>
      </c>
      <c r="C554" s="1" t="s">
        <v>1374</v>
      </c>
      <c r="D554" s="3">
        <v>2</v>
      </c>
      <c r="E554" s="1" t="s">
        <v>1375</v>
      </c>
    </row>
    <row r="555" spans="1:5" ht="15.75" customHeight="1" x14ac:dyDescent="0.2">
      <c r="A555" s="1">
        <v>10335</v>
      </c>
      <c r="B555" s="1" t="s">
        <v>1001</v>
      </c>
      <c r="C555" s="1" t="s">
        <v>1376</v>
      </c>
      <c r="D555" s="3">
        <v>1</v>
      </c>
      <c r="E555" s="1" t="s">
        <v>1377</v>
      </c>
    </row>
    <row r="556" spans="1:5" ht="15.75" customHeight="1" x14ac:dyDescent="0.2">
      <c r="A556" s="1">
        <v>54694</v>
      </c>
      <c r="B556" s="1" t="s">
        <v>244</v>
      </c>
      <c r="C556" s="1" t="s">
        <v>1378</v>
      </c>
      <c r="D556" s="3">
        <v>1</v>
      </c>
      <c r="E556" s="1" t="s">
        <v>1379</v>
      </c>
    </row>
    <row r="557" spans="1:5" ht="15.75" customHeight="1" x14ac:dyDescent="0.2">
      <c r="A557" s="1">
        <v>26098</v>
      </c>
      <c r="B557" s="1" t="s">
        <v>1350</v>
      </c>
      <c r="C557" s="1" t="s">
        <v>1380</v>
      </c>
      <c r="D557" s="3">
        <v>2</v>
      </c>
      <c r="E557" s="1" t="s">
        <v>1381</v>
      </c>
    </row>
    <row r="558" spans="1:5" ht="15.75" customHeight="1" x14ac:dyDescent="0.2">
      <c r="A558" s="1">
        <v>31733</v>
      </c>
      <c r="B558" s="1" t="s">
        <v>244</v>
      </c>
      <c r="C558" s="1" t="s">
        <v>1382</v>
      </c>
      <c r="D558" s="3">
        <v>1</v>
      </c>
      <c r="E558" s="1" t="s">
        <v>1383</v>
      </c>
    </row>
    <row r="559" spans="1:5" ht="15.75" customHeight="1" x14ac:dyDescent="0.2">
      <c r="A559" s="1">
        <v>65713</v>
      </c>
      <c r="B559" s="1" t="s">
        <v>32</v>
      </c>
      <c r="C559" s="1" t="s">
        <v>1384</v>
      </c>
      <c r="D559" s="3">
        <v>1</v>
      </c>
      <c r="E559" s="1" t="s">
        <v>1385</v>
      </c>
    </row>
    <row r="560" spans="1:5" ht="15.75" customHeight="1" x14ac:dyDescent="0.2">
      <c r="A560" s="1">
        <v>53586</v>
      </c>
      <c r="B560" s="1" t="s">
        <v>1386</v>
      </c>
      <c r="C560" s="1" t="s">
        <v>1387</v>
      </c>
      <c r="D560" s="3">
        <v>2</v>
      </c>
      <c r="E560" s="1" t="s">
        <v>1388</v>
      </c>
    </row>
    <row r="561" spans="1:5" ht="15.75" customHeight="1" x14ac:dyDescent="0.2">
      <c r="A561" s="1">
        <v>10877</v>
      </c>
      <c r="B561" s="1" t="s">
        <v>172</v>
      </c>
      <c r="C561" s="1" t="s">
        <v>1389</v>
      </c>
      <c r="D561" s="3">
        <v>2</v>
      </c>
      <c r="E561" s="1" t="s">
        <v>1390</v>
      </c>
    </row>
    <row r="562" spans="1:5" ht="15.75" customHeight="1" x14ac:dyDescent="0.2">
      <c r="A562" s="1">
        <v>35921</v>
      </c>
      <c r="B562" s="1" t="s">
        <v>430</v>
      </c>
      <c r="C562" s="1" t="s">
        <v>1391</v>
      </c>
      <c r="D562" s="3">
        <v>2</v>
      </c>
      <c r="E562" s="1" t="s">
        <v>1392</v>
      </c>
    </row>
    <row r="563" spans="1:5" ht="15.75" customHeight="1" x14ac:dyDescent="0.2">
      <c r="A563" s="1">
        <v>42792</v>
      </c>
      <c r="B563" s="1" t="s">
        <v>466</v>
      </c>
      <c r="C563" s="1" t="s">
        <v>1393</v>
      </c>
      <c r="D563" s="3">
        <v>2</v>
      </c>
      <c r="E563" s="1" t="s">
        <v>1394</v>
      </c>
    </row>
    <row r="564" spans="1:5" ht="15.75" customHeight="1" x14ac:dyDescent="0.2">
      <c r="A564" s="1">
        <v>2238</v>
      </c>
      <c r="B564" s="1" t="s">
        <v>1395</v>
      </c>
      <c r="C564" s="1" t="s">
        <v>1396</v>
      </c>
      <c r="D564" s="3">
        <v>2</v>
      </c>
      <c r="E564" s="1" t="s">
        <v>1397</v>
      </c>
    </row>
    <row r="565" spans="1:5" ht="15.75" customHeight="1" x14ac:dyDescent="0.2">
      <c r="A565" s="1">
        <v>4527</v>
      </c>
      <c r="B565" s="1" t="s">
        <v>172</v>
      </c>
      <c r="C565" s="1" t="s">
        <v>1398</v>
      </c>
      <c r="D565" s="3">
        <v>2</v>
      </c>
      <c r="E565" s="1" t="s">
        <v>1399</v>
      </c>
    </row>
    <row r="566" spans="1:5" ht="15.75" customHeight="1" x14ac:dyDescent="0.2">
      <c r="A566" s="1">
        <v>14149</v>
      </c>
      <c r="B566" s="1" t="s">
        <v>159</v>
      </c>
      <c r="C566" s="1" t="s">
        <v>1400</v>
      </c>
      <c r="D566" s="3">
        <v>1</v>
      </c>
      <c r="E566" s="1" t="s">
        <v>1401</v>
      </c>
    </row>
    <row r="567" spans="1:5" ht="15.75" customHeight="1" x14ac:dyDescent="0.2">
      <c r="A567" s="1">
        <v>53605</v>
      </c>
      <c r="B567" s="1" t="s">
        <v>244</v>
      </c>
      <c r="C567" s="1" t="s">
        <v>1402</v>
      </c>
      <c r="D567" s="3">
        <v>1</v>
      </c>
      <c r="E567" s="1" t="s">
        <v>1403</v>
      </c>
    </row>
    <row r="568" spans="1:5" ht="15.75" customHeight="1" x14ac:dyDescent="0.2">
      <c r="A568" s="1">
        <v>36288</v>
      </c>
      <c r="B568" s="1" t="s">
        <v>180</v>
      </c>
      <c r="C568" s="1" t="s">
        <v>1404</v>
      </c>
      <c r="D568" s="3">
        <v>2</v>
      </c>
      <c r="E568" s="1" t="s">
        <v>1405</v>
      </c>
    </row>
    <row r="569" spans="1:5" ht="15.75" customHeight="1" x14ac:dyDescent="0.2">
      <c r="A569" s="1">
        <v>71413</v>
      </c>
      <c r="B569" s="1" t="s">
        <v>11</v>
      </c>
      <c r="C569" s="1" t="s">
        <v>1406</v>
      </c>
      <c r="D569" s="3">
        <v>2</v>
      </c>
      <c r="E569" s="1" t="s">
        <v>1407</v>
      </c>
    </row>
    <row r="570" spans="1:5" ht="15.75" customHeight="1" x14ac:dyDescent="0.2">
      <c r="A570" s="1">
        <v>67484</v>
      </c>
      <c r="B570" s="1" t="s">
        <v>405</v>
      </c>
      <c r="C570" s="1" t="s">
        <v>1408</v>
      </c>
      <c r="D570" s="3">
        <v>2</v>
      </c>
      <c r="E570" s="1" t="s">
        <v>1409</v>
      </c>
    </row>
    <row r="571" spans="1:5" ht="15.75" customHeight="1" x14ac:dyDescent="0.2">
      <c r="A571" s="1">
        <v>64455</v>
      </c>
      <c r="B571" s="1" t="s">
        <v>1410</v>
      </c>
      <c r="C571" s="1" t="s">
        <v>1411</v>
      </c>
      <c r="D571" s="3">
        <v>1</v>
      </c>
      <c r="E571" s="1" t="s">
        <v>1412</v>
      </c>
    </row>
    <row r="572" spans="1:5" ht="15.75" customHeight="1" x14ac:dyDescent="0.2">
      <c r="A572" s="1">
        <v>58084</v>
      </c>
      <c r="B572" s="1" t="s">
        <v>32</v>
      </c>
      <c r="C572" s="1" t="s">
        <v>1413</v>
      </c>
      <c r="D572" s="3">
        <v>1</v>
      </c>
      <c r="E572" s="1" t="s">
        <v>1414</v>
      </c>
    </row>
    <row r="573" spans="1:5" ht="15.75" customHeight="1" x14ac:dyDescent="0.2">
      <c r="A573" s="1">
        <v>41949</v>
      </c>
      <c r="B573" s="1" t="s">
        <v>1415</v>
      </c>
      <c r="C573" s="1" t="s">
        <v>1416</v>
      </c>
      <c r="D573" s="3">
        <v>2</v>
      </c>
      <c r="E573" s="1" t="s">
        <v>1417</v>
      </c>
    </row>
    <row r="574" spans="1:5" ht="15.75" customHeight="1" x14ac:dyDescent="0.2">
      <c r="A574" s="1">
        <v>43746</v>
      </c>
      <c r="B574" s="1" t="s">
        <v>1418</v>
      </c>
      <c r="C574" s="1" t="s">
        <v>1419</v>
      </c>
      <c r="D574" s="3">
        <v>2</v>
      </c>
      <c r="E574" s="1" t="s">
        <v>1420</v>
      </c>
    </row>
    <row r="575" spans="1:5" ht="15.75" customHeight="1" x14ac:dyDescent="0.2">
      <c r="A575" s="1">
        <v>19887</v>
      </c>
      <c r="B575" s="1" t="s">
        <v>301</v>
      </c>
      <c r="C575" s="1" t="s">
        <v>1421</v>
      </c>
      <c r="D575" s="3">
        <v>2</v>
      </c>
      <c r="E575" s="1" t="s">
        <v>1422</v>
      </c>
    </row>
    <row r="576" spans="1:5" ht="15.75" customHeight="1" x14ac:dyDescent="0.2">
      <c r="A576" s="1">
        <v>66298</v>
      </c>
      <c r="B576" s="1" t="s">
        <v>457</v>
      </c>
      <c r="C576" s="1" t="s">
        <v>1423</v>
      </c>
      <c r="D576" s="3">
        <v>2</v>
      </c>
      <c r="E576" s="1" t="s">
        <v>1424</v>
      </c>
    </row>
    <row r="577" spans="1:5" ht="15.75" customHeight="1" x14ac:dyDescent="0.2">
      <c r="A577" s="1">
        <v>5249</v>
      </c>
      <c r="B577" s="1" t="s">
        <v>129</v>
      </c>
      <c r="C577" s="1" t="s">
        <v>1425</v>
      </c>
      <c r="D577" s="3">
        <v>2</v>
      </c>
      <c r="E577" s="1" t="s">
        <v>1426</v>
      </c>
    </row>
    <row r="578" spans="1:5" ht="15.75" customHeight="1" x14ac:dyDescent="0.2">
      <c r="A578" s="1">
        <v>64274</v>
      </c>
      <c r="B578" s="1" t="s">
        <v>109</v>
      </c>
      <c r="C578" s="1" t="s">
        <v>1427</v>
      </c>
      <c r="D578" s="3">
        <v>1</v>
      </c>
      <c r="E578" s="1" t="s">
        <v>1428</v>
      </c>
    </row>
    <row r="579" spans="1:5" ht="15.75" customHeight="1" x14ac:dyDescent="0.2">
      <c r="A579" s="1">
        <v>32201</v>
      </c>
      <c r="B579" s="1" t="s">
        <v>866</v>
      </c>
      <c r="C579" s="1" t="s">
        <v>1429</v>
      </c>
      <c r="D579" s="3">
        <v>2</v>
      </c>
      <c r="E579" s="1" t="s">
        <v>1430</v>
      </c>
    </row>
    <row r="580" spans="1:5" ht="15.75" customHeight="1" x14ac:dyDescent="0.2">
      <c r="A580" s="1">
        <v>29781</v>
      </c>
      <c r="B580" s="1" t="s">
        <v>405</v>
      </c>
      <c r="C580" s="1" t="s">
        <v>1431</v>
      </c>
      <c r="D580" s="3">
        <v>2</v>
      </c>
      <c r="E580" s="1" t="s">
        <v>1432</v>
      </c>
    </row>
    <row r="581" spans="1:5" ht="15.75" customHeight="1" x14ac:dyDescent="0.2">
      <c r="A581" s="1">
        <v>40200</v>
      </c>
      <c r="B581" s="1" t="s">
        <v>1433</v>
      </c>
      <c r="C581" s="1" t="s">
        <v>1434</v>
      </c>
      <c r="D581" s="3">
        <v>2</v>
      </c>
      <c r="E581" s="1" t="s">
        <v>1435</v>
      </c>
    </row>
    <row r="582" spans="1:5" ht="15.75" customHeight="1" x14ac:dyDescent="0.2">
      <c r="A582" s="1">
        <v>52564</v>
      </c>
      <c r="B582" s="1" t="s">
        <v>490</v>
      </c>
      <c r="C582" s="1" t="s">
        <v>1436</v>
      </c>
      <c r="D582" s="3">
        <v>2</v>
      </c>
      <c r="E582" s="1" t="s">
        <v>1437</v>
      </c>
    </row>
    <row r="583" spans="1:5" ht="15.75" customHeight="1" x14ac:dyDescent="0.2">
      <c r="A583" s="1">
        <v>58474</v>
      </c>
      <c r="B583" s="1" t="s">
        <v>466</v>
      </c>
      <c r="C583" s="1" t="s">
        <v>1438</v>
      </c>
      <c r="D583" s="3">
        <v>1</v>
      </c>
      <c r="E583" s="1" t="s">
        <v>1439</v>
      </c>
    </row>
    <row r="584" spans="1:5" ht="15.75" customHeight="1" x14ac:dyDescent="0.2">
      <c r="A584" s="1">
        <v>61045</v>
      </c>
      <c r="B584" s="1" t="s">
        <v>276</v>
      </c>
      <c r="C584" s="1" t="s">
        <v>1440</v>
      </c>
      <c r="D584" s="3">
        <v>1</v>
      </c>
      <c r="E584" s="1" t="s">
        <v>1441</v>
      </c>
    </row>
    <row r="585" spans="1:5" ht="15.75" customHeight="1" x14ac:dyDescent="0.2">
      <c r="A585" s="1">
        <v>71307</v>
      </c>
      <c r="B585" s="1" t="s">
        <v>249</v>
      </c>
      <c r="C585" s="1" t="s">
        <v>1442</v>
      </c>
      <c r="D585" s="3">
        <v>2</v>
      </c>
      <c r="E585" s="1" t="s">
        <v>1443</v>
      </c>
    </row>
    <row r="586" spans="1:5" ht="15.75" customHeight="1" x14ac:dyDescent="0.2">
      <c r="A586" s="1">
        <v>60686</v>
      </c>
      <c r="B586" s="1" t="s">
        <v>1433</v>
      </c>
      <c r="C586" s="1" t="s">
        <v>1444</v>
      </c>
      <c r="D586" s="3">
        <v>2</v>
      </c>
      <c r="E586" s="1" t="s">
        <v>1445</v>
      </c>
    </row>
    <row r="587" spans="1:5" ht="15.75" customHeight="1" x14ac:dyDescent="0.2">
      <c r="A587" s="1">
        <v>61430</v>
      </c>
      <c r="B587" s="1" t="s">
        <v>172</v>
      </c>
      <c r="C587" s="1" t="s">
        <v>1446</v>
      </c>
      <c r="D587" s="3">
        <v>2</v>
      </c>
      <c r="E587" s="1" t="s">
        <v>1447</v>
      </c>
    </row>
    <row r="588" spans="1:5" ht="15.75" customHeight="1" x14ac:dyDescent="0.2">
      <c r="A588" s="1">
        <v>7936</v>
      </c>
      <c r="B588" s="1" t="s">
        <v>1415</v>
      </c>
      <c r="C588" s="1" t="s">
        <v>1448</v>
      </c>
      <c r="D588" s="3">
        <v>1</v>
      </c>
      <c r="E588" s="1" t="s">
        <v>1449</v>
      </c>
    </row>
    <row r="589" spans="1:5" ht="15.75" customHeight="1" x14ac:dyDescent="0.2">
      <c r="A589" s="1">
        <v>40023</v>
      </c>
      <c r="B589" s="1" t="s">
        <v>276</v>
      </c>
      <c r="C589" s="1" t="s">
        <v>1450</v>
      </c>
      <c r="D589" s="3">
        <v>1</v>
      </c>
      <c r="E589" s="1" t="s">
        <v>1451</v>
      </c>
    </row>
    <row r="590" spans="1:5" ht="15.75" customHeight="1" x14ac:dyDescent="0.2">
      <c r="A590" s="1">
        <v>6403</v>
      </c>
      <c r="B590" s="1" t="s">
        <v>1452</v>
      </c>
      <c r="C590" s="1" t="s">
        <v>1453</v>
      </c>
      <c r="D590" s="3">
        <v>2</v>
      </c>
      <c r="E590" s="1" t="s">
        <v>1454</v>
      </c>
    </row>
    <row r="591" spans="1:5" ht="15.75" customHeight="1" x14ac:dyDescent="0.2">
      <c r="A591" s="1">
        <v>19957</v>
      </c>
      <c r="B591" s="1" t="s">
        <v>1455</v>
      </c>
      <c r="C591" s="1" t="s">
        <v>1456</v>
      </c>
      <c r="D591" s="3">
        <v>1</v>
      </c>
      <c r="E591" s="1" t="s">
        <v>1457</v>
      </c>
    </row>
    <row r="592" spans="1:5" ht="15.75" customHeight="1" x14ac:dyDescent="0.2">
      <c r="A592" s="1">
        <v>53462</v>
      </c>
      <c r="B592" s="1" t="s">
        <v>1458</v>
      </c>
      <c r="C592" s="1" t="s">
        <v>1459</v>
      </c>
      <c r="D592" s="3">
        <v>2</v>
      </c>
      <c r="E592" s="1" t="s">
        <v>1460</v>
      </c>
    </row>
    <row r="593" spans="1:5" ht="15.75" customHeight="1" x14ac:dyDescent="0.2">
      <c r="A593" s="1">
        <v>36376</v>
      </c>
      <c r="B593" s="1" t="s">
        <v>687</v>
      </c>
      <c r="C593" s="1" t="s">
        <v>1461</v>
      </c>
      <c r="D593" s="3">
        <v>1</v>
      </c>
      <c r="E593" s="1" t="s">
        <v>1462</v>
      </c>
    </row>
    <row r="594" spans="1:5" ht="15.75" customHeight="1" x14ac:dyDescent="0.2">
      <c r="A594" s="1">
        <v>22893</v>
      </c>
      <c r="B594" s="1" t="s">
        <v>1463</v>
      </c>
      <c r="C594" s="1" t="s">
        <v>1464</v>
      </c>
      <c r="D594" s="3">
        <v>2</v>
      </c>
      <c r="E594" s="1" t="s">
        <v>1465</v>
      </c>
    </row>
    <row r="595" spans="1:5" ht="15.75" customHeight="1" x14ac:dyDescent="0.2">
      <c r="A595" s="1">
        <v>51800</v>
      </c>
      <c r="B595" s="1" t="s">
        <v>405</v>
      </c>
      <c r="C595" s="1" t="s">
        <v>1466</v>
      </c>
      <c r="D595" s="3">
        <v>1</v>
      </c>
      <c r="E595" s="1" t="s">
        <v>1467</v>
      </c>
    </row>
    <row r="596" spans="1:5" ht="15.75" customHeight="1" x14ac:dyDescent="0.2">
      <c r="A596" s="1">
        <v>30731</v>
      </c>
      <c r="B596" s="1" t="s">
        <v>1468</v>
      </c>
      <c r="C596" s="1" t="s">
        <v>1469</v>
      </c>
      <c r="D596" s="3">
        <v>2</v>
      </c>
      <c r="E596" s="1" t="s">
        <v>1470</v>
      </c>
    </row>
    <row r="597" spans="1:5" ht="15.75" customHeight="1" x14ac:dyDescent="0.2">
      <c r="A597" s="1">
        <v>26778</v>
      </c>
      <c r="B597" s="1" t="s">
        <v>1471</v>
      </c>
      <c r="C597" s="1" t="s">
        <v>1472</v>
      </c>
      <c r="D597" s="3">
        <v>2</v>
      </c>
      <c r="E597" s="1" t="s">
        <v>1473</v>
      </c>
    </row>
    <row r="598" spans="1:5" ht="15.75" customHeight="1" x14ac:dyDescent="0.2">
      <c r="A598" s="1">
        <v>45109</v>
      </c>
      <c r="B598" s="1" t="s">
        <v>1474</v>
      </c>
      <c r="C598" s="1" t="s">
        <v>1475</v>
      </c>
      <c r="D598" s="3">
        <v>2</v>
      </c>
      <c r="E598" s="1" t="s">
        <v>1476</v>
      </c>
    </row>
    <row r="599" spans="1:5" ht="15.75" customHeight="1" x14ac:dyDescent="0.2">
      <c r="A599" s="1">
        <v>28446</v>
      </c>
      <c r="B599" s="1" t="s">
        <v>1477</v>
      </c>
      <c r="C599" s="1" t="s">
        <v>1478</v>
      </c>
      <c r="D599" s="3">
        <v>2</v>
      </c>
      <c r="E599" s="1" t="s">
        <v>1479</v>
      </c>
    </row>
    <row r="600" spans="1:5" ht="15.75" customHeight="1" x14ac:dyDescent="0.2">
      <c r="A600" s="1">
        <v>31689</v>
      </c>
      <c r="B600" s="1" t="s">
        <v>408</v>
      </c>
      <c r="C600" s="1" t="s">
        <v>1480</v>
      </c>
      <c r="D600" s="3">
        <v>2</v>
      </c>
      <c r="E600" s="1" t="s">
        <v>1481</v>
      </c>
    </row>
    <row r="601" spans="1:5" ht="15.75" customHeight="1" x14ac:dyDescent="0.2">
      <c r="A601" s="1">
        <v>23390</v>
      </c>
      <c r="B601" s="1" t="s">
        <v>301</v>
      </c>
      <c r="C601" s="1" t="s">
        <v>1482</v>
      </c>
      <c r="D601" s="3">
        <v>1</v>
      </c>
      <c r="E601" s="1" t="s">
        <v>1483</v>
      </c>
    </row>
    <row r="602" spans="1:5" ht="15.75" customHeight="1" x14ac:dyDescent="0.2">
      <c r="A602" s="1">
        <v>3202</v>
      </c>
      <c r="B602" s="1" t="s">
        <v>103</v>
      </c>
      <c r="C602" s="1" t="s">
        <v>1484</v>
      </c>
      <c r="D602" s="3">
        <v>2</v>
      </c>
      <c r="E602" s="1" t="s">
        <v>1485</v>
      </c>
    </row>
    <row r="603" spans="1:5" ht="15.75" customHeight="1" x14ac:dyDescent="0.2">
      <c r="A603" s="1">
        <v>54247</v>
      </c>
      <c r="B603" s="1" t="s">
        <v>422</v>
      </c>
      <c r="C603" s="1" t="s">
        <v>1486</v>
      </c>
      <c r="D603" s="3">
        <v>1</v>
      </c>
      <c r="E603" s="1" t="s">
        <v>1487</v>
      </c>
    </row>
    <row r="604" spans="1:5" ht="15.75" customHeight="1" x14ac:dyDescent="0.2">
      <c r="A604" s="1">
        <v>2315</v>
      </c>
      <c r="B604" s="1" t="s">
        <v>1488</v>
      </c>
      <c r="C604" s="1" t="s">
        <v>1489</v>
      </c>
      <c r="D604" s="3">
        <v>2</v>
      </c>
      <c r="E604" s="1" t="s">
        <v>1490</v>
      </c>
    </row>
    <row r="605" spans="1:5" ht="15.75" customHeight="1" x14ac:dyDescent="0.2">
      <c r="A605" s="1">
        <v>12284</v>
      </c>
      <c r="B605" s="1" t="s">
        <v>728</v>
      </c>
      <c r="C605" s="1" t="s">
        <v>1491</v>
      </c>
      <c r="D605" s="3">
        <v>2</v>
      </c>
      <c r="E605" s="1" t="s">
        <v>1492</v>
      </c>
    </row>
    <row r="606" spans="1:5" ht="15.75" customHeight="1" x14ac:dyDescent="0.2">
      <c r="A606" s="1">
        <v>58792</v>
      </c>
      <c r="B606" s="1" t="s">
        <v>14</v>
      </c>
      <c r="C606" s="1" t="s">
        <v>1493</v>
      </c>
      <c r="D606" s="3">
        <v>1</v>
      </c>
      <c r="E606" s="1" t="s">
        <v>1494</v>
      </c>
    </row>
    <row r="607" spans="1:5" ht="15.75" customHeight="1" x14ac:dyDescent="0.2">
      <c r="A607" s="1">
        <v>7557</v>
      </c>
      <c r="B607" s="1" t="s">
        <v>797</v>
      </c>
      <c r="C607" s="1" t="s">
        <v>1495</v>
      </c>
      <c r="D607" s="3">
        <v>2</v>
      </c>
      <c r="E607" s="1" t="s">
        <v>1496</v>
      </c>
    </row>
    <row r="608" spans="1:5" ht="15.75" customHeight="1" x14ac:dyDescent="0.2">
      <c r="A608" s="1">
        <v>41669</v>
      </c>
      <c r="B608" s="1" t="s">
        <v>430</v>
      </c>
      <c r="C608" s="1" t="s">
        <v>1497</v>
      </c>
      <c r="D608" s="3">
        <v>2</v>
      </c>
      <c r="E608" s="1" t="s">
        <v>1498</v>
      </c>
    </row>
    <row r="609" spans="1:5" ht="15.75" customHeight="1" x14ac:dyDescent="0.2">
      <c r="A609" s="1">
        <v>28423</v>
      </c>
      <c r="B609" s="1" t="s">
        <v>244</v>
      </c>
      <c r="C609" s="1" t="s">
        <v>1499</v>
      </c>
      <c r="D609" s="3">
        <v>1</v>
      </c>
      <c r="E609" s="1" t="s">
        <v>1500</v>
      </c>
    </row>
    <row r="610" spans="1:5" ht="15.75" customHeight="1" x14ac:dyDescent="0.2">
      <c r="A610" s="1">
        <v>3744</v>
      </c>
      <c r="B610" s="1" t="s">
        <v>1501</v>
      </c>
      <c r="C610" s="1" t="s">
        <v>1502</v>
      </c>
      <c r="D610" s="3">
        <v>2</v>
      </c>
      <c r="E610" s="1" t="s">
        <v>1503</v>
      </c>
    </row>
    <row r="611" spans="1:5" ht="15.75" customHeight="1" x14ac:dyDescent="0.2">
      <c r="A611" s="1">
        <v>52491</v>
      </c>
      <c r="B611" s="1" t="s">
        <v>986</v>
      </c>
      <c r="C611" s="1" t="s">
        <v>1504</v>
      </c>
      <c r="D611" s="3">
        <v>2</v>
      </c>
      <c r="E611" s="1" t="s">
        <v>1505</v>
      </c>
    </row>
    <row r="612" spans="1:5" ht="15.75" customHeight="1" x14ac:dyDescent="0.2">
      <c r="A612" s="1">
        <v>18165</v>
      </c>
      <c r="B612" s="1" t="s">
        <v>385</v>
      </c>
      <c r="C612" s="1" t="s">
        <v>1506</v>
      </c>
      <c r="D612" s="3">
        <v>2</v>
      </c>
      <c r="E612" s="1" t="s">
        <v>1507</v>
      </c>
    </row>
    <row r="613" spans="1:5" ht="15.75" customHeight="1" x14ac:dyDescent="0.2">
      <c r="A613" s="1">
        <v>49518</v>
      </c>
      <c r="B613" s="1" t="s">
        <v>1508</v>
      </c>
      <c r="C613" s="1" t="s">
        <v>1509</v>
      </c>
      <c r="D613" s="3">
        <v>2</v>
      </c>
      <c r="E613" s="1" t="s">
        <v>1510</v>
      </c>
    </row>
    <row r="614" spans="1:5" ht="15.75" customHeight="1" x14ac:dyDescent="0.2">
      <c r="A614" s="1">
        <v>7570</v>
      </c>
      <c r="B614" s="1" t="s">
        <v>1511</v>
      </c>
      <c r="C614" s="1" t="s">
        <v>1512</v>
      </c>
      <c r="D614" s="3">
        <v>1</v>
      </c>
      <c r="E614" s="1" t="s">
        <v>1513</v>
      </c>
    </row>
    <row r="615" spans="1:5" ht="15.75" customHeight="1" x14ac:dyDescent="0.2">
      <c r="A615" s="1">
        <v>50918</v>
      </c>
      <c r="B615" s="1" t="s">
        <v>172</v>
      </c>
      <c r="C615" s="1" t="s">
        <v>1514</v>
      </c>
      <c r="D615" s="3">
        <v>2</v>
      </c>
      <c r="E615" s="1" t="s">
        <v>1515</v>
      </c>
    </row>
    <row r="616" spans="1:5" ht="15.75" customHeight="1" x14ac:dyDescent="0.2">
      <c r="A616" s="1">
        <v>52144</v>
      </c>
      <c r="B616" s="1" t="s">
        <v>1516</v>
      </c>
      <c r="C616" s="1" t="s">
        <v>1517</v>
      </c>
      <c r="D616" s="3">
        <v>2</v>
      </c>
      <c r="E616" s="1" t="s">
        <v>1518</v>
      </c>
    </row>
    <row r="617" spans="1:5" ht="15.75" customHeight="1" x14ac:dyDescent="0.2">
      <c r="A617" s="1">
        <v>41636</v>
      </c>
      <c r="B617" s="1" t="s">
        <v>797</v>
      </c>
      <c r="C617" s="1" t="s">
        <v>1519</v>
      </c>
      <c r="D617" s="3">
        <v>2</v>
      </c>
      <c r="E617" s="1" t="s">
        <v>1520</v>
      </c>
    </row>
    <row r="618" spans="1:5" ht="15.75" customHeight="1" x14ac:dyDescent="0.2">
      <c r="A618" s="1">
        <v>31798</v>
      </c>
      <c r="B618" s="1" t="s">
        <v>731</v>
      </c>
      <c r="C618" s="1" t="s">
        <v>1521</v>
      </c>
      <c r="D618" s="3">
        <v>1</v>
      </c>
      <c r="E618" s="1" t="s">
        <v>1522</v>
      </c>
    </row>
    <row r="619" spans="1:5" ht="15.75" customHeight="1" x14ac:dyDescent="0.2">
      <c r="A619" s="1">
        <v>2536</v>
      </c>
      <c r="B619" s="1" t="s">
        <v>597</v>
      </c>
      <c r="C619" s="1" t="s">
        <v>1523</v>
      </c>
      <c r="D619" s="3">
        <v>1</v>
      </c>
      <c r="E619" s="1" t="s">
        <v>1524</v>
      </c>
    </row>
    <row r="620" spans="1:5" ht="15.75" customHeight="1" x14ac:dyDescent="0.2">
      <c r="A620" s="1">
        <v>9276</v>
      </c>
      <c r="B620" s="1" t="s">
        <v>1211</v>
      </c>
      <c r="C620" s="1" t="s">
        <v>1525</v>
      </c>
      <c r="D620" s="3">
        <v>2</v>
      </c>
      <c r="E620" s="1" t="s">
        <v>1526</v>
      </c>
    </row>
    <row r="621" spans="1:5" ht="15.75" customHeight="1" x14ac:dyDescent="0.2">
      <c r="A621" s="1">
        <v>70799</v>
      </c>
      <c r="B621" s="1" t="s">
        <v>1527</v>
      </c>
      <c r="C621" s="1" t="s">
        <v>1528</v>
      </c>
      <c r="D621" s="3">
        <v>2</v>
      </c>
      <c r="E621" s="1" t="s">
        <v>1529</v>
      </c>
    </row>
    <row r="622" spans="1:5" ht="15.75" customHeight="1" x14ac:dyDescent="0.2">
      <c r="A622" s="1">
        <v>37590</v>
      </c>
      <c r="B622" s="1" t="s">
        <v>14</v>
      </c>
      <c r="C622" s="1" t="s">
        <v>1530</v>
      </c>
      <c r="D622" s="3">
        <v>1</v>
      </c>
      <c r="E622" s="1" t="s">
        <v>1531</v>
      </c>
    </row>
    <row r="623" spans="1:5" ht="15.75" customHeight="1" x14ac:dyDescent="0.2">
      <c r="A623" s="1">
        <v>46531</v>
      </c>
      <c r="B623" s="1" t="s">
        <v>1034</v>
      </c>
      <c r="C623" s="1" t="s">
        <v>1532</v>
      </c>
      <c r="D623" s="3">
        <v>2</v>
      </c>
      <c r="E623" s="1" t="s">
        <v>1533</v>
      </c>
    </row>
    <row r="624" spans="1:5" ht="15.75" customHeight="1" x14ac:dyDescent="0.2">
      <c r="A624" s="1">
        <v>45197</v>
      </c>
      <c r="B624" s="1" t="s">
        <v>1052</v>
      </c>
      <c r="C624" s="1" t="s">
        <v>1534</v>
      </c>
      <c r="D624" s="3">
        <v>2</v>
      </c>
      <c r="E624" s="1" t="s">
        <v>1535</v>
      </c>
    </row>
    <row r="625" spans="1:5" ht="15.75" customHeight="1" x14ac:dyDescent="0.2">
      <c r="A625" s="1">
        <v>58333</v>
      </c>
      <c r="B625" s="1" t="s">
        <v>333</v>
      </c>
      <c r="C625" s="1" t="s">
        <v>1536</v>
      </c>
      <c r="D625" s="3">
        <v>2</v>
      </c>
      <c r="E625" s="1" t="s">
        <v>1537</v>
      </c>
    </row>
    <row r="626" spans="1:5" ht="15.75" customHeight="1" x14ac:dyDescent="0.2">
      <c r="A626" s="1">
        <v>18963</v>
      </c>
      <c r="B626" s="1" t="s">
        <v>153</v>
      </c>
      <c r="C626" s="1" t="s">
        <v>1538</v>
      </c>
      <c r="D626" s="3">
        <v>2</v>
      </c>
      <c r="E626" s="1" t="s">
        <v>1539</v>
      </c>
    </row>
    <row r="627" spans="1:5" ht="15.75" customHeight="1" x14ac:dyDescent="0.2">
      <c r="A627" s="1">
        <v>7613</v>
      </c>
      <c r="B627" s="1" t="s">
        <v>1540</v>
      </c>
      <c r="C627" s="1" t="s">
        <v>1541</v>
      </c>
      <c r="D627" s="3">
        <v>2</v>
      </c>
      <c r="E627" s="1" t="s">
        <v>1542</v>
      </c>
    </row>
    <row r="628" spans="1:5" ht="15.75" customHeight="1" x14ac:dyDescent="0.2">
      <c r="A628" s="1">
        <v>45352</v>
      </c>
      <c r="B628" s="1" t="s">
        <v>1543</v>
      </c>
      <c r="C628" s="1" t="s">
        <v>1544</v>
      </c>
      <c r="D628" s="3">
        <v>2</v>
      </c>
      <c r="E628" s="1" t="s">
        <v>1545</v>
      </c>
    </row>
    <row r="629" spans="1:5" ht="15.75" customHeight="1" x14ac:dyDescent="0.2">
      <c r="A629" s="1">
        <v>67182</v>
      </c>
      <c r="B629" s="1" t="s">
        <v>394</v>
      </c>
      <c r="C629" s="1" t="s">
        <v>1546</v>
      </c>
      <c r="D629" s="3">
        <v>2</v>
      </c>
      <c r="E629" s="1" t="s">
        <v>1547</v>
      </c>
    </row>
    <row r="630" spans="1:5" ht="15.75" customHeight="1" x14ac:dyDescent="0.2">
      <c r="A630" s="1">
        <v>4200</v>
      </c>
      <c r="B630" s="1" t="s">
        <v>1548</v>
      </c>
      <c r="C630" s="1" t="s">
        <v>1549</v>
      </c>
      <c r="D630" s="3">
        <v>2</v>
      </c>
      <c r="E630" s="1" t="s">
        <v>1550</v>
      </c>
    </row>
    <row r="631" spans="1:5" ht="15.75" customHeight="1" x14ac:dyDescent="0.2">
      <c r="A631" s="1">
        <v>52781</v>
      </c>
      <c r="B631" s="1" t="s">
        <v>1551</v>
      </c>
      <c r="C631" s="1" t="s">
        <v>1552</v>
      </c>
      <c r="D631" s="3">
        <v>2</v>
      </c>
      <c r="E631" s="1" t="s">
        <v>1553</v>
      </c>
    </row>
    <row r="632" spans="1:5" ht="15.75" customHeight="1" x14ac:dyDescent="0.2">
      <c r="A632" s="1">
        <v>1402</v>
      </c>
      <c r="B632" s="1" t="s">
        <v>172</v>
      </c>
      <c r="C632" s="1" t="s">
        <v>1554</v>
      </c>
      <c r="D632" s="3">
        <v>2</v>
      </c>
      <c r="E632" s="1" t="s">
        <v>1555</v>
      </c>
    </row>
    <row r="633" spans="1:5" ht="15.75" customHeight="1" x14ac:dyDescent="0.2">
      <c r="A633" s="1">
        <v>14577</v>
      </c>
      <c r="B633" s="1" t="s">
        <v>345</v>
      </c>
      <c r="C633" s="1" t="s">
        <v>1556</v>
      </c>
      <c r="D633" s="3">
        <v>1</v>
      </c>
      <c r="E633" s="1" t="s">
        <v>1557</v>
      </c>
    </row>
    <row r="634" spans="1:5" ht="15.75" customHeight="1" x14ac:dyDescent="0.2">
      <c r="A634" s="1">
        <v>36</v>
      </c>
      <c r="B634" s="1" t="s">
        <v>172</v>
      </c>
      <c r="C634" s="1" t="s">
        <v>1558</v>
      </c>
      <c r="D634" s="3">
        <v>2</v>
      </c>
      <c r="E634" s="1" t="s">
        <v>1559</v>
      </c>
    </row>
    <row r="635" spans="1:5" ht="15.75" customHeight="1" x14ac:dyDescent="0.2">
      <c r="A635" s="1">
        <v>51078</v>
      </c>
      <c r="B635" s="1" t="s">
        <v>1560</v>
      </c>
      <c r="C635" s="1" t="s">
        <v>1561</v>
      </c>
      <c r="D635" s="3">
        <v>2</v>
      </c>
      <c r="E635" s="1" t="s">
        <v>1562</v>
      </c>
    </row>
    <row r="636" spans="1:5" ht="15.75" customHeight="1" x14ac:dyDescent="0.2">
      <c r="A636" s="1">
        <v>14338</v>
      </c>
      <c r="B636" s="1" t="s">
        <v>1455</v>
      </c>
      <c r="C636" s="1" t="s">
        <v>1563</v>
      </c>
      <c r="D636" s="3">
        <v>2</v>
      </c>
      <c r="E636" s="1" t="s">
        <v>1564</v>
      </c>
    </row>
    <row r="637" spans="1:5" ht="15.75" customHeight="1" x14ac:dyDescent="0.2">
      <c r="A637" s="1">
        <v>70257</v>
      </c>
      <c r="B637" s="1" t="s">
        <v>32</v>
      </c>
      <c r="C637" s="1" t="s">
        <v>1565</v>
      </c>
      <c r="D637" s="3">
        <v>2</v>
      </c>
      <c r="E637" s="1" t="s">
        <v>1566</v>
      </c>
    </row>
    <row r="638" spans="1:5" ht="15.75" customHeight="1" x14ac:dyDescent="0.2">
      <c r="A638" s="1">
        <v>2127</v>
      </c>
      <c r="B638" s="1" t="s">
        <v>1357</v>
      </c>
      <c r="C638" s="1" t="s">
        <v>1567</v>
      </c>
      <c r="D638" s="3">
        <v>2</v>
      </c>
      <c r="E638" s="1" t="s">
        <v>1568</v>
      </c>
    </row>
    <row r="639" spans="1:5" ht="15.75" customHeight="1" x14ac:dyDescent="0.2">
      <c r="A639" s="1">
        <v>36046</v>
      </c>
      <c r="B639" s="1" t="s">
        <v>1569</v>
      </c>
      <c r="C639" s="1" t="s">
        <v>1570</v>
      </c>
      <c r="D639" s="3">
        <v>2</v>
      </c>
      <c r="E639" s="1" t="s">
        <v>1571</v>
      </c>
    </row>
    <row r="640" spans="1:5" ht="15.75" customHeight="1" x14ac:dyDescent="0.2">
      <c r="A640" s="1">
        <v>7923</v>
      </c>
      <c r="B640" s="1" t="s">
        <v>144</v>
      </c>
      <c r="C640" s="1" t="s">
        <v>1572</v>
      </c>
      <c r="D640" s="3">
        <v>2</v>
      </c>
      <c r="E640" s="1" t="s">
        <v>1573</v>
      </c>
    </row>
    <row r="641" spans="1:5" ht="15.75" customHeight="1" x14ac:dyDescent="0.2">
      <c r="A641" s="1">
        <v>3864</v>
      </c>
      <c r="B641" s="1" t="s">
        <v>32</v>
      </c>
      <c r="C641" s="1" t="s">
        <v>1574</v>
      </c>
      <c r="D641" s="3">
        <v>2</v>
      </c>
      <c r="E641" s="1" t="s">
        <v>1575</v>
      </c>
    </row>
    <row r="642" spans="1:5" ht="15.75" customHeight="1" x14ac:dyDescent="0.2">
      <c r="A642" s="1">
        <v>19546</v>
      </c>
      <c r="B642" s="1" t="s">
        <v>276</v>
      </c>
      <c r="C642" s="1" t="s">
        <v>1576</v>
      </c>
      <c r="D642" s="3">
        <v>1</v>
      </c>
      <c r="E642" s="1" t="s">
        <v>1577</v>
      </c>
    </row>
    <row r="643" spans="1:5" ht="15.75" customHeight="1" x14ac:dyDescent="0.2">
      <c r="A643" s="1">
        <v>26258</v>
      </c>
      <c r="B643" s="1" t="s">
        <v>167</v>
      </c>
      <c r="C643" s="1" t="s">
        <v>1578</v>
      </c>
      <c r="D643" s="3">
        <v>1</v>
      </c>
      <c r="E643" s="1" t="s">
        <v>1579</v>
      </c>
    </row>
    <row r="644" spans="1:5" ht="15.75" customHeight="1" x14ac:dyDescent="0.2">
      <c r="A644" s="1">
        <v>14892</v>
      </c>
      <c r="B644" s="1" t="s">
        <v>32</v>
      </c>
      <c r="C644" s="1" t="s">
        <v>1580</v>
      </c>
      <c r="D644" s="3">
        <v>1</v>
      </c>
      <c r="E644" s="1" t="s">
        <v>1581</v>
      </c>
    </row>
    <row r="645" spans="1:5" ht="15.75" customHeight="1" x14ac:dyDescent="0.2">
      <c r="A645" s="1">
        <v>65046</v>
      </c>
      <c r="B645" s="1" t="s">
        <v>84</v>
      </c>
      <c r="C645" s="1" t="s">
        <v>1582</v>
      </c>
      <c r="D645" s="3">
        <v>2</v>
      </c>
      <c r="E645" s="1" t="s">
        <v>1583</v>
      </c>
    </row>
    <row r="646" spans="1:5" ht="15.75" customHeight="1" x14ac:dyDescent="0.2">
      <c r="A646" s="1">
        <v>41360</v>
      </c>
      <c r="B646" s="1" t="s">
        <v>32</v>
      </c>
      <c r="C646" s="1" t="s">
        <v>1584</v>
      </c>
      <c r="D646" s="3">
        <v>1</v>
      </c>
      <c r="E646" s="1" t="s">
        <v>1585</v>
      </c>
    </row>
    <row r="647" spans="1:5" ht="15.75" customHeight="1" x14ac:dyDescent="0.2">
      <c r="A647" s="1">
        <v>43985</v>
      </c>
      <c r="B647" s="1" t="s">
        <v>191</v>
      </c>
      <c r="C647" s="1" t="s">
        <v>1586</v>
      </c>
      <c r="D647" s="3">
        <v>2</v>
      </c>
      <c r="E647" s="1" t="s">
        <v>1587</v>
      </c>
    </row>
    <row r="648" spans="1:5" ht="15.75" customHeight="1" x14ac:dyDescent="0.2">
      <c r="A648" s="1">
        <v>53935</v>
      </c>
      <c r="B648" s="1" t="s">
        <v>701</v>
      </c>
      <c r="C648" s="1" t="s">
        <v>1588</v>
      </c>
      <c r="D648" s="3">
        <v>2</v>
      </c>
      <c r="E648" s="1" t="s">
        <v>1589</v>
      </c>
    </row>
    <row r="649" spans="1:5" ht="15.75" customHeight="1" x14ac:dyDescent="0.2">
      <c r="A649" s="1">
        <v>40540</v>
      </c>
      <c r="B649" s="1" t="s">
        <v>315</v>
      </c>
      <c r="C649" s="1" t="s">
        <v>1590</v>
      </c>
      <c r="D649" s="3">
        <v>1</v>
      </c>
      <c r="E649" s="1" t="s">
        <v>1591</v>
      </c>
    </row>
    <row r="650" spans="1:5" ht="15.75" customHeight="1" x14ac:dyDescent="0.2">
      <c r="A650" s="1">
        <v>15387</v>
      </c>
      <c r="B650" s="1" t="s">
        <v>1592</v>
      </c>
      <c r="C650" s="1" t="s">
        <v>1593</v>
      </c>
      <c r="D650" s="3">
        <v>1</v>
      </c>
      <c r="E650" s="1" t="s">
        <v>1594</v>
      </c>
    </row>
    <row r="651" spans="1:5" ht="15.75" customHeight="1" x14ac:dyDescent="0.2">
      <c r="A651" s="1">
        <v>17991</v>
      </c>
      <c r="B651" s="1" t="s">
        <v>1021</v>
      </c>
      <c r="C651" s="1" t="s">
        <v>1595</v>
      </c>
      <c r="D651" s="3">
        <v>2</v>
      </c>
      <c r="E651" s="1" t="s">
        <v>1596</v>
      </c>
    </row>
    <row r="652" spans="1:5" ht="15.75" customHeight="1" x14ac:dyDescent="0.2">
      <c r="A652" s="1">
        <v>40421</v>
      </c>
      <c r="B652" s="1" t="s">
        <v>399</v>
      </c>
      <c r="C652" s="1" t="s">
        <v>1597</v>
      </c>
      <c r="D652" s="3">
        <v>2</v>
      </c>
      <c r="E652" s="1" t="s">
        <v>1598</v>
      </c>
    </row>
    <row r="653" spans="1:5" ht="15.75" customHeight="1" x14ac:dyDescent="0.2">
      <c r="A653" s="1">
        <v>58931</v>
      </c>
      <c r="B653" s="1" t="s">
        <v>75</v>
      </c>
      <c r="C653" s="1" t="s">
        <v>1599</v>
      </c>
      <c r="D653" s="3">
        <v>2</v>
      </c>
      <c r="E653" s="1" t="s">
        <v>1600</v>
      </c>
    </row>
    <row r="654" spans="1:5" ht="15.75" customHeight="1" x14ac:dyDescent="0.2">
      <c r="A654" s="1">
        <v>20802</v>
      </c>
      <c r="B654" s="1" t="s">
        <v>1123</v>
      </c>
      <c r="C654" s="1" t="s">
        <v>1601</v>
      </c>
      <c r="D654" s="3">
        <v>2</v>
      </c>
      <c r="E654" s="1" t="s">
        <v>1602</v>
      </c>
    </row>
    <row r="655" spans="1:5" ht="15.75" customHeight="1" x14ac:dyDescent="0.2">
      <c r="A655" s="1">
        <v>23724</v>
      </c>
      <c r="B655" s="1" t="s">
        <v>1603</v>
      </c>
      <c r="C655" s="1" t="s">
        <v>1604</v>
      </c>
      <c r="D655" s="3">
        <v>2</v>
      </c>
      <c r="E655" s="1" t="s">
        <v>1605</v>
      </c>
    </row>
    <row r="656" spans="1:5" ht="15.75" customHeight="1" x14ac:dyDescent="0.2">
      <c r="A656" s="1">
        <v>50376</v>
      </c>
      <c r="B656" s="1" t="s">
        <v>1606</v>
      </c>
      <c r="C656" s="1" t="s">
        <v>1607</v>
      </c>
      <c r="D656" s="3">
        <v>2</v>
      </c>
      <c r="E656" s="1" t="s">
        <v>1608</v>
      </c>
    </row>
    <row r="657" spans="1:5" ht="15.75" customHeight="1" x14ac:dyDescent="0.2">
      <c r="A657" s="1">
        <v>4198</v>
      </c>
      <c r="B657" s="1" t="s">
        <v>1609</v>
      </c>
      <c r="C657" s="1" t="s">
        <v>1610</v>
      </c>
      <c r="D657" s="3">
        <v>2</v>
      </c>
      <c r="E657" s="1" t="s">
        <v>1611</v>
      </c>
    </row>
    <row r="658" spans="1:5" ht="15.75" customHeight="1" x14ac:dyDescent="0.2">
      <c r="A658" s="1">
        <v>71201</v>
      </c>
      <c r="B658" s="1" t="s">
        <v>728</v>
      </c>
      <c r="C658" s="1" t="s">
        <v>1612</v>
      </c>
      <c r="D658" s="3">
        <v>2</v>
      </c>
      <c r="E658" s="1" t="s">
        <v>1613</v>
      </c>
    </row>
    <row r="659" spans="1:5" ht="15.75" customHeight="1" x14ac:dyDescent="0.2">
      <c r="A659" s="1">
        <v>71231</v>
      </c>
      <c r="B659" s="1" t="s">
        <v>1614</v>
      </c>
      <c r="C659" s="1" t="s">
        <v>1615</v>
      </c>
      <c r="D659" s="3">
        <v>2</v>
      </c>
      <c r="E659" s="1" t="s">
        <v>1616</v>
      </c>
    </row>
    <row r="660" spans="1:5" ht="15.75" customHeight="1" x14ac:dyDescent="0.2">
      <c r="A660" s="1">
        <v>40027</v>
      </c>
      <c r="B660" s="1" t="s">
        <v>75</v>
      </c>
      <c r="C660" s="1" t="s">
        <v>1617</v>
      </c>
      <c r="D660" s="3">
        <v>2</v>
      </c>
      <c r="E660" s="1" t="s">
        <v>1618</v>
      </c>
    </row>
    <row r="661" spans="1:5" ht="15.75" customHeight="1" x14ac:dyDescent="0.2">
      <c r="A661" s="1">
        <v>44482</v>
      </c>
      <c r="B661" s="1" t="s">
        <v>315</v>
      </c>
      <c r="C661" s="1" t="s">
        <v>1619</v>
      </c>
      <c r="D661" s="3">
        <v>2</v>
      </c>
      <c r="E661" s="1" t="s">
        <v>1620</v>
      </c>
    </row>
    <row r="662" spans="1:5" ht="15.75" customHeight="1" x14ac:dyDescent="0.2">
      <c r="A662" s="1">
        <v>39557</v>
      </c>
      <c r="B662" s="1" t="s">
        <v>1614</v>
      </c>
      <c r="C662" s="1" t="s">
        <v>1621</v>
      </c>
      <c r="D662" s="3">
        <v>1</v>
      </c>
      <c r="E662" s="1" t="s">
        <v>1622</v>
      </c>
    </row>
    <row r="663" spans="1:5" ht="15.75" customHeight="1" x14ac:dyDescent="0.2">
      <c r="A663" s="1">
        <v>62349</v>
      </c>
      <c r="B663" s="1" t="s">
        <v>1474</v>
      </c>
      <c r="C663" s="1" t="s">
        <v>1623</v>
      </c>
      <c r="D663" s="3">
        <v>2</v>
      </c>
      <c r="E663" s="1" t="s">
        <v>1624</v>
      </c>
    </row>
    <row r="664" spans="1:5" ht="15.75" customHeight="1" x14ac:dyDescent="0.2">
      <c r="A664" s="1">
        <v>29668</v>
      </c>
      <c r="B664" s="1" t="s">
        <v>265</v>
      </c>
      <c r="C664" s="1" t="s">
        <v>1625</v>
      </c>
      <c r="D664" s="3">
        <v>1</v>
      </c>
      <c r="E664" s="1" t="s">
        <v>1626</v>
      </c>
    </row>
    <row r="665" spans="1:5" ht="15.75" customHeight="1" x14ac:dyDescent="0.2">
      <c r="A665" s="1">
        <v>8079</v>
      </c>
      <c r="B665" s="1" t="s">
        <v>191</v>
      </c>
      <c r="C665" s="1" t="s">
        <v>1627</v>
      </c>
      <c r="D665" s="3">
        <v>2</v>
      </c>
      <c r="E665" s="1" t="s">
        <v>1628</v>
      </c>
    </row>
    <row r="666" spans="1:5" ht="15.75" customHeight="1" x14ac:dyDescent="0.2">
      <c r="A666" s="1">
        <v>69</v>
      </c>
      <c r="B666" s="1" t="s">
        <v>23</v>
      </c>
      <c r="C666" s="1" t="s">
        <v>1629</v>
      </c>
      <c r="D666" s="3">
        <v>2</v>
      </c>
      <c r="E666" s="1" t="s">
        <v>1630</v>
      </c>
    </row>
    <row r="667" spans="1:5" ht="15.75" customHeight="1" x14ac:dyDescent="0.2">
      <c r="A667" s="1">
        <v>1918</v>
      </c>
      <c r="B667" s="1" t="s">
        <v>11</v>
      </c>
      <c r="C667" s="1" t="s">
        <v>1631</v>
      </c>
      <c r="D667" s="3">
        <v>1</v>
      </c>
      <c r="E667" s="1" t="s">
        <v>1632</v>
      </c>
    </row>
    <row r="668" spans="1:5" ht="15.75" customHeight="1" x14ac:dyDescent="0.2">
      <c r="A668" s="1">
        <v>40190</v>
      </c>
      <c r="B668" s="1" t="s">
        <v>202</v>
      </c>
      <c r="C668" s="1" t="s">
        <v>1633</v>
      </c>
      <c r="D668" s="3">
        <v>2</v>
      </c>
      <c r="E668" s="1" t="s">
        <v>1634</v>
      </c>
    </row>
    <row r="669" spans="1:5" ht="15.75" customHeight="1" x14ac:dyDescent="0.2"/>
    <row r="670" spans="1:5" ht="15.75" customHeight="1" x14ac:dyDescent="0.2"/>
    <row r="671" spans="1:5" ht="15.75" customHeight="1" x14ac:dyDescent="0.2"/>
    <row r="672" spans="1:5"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4.5" defaultRowHeight="15" customHeight="1" x14ac:dyDescent="0.2"/>
  <cols>
    <col min="1" max="2" width="8.6640625" customWidth="1"/>
    <col min="3" max="3" width="206.5" customWidth="1"/>
    <col min="4" max="4" width="14.5" customWidth="1"/>
    <col min="5" max="26" width="8.6640625" customWidth="1"/>
  </cols>
  <sheetData>
    <row r="1" spans="1:6" x14ac:dyDescent="0.2">
      <c r="A1" s="2" t="s">
        <v>2</v>
      </c>
      <c r="B1" s="2" t="s">
        <v>3</v>
      </c>
      <c r="C1" s="2" t="s">
        <v>4</v>
      </c>
      <c r="D1" s="2" t="s">
        <v>5</v>
      </c>
      <c r="E1" s="2" t="s">
        <v>6</v>
      </c>
      <c r="F1" s="2" t="s">
        <v>7</v>
      </c>
    </row>
    <row r="2" spans="1:6" x14ac:dyDescent="0.2">
      <c r="A2" s="1">
        <v>62668</v>
      </c>
      <c r="B2" s="1" t="s">
        <v>1635</v>
      </c>
      <c r="C2" s="1" t="s">
        <v>1636</v>
      </c>
      <c r="D2" s="1">
        <v>1</v>
      </c>
      <c r="E2" s="1" t="s">
        <v>1637</v>
      </c>
    </row>
    <row r="3" spans="1:6" x14ac:dyDescent="0.2">
      <c r="A3" s="1">
        <v>62030</v>
      </c>
      <c r="B3" s="1" t="s">
        <v>1638</v>
      </c>
      <c r="C3" s="1" t="s">
        <v>1639</v>
      </c>
      <c r="D3" s="1">
        <v>2</v>
      </c>
      <c r="E3" s="1" t="s">
        <v>1640</v>
      </c>
    </row>
    <row r="4" spans="1:6" x14ac:dyDescent="0.2">
      <c r="A4" s="1">
        <v>61238</v>
      </c>
      <c r="B4" s="1" t="s">
        <v>1641</v>
      </c>
      <c r="C4" s="1" t="s">
        <v>1642</v>
      </c>
      <c r="D4" s="1">
        <v>2</v>
      </c>
      <c r="E4" s="1" t="s">
        <v>1643</v>
      </c>
    </row>
    <row r="5" spans="1:6" x14ac:dyDescent="0.2">
      <c r="A5" s="1">
        <v>47830</v>
      </c>
      <c r="B5" s="1" t="s">
        <v>11</v>
      </c>
      <c r="C5" s="1" t="s">
        <v>1644</v>
      </c>
      <c r="D5" s="1">
        <v>1</v>
      </c>
      <c r="E5" s="1" t="s">
        <v>1645</v>
      </c>
    </row>
    <row r="6" spans="1:6" x14ac:dyDescent="0.2">
      <c r="A6" s="1">
        <v>6486</v>
      </c>
      <c r="B6" s="1" t="s">
        <v>109</v>
      </c>
      <c r="C6" s="1" t="s">
        <v>1646</v>
      </c>
      <c r="D6" s="1">
        <v>2</v>
      </c>
      <c r="E6" s="1" t="s">
        <v>1647</v>
      </c>
    </row>
    <row r="7" spans="1:6" x14ac:dyDescent="0.2">
      <c r="A7" s="1">
        <v>68634</v>
      </c>
      <c r="B7" s="1" t="s">
        <v>636</v>
      </c>
      <c r="C7" s="1" t="s">
        <v>1648</v>
      </c>
      <c r="D7" s="1">
        <v>2</v>
      </c>
      <c r="E7" s="1" t="s">
        <v>1649</v>
      </c>
    </row>
    <row r="8" spans="1:6" x14ac:dyDescent="0.2">
      <c r="A8" s="1">
        <v>53046</v>
      </c>
      <c r="B8" s="1" t="s">
        <v>457</v>
      </c>
      <c r="C8" s="1" t="s">
        <v>1650</v>
      </c>
      <c r="D8" s="1">
        <v>2</v>
      </c>
      <c r="E8" s="1" t="s">
        <v>1651</v>
      </c>
    </row>
    <row r="9" spans="1:6" x14ac:dyDescent="0.2">
      <c r="A9" s="1">
        <v>34216</v>
      </c>
      <c r="B9" s="1" t="s">
        <v>1652</v>
      </c>
      <c r="C9" s="1" t="s">
        <v>1653</v>
      </c>
      <c r="D9" s="1">
        <v>1</v>
      </c>
      <c r="E9" s="1" t="s">
        <v>1654</v>
      </c>
    </row>
    <row r="10" spans="1:6" x14ac:dyDescent="0.2">
      <c r="A10" s="1">
        <v>36111</v>
      </c>
      <c r="B10" s="1" t="s">
        <v>549</v>
      </c>
      <c r="C10" s="1" t="s">
        <v>1655</v>
      </c>
      <c r="D10" s="1">
        <v>2</v>
      </c>
      <c r="E10" s="1" t="s">
        <v>1656</v>
      </c>
    </row>
    <row r="11" spans="1:6" x14ac:dyDescent="0.2">
      <c r="A11" s="1">
        <v>11530</v>
      </c>
      <c r="B11" s="1" t="s">
        <v>1657</v>
      </c>
      <c r="C11" s="1" t="s">
        <v>1658</v>
      </c>
      <c r="D11" s="1">
        <v>1</v>
      </c>
      <c r="E11" s="1" t="s">
        <v>1659</v>
      </c>
    </row>
    <row r="12" spans="1:6" x14ac:dyDescent="0.2">
      <c r="A12" s="1">
        <v>61941</v>
      </c>
      <c r="B12" s="1" t="s">
        <v>276</v>
      </c>
      <c r="C12" s="1" t="s">
        <v>1660</v>
      </c>
      <c r="D12" s="1">
        <v>1</v>
      </c>
      <c r="E12" s="1" t="s">
        <v>1661</v>
      </c>
    </row>
    <row r="13" spans="1:6" x14ac:dyDescent="0.2">
      <c r="A13" s="1">
        <v>48493</v>
      </c>
      <c r="B13" s="1" t="s">
        <v>167</v>
      </c>
      <c r="C13" s="1" t="s">
        <v>1662</v>
      </c>
      <c r="D13" s="1">
        <v>1</v>
      </c>
      <c r="E13" s="1" t="s">
        <v>1663</v>
      </c>
    </row>
    <row r="14" spans="1:6" x14ac:dyDescent="0.2">
      <c r="A14" s="1">
        <v>41342</v>
      </c>
      <c r="B14" s="1" t="s">
        <v>1664</v>
      </c>
      <c r="C14" s="1" t="s">
        <v>1665</v>
      </c>
      <c r="D14" s="1">
        <v>2</v>
      </c>
      <c r="E14" s="1" t="s">
        <v>1666</v>
      </c>
    </row>
    <row r="15" spans="1:6" x14ac:dyDescent="0.2">
      <c r="A15" s="1">
        <v>39479</v>
      </c>
      <c r="B15" s="1" t="s">
        <v>728</v>
      </c>
      <c r="C15" s="1" t="s">
        <v>1667</v>
      </c>
      <c r="D15" s="1">
        <v>2</v>
      </c>
      <c r="E15" s="1" t="s">
        <v>1668</v>
      </c>
    </row>
    <row r="16" spans="1:6" x14ac:dyDescent="0.2">
      <c r="A16" s="1">
        <v>41542</v>
      </c>
      <c r="B16" s="1" t="s">
        <v>1669</v>
      </c>
      <c r="C16" s="1" t="s">
        <v>1670</v>
      </c>
      <c r="D16" s="1">
        <v>2</v>
      </c>
      <c r="E16" s="1" t="s">
        <v>1671</v>
      </c>
    </row>
    <row r="17" spans="1:5" x14ac:dyDescent="0.2">
      <c r="A17" s="1">
        <v>20295</v>
      </c>
      <c r="B17" s="1" t="s">
        <v>1672</v>
      </c>
      <c r="C17" s="1" t="s">
        <v>1673</v>
      </c>
      <c r="D17" s="1">
        <v>2</v>
      </c>
      <c r="E17" s="1" t="s">
        <v>1674</v>
      </c>
    </row>
    <row r="18" spans="1:5" x14ac:dyDescent="0.2">
      <c r="A18" s="1">
        <v>37426</v>
      </c>
      <c r="B18" s="1" t="s">
        <v>1004</v>
      </c>
      <c r="C18" s="1" t="s">
        <v>1675</v>
      </c>
      <c r="D18" s="1">
        <v>2</v>
      </c>
      <c r="E18" s="1" t="s">
        <v>1676</v>
      </c>
    </row>
    <row r="19" spans="1:5" x14ac:dyDescent="0.2">
      <c r="A19" s="1">
        <v>49481</v>
      </c>
      <c r="B19" s="1" t="s">
        <v>405</v>
      </c>
      <c r="C19" s="1" t="s">
        <v>1677</v>
      </c>
      <c r="D19" s="1">
        <v>2</v>
      </c>
      <c r="E19" s="1" t="s">
        <v>1678</v>
      </c>
    </row>
    <row r="20" spans="1:5" x14ac:dyDescent="0.2">
      <c r="A20" s="1">
        <v>70452</v>
      </c>
      <c r="B20" s="1" t="s">
        <v>1679</v>
      </c>
      <c r="C20" s="1" t="s">
        <v>1680</v>
      </c>
      <c r="D20" s="1">
        <v>1</v>
      </c>
      <c r="E20" s="1" t="s">
        <v>1681</v>
      </c>
    </row>
    <row r="21" spans="1:5" ht="15.75" customHeight="1" x14ac:dyDescent="0.2">
      <c r="A21" s="1">
        <v>23701</v>
      </c>
      <c r="B21" s="1" t="s">
        <v>1455</v>
      </c>
      <c r="C21" s="1" t="s">
        <v>1682</v>
      </c>
      <c r="D21" s="1">
        <v>2</v>
      </c>
      <c r="E21" s="1" t="s">
        <v>1683</v>
      </c>
    </row>
    <row r="22" spans="1:5" ht="15.75" customHeight="1" x14ac:dyDescent="0.2">
      <c r="A22" s="1">
        <v>30771</v>
      </c>
      <c r="B22" s="1" t="s">
        <v>524</v>
      </c>
      <c r="C22" s="1" t="s">
        <v>1684</v>
      </c>
      <c r="D22" s="1">
        <v>2</v>
      </c>
      <c r="E22" s="1" t="s">
        <v>1685</v>
      </c>
    </row>
    <row r="23" spans="1:5" ht="15.75" customHeight="1" x14ac:dyDescent="0.2">
      <c r="A23" s="1">
        <v>26537</v>
      </c>
      <c r="B23" s="1" t="s">
        <v>1686</v>
      </c>
      <c r="C23" s="1" t="s">
        <v>1687</v>
      </c>
      <c r="D23" s="1">
        <v>1</v>
      </c>
      <c r="E23" s="1" t="s">
        <v>1688</v>
      </c>
    </row>
    <row r="24" spans="1:5" ht="15.75" customHeight="1" x14ac:dyDescent="0.2">
      <c r="A24" s="1">
        <v>64448</v>
      </c>
      <c r="B24" s="1" t="s">
        <v>1307</v>
      </c>
      <c r="C24" s="1" t="s">
        <v>1689</v>
      </c>
      <c r="D24" s="1">
        <v>2</v>
      </c>
      <c r="E24" s="1" t="s">
        <v>1690</v>
      </c>
    </row>
    <row r="25" spans="1:5" ht="15.75" customHeight="1" x14ac:dyDescent="0.2">
      <c r="A25" s="1">
        <v>237</v>
      </c>
      <c r="B25" s="1" t="s">
        <v>1691</v>
      </c>
      <c r="C25" s="1" t="s">
        <v>1692</v>
      </c>
      <c r="D25" s="1">
        <v>2</v>
      </c>
      <c r="E25" s="1" t="s">
        <v>1693</v>
      </c>
    </row>
    <row r="26" spans="1:5" ht="15.75" customHeight="1" x14ac:dyDescent="0.2">
      <c r="A26" s="1">
        <v>8257</v>
      </c>
      <c r="B26" s="1" t="s">
        <v>254</v>
      </c>
      <c r="C26" s="1" t="s">
        <v>1694</v>
      </c>
      <c r="D26" s="1">
        <v>2</v>
      </c>
      <c r="E26" s="1" t="s">
        <v>1695</v>
      </c>
    </row>
    <row r="27" spans="1:5" ht="15.75" customHeight="1" x14ac:dyDescent="0.2">
      <c r="A27" s="1">
        <v>1705</v>
      </c>
      <c r="B27" s="1" t="s">
        <v>345</v>
      </c>
      <c r="C27" s="1" t="s">
        <v>1696</v>
      </c>
      <c r="D27" s="1">
        <v>1</v>
      </c>
      <c r="E27" s="1" t="s">
        <v>1697</v>
      </c>
    </row>
    <row r="28" spans="1:5" ht="15.75" customHeight="1" x14ac:dyDescent="0.2">
      <c r="A28" s="1">
        <v>9958</v>
      </c>
      <c r="B28" s="1" t="s">
        <v>1698</v>
      </c>
      <c r="C28" s="1" t="s">
        <v>1699</v>
      </c>
      <c r="D28" s="1">
        <v>2</v>
      </c>
      <c r="E28" s="1" t="s">
        <v>1700</v>
      </c>
    </row>
    <row r="29" spans="1:5" ht="15.75" customHeight="1" x14ac:dyDescent="0.2">
      <c r="A29" s="1">
        <v>51922</v>
      </c>
      <c r="B29" s="1" t="s">
        <v>276</v>
      </c>
      <c r="C29" s="1" t="s">
        <v>1701</v>
      </c>
      <c r="D29" s="1">
        <v>2</v>
      </c>
      <c r="E29" s="1" t="s">
        <v>1702</v>
      </c>
    </row>
    <row r="30" spans="1:5" ht="15.75" customHeight="1" x14ac:dyDescent="0.2">
      <c r="A30" s="1">
        <v>56226</v>
      </c>
      <c r="B30" s="1" t="s">
        <v>751</v>
      </c>
      <c r="C30" s="1" t="s">
        <v>1703</v>
      </c>
      <c r="D30" s="1">
        <v>2</v>
      </c>
      <c r="E30" s="1" t="s">
        <v>1704</v>
      </c>
    </row>
    <row r="31" spans="1:5" ht="15.75" customHeight="1" x14ac:dyDescent="0.2">
      <c r="A31" s="1">
        <v>52178</v>
      </c>
      <c r="B31" s="1" t="s">
        <v>172</v>
      </c>
      <c r="C31" s="1" t="s">
        <v>1705</v>
      </c>
      <c r="D31" s="1">
        <v>2</v>
      </c>
      <c r="E31" s="1" t="s">
        <v>1706</v>
      </c>
    </row>
    <row r="32" spans="1:5" ht="15.75" customHeight="1" x14ac:dyDescent="0.2">
      <c r="A32" s="1">
        <v>65920</v>
      </c>
      <c r="B32" s="1" t="s">
        <v>56</v>
      </c>
      <c r="C32" s="1" t="s">
        <v>1707</v>
      </c>
      <c r="D32" s="1">
        <v>2</v>
      </c>
      <c r="E32" s="1" t="s">
        <v>1708</v>
      </c>
    </row>
    <row r="33" spans="1:5" ht="15.75" customHeight="1" x14ac:dyDescent="0.2">
      <c r="A33" s="1">
        <v>54286</v>
      </c>
      <c r="B33" s="1" t="s">
        <v>301</v>
      </c>
      <c r="C33" s="1" t="s">
        <v>1709</v>
      </c>
      <c r="D33" s="1">
        <v>2</v>
      </c>
      <c r="E33" s="1" t="s">
        <v>1710</v>
      </c>
    </row>
    <row r="34" spans="1:5" ht="15.75" customHeight="1" x14ac:dyDescent="0.2">
      <c r="A34" s="1">
        <v>38282</v>
      </c>
      <c r="B34" s="1" t="s">
        <v>1711</v>
      </c>
      <c r="C34" s="1" t="s">
        <v>1712</v>
      </c>
      <c r="D34" s="1">
        <v>2</v>
      </c>
      <c r="E34" s="1" t="s">
        <v>1713</v>
      </c>
    </row>
    <row r="35" spans="1:5" ht="15.75" customHeight="1" x14ac:dyDescent="0.2">
      <c r="A35" s="1">
        <v>35700</v>
      </c>
      <c r="B35" s="1" t="s">
        <v>1144</v>
      </c>
      <c r="C35" s="1" t="s">
        <v>1714</v>
      </c>
      <c r="D35" s="1">
        <v>2</v>
      </c>
      <c r="E35" s="1" t="s">
        <v>1715</v>
      </c>
    </row>
    <row r="36" spans="1:5" ht="15.75" customHeight="1" x14ac:dyDescent="0.2">
      <c r="A36" s="1">
        <v>36201</v>
      </c>
      <c r="B36" s="1" t="s">
        <v>466</v>
      </c>
      <c r="C36" s="1" t="s">
        <v>1716</v>
      </c>
      <c r="D36" s="1">
        <v>1</v>
      </c>
      <c r="E36" s="1" t="s">
        <v>1717</v>
      </c>
    </row>
    <row r="37" spans="1:5" ht="15.75" customHeight="1" x14ac:dyDescent="0.2">
      <c r="A37" s="1">
        <v>12058</v>
      </c>
      <c r="B37" s="1" t="s">
        <v>64</v>
      </c>
      <c r="C37" s="1" t="s">
        <v>1718</v>
      </c>
      <c r="D37" s="1">
        <v>1</v>
      </c>
      <c r="E37" s="1" t="s">
        <v>1719</v>
      </c>
    </row>
    <row r="38" spans="1:5" ht="15.75" customHeight="1" x14ac:dyDescent="0.2">
      <c r="A38" s="1">
        <v>48675</v>
      </c>
      <c r="B38" s="1" t="s">
        <v>490</v>
      </c>
      <c r="C38" s="1" t="s">
        <v>1720</v>
      </c>
      <c r="D38" s="1">
        <v>2</v>
      </c>
      <c r="E38" s="1" t="s">
        <v>1721</v>
      </c>
    </row>
    <row r="39" spans="1:5" ht="15.75" customHeight="1" x14ac:dyDescent="0.2">
      <c r="A39" s="1">
        <v>11051</v>
      </c>
      <c r="B39" s="1" t="s">
        <v>172</v>
      </c>
      <c r="C39" s="1" t="s">
        <v>1722</v>
      </c>
      <c r="D39" s="1">
        <v>2</v>
      </c>
      <c r="E39" s="1" t="s">
        <v>1723</v>
      </c>
    </row>
    <row r="40" spans="1:5" ht="15.75" customHeight="1" x14ac:dyDescent="0.2">
      <c r="A40" s="1">
        <v>24720</v>
      </c>
      <c r="B40" s="1" t="s">
        <v>597</v>
      </c>
      <c r="C40" s="1" t="s">
        <v>1724</v>
      </c>
      <c r="D40" s="1">
        <v>1</v>
      </c>
      <c r="E40" s="1" t="s">
        <v>1725</v>
      </c>
    </row>
    <row r="41" spans="1:5" ht="15.75" customHeight="1" x14ac:dyDescent="0.2">
      <c r="A41" s="1">
        <v>43912</v>
      </c>
      <c r="B41" s="1" t="s">
        <v>552</v>
      </c>
      <c r="C41" s="1" t="s">
        <v>1726</v>
      </c>
      <c r="D41" s="1">
        <v>1</v>
      </c>
      <c r="E41" s="1" t="s">
        <v>1727</v>
      </c>
    </row>
    <row r="42" spans="1:5" ht="15.75" customHeight="1" x14ac:dyDescent="0.2">
      <c r="A42" s="1">
        <v>52598</v>
      </c>
      <c r="B42" s="1" t="s">
        <v>1040</v>
      </c>
      <c r="C42" s="1" t="s">
        <v>1728</v>
      </c>
      <c r="D42" s="1">
        <v>2</v>
      </c>
      <c r="E42" s="1" t="s">
        <v>1729</v>
      </c>
    </row>
    <row r="43" spans="1:5" ht="15.75" customHeight="1" x14ac:dyDescent="0.2">
      <c r="A43" s="1">
        <v>66931</v>
      </c>
      <c r="B43" s="1" t="s">
        <v>931</v>
      </c>
      <c r="C43" s="1" t="s">
        <v>1730</v>
      </c>
      <c r="D43" s="1">
        <v>1</v>
      </c>
      <c r="E43" s="1" t="s">
        <v>1731</v>
      </c>
    </row>
    <row r="44" spans="1:5" ht="15.75" customHeight="1" x14ac:dyDescent="0.2">
      <c r="A44" s="1">
        <v>56062</v>
      </c>
      <c r="B44" s="1" t="s">
        <v>1732</v>
      </c>
      <c r="C44" s="1" t="s">
        <v>1733</v>
      </c>
      <c r="D44" s="1">
        <v>2</v>
      </c>
      <c r="E44" s="1" t="s">
        <v>1734</v>
      </c>
    </row>
    <row r="45" spans="1:5" ht="15.75" customHeight="1" x14ac:dyDescent="0.2">
      <c r="A45" s="1">
        <v>1741</v>
      </c>
      <c r="B45" s="1" t="s">
        <v>457</v>
      </c>
      <c r="C45" s="1" t="s">
        <v>1735</v>
      </c>
      <c r="D45" s="1">
        <v>2</v>
      </c>
      <c r="E45" s="1" t="s">
        <v>1736</v>
      </c>
    </row>
    <row r="46" spans="1:5" ht="15.75" customHeight="1" x14ac:dyDescent="0.2">
      <c r="A46" s="1">
        <v>4886</v>
      </c>
      <c r="B46" s="1" t="s">
        <v>1021</v>
      </c>
      <c r="C46" s="1" t="s">
        <v>1737</v>
      </c>
      <c r="D46" s="1">
        <v>2</v>
      </c>
      <c r="E46" s="1" t="s">
        <v>1738</v>
      </c>
    </row>
    <row r="47" spans="1:5" ht="15.75" customHeight="1" x14ac:dyDescent="0.2">
      <c r="A47" s="1">
        <v>44800</v>
      </c>
      <c r="B47" s="1" t="s">
        <v>1739</v>
      </c>
      <c r="C47" s="1" t="s">
        <v>1740</v>
      </c>
      <c r="D47" s="1">
        <v>1</v>
      </c>
      <c r="E47" s="1" t="s">
        <v>1741</v>
      </c>
    </row>
    <row r="48" spans="1:5" ht="15.75" customHeight="1" x14ac:dyDescent="0.2">
      <c r="A48" s="1">
        <v>40055</v>
      </c>
      <c r="B48" s="1" t="s">
        <v>1742</v>
      </c>
      <c r="C48" s="1" t="s">
        <v>1743</v>
      </c>
      <c r="D48" s="1">
        <v>2</v>
      </c>
      <c r="E48" s="1" t="s">
        <v>1744</v>
      </c>
    </row>
    <row r="49" spans="1:5" ht="15.75" customHeight="1" x14ac:dyDescent="0.2">
      <c r="A49" s="1">
        <v>27217</v>
      </c>
      <c r="B49" s="1" t="s">
        <v>1075</v>
      </c>
      <c r="C49" s="1" t="s">
        <v>1745</v>
      </c>
      <c r="D49" s="1">
        <v>2</v>
      </c>
      <c r="E49" s="1" t="s">
        <v>1746</v>
      </c>
    </row>
    <row r="50" spans="1:5" ht="15.75" customHeight="1" x14ac:dyDescent="0.2">
      <c r="A50" s="1">
        <v>59116</v>
      </c>
      <c r="B50" s="1" t="s">
        <v>696</v>
      </c>
      <c r="C50" s="1" t="s">
        <v>1747</v>
      </c>
      <c r="D50" s="1">
        <v>2</v>
      </c>
      <c r="E50" s="1" t="s">
        <v>1748</v>
      </c>
    </row>
    <row r="51" spans="1:5" ht="15.75" customHeight="1" x14ac:dyDescent="0.2">
      <c r="A51" s="1">
        <v>21189</v>
      </c>
      <c r="B51" s="1" t="s">
        <v>38</v>
      </c>
      <c r="C51" s="1" t="s">
        <v>1749</v>
      </c>
      <c r="D51" s="1">
        <v>2</v>
      </c>
      <c r="E51" s="1" t="s">
        <v>1750</v>
      </c>
    </row>
    <row r="52" spans="1:5" ht="15.75" customHeight="1" x14ac:dyDescent="0.2">
      <c r="A52" s="1">
        <v>22550</v>
      </c>
      <c r="B52" s="1" t="s">
        <v>159</v>
      </c>
      <c r="C52" s="1" t="s">
        <v>1751</v>
      </c>
      <c r="D52" s="1">
        <v>2</v>
      </c>
      <c r="E52" s="1" t="s">
        <v>1752</v>
      </c>
    </row>
    <row r="53" spans="1:5" ht="15.75" customHeight="1" x14ac:dyDescent="0.2">
      <c r="A53" s="1">
        <v>7487</v>
      </c>
      <c r="B53" s="1" t="s">
        <v>991</v>
      </c>
      <c r="C53" s="1" t="s">
        <v>1753</v>
      </c>
      <c r="D53" s="1">
        <v>1</v>
      </c>
      <c r="E53" s="1" t="s">
        <v>1754</v>
      </c>
    </row>
    <row r="54" spans="1:5" ht="15.75" customHeight="1" x14ac:dyDescent="0.2">
      <c r="A54" s="1">
        <v>68310</v>
      </c>
      <c r="B54" s="1" t="s">
        <v>1755</v>
      </c>
      <c r="C54" s="1" t="s">
        <v>1756</v>
      </c>
      <c r="D54" s="1">
        <v>2</v>
      </c>
      <c r="E54" s="1" t="s">
        <v>1757</v>
      </c>
    </row>
    <row r="55" spans="1:5" ht="15.75" customHeight="1" x14ac:dyDescent="0.2">
      <c r="A55" s="1">
        <v>46025</v>
      </c>
      <c r="B55" s="1" t="s">
        <v>233</v>
      </c>
      <c r="C55" s="1" t="s">
        <v>1758</v>
      </c>
      <c r="D55" s="1">
        <v>2</v>
      </c>
      <c r="E55" s="1" t="s">
        <v>1759</v>
      </c>
    </row>
    <row r="56" spans="1:5" ht="15.75" customHeight="1" x14ac:dyDescent="0.2">
      <c r="A56" s="1">
        <v>50362</v>
      </c>
      <c r="B56" s="1" t="s">
        <v>405</v>
      </c>
      <c r="C56" s="1" t="s">
        <v>1760</v>
      </c>
      <c r="D56" s="1">
        <v>1</v>
      </c>
      <c r="E56" s="1" t="s">
        <v>1761</v>
      </c>
    </row>
    <row r="57" spans="1:5" ht="15.75" customHeight="1" x14ac:dyDescent="0.2">
      <c r="A57" s="1">
        <v>26909</v>
      </c>
      <c r="B57" s="1" t="s">
        <v>656</v>
      </c>
      <c r="C57" s="1" t="s">
        <v>1762</v>
      </c>
      <c r="D57" s="1">
        <v>1</v>
      </c>
      <c r="E57" s="1" t="s">
        <v>1763</v>
      </c>
    </row>
    <row r="58" spans="1:5" ht="15.75" customHeight="1" x14ac:dyDescent="0.2">
      <c r="A58" s="1">
        <v>2172</v>
      </c>
      <c r="B58" s="1" t="s">
        <v>1764</v>
      </c>
      <c r="C58" s="1" t="s">
        <v>1765</v>
      </c>
      <c r="D58" s="1">
        <v>1</v>
      </c>
      <c r="E58" s="1" t="s">
        <v>1766</v>
      </c>
    </row>
    <row r="59" spans="1:5" ht="15.75" customHeight="1" x14ac:dyDescent="0.2">
      <c r="A59" s="1">
        <v>34807</v>
      </c>
      <c r="B59" s="1" t="s">
        <v>357</v>
      </c>
      <c r="C59" s="1" t="s">
        <v>1767</v>
      </c>
      <c r="D59" s="1">
        <v>2</v>
      </c>
      <c r="E59" s="1" t="s">
        <v>1768</v>
      </c>
    </row>
    <row r="60" spans="1:5" ht="15.75" customHeight="1" x14ac:dyDescent="0.2">
      <c r="A60" s="1">
        <v>36643</v>
      </c>
      <c r="B60" s="1" t="s">
        <v>103</v>
      </c>
      <c r="C60" s="1" t="s">
        <v>1769</v>
      </c>
      <c r="D60" s="1">
        <v>2</v>
      </c>
      <c r="E60" s="1" t="s">
        <v>1770</v>
      </c>
    </row>
    <row r="61" spans="1:5" ht="15.75" customHeight="1" x14ac:dyDescent="0.2">
      <c r="A61" s="1">
        <v>11113</v>
      </c>
      <c r="B61" s="1" t="s">
        <v>172</v>
      </c>
      <c r="C61" s="1" t="s">
        <v>1771</v>
      </c>
      <c r="D61" s="1">
        <v>2</v>
      </c>
      <c r="E61" s="1" t="s">
        <v>1772</v>
      </c>
    </row>
    <row r="62" spans="1:5" ht="15.75" customHeight="1" x14ac:dyDescent="0.2">
      <c r="A62" s="1">
        <v>23737</v>
      </c>
      <c r="B62" s="1" t="s">
        <v>466</v>
      </c>
      <c r="C62" s="1" t="s">
        <v>1773</v>
      </c>
      <c r="D62" s="1">
        <v>1</v>
      </c>
      <c r="E62" s="1" t="s">
        <v>1774</v>
      </c>
    </row>
    <row r="63" spans="1:5" ht="15.75" customHeight="1" x14ac:dyDescent="0.2">
      <c r="A63" s="1">
        <v>71312</v>
      </c>
      <c r="B63" s="1" t="s">
        <v>153</v>
      </c>
      <c r="C63" s="1" t="s">
        <v>1775</v>
      </c>
      <c r="D63" s="1">
        <v>2</v>
      </c>
      <c r="E63" s="1" t="s">
        <v>1776</v>
      </c>
    </row>
    <row r="64" spans="1:5" ht="15.75" customHeight="1" x14ac:dyDescent="0.2">
      <c r="A64" s="1">
        <v>59296</v>
      </c>
      <c r="B64" s="1" t="s">
        <v>194</v>
      </c>
      <c r="C64" s="1" t="s">
        <v>1777</v>
      </c>
      <c r="D64" s="1">
        <v>2</v>
      </c>
      <c r="E64" s="1" t="s">
        <v>1778</v>
      </c>
    </row>
    <row r="65" spans="1:5" ht="15.75" customHeight="1" x14ac:dyDescent="0.2">
      <c r="A65" s="1">
        <v>3762</v>
      </c>
      <c r="B65" s="1" t="s">
        <v>191</v>
      </c>
      <c r="C65" s="1" t="s">
        <v>1779</v>
      </c>
      <c r="D65" s="1">
        <v>1</v>
      </c>
      <c r="E65" s="1" t="s">
        <v>1780</v>
      </c>
    </row>
    <row r="66" spans="1:5" ht="15.75" customHeight="1" x14ac:dyDescent="0.2">
      <c r="A66" s="1">
        <v>54679</v>
      </c>
      <c r="B66" s="1" t="s">
        <v>14</v>
      </c>
      <c r="C66" s="1" t="s">
        <v>1781</v>
      </c>
      <c r="D66" s="1">
        <v>1</v>
      </c>
      <c r="E66" s="1" t="s">
        <v>1782</v>
      </c>
    </row>
    <row r="67" spans="1:5" ht="15.75" customHeight="1" x14ac:dyDescent="0.2">
      <c r="A67" s="1">
        <v>48044</v>
      </c>
      <c r="B67" s="1" t="s">
        <v>506</v>
      </c>
      <c r="C67" s="1" t="s">
        <v>1783</v>
      </c>
      <c r="D67" s="1">
        <v>2</v>
      </c>
      <c r="E67" s="1" t="s">
        <v>1784</v>
      </c>
    </row>
    <row r="68" spans="1:5" ht="15.75" customHeight="1" x14ac:dyDescent="0.2">
      <c r="A68" s="1">
        <v>67501</v>
      </c>
      <c r="B68" s="1" t="s">
        <v>1785</v>
      </c>
      <c r="C68" s="1" t="s">
        <v>1786</v>
      </c>
      <c r="D68" s="1">
        <v>2</v>
      </c>
      <c r="E68" s="1" t="s">
        <v>1787</v>
      </c>
    </row>
    <row r="69" spans="1:5" ht="15.75" customHeight="1" x14ac:dyDescent="0.2">
      <c r="A69" s="1">
        <v>20062</v>
      </c>
      <c r="B69" s="1" t="s">
        <v>1788</v>
      </c>
      <c r="C69" s="1" t="s">
        <v>1789</v>
      </c>
      <c r="D69" s="1">
        <v>2</v>
      </c>
      <c r="E69" s="1" t="s">
        <v>1790</v>
      </c>
    </row>
    <row r="70" spans="1:5" ht="15.75" customHeight="1" x14ac:dyDescent="0.2">
      <c r="A70" s="1">
        <v>38833</v>
      </c>
      <c r="B70" s="1" t="s">
        <v>14</v>
      </c>
      <c r="C70" s="1" t="s">
        <v>1791</v>
      </c>
      <c r="D70" s="1">
        <v>2</v>
      </c>
      <c r="E70" s="1" t="s">
        <v>1792</v>
      </c>
    </row>
    <row r="71" spans="1:5" ht="15.75" customHeight="1" x14ac:dyDescent="0.2">
      <c r="A71" s="1">
        <v>58050</v>
      </c>
      <c r="B71" s="1" t="s">
        <v>254</v>
      </c>
      <c r="C71" s="1" t="s">
        <v>1793</v>
      </c>
      <c r="D71" s="1">
        <v>1</v>
      </c>
      <c r="E71" s="1" t="s">
        <v>1794</v>
      </c>
    </row>
    <row r="72" spans="1:5" ht="15.75" customHeight="1" x14ac:dyDescent="0.2">
      <c r="A72" s="1">
        <v>51683</v>
      </c>
      <c r="B72" s="1" t="s">
        <v>172</v>
      </c>
      <c r="C72" s="1" t="s">
        <v>1795</v>
      </c>
      <c r="D72" s="1">
        <v>2</v>
      </c>
      <c r="E72" s="1" t="s">
        <v>1796</v>
      </c>
    </row>
    <row r="73" spans="1:5" ht="15.75" customHeight="1" x14ac:dyDescent="0.2">
      <c r="A73" s="1">
        <v>35891</v>
      </c>
      <c r="B73" s="1" t="s">
        <v>490</v>
      </c>
      <c r="C73" s="1" t="s">
        <v>1797</v>
      </c>
      <c r="D73" s="1">
        <v>1</v>
      </c>
      <c r="E73" s="1" t="s">
        <v>1798</v>
      </c>
    </row>
    <row r="74" spans="1:5" ht="15.75" customHeight="1" x14ac:dyDescent="0.2">
      <c r="A74" s="1">
        <v>20376</v>
      </c>
      <c r="B74" s="1" t="s">
        <v>838</v>
      </c>
      <c r="C74" s="1" t="s">
        <v>1799</v>
      </c>
      <c r="D74" s="1">
        <v>1</v>
      </c>
      <c r="E74" s="1" t="s">
        <v>1800</v>
      </c>
    </row>
    <row r="75" spans="1:5" ht="15.75" customHeight="1" x14ac:dyDescent="0.2">
      <c r="A75" s="1">
        <v>53915</v>
      </c>
      <c r="B75" s="1" t="s">
        <v>791</v>
      </c>
      <c r="C75" s="1" t="s">
        <v>1801</v>
      </c>
      <c r="D75" s="1">
        <v>2</v>
      </c>
      <c r="E75" s="1" t="s">
        <v>1802</v>
      </c>
    </row>
    <row r="76" spans="1:5" ht="15.75" customHeight="1" x14ac:dyDescent="0.2">
      <c r="A76" s="1">
        <v>7430</v>
      </c>
      <c r="B76" s="1" t="s">
        <v>1803</v>
      </c>
      <c r="C76" s="1" t="s">
        <v>1804</v>
      </c>
      <c r="D76" s="1">
        <v>1</v>
      </c>
      <c r="E76" s="1" t="s">
        <v>1805</v>
      </c>
    </row>
    <row r="77" spans="1:5" ht="15.75" customHeight="1" x14ac:dyDescent="0.2">
      <c r="A77" s="1">
        <v>63534</v>
      </c>
      <c r="B77" s="1" t="s">
        <v>552</v>
      </c>
      <c r="C77" s="1" t="s">
        <v>1806</v>
      </c>
      <c r="D77" s="1">
        <v>1</v>
      </c>
      <c r="E77" s="1" t="s">
        <v>1807</v>
      </c>
    </row>
    <row r="78" spans="1:5" ht="15.75" customHeight="1" x14ac:dyDescent="0.2">
      <c r="A78" s="1">
        <v>23149</v>
      </c>
      <c r="B78" s="1" t="s">
        <v>1037</v>
      </c>
      <c r="C78" s="1" t="s">
        <v>1808</v>
      </c>
      <c r="D78" s="1">
        <v>1</v>
      </c>
      <c r="E78" s="1" t="s">
        <v>1809</v>
      </c>
    </row>
    <row r="79" spans="1:5" ht="15.75" customHeight="1" x14ac:dyDescent="0.2">
      <c r="A79" s="1">
        <v>67359</v>
      </c>
      <c r="B79" s="1" t="s">
        <v>466</v>
      </c>
      <c r="C79" s="1" t="s">
        <v>1810</v>
      </c>
      <c r="D79" s="1">
        <v>1</v>
      </c>
      <c r="E79" s="1" t="s">
        <v>1811</v>
      </c>
    </row>
    <row r="80" spans="1:5" ht="15.75" customHeight="1" x14ac:dyDescent="0.2">
      <c r="A80" s="1">
        <v>59096</v>
      </c>
      <c r="B80" s="1" t="s">
        <v>408</v>
      </c>
      <c r="C80" s="1" t="s">
        <v>1812</v>
      </c>
      <c r="D80" s="1">
        <v>2</v>
      </c>
      <c r="E80" s="1" t="s">
        <v>1813</v>
      </c>
    </row>
    <row r="81" spans="1:5" ht="15.75" customHeight="1" x14ac:dyDescent="0.2">
      <c r="A81" s="1">
        <v>9695</v>
      </c>
      <c r="B81" s="1" t="s">
        <v>1814</v>
      </c>
      <c r="C81" s="1" t="s">
        <v>1815</v>
      </c>
      <c r="D81" s="1">
        <v>2</v>
      </c>
      <c r="E81" s="1" t="s">
        <v>1816</v>
      </c>
    </row>
    <row r="82" spans="1:5" ht="15.75" customHeight="1" x14ac:dyDescent="0.2">
      <c r="A82" s="1">
        <v>38038</v>
      </c>
      <c r="B82" s="1" t="s">
        <v>185</v>
      </c>
      <c r="C82" s="1" t="s">
        <v>1817</v>
      </c>
      <c r="D82" s="1">
        <v>2</v>
      </c>
      <c r="E82" s="1" t="s">
        <v>1818</v>
      </c>
    </row>
    <row r="83" spans="1:5" ht="15.75" customHeight="1" x14ac:dyDescent="0.2">
      <c r="A83" s="1">
        <v>54221</v>
      </c>
      <c r="B83" s="1" t="s">
        <v>1819</v>
      </c>
      <c r="C83" s="1" t="s">
        <v>1820</v>
      </c>
      <c r="D83" s="1">
        <v>1</v>
      </c>
      <c r="E83" s="1" t="s">
        <v>1821</v>
      </c>
    </row>
    <row r="84" spans="1:5" ht="15.75" customHeight="1" x14ac:dyDescent="0.2">
      <c r="A84" s="1">
        <v>37634</v>
      </c>
      <c r="B84" s="1" t="s">
        <v>1822</v>
      </c>
      <c r="C84" s="1" t="s">
        <v>1823</v>
      </c>
      <c r="D84" s="1">
        <v>2</v>
      </c>
      <c r="E84" s="1" t="s">
        <v>1824</v>
      </c>
    </row>
    <row r="85" spans="1:5" ht="15.75" customHeight="1" x14ac:dyDescent="0.2">
      <c r="A85" s="1">
        <v>13365</v>
      </c>
      <c r="B85" s="1" t="s">
        <v>1825</v>
      </c>
      <c r="C85" s="1" t="s">
        <v>1826</v>
      </c>
      <c r="D85" s="1">
        <v>2</v>
      </c>
      <c r="E85" s="1" t="s">
        <v>1827</v>
      </c>
    </row>
    <row r="86" spans="1:5" ht="15.75" customHeight="1" x14ac:dyDescent="0.2">
      <c r="A86" s="1">
        <v>40649</v>
      </c>
      <c r="B86" s="1" t="s">
        <v>90</v>
      </c>
      <c r="C86" s="1" t="s">
        <v>1828</v>
      </c>
      <c r="D86" s="1">
        <v>2</v>
      </c>
      <c r="E86" s="1" t="s">
        <v>1829</v>
      </c>
    </row>
    <row r="87" spans="1:5" ht="15.75" customHeight="1" x14ac:dyDescent="0.2">
      <c r="A87" s="1">
        <v>14732</v>
      </c>
      <c r="B87" s="1" t="s">
        <v>153</v>
      </c>
      <c r="C87" s="1" t="s">
        <v>1830</v>
      </c>
      <c r="D87" s="1">
        <v>2</v>
      </c>
      <c r="E87" s="1" t="s">
        <v>1831</v>
      </c>
    </row>
    <row r="88" spans="1:5" ht="15.75" customHeight="1" x14ac:dyDescent="0.2">
      <c r="A88" s="1">
        <v>27500</v>
      </c>
      <c r="B88" s="1" t="s">
        <v>326</v>
      </c>
      <c r="C88" s="1" t="s">
        <v>1832</v>
      </c>
      <c r="D88" s="1">
        <v>1</v>
      </c>
      <c r="E88" s="1" t="s">
        <v>1833</v>
      </c>
    </row>
    <row r="89" spans="1:5" ht="15.75" customHeight="1" x14ac:dyDescent="0.2">
      <c r="A89" s="1">
        <v>66106</v>
      </c>
      <c r="B89" s="1" t="s">
        <v>490</v>
      </c>
      <c r="C89" s="1" t="s">
        <v>1834</v>
      </c>
      <c r="D89" s="1">
        <v>1</v>
      </c>
      <c r="E89" s="1" t="s">
        <v>1835</v>
      </c>
    </row>
    <row r="90" spans="1:5" ht="15.75" customHeight="1" x14ac:dyDescent="0.2">
      <c r="A90" s="1">
        <v>35444</v>
      </c>
      <c r="B90" s="1" t="s">
        <v>167</v>
      </c>
      <c r="C90" s="1" t="s">
        <v>1836</v>
      </c>
      <c r="D90" s="1">
        <v>1</v>
      </c>
      <c r="E90" s="1" t="s">
        <v>1837</v>
      </c>
    </row>
    <row r="91" spans="1:5" ht="15.75" customHeight="1" x14ac:dyDescent="0.2">
      <c r="A91" s="1">
        <v>56108</v>
      </c>
      <c r="B91" s="1" t="s">
        <v>1838</v>
      </c>
      <c r="C91" s="1" t="s">
        <v>1839</v>
      </c>
      <c r="D91" s="1">
        <v>2</v>
      </c>
      <c r="E91" s="1" t="s">
        <v>1840</v>
      </c>
    </row>
    <row r="92" spans="1:5" ht="15.75" customHeight="1" x14ac:dyDescent="0.2">
      <c r="A92" s="1">
        <v>24401</v>
      </c>
      <c r="B92" s="1" t="s">
        <v>1841</v>
      </c>
      <c r="C92" s="1" t="s">
        <v>1842</v>
      </c>
      <c r="D92" s="1">
        <v>2</v>
      </c>
      <c r="E92" s="1" t="s">
        <v>1843</v>
      </c>
    </row>
    <row r="93" spans="1:5" ht="15.75" customHeight="1" x14ac:dyDescent="0.2">
      <c r="A93" s="1">
        <v>15022</v>
      </c>
      <c r="B93" s="1" t="s">
        <v>1844</v>
      </c>
      <c r="C93" s="1" t="s">
        <v>1845</v>
      </c>
      <c r="D93" s="1">
        <v>1</v>
      </c>
      <c r="E93" s="1" t="s">
        <v>1846</v>
      </c>
    </row>
    <row r="94" spans="1:5" ht="15.75" customHeight="1" x14ac:dyDescent="0.2">
      <c r="A94" s="1">
        <v>38743</v>
      </c>
      <c r="B94" s="1" t="s">
        <v>1307</v>
      </c>
      <c r="C94" s="1" t="s">
        <v>1847</v>
      </c>
      <c r="D94" s="1">
        <v>1</v>
      </c>
      <c r="E94" s="1" t="s">
        <v>1848</v>
      </c>
    </row>
    <row r="95" spans="1:5" ht="15.75" customHeight="1" x14ac:dyDescent="0.2">
      <c r="A95" s="1">
        <v>47569</v>
      </c>
      <c r="B95" s="1" t="s">
        <v>32</v>
      </c>
      <c r="C95" s="1" t="s">
        <v>1849</v>
      </c>
      <c r="D95" s="1">
        <v>2</v>
      </c>
      <c r="E95" s="1" t="s">
        <v>1850</v>
      </c>
    </row>
    <row r="96" spans="1:5" ht="15.75" customHeight="1" x14ac:dyDescent="0.2">
      <c r="A96" s="1">
        <v>44083</v>
      </c>
      <c r="B96" s="1" t="s">
        <v>430</v>
      </c>
      <c r="C96" s="1" t="s">
        <v>1851</v>
      </c>
      <c r="D96" s="1">
        <v>2</v>
      </c>
      <c r="E96" s="1" t="s">
        <v>1852</v>
      </c>
    </row>
    <row r="97" spans="1:5" ht="15.75" customHeight="1" x14ac:dyDescent="0.2">
      <c r="A97" s="1">
        <v>71465</v>
      </c>
      <c r="B97" s="1" t="s">
        <v>1395</v>
      </c>
      <c r="C97" s="1" t="s">
        <v>1853</v>
      </c>
      <c r="D97" s="1">
        <v>2</v>
      </c>
      <c r="E97" s="1" t="s">
        <v>1854</v>
      </c>
    </row>
    <row r="98" spans="1:5" ht="15.75" customHeight="1" x14ac:dyDescent="0.2">
      <c r="A98" s="1">
        <v>18077</v>
      </c>
      <c r="B98" s="1" t="s">
        <v>991</v>
      </c>
      <c r="C98" s="1" t="s">
        <v>1855</v>
      </c>
      <c r="D98" s="1">
        <v>2</v>
      </c>
      <c r="E98" s="1" t="s">
        <v>1856</v>
      </c>
    </row>
    <row r="99" spans="1:5" ht="15.75" customHeight="1" x14ac:dyDescent="0.2">
      <c r="A99" s="1">
        <v>44749</v>
      </c>
      <c r="B99" s="1" t="s">
        <v>1838</v>
      </c>
      <c r="C99" s="1" t="s">
        <v>1857</v>
      </c>
      <c r="D99" s="1">
        <v>2</v>
      </c>
      <c r="E99" s="1" t="s">
        <v>1858</v>
      </c>
    </row>
    <row r="100" spans="1:5" ht="15.75" customHeight="1" x14ac:dyDescent="0.2">
      <c r="A100" s="1">
        <v>30463</v>
      </c>
      <c r="B100" s="1" t="s">
        <v>533</v>
      </c>
      <c r="C100" s="1" t="s">
        <v>1859</v>
      </c>
      <c r="D100" s="1">
        <v>2</v>
      </c>
      <c r="E100" s="1" t="s">
        <v>1860</v>
      </c>
    </row>
    <row r="101" spans="1:5" ht="15.75" customHeight="1" x14ac:dyDescent="0.2">
      <c r="A101" s="1">
        <v>33966</v>
      </c>
      <c r="B101" s="1" t="s">
        <v>32</v>
      </c>
      <c r="C101" s="1" t="s">
        <v>1861</v>
      </c>
      <c r="D101" s="1">
        <v>2</v>
      </c>
      <c r="E101" s="1" t="s">
        <v>1862</v>
      </c>
    </row>
    <row r="102" spans="1:5" ht="15.75" customHeight="1" x14ac:dyDescent="0.2">
      <c r="A102" s="1">
        <v>48874</v>
      </c>
      <c r="B102" s="1" t="s">
        <v>233</v>
      </c>
      <c r="C102" s="1" t="s">
        <v>1863</v>
      </c>
      <c r="D102" s="1">
        <v>2</v>
      </c>
      <c r="E102" s="1" t="s">
        <v>1864</v>
      </c>
    </row>
    <row r="103" spans="1:5" ht="15.75" customHeight="1" x14ac:dyDescent="0.2">
      <c r="A103" s="1">
        <v>20309</v>
      </c>
      <c r="B103" s="1" t="s">
        <v>32</v>
      </c>
      <c r="C103" s="1" t="s">
        <v>1865</v>
      </c>
      <c r="D103" s="1">
        <v>2</v>
      </c>
      <c r="E103" s="1" t="s">
        <v>1866</v>
      </c>
    </row>
    <row r="104" spans="1:5" ht="15.75" customHeight="1" x14ac:dyDescent="0.2">
      <c r="A104" s="1">
        <v>56686</v>
      </c>
      <c r="B104" s="1" t="s">
        <v>1867</v>
      </c>
      <c r="C104" s="1" t="s">
        <v>1868</v>
      </c>
      <c r="D104" s="1">
        <v>2</v>
      </c>
      <c r="E104" s="1" t="s">
        <v>1869</v>
      </c>
    </row>
    <row r="105" spans="1:5" ht="15.75" customHeight="1" x14ac:dyDescent="0.2">
      <c r="A105" s="1">
        <v>54029</v>
      </c>
      <c r="B105" s="1" t="s">
        <v>1870</v>
      </c>
      <c r="C105" s="1" t="s">
        <v>1871</v>
      </c>
      <c r="D105" s="1">
        <v>2</v>
      </c>
      <c r="E105" s="1" t="s">
        <v>1872</v>
      </c>
    </row>
    <row r="106" spans="1:5" ht="15.75" customHeight="1" x14ac:dyDescent="0.2">
      <c r="A106" s="1">
        <v>9044</v>
      </c>
      <c r="B106" s="1" t="s">
        <v>254</v>
      </c>
      <c r="C106" s="1" t="s">
        <v>1873</v>
      </c>
      <c r="D106" s="1">
        <v>2</v>
      </c>
      <c r="E106" s="1" t="s">
        <v>1874</v>
      </c>
    </row>
    <row r="107" spans="1:5" ht="15.75" customHeight="1" x14ac:dyDescent="0.2">
      <c r="A107" s="1">
        <v>51165</v>
      </c>
      <c r="B107" s="1" t="s">
        <v>1225</v>
      </c>
      <c r="C107" s="1" t="s">
        <v>1875</v>
      </c>
      <c r="D107" s="1">
        <v>1</v>
      </c>
      <c r="E107" s="1" t="s">
        <v>1876</v>
      </c>
    </row>
    <row r="108" spans="1:5" ht="15.75" customHeight="1" x14ac:dyDescent="0.2">
      <c r="A108" s="1">
        <v>66893</v>
      </c>
      <c r="B108" s="1" t="s">
        <v>159</v>
      </c>
      <c r="C108" s="1" t="s">
        <v>1877</v>
      </c>
      <c r="D108" s="1">
        <v>2</v>
      </c>
      <c r="E108" s="1" t="s">
        <v>1878</v>
      </c>
    </row>
    <row r="109" spans="1:5" ht="15.75" customHeight="1" x14ac:dyDescent="0.2">
      <c r="A109" s="1">
        <v>25115</v>
      </c>
      <c r="B109" s="1" t="s">
        <v>385</v>
      </c>
      <c r="C109" s="1" t="s">
        <v>1879</v>
      </c>
      <c r="D109" s="1">
        <v>2</v>
      </c>
      <c r="E109" s="1" t="s">
        <v>1880</v>
      </c>
    </row>
    <row r="110" spans="1:5" ht="15.75" customHeight="1" x14ac:dyDescent="0.2">
      <c r="A110" s="1">
        <v>55046</v>
      </c>
      <c r="B110" s="1" t="s">
        <v>1881</v>
      </c>
      <c r="C110" s="1" t="s">
        <v>1882</v>
      </c>
      <c r="D110" s="1">
        <v>2</v>
      </c>
      <c r="E110" s="1" t="s">
        <v>1883</v>
      </c>
    </row>
    <row r="111" spans="1:5" ht="15.75" customHeight="1" x14ac:dyDescent="0.2">
      <c r="A111" s="1">
        <v>50505</v>
      </c>
      <c r="B111" s="1" t="s">
        <v>144</v>
      </c>
      <c r="C111" s="1" t="s">
        <v>1884</v>
      </c>
      <c r="D111" s="1">
        <v>2</v>
      </c>
      <c r="E111" s="1" t="s">
        <v>1885</v>
      </c>
    </row>
    <row r="112" spans="1:5" ht="15.75" customHeight="1" x14ac:dyDescent="0.2">
      <c r="A112" s="1">
        <v>5044</v>
      </c>
      <c r="B112" s="1" t="s">
        <v>11</v>
      </c>
      <c r="C112" s="1" t="s">
        <v>1886</v>
      </c>
      <c r="D112" s="1">
        <v>2</v>
      </c>
      <c r="E112" s="1" t="s">
        <v>1887</v>
      </c>
    </row>
    <row r="113" spans="1:5" ht="15.75" customHeight="1" x14ac:dyDescent="0.2">
      <c r="A113" s="1">
        <v>25321</v>
      </c>
      <c r="B113" s="1" t="s">
        <v>268</v>
      </c>
      <c r="C113" s="1" t="s">
        <v>1888</v>
      </c>
      <c r="D113" s="1">
        <v>2</v>
      </c>
      <c r="E113" s="1" t="s">
        <v>1889</v>
      </c>
    </row>
    <row r="114" spans="1:5" ht="15.75" customHeight="1" x14ac:dyDescent="0.2">
      <c r="A114" s="1">
        <v>62962</v>
      </c>
      <c r="B114" s="1" t="s">
        <v>38</v>
      </c>
      <c r="C114" s="1" t="s">
        <v>1890</v>
      </c>
      <c r="D114" s="1">
        <v>2</v>
      </c>
      <c r="E114" s="1" t="s">
        <v>1891</v>
      </c>
    </row>
    <row r="115" spans="1:5" ht="15.75" customHeight="1" x14ac:dyDescent="0.2">
      <c r="A115" s="1">
        <v>60530</v>
      </c>
      <c r="B115" s="1" t="s">
        <v>1892</v>
      </c>
      <c r="C115" s="1" t="s">
        <v>1893</v>
      </c>
      <c r="D115" s="1">
        <v>2</v>
      </c>
      <c r="E115" s="1" t="s">
        <v>1894</v>
      </c>
    </row>
    <row r="116" spans="1:5" ht="15.75" customHeight="1" x14ac:dyDescent="0.2">
      <c r="A116" s="1">
        <v>35160</v>
      </c>
      <c r="B116" s="1" t="s">
        <v>1895</v>
      </c>
      <c r="C116" s="1" t="s">
        <v>1896</v>
      </c>
      <c r="D116" s="1">
        <v>2</v>
      </c>
      <c r="E116" s="1" t="s">
        <v>1897</v>
      </c>
    </row>
    <row r="117" spans="1:5" ht="15.75" customHeight="1" x14ac:dyDescent="0.2">
      <c r="A117" s="1">
        <v>16478</v>
      </c>
      <c r="B117" s="1" t="s">
        <v>1895</v>
      </c>
      <c r="C117" s="1" t="s">
        <v>1898</v>
      </c>
      <c r="D117" s="1">
        <v>2</v>
      </c>
      <c r="E117" s="1" t="s">
        <v>1899</v>
      </c>
    </row>
    <row r="118" spans="1:5" ht="15.75" customHeight="1" x14ac:dyDescent="0.2">
      <c r="A118" s="1">
        <v>3154</v>
      </c>
      <c r="B118" s="1" t="s">
        <v>17</v>
      </c>
      <c r="C118" s="1" t="s">
        <v>1900</v>
      </c>
      <c r="D118" s="1">
        <v>2</v>
      </c>
      <c r="E118" s="1" t="s">
        <v>1901</v>
      </c>
    </row>
    <row r="119" spans="1:5" ht="15.75" customHeight="1" x14ac:dyDescent="0.2">
      <c r="A119" s="1">
        <v>47505</v>
      </c>
      <c r="B119" s="1" t="s">
        <v>1052</v>
      </c>
      <c r="C119" s="1" t="s">
        <v>1902</v>
      </c>
      <c r="D119" s="1">
        <v>2</v>
      </c>
      <c r="E119" s="1" t="s">
        <v>1903</v>
      </c>
    </row>
    <row r="120" spans="1:5" ht="15.75" customHeight="1" x14ac:dyDescent="0.2">
      <c r="A120" s="1">
        <v>32584</v>
      </c>
      <c r="B120" s="1" t="s">
        <v>100</v>
      </c>
      <c r="C120" s="1" t="s">
        <v>1904</v>
      </c>
      <c r="D120" s="1">
        <v>2</v>
      </c>
      <c r="E120" s="1" t="s">
        <v>1905</v>
      </c>
    </row>
    <row r="121" spans="1:5" ht="15.75" customHeight="1" x14ac:dyDescent="0.2">
      <c r="A121" s="1">
        <v>42242</v>
      </c>
      <c r="B121" s="1" t="s">
        <v>385</v>
      </c>
      <c r="C121" s="1" t="s">
        <v>1906</v>
      </c>
      <c r="D121" s="1">
        <v>2</v>
      </c>
      <c r="E121" s="1" t="s">
        <v>1907</v>
      </c>
    </row>
    <row r="122" spans="1:5" ht="15.75" customHeight="1" x14ac:dyDescent="0.2">
      <c r="A122" s="1">
        <v>21335</v>
      </c>
      <c r="B122" s="1" t="s">
        <v>144</v>
      </c>
      <c r="C122" s="1" t="s">
        <v>1908</v>
      </c>
      <c r="D122" s="1">
        <v>2</v>
      </c>
      <c r="E122" s="1" t="s">
        <v>1909</v>
      </c>
    </row>
    <row r="123" spans="1:5" ht="15.75" customHeight="1" x14ac:dyDescent="0.2">
      <c r="A123" s="1">
        <v>12593</v>
      </c>
      <c r="B123" s="1" t="s">
        <v>120</v>
      </c>
      <c r="C123" s="1" t="s">
        <v>1910</v>
      </c>
      <c r="D123" s="1">
        <v>1</v>
      </c>
      <c r="E123" s="1" t="s">
        <v>1911</v>
      </c>
    </row>
    <row r="124" spans="1:5" ht="15.75" customHeight="1" x14ac:dyDescent="0.2">
      <c r="A124" s="1">
        <v>43939</v>
      </c>
      <c r="B124" s="1" t="s">
        <v>32</v>
      </c>
      <c r="C124" s="1" t="s">
        <v>1912</v>
      </c>
      <c r="D124" s="1">
        <v>1</v>
      </c>
      <c r="E124" s="1" t="s">
        <v>1913</v>
      </c>
    </row>
    <row r="125" spans="1:5" ht="15.75" customHeight="1" x14ac:dyDescent="0.2">
      <c r="A125" s="1">
        <v>64657</v>
      </c>
      <c r="B125" s="1" t="s">
        <v>1914</v>
      </c>
      <c r="C125" s="1" t="s">
        <v>1915</v>
      </c>
      <c r="D125" s="1">
        <v>2</v>
      </c>
      <c r="E125" s="1" t="s">
        <v>1916</v>
      </c>
    </row>
    <row r="126" spans="1:5" ht="15.75" customHeight="1" x14ac:dyDescent="0.2">
      <c r="A126" s="1">
        <v>3860</v>
      </c>
      <c r="B126" s="1" t="s">
        <v>931</v>
      </c>
      <c r="C126" s="1" t="s">
        <v>1917</v>
      </c>
      <c r="D126" s="1">
        <v>1</v>
      </c>
      <c r="E126" s="1" t="s">
        <v>1918</v>
      </c>
    </row>
    <row r="127" spans="1:5" ht="15.75" customHeight="1" x14ac:dyDescent="0.2">
      <c r="A127" s="1">
        <v>24976</v>
      </c>
      <c r="B127" s="1" t="s">
        <v>666</v>
      </c>
      <c r="C127" s="1" t="s">
        <v>1919</v>
      </c>
      <c r="D127" s="1">
        <v>2</v>
      </c>
      <c r="E127" s="1" t="s">
        <v>1920</v>
      </c>
    </row>
    <row r="128" spans="1:5" ht="15.75" customHeight="1" x14ac:dyDescent="0.2">
      <c r="A128" s="1">
        <v>17378</v>
      </c>
      <c r="B128" s="1" t="s">
        <v>1921</v>
      </c>
      <c r="C128" s="1" t="s">
        <v>1922</v>
      </c>
      <c r="D128" s="1">
        <v>2</v>
      </c>
      <c r="E128" s="1" t="s">
        <v>1923</v>
      </c>
    </row>
    <row r="129" spans="1:5" ht="15.75" customHeight="1" x14ac:dyDescent="0.2">
      <c r="A129" s="1">
        <v>41564</v>
      </c>
      <c r="B129" s="1" t="s">
        <v>172</v>
      </c>
      <c r="C129" s="1" t="s">
        <v>1924</v>
      </c>
      <c r="D129" s="1">
        <v>2</v>
      </c>
      <c r="E129" s="1" t="s">
        <v>1925</v>
      </c>
    </row>
    <row r="130" spans="1:5" ht="15.75" customHeight="1" x14ac:dyDescent="0.2">
      <c r="A130" s="1">
        <v>59345</v>
      </c>
      <c r="B130" s="1" t="s">
        <v>1926</v>
      </c>
      <c r="C130" s="1" t="s">
        <v>1927</v>
      </c>
      <c r="D130" s="1">
        <v>1</v>
      </c>
      <c r="E130" s="1" t="s">
        <v>1928</v>
      </c>
    </row>
    <row r="131" spans="1:5" ht="15.75" customHeight="1" x14ac:dyDescent="0.2">
      <c r="A131" s="1">
        <v>24365</v>
      </c>
      <c r="B131" s="1" t="s">
        <v>1929</v>
      </c>
      <c r="C131" s="1" t="s">
        <v>1930</v>
      </c>
      <c r="D131" s="1">
        <v>2</v>
      </c>
      <c r="E131" s="1" t="s">
        <v>1931</v>
      </c>
    </row>
    <row r="132" spans="1:5" ht="15.75" customHeight="1" x14ac:dyDescent="0.2">
      <c r="A132" s="1">
        <v>71207</v>
      </c>
      <c r="B132" s="1" t="s">
        <v>32</v>
      </c>
      <c r="C132" s="1" t="s">
        <v>1932</v>
      </c>
      <c r="D132" s="1">
        <v>2</v>
      </c>
      <c r="E132" s="1" t="s">
        <v>1933</v>
      </c>
    </row>
    <row r="133" spans="1:5" ht="15.75" customHeight="1" x14ac:dyDescent="0.2">
      <c r="A133" s="1">
        <v>31629</v>
      </c>
      <c r="B133" s="1" t="s">
        <v>103</v>
      </c>
      <c r="C133" s="1" t="s">
        <v>1934</v>
      </c>
      <c r="D133" s="1">
        <v>1</v>
      </c>
      <c r="E133" s="1" t="s">
        <v>1935</v>
      </c>
    </row>
    <row r="134" spans="1:5" ht="15.75" customHeight="1" x14ac:dyDescent="0.2">
      <c r="A134" s="1">
        <v>51641</v>
      </c>
      <c r="B134" s="1" t="s">
        <v>797</v>
      </c>
      <c r="C134" s="1" t="s">
        <v>1936</v>
      </c>
      <c r="D134" s="1">
        <v>2</v>
      </c>
      <c r="E134" s="1" t="s">
        <v>1937</v>
      </c>
    </row>
    <row r="135" spans="1:5" ht="15.75" customHeight="1" x14ac:dyDescent="0.2">
      <c r="A135" s="1">
        <v>50048</v>
      </c>
      <c r="B135" s="1" t="s">
        <v>326</v>
      </c>
      <c r="C135" s="1" t="s">
        <v>1938</v>
      </c>
      <c r="D135" s="1">
        <v>1</v>
      </c>
      <c r="E135" s="1" t="s">
        <v>1939</v>
      </c>
    </row>
    <row r="136" spans="1:5" ht="15.75" customHeight="1" x14ac:dyDescent="0.2">
      <c r="A136" s="1">
        <v>56711</v>
      </c>
      <c r="B136" s="1" t="s">
        <v>109</v>
      </c>
      <c r="C136" s="1" t="s">
        <v>1940</v>
      </c>
      <c r="D136" s="1">
        <v>1</v>
      </c>
      <c r="E136" s="1" t="s">
        <v>1941</v>
      </c>
    </row>
    <row r="137" spans="1:5" ht="15.75" customHeight="1" x14ac:dyDescent="0.2">
      <c r="A137" s="1">
        <v>57433</v>
      </c>
      <c r="B137" s="1" t="s">
        <v>75</v>
      </c>
      <c r="C137" s="1" t="s">
        <v>1942</v>
      </c>
      <c r="D137" s="1">
        <v>2</v>
      </c>
      <c r="E137" s="1" t="s">
        <v>1943</v>
      </c>
    </row>
    <row r="138" spans="1:5" ht="15.75" customHeight="1" x14ac:dyDescent="0.2">
      <c r="A138" s="1">
        <v>49741</v>
      </c>
      <c r="B138" s="1" t="s">
        <v>1357</v>
      </c>
      <c r="C138" s="1" t="s">
        <v>1944</v>
      </c>
      <c r="D138" s="1">
        <v>2</v>
      </c>
      <c r="E138" s="1" t="s">
        <v>1945</v>
      </c>
    </row>
    <row r="139" spans="1:5" ht="15.75" customHeight="1" x14ac:dyDescent="0.2">
      <c r="A139" s="1">
        <v>55997</v>
      </c>
      <c r="B139" s="1" t="s">
        <v>1946</v>
      </c>
      <c r="C139" s="1" t="s">
        <v>1947</v>
      </c>
      <c r="D139" s="1">
        <v>1</v>
      </c>
      <c r="E139" s="1" t="s">
        <v>1948</v>
      </c>
    </row>
    <row r="140" spans="1:5" ht="15.75" customHeight="1" x14ac:dyDescent="0.2">
      <c r="A140" s="1">
        <v>14412</v>
      </c>
      <c r="B140" s="1" t="s">
        <v>794</v>
      </c>
      <c r="C140" s="1" t="s">
        <v>1949</v>
      </c>
      <c r="D140" s="1">
        <v>2</v>
      </c>
      <c r="E140" s="1" t="s">
        <v>1950</v>
      </c>
    </row>
    <row r="141" spans="1:5" ht="15.75" customHeight="1" x14ac:dyDescent="0.2">
      <c r="A141" s="1">
        <v>31226</v>
      </c>
      <c r="B141" s="1" t="s">
        <v>906</v>
      </c>
      <c r="C141" s="1" t="s">
        <v>1951</v>
      </c>
      <c r="D141" s="1">
        <v>1</v>
      </c>
      <c r="E141" s="1" t="s">
        <v>1952</v>
      </c>
    </row>
    <row r="142" spans="1:5" ht="15.75" customHeight="1" x14ac:dyDescent="0.2">
      <c r="A142" s="1">
        <v>69691</v>
      </c>
      <c r="B142" s="1" t="s">
        <v>144</v>
      </c>
      <c r="C142" s="1" t="s">
        <v>1953</v>
      </c>
      <c r="D142" s="1">
        <v>2</v>
      </c>
      <c r="E142" s="1" t="s">
        <v>1954</v>
      </c>
    </row>
    <row r="143" spans="1:5" ht="15.75" customHeight="1" x14ac:dyDescent="0.2">
      <c r="A143" s="1">
        <v>62546</v>
      </c>
      <c r="B143" s="1" t="s">
        <v>172</v>
      </c>
      <c r="C143" s="1" t="s">
        <v>1955</v>
      </c>
      <c r="D143" s="1">
        <v>2</v>
      </c>
      <c r="E143" s="1" t="s">
        <v>1956</v>
      </c>
    </row>
    <row r="144" spans="1:5" ht="15.75" customHeight="1" x14ac:dyDescent="0.2">
      <c r="A144" s="1">
        <v>60939</v>
      </c>
      <c r="B144" s="1" t="s">
        <v>153</v>
      </c>
      <c r="C144" s="1" t="s">
        <v>1957</v>
      </c>
      <c r="D144" s="1">
        <v>2</v>
      </c>
      <c r="E144" s="1" t="s">
        <v>1958</v>
      </c>
    </row>
    <row r="145" spans="1:5" ht="15.75" customHeight="1" x14ac:dyDescent="0.2">
      <c r="A145" s="1">
        <v>58236</v>
      </c>
      <c r="B145" s="1" t="s">
        <v>1959</v>
      </c>
      <c r="C145" s="1" t="s">
        <v>1960</v>
      </c>
      <c r="D145" s="1">
        <v>1</v>
      </c>
      <c r="E145" s="1" t="s">
        <v>1961</v>
      </c>
    </row>
    <row r="146" spans="1:5" ht="15.75" customHeight="1" x14ac:dyDescent="0.2">
      <c r="A146" s="1">
        <v>54631</v>
      </c>
      <c r="B146" s="1" t="s">
        <v>1962</v>
      </c>
      <c r="C146" s="1" t="s">
        <v>1963</v>
      </c>
      <c r="D146" s="1">
        <v>2</v>
      </c>
      <c r="E146" s="1" t="s">
        <v>1964</v>
      </c>
    </row>
    <row r="147" spans="1:5" ht="15.75" customHeight="1" x14ac:dyDescent="0.2">
      <c r="A147" s="1">
        <v>1434</v>
      </c>
      <c r="B147" s="1" t="s">
        <v>1965</v>
      </c>
      <c r="C147" s="1" t="s">
        <v>1966</v>
      </c>
      <c r="D147" s="1">
        <v>2</v>
      </c>
      <c r="E147" s="1" t="s">
        <v>1967</v>
      </c>
    </row>
    <row r="148" spans="1:5" ht="15.75" customHeight="1" x14ac:dyDescent="0.2">
      <c r="A148" s="1">
        <v>69350</v>
      </c>
      <c r="B148" s="1" t="s">
        <v>144</v>
      </c>
      <c r="C148" s="1" t="s">
        <v>1968</v>
      </c>
      <c r="D148" s="1">
        <v>2</v>
      </c>
      <c r="E148" s="1" t="s">
        <v>1969</v>
      </c>
    </row>
    <row r="149" spans="1:5" ht="15.75" customHeight="1" x14ac:dyDescent="0.2">
      <c r="A149" s="1">
        <v>46201</v>
      </c>
      <c r="B149" s="1" t="s">
        <v>357</v>
      </c>
      <c r="C149" s="1" t="s">
        <v>1970</v>
      </c>
      <c r="D149" s="1">
        <v>1</v>
      </c>
      <c r="E149" s="1" t="s">
        <v>1971</v>
      </c>
    </row>
    <row r="150" spans="1:5" ht="15.75" customHeight="1" x14ac:dyDescent="0.2">
      <c r="A150" s="1">
        <v>21935</v>
      </c>
      <c r="B150" s="1" t="s">
        <v>1838</v>
      </c>
      <c r="C150" s="1" t="s">
        <v>1972</v>
      </c>
      <c r="D150" s="1">
        <v>2</v>
      </c>
      <c r="E150" s="1" t="s">
        <v>1973</v>
      </c>
    </row>
    <row r="151" spans="1:5" ht="15.75" customHeight="1" x14ac:dyDescent="0.2">
      <c r="A151" s="1">
        <v>57524</v>
      </c>
      <c r="B151" s="1" t="s">
        <v>1962</v>
      </c>
      <c r="C151" s="1" t="s">
        <v>1974</v>
      </c>
      <c r="D151" s="1">
        <v>1</v>
      </c>
      <c r="E151" s="1" t="s">
        <v>1975</v>
      </c>
    </row>
    <row r="152" spans="1:5" ht="15.75" customHeight="1" x14ac:dyDescent="0.2">
      <c r="A152" s="1">
        <v>11364</v>
      </c>
      <c r="B152" s="1" t="s">
        <v>1822</v>
      </c>
      <c r="C152" s="1" t="s">
        <v>1976</v>
      </c>
      <c r="D152" s="1">
        <v>2</v>
      </c>
      <c r="E152" s="1" t="s">
        <v>1977</v>
      </c>
    </row>
    <row r="153" spans="1:5" ht="15.75" customHeight="1" x14ac:dyDescent="0.2">
      <c r="A153" s="1">
        <v>8938</v>
      </c>
      <c r="B153" s="1" t="s">
        <v>75</v>
      </c>
      <c r="C153" s="1" t="s">
        <v>1978</v>
      </c>
      <c r="D153" s="1">
        <v>2</v>
      </c>
      <c r="E153" s="1" t="s">
        <v>1979</v>
      </c>
    </row>
    <row r="154" spans="1:5" ht="15.75" customHeight="1" x14ac:dyDescent="0.2">
      <c r="A154" s="1">
        <v>48095</v>
      </c>
      <c r="B154" s="1" t="s">
        <v>301</v>
      </c>
      <c r="C154" s="1" t="s">
        <v>1980</v>
      </c>
      <c r="D154" s="1">
        <v>2</v>
      </c>
      <c r="E154" s="1" t="s">
        <v>1981</v>
      </c>
    </row>
    <row r="155" spans="1:5" ht="15.75" customHeight="1" x14ac:dyDescent="0.2">
      <c r="A155" s="1">
        <v>48649</v>
      </c>
      <c r="B155" s="1" t="s">
        <v>185</v>
      </c>
      <c r="C155" s="1" t="s">
        <v>1982</v>
      </c>
      <c r="D155" s="1">
        <v>1</v>
      </c>
      <c r="E155" s="1" t="s">
        <v>1983</v>
      </c>
    </row>
    <row r="156" spans="1:5" ht="15.75" customHeight="1" x14ac:dyDescent="0.2">
      <c r="A156" s="1">
        <v>15397</v>
      </c>
      <c r="B156" s="1" t="s">
        <v>1984</v>
      </c>
      <c r="C156" s="1" t="s">
        <v>1985</v>
      </c>
      <c r="D156" s="1">
        <v>2</v>
      </c>
      <c r="E156" s="1" t="s">
        <v>1986</v>
      </c>
    </row>
    <row r="157" spans="1:5" ht="15.75" customHeight="1" x14ac:dyDescent="0.2">
      <c r="A157" s="1">
        <v>52410</v>
      </c>
      <c r="B157" s="1" t="s">
        <v>1987</v>
      </c>
      <c r="C157" s="1" t="s">
        <v>1988</v>
      </c>
      <c r="D157" s="1">
        <v>1</v>
      </c>
      <c r="E157" s="1" t="s">
        <v>1989</v>
      </c>
    </row>
    <row r="158" spans="1:5" ht="15.75" customHeight="1" x14ac:dyDescent="0.2">
      <c r="A158" s="1">
        <v>23177</v>
      </c>
      <c r="B158" s="1" t="s">
        <v>1990</v>
      </c>
      <c r="C158" s="1" t="s">
        <v>1991</v>
      </c>
      <c r="D158" s="1">
        <v>2</v>
      </c>
      <c r="E158" s="1" t="s">
        <v>1992</v>
      </c>
    </row>
    <row r="159" spans="1:5" ht="15.75" customHeight="1" x14ac:dyDescent="0.2">
      <c r="A159" s="1">
        <v>47176</v>
      </c>
      <c r="B159" s="1" t="s">
        <v>1357</v>
      </c>
      <c r="C159" s="1" t="s">
        <v>1993</v>
      </c>
      <c r="D159" s="1">
        <v>2</v>
      </c>
      <c r="E159" s="1" t="s">
        <v>1994</v>
      </c>
    </row>
    <row r="160" spans="1:5" ht="15.75" customHeight="1" x14ac:dyDescent="0.2">
      <c r="A160" s="1">
        <v>15313</v>
      </c>
      <c r="B160" s="1" t="s">
        <v>385</v>
      </c>
      <c r="C160" s="1" t="s">
        <v>1995</v>
      </c>
      <c r="D160" s="1">
        <v>1</v>
      </c>
      <c r="E160" s="1" t="s">
        <v>1996</v>
      </c>
    </row>
    <row r="161" spans="1:5" ht="15.75" customHeight="1" x14ac:dyDescent="0.2">
      <c r="A161" s="1">
        <v>26130</v>
      </c>
      <c r="B161" s="1" t="s">
        <v>254</v>
      </c>
      <c r="C161" s="1" t="s">
        <v>1997</v>
      </c>
      <c r="D161" s="1">
        <v>2</v>
      </c>
      <c r="E161" s="1" t="s">
        <v>1998</v>
      </c>
    </row>
    <row r="162" spans="1:5" ht="15.75" customHeight="1" x14ac:dyDescent="0.2">
      <c r="A162" s="1">
        <v>18852</v>
      </c>
      <c r="B162" s="1" t="s">
        <v>326</v>
      </c>
      <c r="C162" s="1" t="s">
        <v>1999</v>
      </c>
      <c r="D162" s="1">
        <v>1</v>
      </c>
      <c r="E162" s="1" t="s">
        <v>2000</v>
      </c>
    </row>
    <row r="163" spans="1:5" ht="15.75" customHeight="1" x14ac:dyDescent="0.2">
      <c r="A163" s="1">
        <v>51440</v>
      </c>
      <c r="B163" s="1" t="s">
        <v>405</v>
      </c>
      <c r="C163" s="1" t="s">
        <v>2001</v>
      </c>
      <c r="D163" s="1">
        <v>2</v>
      </c>
      <c r="E163" s="1" t="s">
        <v>2002</v>
      </c>
    </row>
    <row r="164" spans="1:5" ht="15.75" customHeight="1" x14ac:dyDescent="0.2">
      <c r="A164" s="1">
        <v>70461</v>
      </c>
      <c r="B164" s="1" t="s">
        <v>2003</v>
      </c>
      <c r="C164" s="1" t="s">
        <v>2004</v>
      </c>
      <c r="D164" s="1">
        <v>1</v>
      </c>
      <c r="E164" s="1" t="s">
        <v>2005</v>
      </c>
    </row>
    <row r="165" spans="1:5" ht="15.75" customHeight="1" x14ac:dyDescent="0.2">
      <c r="A165" s="1">
        <v>6546</v>
      </c>
      <c r="B165" s="1" t="s">
        <v>2006</v>
      </c>
      <c r="C165" s="1" t="s">
        <v>2007</v>
      </c>
      <c r="D165" s="1">
        <v>1</v>
      </c>
      <c r="E165" s="1" t="s">
        <v>2008</v>
      </c>
    </row>
    <row r="166" spans="1:5" ht="15.75" customHeight="1" x14ac:dyDescent="0.2">
      <c r="A166" s="1">
        <v>62407</v>
      </c>
      <c r="B166" s="1" t="s">
        <v>11</v>
      </c>
      <c r="C166" s="1" t="s">
        <v>2009</v>
      </c>
      <c r="D166" s="1">
        <v>1</v>
      </c>
      <c r="E166" s="1" t="s">
        <v>2010</v>
      </c>
    </row>
    <row r="167" spans="1:5" ht="15.75" customHeight="1" x14ac:dyDescent="0.2">
      <c r="A167" s="1">
        <v>5534</v>
      </c>
      <c r="B167" s="1" t="s">
        <v>254</v>
      </c>
      <c r="C167" s="1" t="s">
        <v>2011</v>
      </c>
      <c r="D167" s="1">
        <v>1</v>
      </c>
      <c r="E167" s="1" t="s">
        <v>2012</v>
      </c>
    </row>
    <row r="168" spans="1:5" ht="15.75" customHeight="1" x14ac:dyDescent="0.2">
      <c r="A168" s="1">
        <v>15788</v>
      </c>
      <c r="B168" s="1" t="s">
        <v>336</v>
      </c>
      <c r="C168" s="1" t="s">
        <v>2013</v>
      </c>
      <c r="D168" s="1">
        <v>2</v>
      </c>
      <c r="E168" s="1" t="s">
        <v>2014</v>
      </c>
    </row>
    <row r="169" spans="1:5" ht="15.75" customHeight="1" x14ac:dyDescent="0.2">
      <c r="A169" s="1">
        <v>40802</v>
      </c>
      <c r="B169" s="1" t="s">
        <v>2015</v>
      </c>
      <c r="C169" s="1" t="s">
        <v>2016</v>
      </c>
      <c r="D169" s="1">
        <v>2</v>
      </c>
      <c r="E169" s="1" t="s">
        <v>2017</v>
      </c>
    </row>
    <row r="170" spans="1:5" ht="15.75" customHeight="1" x14ac:dyDescent="0.2">
      <c r="A170" s="1">
        <v>38731</v>
      </c>
      <c r="B170" s="1" t="s">
        <v>259</v>
      </c>
      <c r="C170" s="1" t="s">
        <v>2018</v>
      </c>
      <c r="D170" s="1">
        <v>2</v>
      </c>
      <c r="E170" s="1" t="s">
        <v>2019</v>
      </c>
    </row>
    <row r="171" spans="1:5" ht="15.75" customHeight="1" x14ac:dyDescent="0.2">
      <c r="A171" s="1">
        <v>18478</v>
      </c>
      <c r="B171" s="1" t="s">
        <v>259</v>
      </c>
      <c r="C171" s="1" t="s">
        <v>2020</v>
      </c>
      <c r="D171" s="1">
        <v>2</v>
      </c>
      <c r="E171" s="1" t="s">
        <v>2021</v>
      </c>
    </row>
    <row r="172" spans="1:5" ht="15.75" customHeight="1" x14ac:dyDescent="0.2">
      <c r="A172" s="1">
        <v>24265</v>
      </c>
      <c r="B172" s="1" t="s">
        <v>265</v>
      </c>
      <c r="C172" s="1" t="s">
        <v>2022</v>
      </c>
      <c r="D172" s="1">
        <v>2</v>
      </c>
      <c r="E172" s="1" t="s">
        <v>2023</v>
      </c>
    </row>
    <row r="173" spans="1:5" ht="15.75" customHeight="1" x14ac:dyDescent="0.2">
      <c r="A173" s="1">
        <v>41717</v>
      </c>
      <c r="B173" s="1" t="s">
        <v>2024</v>
      </c>
      <c r="C173" s="1" t="s">
        <v>2025</v>
      </c>
      <c r="D173" s="1">
        <v>2</v>
      </c>
      <c r="E173" s="1" t="s">
        <v>2026</v>
      </c>
    </row>
    <row r="174" spans="1:5" ht="15.75" customHeight="1" x14ac:dyDescent="0.2">
      <c r="A174" s="1">
        <v>33528</v>
      </c>
      <c r="B174" s="1" t="s">
        <v>326</v>
      </c>
      <c r="C174" s="1" t="s">
        <v>2027</v>
      </c>
      <c r="D174" s="1">
        <v>2</v>
      </c>
      <c r="E174" s="1" t="s">
        <v>2028</v>
      </c>
    </row>
    <row r="175" spans="1:5" ht="15.75" customHeight="1" x14ac:dyDescent="0.2">
      <c r="A175" s="1">
        <v>57732</v>
      </c>
      <c r="B175" s="1" t="s">
        <v>307</v>
      </c>
      <c r="C175" s="1" t="s">
        <v>2029</v>
      </c>
      <c r="D175" s="1">
        <v>1</v>
      </c>
      <c r="E175" s="1" t="s">
        <v>2030</v>
      </c>
    </row>
    <row r="176" spans="1:5" ht="15.75" customHeight="1" x14ac:dyDescent="0.2">
      <c r="A176" s="1">
        <v>53523</v>
      </c>
      <c r="B176" s="1" t="s">
        <v>129</v>
      </c>
      <c r="C176" s="1" t="s">
        <v>2031</v>
      </c>
      <c r="D176" s="1">
        <v>1</v>
      </c>
      <c r="E176" s="1" t="s">
        <v>2032</v>
      </c>
    </row>
    <row r="177" spans="1:5" ht="15.75" customHeight="1" x14ac:dyDescent="0.2">
      <c r="A177" s="1">
        <v>33491</v>
      </c>
      <c r="B177" s="1" t="s">
        <v>2033</v>
      </c>
      <c r="C177" s="1" t="s">
        <v>2034</v>
      </c>
      <c r="D177" s="1">
        <v>1</v>
      </c>
      <c r="E177" s="1" t="s">
        <v>2035</v>
      </c>
    </row>
    <row r="178" spans="1:5" ht="15.75" customHeight="1" x14ac:dyDescent="0.2">
      <c r="A178" s="1">
        <v>956</v>
      </c>
      <c r="B178" s="1" t="s">
        <v>1018</v>
      </c>
      <c r="C178" s="1" t="s">
        <v>2036</v>
      </c>
      <c r="D178" s="1">
        <v>1</v>
      </c>
      <c r="E178" s="1" t="s">
        <v>2037</v>
      </c>
    </row>
    <row r="179" spans="1:5" ht="15.75" customHeight="1" x14ac:dyDescent="0.2">
      <c r="A179" s="1">
        <v>35080</v>
      </c>
      <c r="B179" s="1" t="s">
        <v>1004</v>
      </c>
      <c r="C179" s="1" t="s">
        <v>2038</v>
      </c>
      <c r="D179" s="1">
        <v>2</v>
      </c>
      <c r="E179" s="1" t="s">
        <v>2039</v>
      </c>
    </row>
    <row r="180" spans="1:5" ht="15.75" customHeight="1" x14ac:dyDescent="0.2">
      <c r="A180" s="1">
        <v>43699</v>
      </c>
      <c r="B180" s="1" t="s">
        <v>906</v>
      </c>
      <c r="C180" s="1" t="s">
        <v>2040</v>
      </c>
      <c r="D180" s="1">
        <v>2</v>
      </c>
      <c r="E180" s="1" t="s">
        <v>2041</v>
      </c>
    </row>
    <row r="181" spans="1:5" ht="15.75" customHeight="1" x14ac:dyDescent="0.2">
      <c r="A181" s="1">
        <v>9837</v>
      </c>
      <c r="B181" s="1" t="s">
        <v>2042</v>
      </c>
      <c r="C181" s="1" t="s">
        <v>2043</v>
      </c>
      <c r="D181" s="1">
        <v>1</v>
      </c>
      <c r="E181" s="1" t="s">
        <v>2044</v>
      </c>
    </row>
    <row r="182" spans="1:5" ht="15.75" customHeight="1" x14ac:dyDescent="0.2">
      <c r="A182" s="1">
        <v>69845</v>
      </c>
      <c r="B182" s="1" t="s">
        <v>2045</v>
      </c>
      <c r="C182" s="1" t="s">
        <v>2046</v>
      </c>
      <c r="D182" s="1">
        <v>2</v>
      </c>
      <c r="E182" s="1" t="s">
        <v>2047</v>
      </c>
    </row>
    <row r="183" spans="1:5" ht="15.75" customHeight="1" x14ac:dyDescent="0.2">
      <c r="A183" s="1">
        <v>23154</v>
      </c>
      <c r="B183" s="1" t="s">
        <v>2048</v>
      </c>
      <c r="C183" s="1" t="s">
        <v>2049</v>
      </c>
      <c r="D183" s="1">
        <v>1</v>
      </c>
      <c r="E183" s="1" t="s">
        <v>2050</v>
      </c>
    </row>
    <row r="184" spans="1:5" ht="15.75" customHeight="1" x14ac:dyDescent="0.2">
      <c r="A184" s="1">
        <v>67862</v>
      </c>
      <c r="B184" s="1" t="s">
        <v>32</v>
      </c>
      <c r="C184" s="1" t="s">
        <v>2051</v>
      </c>
      <c r="D184" s="1">
        <v>2</v>
      </c>
      <c r="E184" s="1" t="s">
        <v>2052</v>
      </c>
    </row>
    <row r="185" spans="1:5" ht="15.75" customHeight="1" x14ac:dyDescent="0.2">
      <c r="A185" s="1">
        <v>58479</v>
      </c>
      <c r="B185" s="1" t="s">
        <v>78</v>
      </c>
      <c r="C185" s="1" t="s">
        <v>2053</v>
      </c>
      <c r="D185" s="1">
        <v>2</v>
      </c>
      <c r="E185" s="1" t="s">
        <v>2054</v>
      </c>
    </row>
    <row r="186" spans="1:5" ht="15.75" customHeight="1" x14ac:dyDescent="0.2">
      <c r="A186" s="1">
        <v>28692</v>
      </c>
      <c r="B186" s="1" t="s">
        <v>405</v>
      </c>
      <c r="C186" s="1" t="s">
        <v>2055</v>
      </c>
      <c r="D186" s="1">
        <v>1</v>
      </c>
      <c r="E186" s="1" t="s">
        <v>2056</v>
      </c>
    </row>
    <row r="187" spans="1:5" ht="15.75" customHeight="1" x14ac:dyDescent="0.2">
      <c r="A187" s="1">
        <v>30912</v>
      </c>
      <c r="B187" s="1" t="s">
        <v>194</v>
      </c>
      <c r="C187" s="1" t="s">
        <v>2057</v>
      </c>
      <c r="D187" s="1">
        <v>2</v>
      </c>
      <c r="E187" s="1" t="s">
        <v>2058</v>
      </c>
    </row>
    <row r="188" spans="1:5" ht="15.75" customHeight="1" x14ac:dyDescent="0.2">
      <c r="A188" s="1">
        <v>39339</v>
      </c>
      <c r="B188" s="1" t="s">
        <v>144</v>
      </c>
      <c r="C188" s="1" t="s">
        <v>2059</v>
      </c>
      <c r="D188" s="1">
        <v>2</v>
      </c>
      <c r="E188" s="1" t="s">
        <v>2060</v>
      </c>
    </row>
    <row r="189" spans="1:5" ht="15.75" customHeight="1" x14ac:dyDescent="0.2">
      <c r="A189" s="1">
        <v>23747</v>
      </c>
      <c r="B189" s="1" t="s">
        <v>2061</v>
      </c>
      <c r="C189" s="1" t="s">
        <v>2062</v>
      </c>
      <c r="D189" s="1">
        <v>2</v>
      </c>
      <c r="E189" s="1" t="s">
        <v>2063</v>
      </c>
    </row>
    <row r="190" spans="1:5" ht="15.75" customHeight="1" x14ac:dyDescent="0.2">
      <c r="A190" s="1">
        <v>53853</v>
      </c>
      <c r="B190" s="1" t="s">
        <v>191</v>
      </c>
      <c r="C190" s="1" t="s">
        <v>2064</v>
      </c>
      <c r="D190" s="1">
        <v>2</v>
      </c>
      <c r="E190" s="1" t="s">
        <v>2065</v>
      </c>
    </row>
    <row r="191" spans="1:5" ht="15.75" customHeight="1" x14ac:dyDescent="0.2">
      <c r="A191" s="1">
        <v>1021</v>
      </c>
      <c r="B191" s="1" t="s">
        <v>1316</v>
      </c>
      <c r="C191" s="1" t="s">
        <v>2066</v>
      </c>
      <c r="D191" s="1">
        <v>2</v>
      </c>
      <c r="E191" s="1" t="s">
        <v>2067</v>
      </c>
    </row>
    <row r="192" spans="1:5" ht="15.75" customHeight="1" x14ac:dyDescent="0.2">
      <c r="A192" s="1">
        <v>22798</v>
      </c>
      <c r="B192" s="1" t="s">
        <v>1102</v>
      </c>
      <c r="C192" s="1" t="s">
        <v>2068</v>
      </c>
      <c r="D192" s="1">
        <v>2</v>
      </c>
      <c r="E192" s="1" t="s">
        <v>2069</v>
      </c>
    </row>
    <row r="193" spans="1:5" ht="15.75" customHeight="1" x14ac:dyDescent="0.2">
      <c r="A193" s="1">
        <v>71138</v>
      </c>
      <c r="B193" s="1" t="s">
        <v>2070</v>
      </c>
      <c r="C193" s="1" t="s">
        <v>2071</v>
      </c>
      <c r="D193" s="1">
        <v>2</v>
      </c>
      <c r="E193" s="1" t="s">
        <v>2072</v>
      </c>
    </row>
    <row r="194" spans="1:5" ht="15.75" customHeight="1" x14ac:dyDescent="0.2">
      <c r="A194" s="1">
        <v>17613</v>
      </c>
      <c r="B194" s="1" t="s">
        <v>524</v>
      </c>
      <c r="C194" s="1" t="s">
        <v>2073</v>
      </c>
      <c r="D194" s="1">
        <v>2</v>
      </c>
      <c r="E194" s="1" t="s">
        <v>2074</v>
      </c>
    </row>
    <row r="195" spans="1:5" ht="15.75" customHeight="1" x14ac:dyDescent="0.2">
      <c r="A195" s="1">
        <v>3410</v>
      </c>
      <c r="B195" s="1" t="s">
        <v>860</v>
      </c>
      <c r="C195" s="1" t="s">
        <v>2075</v>
      </c>
      <c r="D195" s="1">
        <v>2</v>
      </c>
      <c r="E195" s="1" t="s">
        <v>2076</v>
      </c>
    </row>
    <row r="196" spans="1:5" ht="15.75" customHeight="1" x14ac:dyDescent="0.2">
      <c r="A196" s="1">
        <v>2988</v>
      </c>
      <c r="B196" s="1" t="s">
        <v>1569</v>
      </c>
      <c r="C196" s="1" t="s">
        <v>2077</v>
      </c>
      <c r="D196" s="1">
        <v>2</v>
      </c>
      <c r="E196" s="1" t="s">
        <v>2078</v>
      </c>
    </row>
    <row r="197" spans="1:5" ht="15.75" customHeight="1" x14ac:dyDescent="0.2">
      <c r="A197" s="1">
        <v>18036</v>
      </c>
      <c r="B197" s="1" t="s">
        <v>194</v>
      </c>
      <c r="C197" s="1" t="s">
        <v>2079</v>
      </c>
      <c r="D197" s="1">
        <v>2</v>
      </c>
      <c r="E197" s="1" t="s">
        <v>2080</v>
      </c>
    </row>
    <row r="198" spans="1:5" ht="15.75" customHeight="1" x14ac:dyDescent="0.2">
      <c r="A198" s="1">
        <v>43789</v>
      </c>
      <c r="B198" s="1" t="s">
        <v>109</v>
      </c>
      <c r="C198" s="1" t="s">
        <v>2081</v>
      </c>
      <c r="D198" s="1">
        <v>1</v>
      </c>
      <c r="E198" s="1" t="s">
        <v>2082</v>
      </c>
    </row>
    <row r="199" spans="1:5" ht="15.75" customHeight="1" x14ac:dyDescent="0.2">
      <c r="A199" s="1">
        <v>29570</v>
      </c>
      <c r="B199" s="1" t="s">
        <v>408</v>
      </c>
      <c r="C199" s="1" t="s">
        <v>2083</v>
      </c>
      <c r="D199" s="1">
        <v>2</v>
      </c>
      <c r="E199" s="1" t="s">
        <v>2084</v>
      </c>
    </row>
    <row r="200" spans="1:5" ht="15.75" customHeight="1" x14ac:dyDescent="0.2">
      <c r="A200" s="1">
        <v>22076</v>
      </c>
      <c r="B200" s="1" t="s">
        <v>2085</v>
      </c>
      <c r="C200" s="1" t="s">
        <v>2086</v>
      </c>
      <c r="D200" s="1">
        <v>2</v>
      </c>
      <c r="E200" s="1" t="s">
        <v>2087</v>
      </c>
    </row>
    <row r="201" spans="1:5" ht="15.75" customHeight="1" x14ac:dyDescent="0.2">
      <c r="A201" s="1">
        <v>42108</v>
      </c>
      <c r="B201" s="1" t="s">
        <v>103</v>
      </c>
      <c r="C201" s="1" t="s">
        <v>2088</v>
      </c>
      <c r="D201" s="1">
        <v>2</v>
      </c>
      <c r="E201" s="1" t="s">
        <v>2089</v>
      </c>
    </row>
    <row r="202" spans="1:5" ht="15.75" customHeight="1" x14ac:dyDescent="0.2">
      <c r="A202" s="1">
        <v>10061</v>
      </c>
      <c r="B202" s="1" t="s">
        <v>244</v>
      </c>
      <c r="C202" s="1" t="s">
        <v>2090</v>
      </c>
      <c r="D202" s="1">
        <v>1</v>
      </c>
      <c r="E202" s="1" t="s">
        <v>2091</v>
      </c>
    </row>
    <row r="203" spans="1:5" ht="15.75" customHeight="1" x14ac:dyDescent="0.2">
      <c r="A203" s="1">
        <v>8402</v>
      </c>
      <c r="B203" s="1" t="s">
        <v>1548</v>
      </c>
      <c r="C203" s="1" t="s">
        <v>2092</v>
      </c>
      <c r="D203" s="1">
        <v>2</v>
      </c>
      <c r="E203" s="1" t="s">
        <v>2093</v>
      </c>
    </row>
    <row r="204" spans="1:5" ht="15.75" customHeight="1" x14ac:dyDescent="0.2">
      <c r="A204" s="1">
        <v>6383</v>
      </c>
      <c r="B204" s="1" t="s">
        <v>2094</v>
      </c>
      <c r="C204" s="1" t="s">
        <v>2095</v>
      </c>
      <c r="D204" s="1">
        <v>2</v>
      </c>
      <c r="E204" s="1" t="s">
        <v>2096</v>
      </c>
    </row>
    <row r="205" spans="1:5" ht="15.75" customHeight="1" x14ac:dyDescent="0.2">
      <c r="A205" s="1">
        <v>14478</v>
      </c>
      <c r="B205" s="1" t="s">
        <v>2097</v>
      </c>
      <c r="C205" s="1" t="s">
        <v>2098</v>
      </c>
      <c r="D205" s="1">
        <v>2</v>
      </c>
      <c r="E205" s="1" t="s">
        <v>2099</v>
      </c>
    </row>
    <row r="206" spans="1:5" ht="15.75" customHeight="1" x14ac:dyDescent="0.2">
      <c r="A206" s="1">
        <v>29610</v>
      </c>
      <c r="B206" s="1" t="s">
        <v>78</v>
      </c>
      <c r="C206" s="1" t="s">
        <v>2100</v>
      </c>
      <c r="D206" s="1">
        <v>1</v>
      </c>
      <c r="E206" s="1" t="s">
        <v>2101</v>
      </c>
    </row>
    <row r="207" spans="1:5" ht="15.75" customHeight="1" x14ac:dyDescent="0.2">
      <c r="A207" s="1">
        <v>32187</v>
      </c>
      <c r="B207" s="1" t="s">
        <v>1686</v>
      </c>
      <c r="C207" s="1" t="s">
        <v>2102</v>
      </c>
      <c r="D207" s="1">
        <v>1</v>
      </c>
      <c r="E207" s="1" t="s">
        <v>2103</v>
      </c>
    </row>
    <row r="208" spans="1:5" ht="15.75" customHeight="1" x14ac:dyDescent="0.2">
      <c r="A208" s="1">
        <v>70485</v>
      </c>
      <c r="B208" s="1" t="s">
        <v>180</v>
      </c>
      <c r="C208" s="1" t="s">
        <v>2104</v>
      </c>
      <c r="D208" s="1">
        <v>2</v>
      </c>
      <c r="E208" s="1" t="s">
        <v>2105</v>
      </c>
    </row>
    <row r="209" spans="1:5" ht="15.75" customHeight="1" x14ac:dyDescent="0.2">
      <c r="A209" s="1">
        <v>52104</v>
      </c>
      <c r="B209" s="1" t="s">
        <v>129</v>
      </c>
      <c r="C209" s="1" t="s">
        <v>2106</v>
      </c>
      <c r="D209" s="1">
        <v>1</v>
      </c>
      <c r="E209" s="1" t="s">
        <v>2107</v>
      </c>
    </row>
    <row r="210" spans="1:5" ht="15.75" customHeight="1" x14ac:dyDescent="0.2">
      <c r="A210" s="1">
        <v>5041</v>
      </c>
      <c r="B210" s="1" t="s">
        <v>175</v>
      </c>
      <c r="C210" s="1" t="s">
        <v>2108</v>
      </c>
      <c r="D210" s="1">
        <v>2</v>
      </c>
      <c r="E210" s="1" t="s">
        <v>2109</v>
      </c>
    </row>
    <row r="211" spans="1:5" ht="15.75" customHeight="1" x14ac:dyDescent="0.2">
      <c r="A211" s="1">
        <v>57453</v>
      </c>
      <c r="B211" s="1" t="s">
        <v>167</v>
      </c>
      <c r="C211" s="1" t="s">
        <v>2110</v>
      </c>
      <c r="D211" s="1">
        <v>1</v>
      </c>
      <c r="E211" s="1" t="s">
        <v>2111</v>
      </c>
    </row>
    <row r="212" spans="1:5" ht="15.75" customHeight="1" x14ac:dyDescent="0.2">
      <c r="A212" s="1">
        <v>49420</v>
      </c>
      <c r="B212" s="1" t="s">
        <v>2112</v>
      </c>
      <c r="C212" s="1" t="s">
        <v>2113</v>
      </c>
      <c r="D212" s="1">
        <v>2</v>
      </c>
      <c r="E212" s="1" t="s">
        <v>2114</v>
      </c>
    </row>
    <row r="213" spans="1:5" ht="15.75" customHeight="1" x14ac:dyDescent="0.2">
      <c r="A213" s="1">
        <v>5996</v>
      </c>
      <c r="B213" s="1" t="s">
        <v>496</v>
      </c>
      <c r="C213" s="1" t="s">
        <v>2115</v>
      </c>
      <c r="D213" s="1">
        <v>1</v>
      </c>
      <c r="E213" s="1" t="s">
        <v>2116</v>
      </c>
    </row>
    <row r="214" spans="1:5" ht="15.75" customHeight="1" x14ac:dyDescent="0.2">
      <c r="A214" s="1">
        <v>71076</v>
      </c>
      <c r="B214" s="1" t="s">
        <v>2117</v>
      </c>
      <c r="C214" s="1" t="s">
        <v>2118</v>
      </c>
      <c r="D214" s="1">
        <v>2</v>
      </c>
      <c r="E214" s="1" t="s">
        <v>2119</v>
      </c>
    </row>
    <row r="215" spans="1:5" ht="15.75" customHeight="1" x14ac:dyDescent="0.2">
      <c r="A215" s="1">
        <v>40686</v>
      </c>
      <c r="B215" s="1" t="s">
        <v>191</v>
      </c>
      <c r="C215" s="1" t="s">
        <v>2120</v>
      </c>
      <c r="D215" s="1">
        <v>2</v>
      </c>
      <c r="E215" s="1" t="s">
        <v>2121</v>
      </c>
    </row>
    <row r="216" spans="1:5" ht="15.75" customHeight="1" x14ac:dyDescent="0.2">
      <c r="A216" s="1">
        <v>20588</v>
      </c>
      <c r="B216" s="1" t="s">
        <v>430</v>
      </c>
      <c r="C216" s="1" t="s">
        <v>2122</v>
      </c>
      <c r="D216" s="1">
        <v>2</v>
      </c>
      <c r="E216" s="1" t="s">
        <v>2123</v>
      </c>
    </row>
    <row r="217" spans="1:5" ht="15.75" customHeight="1" x14ac:dyDescent="0.2">
      <c r="A217" s="1">
        <v>30388</v>
      </c>
      <c r="B217" s="1" t="s">
        <v>32</v>
      </c>
      <c r="C217" s="1" t="s">
        <v>2124</v>
      </c>
      <c r="D217" s="1">
        <v>1</v>
      </c>
      <c r="E217" s="1" t="s">
        <v>2125</v>
      </c>
    </row>
    <row r="218" spans="1:5" ht="15.75" customHeight="1" x14ac:dyDescent="0.2">
      <c r="A218" s="1">
        <v>39662</v>
      </c>
      <c r="B218" s="1" t="s">
        <v>144</v>
      </c>
      <c r="C218" s="1" t="s">
        <v>2126</v>
      </c>
      <c r="D218" s="1">
        <v>2</v>
      </c>
      <c r="E218" s="1" t="s">
        <v>2127</v>
      </c>
    </row>
    <row r="219" spans="1:5" ht="15.75" customHeight="1" x14ac:dyDescent="0.2">
      <c r="A219" s="1">
        <v>4269</v>
      </c>
      <c r="B219" s="1" t="s">
        <v>167</v>
      </c>
      <c r="C219" s="1" t="s">
        <v>2128</v>
      </c>
      <c r="D219" s="1">
        <v>1</v>
      </c>
      <c r="E219" s="1" t="s">
        <v>2129</v>
      </c>
    </row>
    <row r="220" spans="1:5" ht="15.75" customHeight="1" x14ac:dyDescent="0.2">
      <c r="A220" s="1">
        <v>55627</v>
      </c>
      <c r="B220" s="1" t="s">
        <v>2130</v>
      </c>
      <c r="C220" s="1" t="s">
        <v>2131</v>
      </c>
      <c r="D220" s="1">
        <v>2</v>
      </c>
      <c r="E220" s="1" t="s">
        <v>2132</v>
      </c>
    </row>
    <row r="221" spans="1:5" ht="15.75" customHeight="1" x14ac:dyDescent="0.2">
      <c r="A221" s="1">
        <v>36780</v>
      </c>
      <c r="B221" s="1" t="s">
        <v>345</v>
      </c>
      <c r="C221" s="1" t="s">
        <v>2133</v>
      </c>
      <c r="D221" s="1">
        <v>2</v>
      </c>
      <c r="E221" s="1" t="s">
        <v>2134</v>
      </c>
    </row>
    <row r="222" spans="1:5" ht="15.75" customHeight="1" x14ac:dyDescent="0.2">
      <c r="A222" s="1">
        <v>27</v>
      </c>
      <c r="B222" s="1" t="s">
        <v>2135</v>
      </c>
      <c r="C222" s="1" t="s">
        <v>2136</v>
      </c>
      <c r="D222" s="1">
        <v>2</v>
      </c>
      <c r="E222" s="1" t="s">
        <v>2137</v>
      </c>
    </row>
    <row r="223" spans="1:5" ht="15.75" customHeight="1" x14ac:dyDescent="0.2">
      <c r="A223" s="1">
        <v>30341</v>
      </c>
      <c r="B223" s="1" t="s">
        <v>2138</v>
      </c>
      <c r="C223" s="1" t="s">
        <v>2139</v>
      </c>
      <c r="D223" s="1">
        <v>2</v>
      </c>
      <c r="E223" s="1" t="s">
        <v>2140</v>
      </c>
    </row>
    <row r="224" spans="1:5" ht="15.75" customHeight="1" x14ac:dyDescent="0.2">
      <c r="A224" s="1">
        <v>25413</v>
      </c>
      <c r="B224" s="1" t="s">
        <v>233</v>
      </c>
      <c r="C224" s="1" t="s">
        <v>2141</v>
      </c>
      <c r="D224" s="1">
        <v>2</v>
      </c>
      <c r="E224" s="1" t="s">
        <v>2142</v>
      </c>
    </row>
    <row r="225" spans="1:5" ht="15.75" customHeight="1" x14ac:dyDescent="0.2">
      <c r="A225" s="1">
        <v>71678</v>
      </c>
      <c r="B225" s="1" t="s">
        <v>23</v>
      </c>
      <c r="C225" s="1" t="s">
        <v>2143</v>
      </c>
      <c r="D225" s="1">
        <v>2</v>
      </c>
      <c r="E225" s="1" t="s">
        <v>2144</v>
      </c>
    </row>
    <row r="226" spans="1:5" ht="15.75" customHeight="1" x14ac:dyDescent="0.2">
      <c r="A226" s="1">
        <v>37220</v>
      </c>
      <c r="B226" s="1" t="s">
        <v>1395</v>
      </c>
      <c r="C226" s="1" t="s">
        <v>2145</v>
      </c>
      <c r="D226" s="1">
        <v>1</v>
      </c>
      <c r="E226" s="1" t="s">
        <v>2146</v>
      </c>
    </row>
    <row r="227" spans="1:5" ht="15.75" customHeight="1" x14ac:dyDescent="0.2">
      <c r="A227" s="1">
        <v>48743</v>
      </c>
      <c r="B227" s="1" t="s">
        <v>172</v>
      </c>
      <c r="C227" s="1" t="s">
        <v>2147</v>
      </c>
      <c r="D227" s="1">
        <v>2</v>
      </c>
      <c r="E227" s="1" t="s">
        <v>2148</v>
      </c>
    </row>
    <row r="228" spans="1:5" ht="15.75" customHeight="1" x14ac:dyDescent="0.2">
      <c r="A228" s="1">
        <v>22961</v>
      </c>
      <c r="B228" s="1" t="s">
        <v>95</v>
      </c>
      <c r="C228" s="1" t="s">
        <v>2149</v>
      </c>
      <c r="D228" s="1">
        <v>2</v>
      </c>
      <c r="E228" s="1" t="s">
        <v>2150</v>
      </c>
    </row>
    <row r="229" spans="1:5" ht="15.75" customHeight="1" x14ac:dyDescent="0.2">
      <c r="A229" s="1">
        <v>54717</v>
      </c>
      <c r="B229" s="1" t="s">
        <v>1021</v>
      </c>
      <c r="C229" s="1" t="s">
        <v>2151</v>
      </c>
      <c r="D229" s="1">
        <v>2</v>
      </c>
      <c r="E229" s="1" t="s">
        <v>2152</v>
      </c>
    </row>
    <row r="230" spans="1:5" ht="15.75" customHeight="1" x14ac:dyDescent="0.2">
      <c r="A230" s="1">
        <v>35602</v>
      </c>
      <c r="B230" s="1" t="s">
        <v>32</v>
      </c>
      <c r="C230" s="1" t="s">
        <v>2153</v>
      </c>
      <c r="D230" s="1">
        <v>1</v>
      </c>
      <c r="E230" s="1" t="s">
        <v>2154</v>
      </c>
    </row>
    <row r="231" spans="1:5" ht="15.75" customHeight="1" x14ac:dyDescent="0.2">
      <c r="A231" s="1">
        <v>32010</v>
      </c>
      <c r="B231" s="1" t="s">
        <v>2024</v>
      </c>
      <c r="C231" s="1" t="s">
        <v>2155</v>
      </c>
      <c r="D231" s="1">
        <v>2</v>
      </c>
      <c r="E231" s="1" t="s">
        <v>2156</v>
      </c>
    </row>
    <row r="232" spans="1:5" ht="15.75" customHeight="1" x14ac:dyDescent="0.2">
      <c r="A232" s="1">
        <v>3458</v>
      </c>
      <c r="B232" s="1" t="s">
        <v>2157</v>
      </c>
      <c r="C232" s="1" t="s">
        <v>2158</v>
      </c>
      <c r="D232" s="1">
        <v>2</v>
      </c>
      <c r="E232" s="1" t="s">
        <v>2159</v>
      </c>
    </row>
    <row r="233" spans="1:5" ht="15.75" customHeight="1" x14ac:dyDescent="0.2">
      <c r="A233" s="1">
        <v>46405</v>
      </c>
      <c r="B233" s="1" t="s">
        <v>2160</v>
      </c>
      <c r="C233" s="1" t="s">
        <v>2161</v>
      </c>
      <c r="D233" s="1">
        <v>2</v>
      </c>
      <c r="E233" s="1" t="s">
        <v>2162</v>
      </c>
    </row>
    <row r="234" spans="1:5" ht="15.75" customHeight="1" x14ac:dyDescent="0.2">
      <c r="A234" s="1">
        <v>58457</v>
      </c>
      <c r="B234" s="1" t="s">
        <v>38</v>
      </c>
      <c r="C234" s="1" t="s">
        <v>2163</v>
      </c>
      <c r="D234" s="1">
        <v>2</v>
      </c>
      <c r="E234" s="1" t="s">
        <v>2164</v>
      </c>
    </row>
    <row r="235" spans="1:5" ht="15.75" customHeight="1" x14ac:dyDescent="0.2">
      <c r="A235" s="1">
        <v>63173</v>
      </c>
      <c r="B235" s="1" t="s">
        <v>939</v>
      </c>
      <c r="C235" s="1" t="s">
        <v>2165</v>
      </c>
      <c r="D235" s="1">
        <v>2</v>
      </c>
      <c r="E235" s="1" t="s">
        <v>2166</v>
      </c>
    </row>
    <row r="236" spans="1:5" ht="15.75" customHeight="1" x14ac:dyDescent="0.2">
      <c r="A236" s="1">
        <v>61794</v>
      </c>
      <c r="B236" s="1" t="s">
        <v>129</v>
      </c>
      <c r="C236" s="1" t="s">
        <v>2167</v>
      </c>
      <c r="D236" s="1">
        <v>2</v>
      </c>
      <c r="E236" s="1" t="s">
        <v>2168</v>
      </c>
    </row>
    <row r="237" spans="1:5" ht="15.75" customHeight="1" x14ac:dyDescent="0.2">
      <c r="A237" s="1">
        <v>41716</v>
      </c>
      <c r="B237" s="1" t="s">
        <v>1895</v>
      </c>
      <c r="C237" s="1" t="s">
        <v>2169</v>
      </c>
      <c r="D237" s="1">
        <v>2</v>
      </c>
      <c r="E237" s="1" t="s">
        <v>2170</v>
      </c>
    </row>
    <row r="238" spans="1:5" ht="15.75" customHeight="1" x14ac:dyDescent="0.2">
      <c r="A238" s="1">
        <v>18598</v>
      </c>
      <c r="B238" s="1" t="s">
        <v>87</v>
      </c>
      <c r="C238" s="1" t="s">
        <v>2171</v>
      </c>
      <c r="D238" s="1">
        <v>2</v>
      </c>
      <c r="E238" s="1" t="s">
        <v>2172</v>
      </c>
    </row>
    <row r="239" spans="1:5" ht="15.75" customHeight="1" x14ac:dyDescent="0.2">
      <c r="A239" s="1">
        <v>1516</v>
      </c>
      <c r="B239" s="1" t="s">
        <v>144</v>
      </c>
      <c r="C239" s="1" t="s">
        <v>2173</v>
      </c>
      <c r="D239" s="1">
        <v>2</v>
      </c>
      <c r="E239" s="1" t="s">
        <v>2174</v>
      </c>
    </row>
    <row r="240" spans="1:5" ht="15.75" customHeight="1" x14ac:dyDescent="0.2">
      <c r="A240" s="1">
        <v>30898</v>
      </c>
      <c r="B240" s="1" t="s">
        <v>1347</v>
      </c>
      <c r="C240" s="1" t="s">
        <v>2175</v>
      </c>
      <c r="D240" s="1">
        <v>1</v>
      </c>
      <c r="E240" s="1" t="s">
        <v>2176</v>
      </c>
    </row>
    <row r="241" spans="1:5" ht="15.75" customHeight="1" x14ac:dyDescent="0.2">
      <c r="A241" s="1">
        <v>67523</v>
      </c>
      <c r="B241" s="1" t="s">
        <v>959</v>
      </c>
      <c r="C241" s="1" t="s">
        <v>2177</v>
      </c>
      <c r="D241" s="1">
        <v>2</v>
      </c>
      <c r="E241" s="1" t="s">
        <v>2178</v>
      </c>
    </row>
    <row r="242" spans="1:5" ht="15.75" customHeight="1" x14ac:dyDescent="0.2">
      <c r="A242" s="1">
        <v>58762</v>
      </c>
      <c r="B242" s="1" t="s">
        <v>659</v>
      </c>
      <c r="C242" s="1" t="s">
        <v>2179</v>
      </c>
      <c r="D242" s="1">
        <v>2</v>
      </c>
      <c r="E242" s="1" t="s">
        <v>2180</v>
      </c>
    </row>
    <row r="243" spans="1:5" ht="15.75" customHeight="1" x14ac:dyDescent="0.2">
      <c r="A243" s="1">
        <v>50482</v>
      </c>
      <c r="B243" s="1" t="s">
        <v>2181</v>
      </c>
      <c r="C243" s="1" t="s">
        <v>2182</v>
      </c>
      <c r="D243" s="1">
        <v>1</v>
      </c>
      <c r="E243" s="1" t="s">
        <v>2183</v>
      </c>
    </row>
    <row r="244" spans="1:5" ht="15.75" customHeight="1" x14ac:dyDescent="0.2">
      <c r="A244" s="1">
        <v>49934</v>
      </c>
      <c r="B244" s="1" t="s">
        <v>100</v>
      </c>
      <c r="C244" s="1" t="s">
        <v>2184</v>
      </c>
      <c r="D244" s="1">
        <v>2</v>
      </c>
      <c r="E244" s="1" t="s">
        <v>2185</v>
      </c>
    </row>
    <row r="245" spans="1:5" ht="15.75" customHeight="1" x14ac:dyDescent="0.2">
      <c r="A245" s="1">
        <v>44782</v>
      </c>
      <c r="B245" s="1" t="s">
        <v>1102</v>
      </c>
      <c r="C245" s="1" t="s">
        <v>2186</v>
      </c>
      <c r="D245" s="1">
        <v>2</v>
      </c>
      <c r="E245" s="1" t="s">
        <v>2187</v>
      </c>
    </row>
    <row r="246" spans="1:5" ht="15.75" customHeight="1" x14ac:dyDescent="0.2">
      <c r="A246" s="1">
        <v>58256</v>
      </c>
      <c r="B246" s="1" t="s">
        <v>2188</v>
      </c>
      <c r="C246" s="1" t="s">
        <v>2189</v>
      </c>
      <c r="D246" s="1">
        <v>2</v>
      </c>
      <c r="E246" s="1" t="s">
        <v>2190</v>
      </c>
    </row>
    <row r="247" spans="1:5" ht="15.75" customHeight="1" x14ac:dyDescent="0.2">
      <c r="A247" s="1">
        <v>61279</v>
      </c>
      <c r="B247" s="1" t="s">
        <v>2181</v>
      </c>
      <c r="C247" s="1" t="s">
        <v>2191</v>
      </c>
      <c r="D247" s="1">
        <v>2</v>
      </c>
      <c r="E247" s="1" t="s">
        <v>2192</v>
      </c>
    </row>
    <row r="248" spans="1:5" ht="15.75" customHeight="1" x14ac:dyDescent="0.2">
      <c r="A248" s="1">
        <v>70571</v>
      </c>
      <c r="B248" s="1" t="s">
        <v>1477</v>
      </c>
      <c r="C248" s="1" t="s">
        <v>2193</v>
      </c>
      <c r="D248" s="1">
        <v>1</v>
      </c>
      <c r="E248" s="1" t="s">
        <v>2194</v>
      </c>
    </row>
    <row r="249" spans="1:5" ht="15.75" customHeight="1" x14ac:dyDescent="0.2">
      <c r="A249" s="1">
        <v>5797</v>
      </c>
      <c r="B249" s="1" t="s">
        <v>2195</v>
      </c>
      <c r="C249" s="1" t="s">
        <v>2196</v>
      </c>
      <c r="D249" s="1">
        <v>1</v>
      </c>
      <c r="E249" s="1" t="s">
        <v>2197</v>
      </c>
    </row>
    <row r="250" spans="1:5" ht="15.75" customHeight="1" x14ac:dyDescent="0.2">
      <c r="A250" s="1">
        <v>47528</v>
      </c>
      <c r="B250" s="1" t="s">
        <v>2198</v>
      </c>
      <c r="C250" s="1" t="s">
        <v>2199</v>
      </c>
      <c r="D250" s="1">
        <v>2</v>
      </c>
      <c r="E250" s="1" t="s">
        <v>2200</v>
      </c>
    </row>
    <row r="251" spans="1:5" ht="15.75" customHeight="1" x14ac:dyDescent="0.2">
      <c r="A251" s="1">
        <v>18728</v>
      </c>
      <c r="B251" s="1" t="s">
        <v>493</v>
      </c>
      <c r="C251" s="1" t="s">
        <v>2201</v>
      </c>
      <c r="D251" s="1">
        <v>2</v>
      </c>
      <c r="E251" s="1" t="s">
        <v>2202</v>
      </c>
    </row>
    <row r="252" spans="1:5" ht="15.75" customHeight="1" x14ac:dyDescent="0.2">
      <c r="A252" s="1">
        <v>28666</v>
      </c>
      <c r="B252" s="1" t="s">
        <v>2203</v>
      </c>
      <c r="C252" s="1" t="s">
        <v>2204</v>
      </c>
      <c r="D252" s="1">
        <v>1</v>
      </c>
      <c r="E252" s="1" t="s">
        <v>2205</v>
      </c>
    </row>
    <row r="253" spans="1:5" ht="15.75" customHeight="1" x14ac:dyDescent="0.2">
      <c r="A253" s="1">
        <v>31027</v>
      </c>
      <c r="B253" s="1" t="s">
        <v>32</v>
      </c>
      <c r="C253" s="1" t="s">
        <v>2206</v>
      </c>
      <c r="D253" s="1">
        <v>2</v>
      </c>
      <c r="E253" s="1" t="s">
        <v>2207</v>
      </c>
    </row>
    <row r="254" spans="1:5" ht="15.75" customHeight="1" x14ac:dyDescent="0.2">
      <c r="A254" s="1">
        <v>17099</v>
      </c>
      <c r="B254" s="1" t="s">
        <v>348</v>
      </c>
      <c r="C254" s="1" t="s">
        <v>2208</v>
      </c>
      <c r="D254" s="1">
        <v>1</v>
      </c>
      <c r="E254" s="1" t="s">
        <v>2209</v>
      </c>
    </row>
    <row r="255" spans="1:5" ht="15.75" customHeight="1" x14ac:dyDescent="0.2">
      <c r="A255" s="1">
        <v>39450</v>
      </c>
      <c r="B255" s="1" t="s">
        <v>2210</v>
      </c>
      <c r="C255" s="1" t="s">
        <v>2211</v>
      </c>
      <c r="D255" s="1">
        <v>1</v>
      </c>
      <c r="E255" s="1" t="s">
        <v>2212</v>
      </c>
    </row>
    <row r="256" spans="1:5" ht="15.75" customHeight="1" x14ac:dyDescent="0.2">
      <c r="A256" s="1">
        <v>19487</v>
      </c>
      <c r="B256" s="1" t="s">
        <v>254</v>
      </c>
      <c r="C256" s="1" t="s">
        <v>2213</v>
      </c>
      <c r="D256" s="1">
        <v>2</v>
      </c>
      <c r="E256" s="1" t="s">
        <v>2214</v>
      </c>
    </row>
    <row r="257" spans="1:5" ht="15.75" customHeight="1" x14ac:dyDescent="0.2">
      <c r="A257" s="1">
        <v>27526</v>
      </c>
      <c r="B257" s="1" t="s">
        <v>1123</v>
      </c>
      <c r="C257" s="1" t="s">
        <v>2215</v>
      </c>
      <c r="D257" s="1">
        <v>1</v>
      </c>
      <c r="E257" s="1" t="s">
        <v>2216</v>
      </c>
    </row>
    <row r="258" spans="1:5" ht="15.75" customHeight="1" x14ac:dyDescent="0.2">
      <c r="A258" s="1">
        <v>35162</v>
      </c>
      <c r="B258" s="1" t="s">
        <v>318</v>
      </c>
      <c r="C258" s="1" t="s">
        <v>2217</v>
      </c>
      <c r="D258" s="1">
        <v>1</v>
      </c>
      <c r="E258" s="1" t="s">
        <v>2218</v>
      </c>
    </row>
    <row r="259" spans="1:5" ht="15.75" customHeight="1" x14ac:dyDescent="0.2">
      <c r="A259" s="1">
        <v>60078</v>
      </c>
      <c r="B259" s="1" t="s">
        <v>2219</v>
      </c>
      <c r="C259" s="1" t="s">
        <v>2220</v>
      </c>
      <c r="D259" s="1">
        <v>2</v>
      </c>
      <c r="E259" s="1" t="s">
        <v>2221</v>
      </c>
    </row>
    <row r="260" spans="1:5" ht="15.75" customHeight="1" x14ac:dyDescent="0.2">
      <c r="A260" s="1">
        <v>17291</v>
      </c>
      <c r="B260" s="1" t="s">
        <v>1274</v>
      </c>
      <c r="C260" s="1" t="s">
        <v>2222</v>
      </c>
      <c r="D260" s="1">
        <v>1</v>
      </c>
      <c r="E260" s="1" t="s">
        <v>2223</v>
      </c>
    </row>
    <row r="261" spans="1:5" ht="15.75" customHeight="1" x14ac:dyDescent="0.2">
      <c r="A261" s="1">
        <v>46040</v>
      </c>
      <c r="B261" s="1" t="s">
        <v>276</v>
      </c>
      <c r="C261" s="1" t="s">
        <v>2224</v>
      </c>
      <c r="D261" s="1">
        <v>1</v>
      </c>
      <c r="E261" s="1" t="s">
        <v>2225</v>
      </c>
    </row>
    <row r="262" spans="1:5" ht="15.75" customHeight="1" x14ac:dyDescent="0.2">
      <c r="A262" s="1">
        <v>34088</v>
      </c>
      <c r="B262" s="1" t="s">
        <v>408</v>
      </c>
      <c r="C262" s="1" t="s">
        <v>2226</v>
      </c>
      <c r="D262" s="1">
        <v>1</v>
      </c>
      <c r="E262" s="1" t="s">
        <v>2227</v>
      </c>
    </row>
    <row r="263" spans="1:5" ht="15.75" customHeight="1" x14ac:dyDescent="0.2">
      <c r="A263" s="1">
        <v>71621</v>
      </c>
      <c r="B263" s="1" t="s">
        <v>244</v>
      </c>
      <c r="C263" s="1" t="s">
        <v>2228</v>
      </c>
      <c r="D263" s="1">
        <v>2</v>
      </c>
      <c r="E263" s="1" t="s">
        <v>2229</v>
      </c>
    </row>
    <row r="264" spans="1:5" ht="15.75" customHeight="1" x14ac:dyDescent="0.2">
      <c r="A264" s="1">
        <v>45733</v>
      </c>
      <c r="B264" s="1" t="s">
        <v>103</v>
      </c>
      <c r="C264" s="1" t="s">
        <v>2230</v>
      </c>
      <c r="D264" s="1">
        <v>2</v>
      </c>
      <c r="E264" s="1" t="s">
        <v>2231</v>
      </c>
    </row>
    <row r="265" spans="1:5" ht="15.75" customHeight="1" x14ac:dyDescent="0.2">
      <c r="A265" s="1">
        <v>32579</v>
      </c>
      <c r="B265" s="1" t="s">
        <v>244</v>
      </c>
      <c r="C265" s="1" t="s">
        <v>2232</v>
      </c>
      <c r="D265" s="1">
        <v>2</v>
      </c>
      <c r="E265" s="1" t="s">
        <v>2233</v>
      </c>
    </row>
    <row r="266" spans="1:5" ht="15.75" customHeight="1" x14ac:dyDescent="0.2">
      <c r="A266" s="1">
        <v>19892</v>
      </c>
      <c r="B266" s="1" t="s">
        <v>1021</v>
      </c>
      <c r="C266" s="1" t="s">
        <v>2234</v>
      </c>
      <c r="D266" s="1">
        <v>2</v>
      </c>
      <c r="E266" s="1" t="s">
        <v>2235</v>
      </c>
    </row>
    <row r="267" spans="1:5" ht="15.75" customHeight="1" x14ac:dyDescent="0.2">
      <c r="A267" s="1">
        <v>63070</v>
      </c>
      <c r="B267" s="1" t="s">
        <v>167</v>
      </c>
      <c r="C267" s="1" t="s">
        <v>2236</v>
      </c>
      <c r="D267" s="1">
        <v>2</v>
      </c>
      <c r="E267" s="1" t="s">
        <v>2237</v>
      </c>
    </row>
    <row r="268" spans="1:5" ht="15.75" customHeight="1" x14ac:dyDescent="0.2">
      <c r="A268" s="1">
        <v>56341</v>
      </c>
      <c r="B268" s="1" t="s">
        <v>2238</v>
      </c>
      <c r="C268" s="1" t="s">
        <v>2239</v>
      </c>
      <c r="D268" s="1">
        <v>2</v>
      </c>
      <c r="E268" s="1" t="s">
        <v>2240</v>
      </c>
    </row>
    <row r="269" spans="1:5" ht="15.75" customHeight="1" x14ac:dyDescent="0.2">
      <c r="A269" s="1">
        <v>6047</v>
      </c>
      <c r="B269" s="1" t="s">
        <v>32</v>
      </c>
      <c r="C269" s="1" t="s">
        <v>2241</v>
      </c>
      <c r="D269" s="1">
        <v>2</v>
      </c>
      <c r="E269" s="1" t="s">
        <v>2242</v>
      </c>
    </row>
    <row r="270" spans="1:5" ht="15.75" customHeight="1" x14ac:dyDescent="0.2">
      <c r="A270" s="1">
        <v>60312</v>
      </c>
      <c r="B270" s="1" t="s">
        <v>191</v>
      </c>
      <c r="C270" s="1" t="s">
        <v>2243</v>
      </c>
      <c r="D270" s="1">
        <v>2</v>
      </c>
      <c r="E270" s="1" t="s">
        <v>2244</v>
      </c>
    </row>
    <row r="271" spans="1:5" ht="15.75" customHeight="1" x14ac:dyDescent="0.2">
      <c r="A271" s="1">
        <v>69227</v>
      </c>
      <c r="B271" s="1" t="s">
        <v>172</v>
      </c>
      <c r="C271" s="1" t="s">
        <v>2245</v>
      </c>
      <c r="D271" s="1">
        <v>2</v>
      </c>
      <c r="E271" s="1" t="s">
        <v>2246</v>
      </c>
    </row>
    <row r="272" spans="1:5" ht="15.75" customHeight="1" x14ac:dyDescent="0.2">
      <c r="A272" s="1">
        <v>8966</v>
      </c>
      <c r="B272" s="1" t="s">
        <v>2247</v>
      </c>
      <c r="C272" s="1" t="s">
        <v>2248</v>
      </c>
      <c r="D272" s="1">
        <v>2</v>
      </c>
      <c r="E272" s="1" t="s">
        <v>2249</v>
      </c>
    </row>
    <row r="273" spans="1:5" ht="15.75" customHeight="1" x14ac:dyDescent="0.2">
      <c r="A273" s="1">
        <v>12849</v>
      </c>
      <c r="B273" s="1" t="s">
        <v>2250</v>
      </c>
      <c r="C273" s="1" t="s">
        <v>2251</v>
      </c>
      <c r="D273" s="1">
        <v>1</v>
      </c>
      <c r="E273" s="1" t="s">
        <v>2252</v>
      </c>
    </row>
    <row r="274" spans="1:5" ht="15.75" customHeight="1" x14ac:dyDescent="0.2">
      <c r="A274" s="1">
        <v>34240</v>
      </c>
      <c r="B274" s="1" t="s">
        <v>144</v>
      </c>
      <c r="C274" s="1" t="s">
        <v>2253</v>
      </c>
      <c r="D274" s="1">
        <v>2</v>
      </c>
      <c r="E274" s="1" t="s">
        <v>2254</v>
      </c>
    </row>
    <row r="275" spans="1:5" ht="15.75" customHeight="1" x14ac:dyDescent="0.2">
      <c r="A275" s="1">
        <v>14731</v>
      </c>
      <c r="B275" s="1" t="s">
        <v>855</v>
      </c>
      <c r="C275" s="1" t="s">
        <v>2255</v>
      </c>
      <c r="D275" s="1">
        <v>2</v>
      </c>
      <c r="E275" s="1" t="s">
        <v>2256</v>
      </c>
    </row>
    <row r="276" spans="1:5" ht="15.75" customHeight="1" x14ac:dyDescent="0.2">
      <c r="A276" s="1">
        <v>8277</v>
      </c>
      <c r="B276" s="1" t="s">
        <v>326</v>
      </c>
      <c r="C276" s="1" t="s">
        <v>2257</v>
      </c>
      <c r="D276" s="1">
        <v>2</v>
      </c>
      <c r="E276" s="1" t="s">
        <v>2258</v>
      </c>
    </row>
    <row r="277" spans="1:5" ht="15.75" customHeight="1" x14ac:dyDescent="0.2">
      <c r="A277" s="1">
        <v>2967</v>
      </c>
      <c r="B277" s="1" t="s">
        <v>2259</v>
      </c>
      <c r="C277" s="1" t="s">
        <v>2260</v>
      </c>
      <c r="D277" s="1">
        <v>2</v>
      </c>
      <c r="E277" s="1" t="s">
        <v>2261</v>
      </c>
    </row>
    <row r="278" spans="1:5" ht="15.75" customHeight="1" x14ac:dyDescent="0.2">
      <c r="A278" s="1">
        <v>59673</v>
      </c>
      <c r="B278" s="1" t="s">
        <v>723</v>
      </c>
      <c r="C278" s="1" t="s">
        <v>2262</v>
      </c>
      <c r="D278" s="1">
        <v>2</v>
      </c>
      <c r="E278" s="1" t="s">
        <v>2263</v>
      </c>
    </row>
    <row r="279" spans="1:5" ht="15.75" customHeight="1" x14ac:dyDescent="0.2">
      <c r="A279" s="1">
        <v>15689</v>
      </c>
      <c r="B279" s="1" t="s">
        <v>276</v>
      </c>
      <c r="C279" s="1" t="s">
        <v>2264</v>
      </c>
      <c r="D279" s="1">
        <v>1</v>
      </c>
      <c r="E279" s="1" t="s">
        <v>2265</v>
      </c>
    </row>
    <row r="280" spans="1:5" ht="15.75" customHeight="1" x14ac:dyDescent="0.2">
      <c r="A280" s="1">
        <v>45535</v>
      </c>
      <c r="B280" s="1" t="s">
        <v>254</v>
      </c>
      <c r="C280" s="1" t="s">
        <v>2266</v>
      </c>
      <c r="D280" s="1">
        <v>2</v>
      </c>
      <c r="E280" s="1" t="s">
        <v>2267</v>
      </c>
    </row>
    <row r="281" spans="1:5" ht="15.75" customHeight="1" x14ac:dyDescent="0.2">
      <c r="A281" s="1">
        <v>69896</v>
      </c>
      <c r="B281" s="1" t="s">
        <v>23</v>
      </c>
      <c r="C281" s="1" t="s">
        <v>2268</v>
      </c>
      <c r="D281" s="1">
        <v>2</v>
      </c>
      <c r="E281" s="1" t="s">
        <v>2269</v>
      </c>
    </row>
    <row r="282" spans="1:5" ht="15.75" customHeight="1" x14ac:dyDescent="0.2">
      <c r="A282" s="1">
        <v>40497</v>
      </c>
      <c r="B282" s="1" t="s">
        <v>90</v>
      </c>
      <c r="C282" s="1" t="s">
        <v>2270</v>
      </c>
      <c r="D282" s="1">
        <v>2</v>
      </c>
      <c r="E282" s="1" t="s">
        <v>2271</v>
      </c>
    </row>
    <row r="283" spans="1:5" ht="15.75" customHeight="1" x14ac:dyDescent="0.2">
      <c r="A283" s="1">
        <v>59276</v>
      </c>
      <c r="B283" s="1" t="s">
        <v>32</v>
      </c>
      <c r="C283" s="1" t="s">
        <v>2272</v>
      </c>
      <c r="D283" s="1">
        <v>1</v>
      </c>
      <c r="E283" s="1" t="s">
        <v>2273</v>
      </c>
    </row>
    <row r="284" spans="1:5" ht="15.75" customHeight="1" x14ac:dyDescent="0.2">
      <c r="A284" s="1">
        <v>36663</v>
      </c>
      <c r="B284" s="1" t="s">
        <v>194</v>
      </c>
      <c r="C284" s="1" t="s">
        <v>2274</v>
      </c>
      <c r="D284" s="1">
        <v>2</v>
      </c>
      <c r="E284" s="1" t="s">
        <v>2275</v>
      </c>
    </row>
    <row r="285" spans="1:5" ht="15.75" customHeight="1" x14ac:dyDescent="0.2">
      <c r="A285" s="1">
        <v>40994</v>
      </c>
      <c r="B285" s="1" t="s">
        <v>2276</v>
      </c>
      <c r="C285" s="1" t="s">
        <v>2277</v>
      </c>
      <c r="D285" s="1">
        <v>2</v>
      </c>
      <c r="E285" s="1" t="s">
        <v>2278</v>
      </c>
    </row>
    <row r="286" spans="1:5" ht="15.75" customHeight="1" x14ac:dyDescent="0.2">
      <c r="A286" s="1">
        <v>35045</v>
      </c>
      <c r="B286" s="1" t="s">
        <v>1123</v>
      </c>
      <c r="C286" s="1" t="s">
        <v>2279</v>
      </c>
      <c r="D286" s="1">
        <v>2</v>
      </c>
      <c r="E286" s="1" t="s">
        <v>2280</v>
      </c>
    </row>
    <row r="287" spans="1:5" ht="15.75" customHeight="1" x14ac:dyDescent="0.2">
      <c r="A287" s="1">
        <v>7469</v>
      </c>
      <c r="B287" s="1" t="s">
        <v>215</v>
      </c>
      <c r="C287" s="1" t="s">
        <v>2281</v>
      </c>
      <c r="D287" s="1">
        <v>2</v>
      </c>
      <c r="E287" s="1" t="s">
        <v>2282</v>
      </c>
    </row>
    <row r="288" spans="1:5" ht="15.75" customHeight="1" x14ac:dyDescent="0.2">
      <c r="A288" s="1">
        <v>59486</v>
      </c>
      <c r="B288" s="1" t="s">
        <v>731</v>
      </c>
      <c r="C288" s="1" t="s">
        <v>2283</v>
      </c>
      <c r="D288" s="1">
        <v>2</v>
      </c>
      <c r="E288" s="1" t="s">
        <v>2284</v>
      </c>
    </row>
    <row r="289" spans="1:5" ht="15.75" customHeight="1" x14ac:dyDescent="0.2">
      <c r="A289" s="1">
        <v>6379</v>
      </c>
      <c r="B289" s="1" t="s">
        <v>524</v>
      </c>
      <c r="C289" s="1" t="s">
        <v>2285</v>
      </c>
      <c r="D289" s="1">
        <v>2</v>
      </c>
      <c r="E289" s="1" t="s">
        <v>2286</v>
      </c>
    </row>
    <row r="290" spans="1:5" ht="15.75" customHeight="1" x14ac:dyDescent="0.2">
      <c r="A290" s="1">
        <v>13677</v>
      </c>
      <c r="B290" s="1" t="s">
        <v>2276</v>
      </c>
      <c r="C290" s="1" t="s">
        <v>2287</v>
      </c>
      <c r="D290" s="1">
        <v>2</v>
      </c>
      <c r="E290" s="1" t="s">
        <v>2288</v>
      </c>
    </row>
    <row r="291" spans="1:5" ht="15.75" customHeight="1" x14ac:dyDescent="0.2">
      <c r="A291" s="1">
        <v>3053</v>
      </c>
      <c r="B291" s="1" t="s">
        <v>794</v>
      </c>
      <c r="C291" s="1" t="s">
        <v>2289</v>
      </c>
      <c r="D291" s="1">
        <v>2</v>
      </c>
      <c r="E291" s="1" t="s">
        <v>2290</v>
      </c>
    </row>
    <row r="292" spans="1:5" ht="15.75" customHeight="1" x14ac:dyDescent="0.2">
      <c r="A292" s="1">
        <v>30227</v>
      </c>
      <c r="B292" s="1" t="s">
        <v>129</v>
      </c>
      <c r="C292" s="1" t="s">
        <v>2291</v>
      </c>
      <c r="D292" s="1">
        <v>2</v>
      </c>
      <c r="E292" s="1" t="s">
        <v>2292</v>
      </c>
    </row>
    <row r="293" spans="1:5" ht="15.75" customHeight="1" x14ac:dyDescent="0.2">
      <c r="A293" s="1">
        <v>51462</v>
      </c>
      <c r="B293" s="1" t="s">
        <v>95</v>
      </c>
      <c r="C293" s="1" t="s">
        <v>2293</v>
      </c>
      <c r="D293" s="1">
        <v>2</v>
      </c>
      <c r="E293" s="1" t="s">
        <v>2294</v>
      </c>
    </row>
    <row r="294" spans="1:5" ht="15.75" customHeight="1" x14ac:dyDescent="0.2">
      <c r="A294" s="1">
        <v>18162</v>
      </c>
      <c r="B294" s="1" t="s">
        <v>348</v>
      </c>
      <c r="C294" s="1" t="s">
        <v>2295</v>
      </c>
      <c r="D294" s="1">
        <v>1</v>
      </c>
      <c r="E294" s="1" t="s">
        <v>2296</v>
      </c>
    </row>
    <row r="295" spans="1:5" ht="15.75" customHeight="1" x14ac:dyDescent="0.2">
      <c r="A295" s="1">
        <v>41283</v>
      </c>
      <c r="B295" s="1" t="s">
        <v>639</v>
      </c>
      <c r="C295" s="1" t="s">
        <v>2297</v>
      </c>
      <c r="D295" s="1">
        <v>2</v>
      </c>
      <c r="E295" s="1" t="s">
        <v>2298</v>
      </c>
    </row>
    <row r="296" spans="1:5" ht="15.75" customHeight="1" x14ac:dyDescent="0.2">
      <c r="A296" s="1">
        <v>25085</v>
      </c>
      <c r="B296" s="1" t="s">
        <v>276</v>
      </c>
      <c r="C296" s="1" t="s">
        <v>2299</v>
      </c>
      <c r="D296" s="1">
        <v>1</v>
      </c>
      <c r="E296" s="1" t="s">
        <v>2300</v>
      </c>
    </row>
    <row r="297" spans="1:5" ht="15.75" customHeight="1" x14ac:dyDescent="0.2">
      <c r="A297" s="1">
        <v>12800</v>
      </c>
      <c r="B297" s="1" t="s">
        <v>180</v>
      </c>
      <c r="C297" s="1" t="s">
        <v>2301</v>
      </c>
      <c r="D297" s="1">
        <v>2</v>
      </c>
      <c r="E297" s="1" t="s">
        <v>2302</v>
      </c>
    </row>
    <row r="298" spans="1:5" ht="15.75" customHeight="1" x14ac:dyDescent="0.2">
      <c r="A298" s="1">
        <v>65079</v>
      </c>
      <c r="B298" s="1" t="s">
        <v>87</v>
      </c>
      <c r="C298" s="1" t="s">
        <v>2303</v>
      </c>
      <c r="D298" s="1">
        <v>2</v>
      </c>
      <c r="E298" s="1" t="s">
        <v>2304</v>
      </c>
    </row>
    <row r="299" spans="1:5" ht="15.75" customHeight="1" x14ac:dyDescent="0.2">
      <c r="A299" s="1">
        <v>12426</v>
      </c>
      <c r="B299" s="1" t="s">
        <v>276</v>
      </c>
      <c r="C299" s="1" t="s">
        <v>2305</v>
      </c>
      <c r="D299" s="1">
        <v>1</v>
      </c>
      <c r="E299" s="1" t="s">
        <v>2306</v>
      </c>
    </row>
    <row r="300" spans="1:5" ht="15.75" customHeight="1" x14ac:dyDescent="0.2">
      <c r="A300" s="1">
        <v>3556</v>
      </c>
      <c r="B300" s="1" t="s">
        <v>986</v>
      </c>
      <c r="C300" s="1" t="s">
        <v>2307</v>
      </c>
      <c r="D300" s="1">
        <v>2</v>
      </c>
      <c r="E300" s="1" t="s">
        <v>2308</v>
      </c>
    </row>
    <row r="301" spans="1:5" ht="15.75" customHeight="1" x14ac:dyDescent="0.2">
      <c r="A301" s="1">
        <v>23538</v>
      </c>
      <c r="B301" s="1" t="s">
        <v>819</v>
      </c>
      <c r="C301" s="1" t="s">
        <v>2309</v>
      </c>
      <c r="D301" s="1">
        <v>2</v>
      </c>
      <c r="E301" s="1" t="s">
        <v>2310</v>
      </c>
    </row>
    <row r="302" spans="1:5" ht="15.75" customHeight="1" x14ac:dyDescent="0.2">
      <c r="A302" s="1">
        <v>11660</v>
      </c>
      <c r="B302" s="1" t="s">
        <v>485</v>
      </c>
      <c r="C302" s="1" t="s">
        <v>2311</v>
      </c>
      <c r="D302" s="1">
        <v>1</v>
      </c>
      <c r="E302" s="1" t="s">
        <v>2312</v>
      </c>
    </row>
    <row r="303" spans="1:5" ht="15.75" customHeight="1" x14ac:dyDescent="0.2">
      <c r="A303" s="1">
        <v>41316</v>
      </c>
      <c r="B303" s="1" t="s">
        <v>527</v>
      </c>
      <c r="C303" s="1" t="s">
        <v>2313</v>
      </c>
      <c r="D303" s="1">
        <v>1</v>
      </c>
      <c r="E303" s="1" t="s">
        <v>2314</v>
      </c>
    </row>
    <row r="304" spans="1:5" ht="15.75" customHeight="1" x14ac:dyDescent="0.2">
      <c r="A304" s="1">
        <v>5288</v>
      </c>
      <c r="B304" s="1" t="s">
        <v>268</v>
      </c>
      <c r="C304" s="1" t="s">
        <v>2315</v>
      </c>
      <c r="D304" s="1">
        <v>1</v>
      </c>
      <c r="E304" s="1" t="s">
        <v>2316</v>
      </c>
    </row>
    <row r="305" spans="1:5" ht="15.75" customHeight="1" x14ac:dyDescent="0.2">
      <c r="A305" s="1">
        <v>22458</v>
      </c>
      <c r="B305" s="1" t="s">
        <v>791</v>
      </c>
      <c r="C305" s="1" t="s">
        <v>2317</v>
      </c>
      <c r="D305" s="1">
        <v>2</v>
      </c>
      <c r="E305" s="1" t="s">
        <v>2318</v>
      </c>
    </row>
    <row r="306" spans="1:5" ht="15.75" customHeight="1" x14ac:dyDescent="0.2">
      <c r="A306" s="1">
        <v>37933</v>
      </c>
      <c r="B306" s="1" t="s">
        <v>32</v>
      </c>
      <c r="C306" s="1" t="s">
        <v>2319</v>
      </c>
      <c r="D306" s="1">
        <v>1</v>
      </c>
      <c r="E306" s="1" t="s">
        <v>2320</v>
      </c>
    </row>
    <row r="307" spans="1:5" ht="15.75" customHeight="1" x14ac:dyDescent="0.2">
      <c r="A307" s="1">
        <v>28757</v>
      </c>
      <c r="B307" s="1" t="s">
        <v>2321</v>
      </c>
      <c r="C307" s="1" t="s">
        <v>2322</v>
      </c>
      <c r="D307" s="1">
        <v>2</v>
      </c>
      <c r="E307" s="1" t="s">
        <v>2323</v>
      </c>
    </row>
    <row r="308" spans="1:5" ht="15.75" customHeight="1" x14ac:dyDescent="0.2">
      <c r="A308" s="1">
        <v>70322</v>
      </c>
      <c r="B308" s="1" t="s">
        <v>354</v>
      </c>
      <c r="C308" s="1" t="s">
        <v>2324</v>
      </c>
      <c r="D308" s="1">
        <v>2</v>
      </c>
      <c r="E308" s="1" t="s">
        <v>2325</v>
      </c>
    </row>
    <row r="309" spans="1:5" ht="15.75" customHeight="1" x14ac:dyDescent="0.2">
      <c r="A309" s="1">
        <v>18950</v>
      </c>
      <c r="B309" s="1" t="s">
        <v>1261</v>
      </c>
      <c r="C309" s="1" t="s">
        <v>2326</v>
      </c>
      <c r="D309" s="1">
        <v>2</v>
      </c>
      <c r="E309" s="1" t="s">
        <v>2327</v>
      </c>
    </row>
    <row r="310" spans="1:5" ht="15.75" customHeight="1" x14ac:dyDescent="0.2">
      <c r="A310" s="1">
        <v>33925</v>
      </c>
      <c r="B310" s="1" t="s">
        <v>1201</v>
      </c>
      <c r="C310" s="1" t="s">
        <v>2328</v>
      </c>
      <c r="D310" s="1">
        <v>1</v>
      </c>
      <c r="E310" s="1" t="s">
        <v>2329</v>
      </c>
    </row>
    <row r="311" spans="1:5" ht="15.75" customHeight="1" x14ac:dyDescent="0.2">
      <c r="A311" s="1">
        <v>27026</v>
      </c>
      <c r="B311" s="1" t="s">
        <v>2330</v>
      </c>
      <c r="C311" s="1" t="s">
        <v>2331</v>
      </c>
      <c r="D311" s="1">
        <v>2</v>
      </c>
      <c r="E311" s="1" t="s">
        <v>2332</v>
      </c>
    </row>
    <row r="312" spans="1:5" ht="15.75" customHeight="1" x14ac:dyDescent="0.2">
      <c r="A312" s="1">
        <v>48496</v>
      </c>
      <c r="B312" s="1" t="s">
        <v>656</v>
      </c>
      <c r="C312" s="1" t="s">
        <v>2333</v>
      </c>
      <c r="D312" s="1">
        <v>2</v>
      </c>
      <c r="E312" s="1" t="s">
        <v>2334</v>
      </c>
    </row>
    <row r="313" spans="1:5" ht="15.75" customHeight="1" x14ac:dyDescent="0.2">
      <c r="A313" s="1">
        <v>21609</v>
      </c>
      <c r="B313" s="1" t="s">
        <v>2335</v>
      </c>
      <c r="C313" s="1" t="s">
        <v>2336</v>
      </c>
      <c r="D313" s="1">
        <v>1</v>
      </c>
      <c r="E313" s="1" t="s">
        <v>2337</v>
      </c>
    </row>
    <row r="314" spans="1:5" ht="15.75" customHeight="1" x14ac:dyDescent="0.2">
      <c r="A314" s="1">
        <v>5045</v>
      </c>
      <c r="B314" s="1" t="s">
        <v>2338</v>
      </c>
      <c r="C314" s="1" t="s">
        <v>2339</v>
      </c>
      <c r="D314" s="1">
        <v>2</v>
      </c>
      <c r="E314" s="1" t="s">
        <v>2340</v>
      </c>
    </row>
    <row r="315" spans="1:5" ht="15.75" customHeight="1" x14ac:dyDescent="0.2">
      <c r="A315" s="1">
        <v>60298</v>
      </c>
      <c r="B315" s="1" t="s">
        <v>38</v>
      </c>
      <c r="C315" s="1" t="s">
        <v>2341</v>
      </c>
      <c r="D315" s="1">
        <v>2</v>
      </c>
      <c r="E315" s="1" t="s">
        <v>2342</v>
      </c>
    </row>
    <row r="316" spans="1:5" ht="15.75" customHeight="1" x14ac:dyDescent="0.2">
      <c r="A316" s="1">
        <v>40106</v>
      </c>
      <c r="B316" s="1" t="s">
        <v>11</v>
      </c>
      <c r="C316" s="1" t="s">
        <v>2343</v>
      </c>
      <c r="D316" s="1">
        <v>2</v>
      </c>
      <c r="E316" s="1" t="s">
        <v>2344</v>
      </c>
    </row>
    <row r="317" spans="1:5" ht="15.75" customHeight="1" x14ac:dyDescent="0.2">
      <c r="A317" s="1">
        <v>12300</v>
      </c>
      <c r="B317" s="1" t="s">
        <v>2345</v>
      </c>
      <c r="C317" s="1" t="s">
        <v>2346</v>
      </c>
      <c r="D317" s="1">
        <v>1</v>
      </c>
      <c r="E317" s="1" t="s">
        <v>2347</v>
      </c>
    </row>
    <row r="318" spans="1:5" ht="15.75" customHeight="1" x14ac:dyDescent="0.2">
      <c r="A318" s="1">
        <v>10195</v>
      </c>
      <c r="B318" s="1" t="s">
        <v>1838</v>
      </c>
      <c r="C318" s="1" t="s">
        <v>2348</v>
      </c>
      <c r="D318" s="1">
        <v>2</v>
      </c>
      <c r="E318" s="1" t="s">
        <v>2349</v>
      </c>
    </row>
    <row r="319" spans="1:5" ht="15.75" customHeight="1" x14ac:dyDescent="0.2">
      <c r="A319" s="1">
        <v>31049</v>
      </c>
      <c r="B319" s="1" t="s">
        <v>167</v>
      </c>
      <c r="C319" s="1" t="s">
        <v>2350</v>
      </c>
      <c r="D319" s="1">
        <v>1</v>
      </c>
      <c r="E319" s="1" t="s">
        <v>2351</v>
      </c>
    </row>
    <row r="320" spans="1:5" ht="15.75" customHeight="1" x14ac:dyDescent="0.2">
      <c r="A320" s="1">
        <v>42902</v>
      </c>
      <c r="B320" s="1" t="s">
        <v>268</v>
      </c>
      <c r="C320" s="1" t="s">
        <v>2352</v>
      </c>
      <c r="D320" s="1">
        <v>2</v>
      </c>
      <c r="E320" s="1" t="s">
        <v>2353</v>
      </c>
    </row>
    <row r="321" spans="1:5" ht="15.75" customHeight="1" x14ac:dyDescent="0.2">
      <c r="A321" s="1">
        <v>31653</v>
      </c>
      <c r="B321" s="1" t="s">
        <v>11</v>
      </c>
      <c r="C321" s="1" t="s">
        <v>2354</v>
      </c>
      <c r="D321" s="1">
        <v>2</v>
      </c>
      <c r="E321" s="1" t="s">
        <v>2355</v>
      </c>
    </row>
    <row r="322" spans="1:5" ht="15.75" customHeight="1" x14ac:dyDescent="0.2">
      <c r="A322" s="1">
        <v>38472</v>
      </c>
      <c r="B322" s="1" t="s">
        <v>1657</v>
      </c>
      <c r="C322" s="1" t="s">
        <v>2356</v>
      </c>
      <c r="D322" s="1">
        <v>2</v>
      </c>
      <c r="E322" s="1" t="s">
        <v>2357</v>
      </c>
    </row>
    <row r="323" spans="1:5" ht="15.75" customHeight="1" x14ac:dyDescent="0.2">
      <c r="A323" s="1">
        <v>64567</v>
      </c>
      <c r="B323" s="1" t="s">
        <v>254</v>
      </c>
      <c r="C323" s="1" t="s">
        <v>2358</v>
      </c>
      <c r="D323" s="1">
        <v>2</v>
      </c>
      <c r="E323" s="1" t="s">
        <v>2359</v>
      </c>
    </row>
    <row r="324" spans="1:5" ht="15.75" customHeight="1" x14ac:dyDescent="0.2">
      <c r="A324" s="1">
        <v>34519</v>
      </c>
      <c r="B324" s="1" t="s">
        <v>32</v>
      </c>
      <c r="C324" s="1" t="s">
        <v>2360</v>
      </c>
      <c r="D324" s="1">
        <v>1</v>
      </c>
      <c r="E324" s="1" t="s">
        <v>2361</v>
      </c>
    </row>
    <row r="325" spans="1:5" ht="15.75" customHeight="1" x14ac:dyDescent="0.2">
      <c r="A325" s="1">
        <v>38977</v>
      </c>
      <c r="B325" s="1" t="s">
        <v>172</v>
      </c>
      <c r="C325" s="1" t="s">
        <v>2362</v>
      </c>
      <c r="D325" s="1">
        <v>1</v>
      </c>
      <c r="E325" s="1" t="s">
        <v>2363</v>
      </c>
    </row>
    <row r="326" spans="1:5" ht="15.75" customHeight="1" x14ac:dyDescent="0.2">
      <c r="A326" s="1">
        <v>58344</v>
      </c>
      <c r="B326" s="1" t="s">
        <v>1001</v>
      </c>
      <c r="C326" s="1" t="s">
        <v>2364</v>
      </c>
      <c r="D326" s="1">
        <v>1</v>
      </c>
      <c r="E326" s="1" t="s">
        <v>2365</v>
      </c>
    </row>
    <row r="327" spans="1:5" ht="15.75" customHeight="1" x14ac:dyDescent="0.2">
      <c r="A327" s="1">
        <v>30056</v>
      </c>
      <c r="B327" s="1" t="s">
        <v>2366</v>
      </c>
      <c r="C327" s="1" t="s">
        <v>2367</v>
      </c>
      <c r="D327" s="1">
        <v>1</v>
      </c>
      <c r="E327" s="1" t="s">
        <v>2368</v>
      </c>
    </row>
    <row r="328" spans="1:5" ht="15.75" customHeight="1" x14ac:dyDescent="0.2">
      <c r="A328" s="1">
        <v>5443</v>
      </c>
      <c r="B328" s="1" t="s">
        <v>1921</v>
      </c>
      <c r="C328" s="1" t="s">
        <v>2369</v>
      </c>
      <c r="D328" s="1">
        <v>2</v>
      </c>
      <c r="E328" s="1" t="s">
        <v>2370</v>
      </c>
    </row>
    <row r="329" spans="1:5" ht="15.75" customHeight="1" x14ac:dyDescent="0.2">
      <c r="A329" s="1">
        <v>26991</v>
      </c>
      <c r="B329" s="1" t="s">
        <v>2371</v>
      </c>
      <c r="C329" s="1" t="s">
        <v>2372</v>
      </c>
      <c r="D329" s="1">
        <v>2</v>
      </c>
      <c r="E329" s="1" t="s">
        <v>2373</v>
      </c>
    </row>
    <row r="330" spans="1:5" ht="15.75" customHeight="1" x14ac:dyDescent="0.2">
      <c r="A330" s="1">
        <v>21509</v>
      </c>
      <c r="B330" s="1" t="s">
        <v>524</v>
      </c>
      <c r="C330" s="1" t="s">
        <v>2374</v>
      </c>
      <c r="D330" s="1">
        <v>2</v>
      </c>
      <c r="E330" s="1" t="s">
        <v>2375</v>
      </c>
    </row>
    <row r="331" spans="1:5" ht="15.75" customHeight="1" x14ac:dyDescent="0.2">
      <c r="A331" s="1">
        <v>69591</v>
      </c>
      <c r="B331" s="1" t="s">
        <v>936</v>
      </c>
      <c r="C331" s="1" t="s">
        <v>2376</v>
      </c>
      <c r="D331" s="1">
        <v>2</v>
      </c>
      <c r="E331" s="1" t="s">
        <v>2377</v>
      </c>
    </row>
    <row r="332" spans="1:5" ht="15.75" customHeight="1" x14ac:dyDescent="0.2">
      <c r="A332" s="1">
        <v>15326</v>
      </c>
      <c r="B332" s="1" t="s">
        <v>2345</v>
      </c>
      <c r="C332" s="1" t="s">
        <v>2378</v>
      </c>
      <c r="D332" s="1">
        <v>1</v>
      </c>
      <c r="E332" s="1" t="s">
        <v>2379</v>
      </c>
    </row>
    <row r="333" spans="1:5" ht="15.75" customHeight="1" x14ac:dyDescent="0.2">
      <c r="A333" s="1">
        <v>44468</v>
      </c>
      <c r="B333" s="1" t="s">
        <v>276</v>
      </c>
      <c r="C333" s="1" t="s">
        <v>2380</v>
      </c>
      <c r="D333" s="1">
        <v>1</v>
      </c>
      <c r="E333" s="1" t="s">
        <v>2381</v>
      </c>
    </row>
    <row r="334" spans="1:5" ht="15.75" customHeight="1" x14ac:dyDescent="0.2">
      <c r="A334" s="1">
        <v>59322</v>
      </c>
      <c r="B334" s="1" t="s">
        <v>2382</v>
      </c>
      <c r="C334" s="1" t="s">
        <v>2383</v>
      </c>
      <c r="D334" s="1">
        <v>2</v>
      </c>
      <c r="E334" s="1" t="s">
        <v>2384</v>
      </c>
    </row>
    <row r="335" spans="1:5" ht="15.75" customHeight="1" x14ac:dyDescent="0.2">
      <c r="A335" s="1">
        <v>17009</v>
      </c>
      <c r="B335" s="1" t="s">
        <v>2385</v>
      </c>
      <c r="C335" s="1" t="s">
        <v>2386</v>
      </c>
      <c r="D335" s="1">
        <v>2</v>
      </c>
      <c r="E335" s="1" t="s">
        <v>2387</v>
      </c>
    </row>
    <row r="336" spans="1:5" ht="15.75" customHeight="1" x14ac:dyDescent="0.2">
      <c r="A336" s="1">
        <v>19277</v>
      </c>
      <c r="B336" s="1" t="s">
        <v>377</v>
      </c>
      <c r="C336" s="1" t="s">
        <v>2388</v>
      </c>
      <c r="D336" s="1">
        <v>2</v>
      </c>
      <c r="E336" s="1" t="s">
        <v>2389</v>
      </c>
    </row>
    <row r="337" spans="1:5" ht="15.75" customHeight="1" x14ac:dyDescent="0.2">
      <c r="A337" s="1">
        <v>30368</v>
      </c>
      <c r="B337" s="1" t="s">
        <v>1251</v>
      </c>
      <c r="C337" s="1" t="s">
        <v>2390</v>
      </c>
      <c r="D337" s="1">
        <v>2</v>
      </c>
      <c r="E337" s="1" t="s">
        <v>2391</v>
      </c>
    </row>
    <row r="338" spans="1:5" ht="15.75" customHeight="1" x14ac:dyDescent="0.2">
      <c r="A338" s="1">
        <v>52218</v>
      </c>
      <c r="B338" s="1" t="s">
        <v>2392</v>
      </c>
      <c r="C338" s="1" t="s">
        <v>2393</v>
      </c>
      <c r="D338" s="1">
        <v>1</v>
      </c>
      <c r="E338" s="1" t="s">
        <v>2394</v>
      </c>
    </row>
    <row r="339" spans="1:5" ht="15.75" customHeight="1" x14ac:dyDescent="0.2">
      <c r="A339" s="1">
        <v>46129</v>
      </c>
      <c r="B339" s="1" t="s">
        <v>2395</v>
      </c>
      <c r="C339" s="1" t="s">
        <v>2396</v>
      </c>
      <c r="D339" s="1">
        <v>2</v>
      </c>
      <c r="E339" s="1" t="s">
        <v>2397</v>
      </c>
    </row>
    <row r="340" spans="1:5" ht="15.75" customHeight="1" x14ac:dyDescent="0.2">
      <c r="A340" s="1">
        <v>68879</v>
      </c>
      <c r="B340" s="1" t="s">
        <v>268</v>
      </c>
      <c r="C340" s="1" t="s">
        <v>2398</v>
      </c>
      <c r="D340" s="1">
        <v>2</v>
      </c>
      <c r="E340" s="1" t="s">
        <v>2399</v>
      </c>
    </row>
    <row r="341" spans="1:5" ht="15.75" customHeight="1" x14ac:dyDescent="0.2">
      <c r="A341" s="1">
        <v>1404</v>
      </c>
      <c r="B341" s="1" t="s">
        <v>191</v>
      </c>
      <c r="C341" s="1" t="s">
        <v>2400</v>
      </c>
      <c r="D341" s="1">
        <v>1</v>
      </c>
      <c r="E341" s="1" t="s">
        <v>2401</v>
      </c>
    </row>
    <row r="342" spans="1:5" ht="15.75" customHeight="1" x14ac:dyDescent="0.2">
      <c r="A342" s="1">
        <v>35713</v>
      </c>
      <c r="B342" s="1" t="s">
        <v>109</v>
      </c>
      <c r="C342" s="1" t="s">
        <v>2402</v>
      </c>
      <c r="D342" s="1">
        <v>2</v>
      </c>
      <c r="E342" s="1" t="s">
        <v>2403</v>
      </c>
    </row>
    <row r="343" spans="1:5" ht="15.75" customHeight="1" x14ac:dyDescent="0.2">
      <c r="A343" s="1">
        <v>45724</v>
      </c>
      <c r="B343" s="1" t="s">
        <v>23</v>
      </c>
      <c r="C343" s="1" t="s">
        <v>2404</v>
      </c>
      <c r="D343" s="1">
        <v>2</v>
      </c>
      <c r="E343" s="1" t="s">
        <v>2405</v>
      </c>
    </row>
    <row r="344" spans="1:5" ht="15.75" customHeight="1" x14ac:dyDescent="0.2">
      <c r="A344" s="1">
        <v>20014</v>
      </c>
      <c r="B344" s="1" t="s">
        <v>1316</v>
      </c>
      <c r="C344" s="1" t="s">
        <v>2406</v>
      </c>
      <c r="D344" s="1">
        <v>2</v>
      </c>
      <c r="E344" s="1" t="s">
        <v>2407</v>
      </c>
    </row>
    <row r="345" spans="1:5" ht="15.75" customHeight="1" x14ac:dyDescent="0.2">
      <c r="A345" s="1">
        <v>20284</v>
      </c>
      <c r="B345" s="1" t="s">
        <v>336</v>
      </c>
      <c r="C345" s="1" t="s">
        <v>2408</v>
      </c>
      <c r="D345" s="1">
        <v>2</v>
      </c>
      <c r="E345" s="1" t="s">
        <v>2409</v>
      </c>
    </row>
    <row r="346" spans="1:5" ht="15.75" customHeight="1" x14ac:dyDescent="0.2">
      <c r="A346" s="1">
        <v>61661</v>
      </c>
      <c r="B346" s="1" t="s">
        <v>159</v>
      </c>
      <c r="C346" s="1" t="s">
        <v>2410</v>
      </c>
      <c r="D346" s="1">
        <v>2</v>
      </c>
      <c r="E346" s="1" t="s">
        <v>2411</v>
      </c>
    </row>
    <row r="347" spans="1:5" ht="15.75" customHeight="1" x14ac:dyDescent="0.2">
      <c r="A347" s="1">
        <v>54478</v>
      </c>
      <c r="B347" s="1" t="s">
        <v>38</v>
      </c>
      <c r="C347" s="1" t="s">
        <v>2412</v>
      </c>
      <c r="D347" s="1">
        <v>2</v>
      </c>
      <c r="E347" s="1" t="s">
        <v>2413</v>
      </c>
    </row>
    <row r="348" spans="1:5" ht="15.75" customHeight="1" x14ac:dyDescent="0.2">
      <c r="A348" s="1">
        <v>4439</v>
      </c>
      <c r="B348" s="1" t="s">
        <v>986</v>
      </c>
      <c r="C348" s="1" t="s">
        <v>2414</v>
      </c>
      <c r="D348" s="1">
        <v>2</v>
      </c>
      <c r="E348" s="1" t="s">
        <v>2415</v>
      </c>
    </row>
    <row r="349" spans="1:5" ht="15.75" customHeight="1" x14ac:dyDescent="0.2">
      <c r="A349" s="1">
        <v>57037</v>
      </c>
      <c r="B349" s="1" t="s">
        <v>244</v>
      </c>
      <c r="C349" s="1" t="s">
        <v>2416</v>
      </c>
      <c r="D349" s="1">
        <v>2</v>
      </c>
      <c r="E349" s="1" t="s">
        <v>2417</v>
      </c>
    </row>
    <row r="350" spans="1:5" ht="15.75" customHeight="1" x14ac:dyDescent="0.2">
      <c r="A350" s="1">
        <v>55586</v>
      </c>
      <c r="B350" s="1" t="s">
        <v>153</v>
      </c>
      <c r="C350" s="1" t="s">
        <v>2418</v>
      </c>
      <c r="D350" s="1">
        <v>2</v>
      </c>
      <c r="E350" s="1" t="s">
        <v>2419</v>
      </c>
    </row>
    <row r="351" spans="1:5" ht="15.75" customHeight="1" x14ac:dyDescent="0.2">
      <c r="A351" s="1">
        <v>14459</v>
      </c>
      <c r="B351" s="1" t="s">
        <v>2042</v>
      </c>
      <c r="C351" s="1" t="s">
        <v>2420</v>
      </c>
      <c r="D351" s="1">
        <v>2</v>
      </c>
      <c r="E351" s="1" t="s">
        <v>2421</v>
      </c>
    </row>
    <row r="352" spans="1:5" ht="15.75" customHeight="1" x14ac:dyDescent="0.2">
      <c r="A352" s="1">
        <v>58927</v>
      </c>
      <c r="B352" s="1" t="s">
        <v>964</v>
      </c>
      <c r="C352" s="1" t="s">
        <v>2422</v>
      </c>
      <c r="D352" s="1">
        <v>2</v>
      </c>
      <c r="E352" s="1" t="s">
        <v>2423</v>
      </c>
    </row>
    <row r="353" spans="1:5" ht="15.75" customHeight="1" x14ac:dyDescent="0.2">
      <c r="A353" s="1">
        <v>32578</v>
      </c>
      <c r="B353" s="1" t="s">
        <v>466</v>
      </c>
      <c r="C353" s="1" t="s">
        <v>2424</v>
      </c>
      <c r="D353" s="1">
        <v>2</v>
      </c>
      <c r="E353" s="1" t="s">
        <v>2425</v>
      </c>
    </row>
    <row r="354" spans="1:5" ht="15.75" customHeight="1" x14ac:dyDescent="0.2">
      <c r="A354" s="1">
        <v>41722</v>
      </c>
      <c r="B354" s="1" t="s">
        <v>191</v>
      </c>
      <c r="C354" s="1" t="s">
        <v>2426</v>
      </c>
      <c r="D354" s="1">
        <v>1</v>
      </c>
      <c r="E354" s="1" t="s">
        <v>2427</v>
      </c>
    </row>
    <row r="355" spans="1:5" ht="15.75" customHeight="1" x14ac:dyDescent="0.2">
      <c r="A355" s="1">
        <v>27766</v>
      </c>
      <c r="B355" s="1" t="s">
        <v>1468</v>
      </c>
      <c r="C355" s="1" t="s">
        <v>2428</v>
      </c>
      <c r="D355" s="1">
        <v>2</v>
      </c>
      <c r="E355" s="1" t="s">
        <v>2429</v>
      </c>
    </row>
    <row r="356" spans="1:5" ht="15.75" customHeight="1" x14ac:dyDescent="0.2">
      <c r="A356" s="1">
        <v>41937</v>
      </c>
      <c r="B356" s="1" t="s">
        <v>2430</v>
      </c>
      <c r="C356" s="1" t="s">
        <v>2431</v>
      </c>
      <c r="D356" s="1">
        <v>1</v>
      </c>
      <c r="E356" s="1" t="s">
        <v>2432</v>
      </c>
    </row>
    <row r="357" spans="1:5" ht="15.75" customHeight="1" x14ac:dyDescent="0.2">
      <c r="A357" s="1">
        <v>20166</v>
      </c>
      <c r="B357" s="1" t="s">
        <v>345</v>
      </c>
      <c r="C357" s="1" t="s">
        <v>2433</v>
      </c>
      <c r="D357" s="1">
        <v>2</v>
      </c>
      <c r="E357" s="1" t="s">
        <v>2434</v>
      </c>
    </row>
    <row r="358" spans="1:5" ht="15.75" customHeight="1" x14ac:dyDescent="0.2">
      <c r="A358" s="1">
        <v>34854</v>
      </c>
      <c r="B358" s="1" t="s">
        <v>315</v>
      </c>
      <c r="C358" s="1" t="s">
        <v>2435</v>
      </c>
      <c r="D358" s="1">
        <v>2</v>
      </c>
      <c r="E358" s="1" t="s">
        <v>2436</v>
      </c>
    </row>
    <row r="359" spans="1:5" ht="15.75" customHeight="1" x14ac:dyDescent="0.2">
      <c r="A359" s="1">
        <v>64476</v>
      </c>
      <c r="B359" s="1" t="s">
        <v>153</v>
      </c>
      <c r="C359" s="1" t="s">
        <v>2437</v>
      </c>
      <c r="D359" s="1">
        <v>2</v>
      </c>
      <c r="E359" s="1" t="s">
        <v>2438</v>
      </c>
    </row>
    <row r="360" spans="1:5" ht="15.75" customHeight="1" x14ac:dyDescent="0.2">
      <c r="A360" s="1">
        <v>51823</v>
      </c>
      <c r="B360" s="1" t="s">
        <v>32</v>
      </c>
      <c r="C360" s="1" t="s">
        <v>2439</v>
      </c>
      <c r="D360" s="1">
        <v>2</v>
      </c>
      <c r="E360" s="1" t="s">
        <v>2440</v>
      </c>
    </row>
    <row r="361" spans="1:5" ht="15.75" customHeight="1" x14ac:dyDescent="0.2">
      <c r="A361" s="1">
        <v>51751</v>
      </c>
      <c r="B361" s="1" t="s">
        <v>490</v>
      </c>
      <c r="C361" s="1" t="s">
        <v>2441</v>
      </c>
      <c r="D361" s="1">
        <v>1</v>
      </c>
      <c r="E361" s="1" t="s">
        <v>2442</v>
      </c>
    </row>
    <row r="362" spans="1:5" ht="15.75" customHeight="1" x14ac:dyDescent="0.2">
      <c r="A362" s="1">
        <v>67660</v>
      </c>
      <c r="B362" s="1" t="s">
        <v>731</v>
      </c>
      <c r="C362" s="1" t="s">
        <v>2443</v>
      </c>
      <c r="D362" s="1">
        <v>2</v>
      </c>
      <c r="E362" s="1" t="s">
        <v>2444</v>
      </c>
    </row>
    <row r="363" spans="1:5" ht="15.75" customHeight="1" x14ac:dyDescent="0.2">
      <c r="A363" s="1">
        <v>47041</v>
      </c>
      <c r="B363" s="1" t="s">
        <v>527</v>
      </c>
      <c r="C363" s="1" t="s">
        <v>2445</v>
      </c>
      <c r="D363" s="1">
        <v>1</v>
      </c>
      <c r="E363" s="1" t="s">
        <v>2446</v>
      </c>
    </row>
    <row r="364" spans="1:5" ht="15.75" customHeight="1" x14ac:dyDescent="0.2">
      <c r="A364" s="1">
        <v>61505</v>
      </c>
      <c r="B364" s="1" t="s">
        <v>493</v>
      </c>
      <c r="C364" s="1" t="s">
        <v>2447</v>
      </c>
      <c r="D364" s="1">
        <v>2</v>
      </c>
      <c r="E364" s="1" t="s">
        <v>2448</v>
      </c>
    </row>
    <row r="365" spans="1:5" ht="15.75" customHeight="1" x14ac:dyDescent="0.2">
      <c r="A365" s="1">
        <v>53035</v>
      </c>
      <c r="B365" s="1" t="s">
        <v>180</v>
      </c>
      <c r="C365" s="1" t="s">
        <v>2449</v>
      </c>
      <c r="D365" s="1">
        <v>2</v>
      </c>
      <c r="E365" s="1" t="s">
        <v>2450</v>
      </c>
    </row>
    <row r="366" spans="1:5" ht="15.75" customHeight="1" x14ac:dyDescent="0.2">
      <c r="A366" s="1">
        <v>63356</v>
      </c>
      <c r="B366" s="1" t="s">
        <v>153</v>
      </c>
      <c r="C366" s="1" t="s">
        <v>2451</v>
      </c>
      <c r="D366" s="1">
        <v>2</v>
      </c>
      <c r="E366" s="1" t="s">
        <v>2452</v>
      </c>
    </row>
    <row r="367" spans="1:5" ht="15.75" customHeight="1" x14ac:dyDescent="0.2">
      <c r="A367" s="1">
        <v>67871</v>
      </c>
      <c r="B367" s="1" t="s">
        <v>466</v>
      </c>
      <c r="C367" s="1" t="s">
        <v>2453</v>
      </c>
      <c r="D367" s="1">
        <v>2</v>
      </c>
      <c r="E367" s="1" t="s">
        <v>2454</v>
      </c>
    </row>
    <row r="368" spans="1:5" ht="15.75" customHeight="1" x14ac:dyDescent="0.2">
      <c r="A368" s="1">
        <v>11570</v>
      </c>
      <c r="B368" s="1" t="s">
        <v>1825</v>
      </c>
      <c r="C368" s="1" t="s">
        <v>2455</v>
      </c>
      <c r="D368" s="1">
        <v>2</v>
      </c>
      <c r="E368" s="1" t="s">
        <v>2456</v>
      </c>
    </row>
    <row r="369" spans="1:5" ht="15.75" customHeight="1" x14ac:dyDescent="0.2">
      <c r="A369" s="1">
        <v>51571</v>
      </c>
      <c r="B369" s="1" t="s">
        <v>2457</v>
      </c>
      <c r="C369" s="1" t="s">
        <v>2458</v>
      </c>
      <c r="D369" s="1">
        <v>1</v>
      </c>
      <c r="E369" s="1" t="s">
        <v>2459</v>
      </c>
    </row>
    <row r="370" spans="1:5" ht="15.75" customHeight="1" x14ac:dyDescent="0.2">
      <c r="A370" s="1">
        <v>65861</v>
      </c>
      <c r="B370" s="1" t="s">
        <v>457</v>
      </c>
      <c r="C370" s="1" t="s">
        <v>2460</v>
      </c>
      <c r="D370" s="1">
        <v>2</v>
      </c>
      <c r="E370" s="1" t="s">
        <v>2461</v>
      </c>
    </row>
    <row r="371" spans="1:5" ht="15.75" customHeight="1" x14ac:dyDescent="0.2">
      <c r="A371" s="1">
        <v>60375</v>
      </c>
      <c r="B371" s="1" t="s">
        <v>354</v>
      </c>
      <c r="C371" s="1" t="s">
        <v>2462</v>
      </c>
      <c r="D371" s="1">
        <v>2</v>
      </c>
      <c r="E371" s="1" t="s">
        <v>2463</v>
      </c>
    </row>
    <row r="372" spans="1:5" ht="15.75" customHeight="1" x14ac:dyDescent="0.2">
      <c r="A372" s="1">
        <v>19854</v>
      </c>
      <c r="B372" s="1" t="s">
        <v>2464</v>
      </c>
      <c r="C372" s="1" t="s">
        <v>2465</v>
      </c>
      <c r="D372" s="1">
        <v>2</v>
      </c>
      <c r="E372" s="1" t="s">
        <v>2466</v>
      </c>
    </row>
    <row r="373" spans="1:5" ht="15.75" customHeight="1" x14ac:dyDescent="0.2">
      <c r="A373" s="1">
        <v>33910</v>
      </c>
      <c r="B373" s="1" t="s">
        <v>298</v>
      </c>
      <c r="C373" s="1" t="s">
        <v>2467</v>
      </c>
      <c r="D373" s="1">
        <v>1</v>
      </c>
      <c r="E373" s="1" t="s">
        <v>2468</v>
      </c>
    </row>
    <row r="374" spans="1:5" ht="15.75" customHeight="1" x14ac:dyDescent="0.2">
      <c r="A374" s="1">
        <v>14609</v>
      </c>
      <c r="B374" s="1" t="s">
        <v>194</v>
      </c>
      <c r="C374" s="1" t="s">
        <v>2469</v>
      </c>
      <c r="D374" s="1">
        <v>1</v>
      </c>
      <c r="E374" s="1" t="s">
        <v>2470</v>
      </c>
    </row>
    <row r="375" spans="1:5" ht="15.75" customHeight="1" x14ac:dyDescent="0.2">
      <c r="A375" s="1">
        <v>41192</v>
      </c>
      <c r="B375" s="1" t="s">
        <v>1357</v>
      </c>
      <c r="C375" s="1" t="s">
        <v>2471</v>
      </c>
      <c r="D375" s="1">
        <v>2</v>
      </c>
      <c r="E375" s="1" t="s">
        <v>2472</v>
      </c>
    </row>
    <row r="376" spans="1:5" ht="15.75" customHeight="1" x14ac:dyDescent="0.2">
      <c r="A376" s="1">
        <v>68196</v>
      </c>
      <c r="B376" s="1" t="s">
        <v>32</v>
      </c>
      <c r="C376" s="1" t="s">
        <v>2473</v>
      </c>
      <c r="D376" s="1">
        <v>1</v>
      </c>
      <c r="E376" s="1" t="s">
        <v>2474</v>
      </c>
    </row>
    <row r="377" spans="1:5" ht="15.75" customHeight="1" x14ac:dyDescent="0.2">
      <c r="A377" s="1">
        <v>12344</v>
      </c>
      <c r="B377" s="1" t="s">
        <v>298</v>
      </c>
      <c r="C377" s="1" t="s">
        <v>2475</v>
      </c>
      <c r="D377" s="1">
        <v>1</v>
      </c>
      <c r="E377" s="1" t="s">
        <v>2476</v>
      </c>
    </row>
    <row r="378" spans="1:5" ht="15.75" customHeight="1" x14ac:dyDescent="0.2">
      <c r="A378" s="1">
        <v>19463</v>
      </c>
      <c r="B378" s="1" t="s">
        <v>103</v>
      </c>
      <c r="C378" s="1" t="s">
        <v>2477</v>
      </c>
      <c r="D378" s="1">
        <v>2</v>
      </c>
      <c r="E378" s="1" t="s">
        <v>2478</v>
      </c>
    </row>
    <row r="379" spans="1:5" ht="15.75" customHeight="1" x14ac:dyDescent="0.2">
      <c r="A379" s="1">
        <v>37290</v>
      </c>
      <c r="B379" s="1" t="s">
        <v>254</v>
      </c>
      <c r="C379" s="1" t="s">
        <v>2479</v>
      </c>
      <c r="D379" s="1">
        <v>2</v>
      </c>
      <c r="E379" s="1" t="s">
        <v>2480</v>
      </c>
    </row>
    <row r="380" spans="1:5" ht="15.75" customHeight="1" x14ac:dyDescent="0.2">
      <c r="A380" s="1">
        <v>12888</v>
      </c>
      <c r="B380" s="1" t="s">
        <v>159</v>
      </c>
      <c r="C380" s="1" t="s">
        <v>2481</v>
      </c>
      <c r="D380" s="1">
        <v>2</v>
      </c>
      <c r="E380" s="1" t="s">
        <v>2482</v>
      </c>
    </row>
    <row r="381" spans="1:5" ht="15.75" customHeight="1" x14ac:dyDescent="0.2">
      <c r="A381" s="1">
        <v>43282</v>
      </c>
      <c r="B381" s="1" t="s">
        <v>38</v>
      </c>
      <c r="C381" s="1" t="s">
        <v>2483</v>
      </c>
      <c r="D381" s="1">
        <v>2</v>
      </c>
      <c r="E381" s="1" t="s">
        <v>2484</v>
      </c>
    </row>
    <row r="382" spans="1:5" ht="15.75" customHeight="1" x14ac:dyDescent="0.2">
      <c r="A382" s="1">
        <v>39893</v>
      </c>
      <c r="B382" s="1" t="s">
        <v>713</v>
      </c>
      <c r="C382" s="1" t="s">
        <v>2485</v>
      </c>
      <c r="D382" s="1">
        <v>2</v>
      </c>
      <c r="E382" s="1" t="s">
        <v>2486</v>
      </c>
    </row>
    <row r="383" spans="1:5" ht="15.75" customHeight="1" x14ac:dyDescent="0.2">
      <c r="A383" s="1">
        <v>34470</v>
      </c>
      <c r="B383" s="1" t="s">
        <v>259</v>
      </c>
      <c r="C383" s="1" t="s">
        <v>2487</v>
      </c>
      <c r="D383" s="1">
        <v>2</v>
      </c>
      <c r="E383" s="1" t="s">
        <v>2488</v>
      </c>
    </row>
    <row r="384" spans="1:5" ht="15.75" customHeight="1" x14ac:dyDescent="0.2">
      <c r="A384" s="1">
        <v>43464</v>
      </c>
      <c r="B384" s="1" t="s">
        <v>466</v>
      </c>
      <c r="C384" s="1" t="s">
        <v>2489</v>
      </c>
      <c r="D384" s="1">
        <v>2</v>
      </c>
      <c r="E384" s="1" t="s">
        <v>2490</v>
      </c>
    </row>
    <row r="385" spans="1:5" ht="15.75" customHeight="1" x14ac:dyDescent="0.2">
      <c r="A385" s="1">
        <v>50400</v>
      </c>
      <c r="B385" s="1" t="s">
        <v>95</v>
      </c>
      <c r="C385" s="1" t="s">
        <v>2491</v>
      </c>
      <c r="D385" s="1">
        <v>2</v>
      </c>
      <c r="E385" s="1" t="s">
        <v>2492</v>
      </c>
    </row>
    <row r="386" spans="1:5" ht="15.75" customHeight="1" x14ac:dyDescent="0.2">
      <c r="A386" s="1">
        <v>32330</v>
      </c>
      <c r="B386" s="1" t="s">
        <v>2493</v>
      </c>
      <c r="C386" s="1" t="s">
        <v>2494</v>
      </c>
      <c r="D386" s="1">
        <v>1</v>
      </c>
      <c r="E386" s="1" t="s">
        <v>2495</v>
      </c>
    </row>
    <row r="387" spans="1:5" ht="15.75" customHeight="1" x14ac:dyDescent="0.2">
      <c r="A387" s="1">
        <v>53438</v>
      </c>
      <c r="B387" s="1" t="s">
        <v>2496</v>
      </c>
      <c r="C387" s="1" t="s">
        <v>2497</v>
      </c>
      <c r="D387" s="1">
        <v>2</v>
      </c>
      <c r="E387" s="1" t="s">
        <v>2498</v>
      </c>
    </row>
    <row r="388" spans="1:5" ht="15.75" customHeight="1" x14ac:dyDescent="0.2">
      <c r="A388" s="1">
        <v>19028</v>
      </c>
      <c r="B388" s="1" t="s">
        <v>78</v>
      </c>
      <c r="C388" s="1" t="s">
        <v>2499</v>
      </c>
      <c r="D388" s="1">
        <v>2</v>
      </c>
      <c r="E388" s="1" t="s">
        <v>2500</v>
      </c>
    </row>
    <row r="389" spans="1:5" ht="15.75" customHeight="1" x14ac:dyDescent="0.2">
      <c r="A389" s="1">
        <v>32949</v>
      </c>
      <c r="B389" s="1" t="s">
        <v>1468</v>
      </c>
      <c r="C389" s="1" t="s">
        <v>2501</v>
      </c>
      <c r="D389" s="1">
        <v>2</v>
      </c>
      <c r="E389" s="1" t="s">
        <v>2502</v>
      </c>
    </row>
    <row r="390" spans="1:5" ht="15.75" customHeight="1" x14ac:dyDescent="0.2">
      <c r="A390" s="1">
        <v>5138</v>
      </c>
      <c r="B390" s="1" t="s">
        <v>2097</v>
      </c>
      <c r="C390" s="1" t="s">
        <v>2503</v>
      </c>
      <c r="D390" s="1">
        <v>1</v>
      </c>
      <c r="E390" s="1" t="s">
        <v>2504</v>
      </c>
    </row>
    <row r="391" spans="1:5" ht="15.75" customHeight="1" x14ac:dyDescent="0.2">
      <c r="A391" s="1">
        <v>57165</v>
      </c>
      <c r="B391" s="1" t="s">
        <v>1156</v>
      </c>
      <c r="C391" s="1" t="s">
        <v>2505</v>
      </c>
      <c r="D391" s="1">
        <v>2</v>
      </c>
      <c r="E391" s="1" t="s">
        <v>2506</v>
      </c>
    </row>
    <row r="392" spans="1:5" ht="15.75" customHeight="1" x14ac:dyDescent="0.2">
      <c r="A392" s="1">
        <v>30376</v>
      </c>
      <c r="B392" s="1" t="s">
        <v>1344</v>
      </c>
      <c r="C392" s="1" t="s">
        <v>2507</v>
      </c>
      <c r="D392" s="1">
        <v>2</v>
      </c>
      <c r="E392" s="1" t="s">
        <v>2508</v>
      </c>
    </row>
    <row r="393" spans="1:5" ht="15.75" customHeight="1" x14ac:dyDescent="0.2">
      <c r="A393" s="1">
        <v>11769</v>
      </c>
      <c r="B393" s="1" t="s">
        <v>2509</v>
      </c>
      <c r="C393" s="1" t="s">
        <v>2510</v>
      </c>
      <c r="D393" s="1">
        <v>1</v>
      </c>
      <c r="E393" s="1" t="s">
        <v>2511</v>
      </c>
    </row>
    <row r="394" spans="1:5" ht="15.75" customHeight="1" x14ac:dyDescent="0.2">
      <c r="A394" s="1">
        <v>62072</v>
      </c>
      <c r="B394" s="1" t="s">
        <v>1825</v>
      </c>
      <c r="C394" s="1" t="s">
        <v>2512</v>
      </c>
      <c r="D394" s="1">
        <v>1</v>
      </c>
      <c r="E394" s="1" t="s">
        <v>2513</v>
      </c>
    </row>
    <row r="395" spans="1:5" ht="15.75" customHeight="1" x14ac:dyDescent="0.2">
      <c r="A395" s="1">
        <v>14766</v>
      </c>
      <c r="B395" s="1" t="s">
        <v>32</v>
      </c>
      <c r="C395" s="1" t="s">
        <v>2514</v>
      </c>
      <c r="D395" s="1">
        <v>2</v>
      </c>
      <c r="E395" s="1" t="s">
        <v>2515</v>
      </c>
    </row>
    <row r="396" spans="1:5" ht="15.75" customHeight="1" x14ac:dyDescent="0.2">
      <c r="A396" s="1">
        <v>7674</v>
      </c>
      <c r="B396" s="1" t="s">
        <v>1395</v>
      </c>
      <c r="C396" s="1" t="s">
        <v>2516</v>
      </c>
      <c r="D396" s="1">
        <v>2</v>
      </c>
      <c r="E396" s="1" t="s">
        <v>2517</v>
      </c>
    </row>
    <row r="397" spans="1:5" ht="15.75" customHeight="1" x14ac:dyDescent="0.2">
      <c r="A397" s="1">
        <v>22345</v>
      </c>
      <c r="B397" s="1" t="s">
        <v>180</v>
      </c>
      <c r="C397" s="1" t="s">
        <v>2518</v>
      </c>
      <c r="D397" s="1">
        <v>2</v>
      </c>
      <c r="E397" s="1" t="s">
        <v>2519</v>
      </c>
    </row>
    <row r="398" spans="1:5" ht="15.75" customHeight="1" x14ac:dyDescent="0.2">
      <c r="A398" s="1">
        <v>16467</v>
      </c>
      <c r="B398" s="1" t="s">
        <v>2520</v>
      </c>
      <c r="C398" s="1" t="s">
        <v>2521</v>
      </c>
      <c r="D398" s="1">
        <v>1</v>
      </c>
      <c r="E398" s="1" t="s">
        <v>2522</v>
      </c>
    </row>
    <row r="399" spans="1:5" ht="15.75" customHeight="1" x14ac:dyDescent="0.2">
      <c r="A399" s="1">
        <v>29498</v>
      </c>
      <c r="B399" s="1" t="s">
        <v>636</v>
      </c>
      <c r="C399" s="1" t="s">
        <v>2523</v>
      </c>
      <c r="D399" s="1">
        <v>1</v>
      </c>
      <c r="E399" s="1" t="s">
        <v>2524</v>
      </c>
    </row>
    <row r="400" spans="1:5" ht="15.75" customHeight="1" x14ac:dyDescent="0.2">
      <c r="A400" s="1">
        <v>21269</v>
      </c>
      <c r="B400" s="1" t="s">
        <v>35</v>
      </c>
      <c r="C400" s="1" t="s">
        <v>2525</v>
      </c>
      <c r="D400" s="1">
        <v>2</v>
      </c>
      <c r="E400" s="1" t="s">
        <v>2526</v>
      </c>
    </row>
    <row r="401" spans="1:5" ht="15.75" customHeight="1" x14ac:dyDescent="0.2">
      <c r="A401" s="1">
        <v>32069</v>
      </c>
      <c r="B401" s="1" t="s">
        <v>307</v>
      </c>
      <c r="C401" s="1" t="s">
        <v>2527</v>
      </c>
      <c r="D401" s="1">
        <v>2</v>
      </c>
      <c r="E401" s="1" t="s">
        <v>2528</v>
      </c>
    </row>
    <row r="402" spans="1:5" ht="15.75" customHeight="1" x14ac:dyDescent="0.2">
      <c r="A402" s="1">
        <v>54756</v>
      </c>
      <c r="B402" s="1" t="s">
        <v>339</v>
      </c>
      <c r="C402" s="1" t="s">
        <v>2529</v>
      </c>
      <c r="D402" s="1">
        <v>2</v>
      </c>
      <c r="E402" s="1" t="s">
        <v>2530</v>
      </c>
    </row>
    <row r="403" spans="1:5" ht="15.75" customHeight="1" x14ac:dyDescent="0.2">
      <c r="A403" s="1">
        <v>55209</v>
      </c>
      <c r="B403" s="1" t="s">
        <v>244</v>
      </c>
      <c r="C403" s="1" t="s">
        <v>2531</v>
      </c>
      <c r="D403" s="1">
        <v>1</v>
      </c>
      <c r="E403" s="1" t="s">
        <v>2532</v>
      </c>
    </row>
    <row r="404" spans="1:5" ht="15.75" customHeight="1" x14ac:dyDescent="0.2">
      <c r="A404" s="1">
        <v>71439</v>
      </c>
      <c r="B404" s="1" t="s">
        <v>38</v>
      </c>
      <c r="C404" s="1" t="s">
        <v>2533</v>
      </c>
      <c r="D404" s="1">
        <v>2</v>
      </c>
      <c r="E404" s="1" t="s">
        <v>2534</v>
      </c>
    </row>
    <row r="405" spans="1:5" ht="15.75" customHeight="1" x14ac:dyDescent="0.2">
      <c r="A405" s="1">
        <v>7989</v>
      </c>
      <c r="B405" s="1" t="s">
        <v>32</v>
      </c>
      <c r="C405" s="1" t="s">
        <v>2535</v>
      </c>
      <c r="D405" s="1">
        <v>2</v>
      </c>
      <c r="E405" s="1" t="s">
        <v>2536</v>
      </c>
    </row>
    <row r="406" spans="1:5" ht="15.75" customHeight="1" x14ac:dyDescent="0.2">
      <c r="A406" s="1">
        <v>65718</v>
      </c>
      <c r="B406" s="1" t="s">
        <v>249</v>
      </c>
      <c r="C406" s="1" t="s">
        <v>2537</v>
      </c>
      <c r="D406" s="1">
        <v>2</v>
      </c>
      <c r="E406" s="1" t="s">
        <v>2538</v>
      </c>
    </row>
    <row r="407" spans="1:5" ht="15.75" customHeight="1" x14ac:dyDescent="0.2">
      <c r="A407" s="1">
        <v>50326</v>
      </c>
      <c r="B407" s="1" t="s">
        <v>405</v>
      </c>
      <c r="C407" s="1" t="s">
        <v>2539</v>
      </c>
      <c r="D407" s="1">
        <v>1</v>
      </c>
      <c r="E407" s="1" t="s">
        <v>2540</v>
      </c>
    </row>
    <row r="408" spans="1:5" ht="15.75" customHeight="1" x14ac:dyDescent="0.2">
      <c r="A408" s="1">
        <v>45435</v>
      </c>
      <c r="B408" s="1" t="s">
        <v>167</v>
      </c>
      <c r="C408" s="1" t="s">
        <v>2541</v>
      </c>
      <c r="D408" s="1">
        <v>2</v>
      </c>
      <c r="E408" s="1" t="s">
        <v>2542</v>
      </c>
    </row>
    <row r="409" spans="1:5" ht="15.75" customHeight="1" x14ac:dyDescent="0.2">
      <c r="A409" s="1">
        <v>51352</v>
      </c>
      <c r="B409" s="1" t="s">
        <v>180</v>
      </c>
      <c r="C409" s="1" t="s">
        <v>2543</v>
      </c>
      <c r="D409" s="1">
        <v>2</v>
      </c>
      <c r="E409" s="1" t="s">
        <v>2544</v>
      </c>
    </row>
    <row r="410" spans="1:5" ht="15.75" customHeight="1" x14ac:dyDescent="0.2">
      <c r="A410" s="1">
        <v>19181</v>
      </c>
      <c r="B410" s="1" t="s">
        <v>723</v>
      </c>
      <c r="C410" s="1" t="s">
        <v>2545</v>
      </c>
      <c r="D410" s="1">
        <v>2</v>
      </c>
      <c r="E410" s="1" t="s">
        <v>2546</v>
      </c>
    </row>
    <row r="411" spans="1:5" ht="15.75" customHeight="1" x14ac:dyDescent="0.2">
      <c r="A411" s="1">
        <v>20067</v>
      </c>
      <c r="B411" s="1" t="s">
        <v>194</v>
      </c>
      <c r="C411" s="1" t="s">
        <v>2547</v>
      </c>
      <c r="D411" s="1">
        <v>2</v>
      </c>
      <c r="E411" s="1" t="s">
        <v>2548</v>
      </c>
    </row>
    <row r="412" spans="1:5" ht="15.75" customHeight="1" x14ac:dyDescent="0.2">
      <c r="A412" s="1">
        <v>18240</v>
      </c>
      <c r="B412" s="1" t="s">
        <v>191</v>
      </c>
      <c r="C412" s="1" t="s">
        <v>2549</v>
      </c>
      <c r="D412" s="1">
        <v>1</v>
      </c>
      <c r="E412" s="1" t="s">
        <v>2550</v>
      </c>
    </row>
    <row r="413" spans="1:5" ht="15.75" customHeight="1" x14ac:dyDescent="0.2">
      <c r="A413" s="1">
        <v>61875</v>
      </c>
      <c r="B413" s="1" t="s">
        <v>11</v>
      </c>
      <c r="C413" s="1" t="s">
        <v>2551</v>
      </c>
      <c r="D413" s="1">
        <v>2</v>
      </c>
      <c r="E413" s="1" t="s">
        <v>2552</v>
      </c>
    </row>
    <row r="414" spans="1:5" ht="15.75" customHeight="1" x14ac:dyDescent="0.2">
      <c r="A414" s="1">
        <v>9323</v>
      </c>
      <c r="B414" s="1" t="s">
        <v>301</v>
      </c>
      <c r="C414" s="1" t="s">
        <v>2553</v>
      </c>
      <c r="D414" s="1">
        <v>1</v>
      </c>
      <c r="E414" s="1" t="s">
        <v>2554</v>
      </c>
    </row>
    <row r="415" spans="1:5" ht="15.75" customHeight="1" x14ac:dyDescent="0.2">
      <c r="A415" s="1">
        <v>45378</v>
      </c>
      <c r="B415" s="1" t="s">
        <v>301</v>
      </c>
      <c r="C415" s="1" t="s">
        <v>2555</v>
      </c>
      <c r="D415" s="1">
        <v>1</v>
      </c>
      <c r="E415" s="1" t="s">
        <v>2556</v>
      </c>
    </row>
    <row r="416" spans="1:5" ht="15.75" customHeight="1" x14ac:dyDescent="0.2">
      <c r="A416" s="1">
        <v>3845</v>
      </c>
      <c r="B416" s="1" t="s">
        <v>1657</v>
      </c>
      <c r="C416" s="1" t="s">
        <v>2557</v>
      </c>
      <c r="D416" s="1">
        <v>2</v>
      </c>
      <c r="E416" s="1" t="s">
        <v>2558</v>
      </c>
    </row>
    <row r="417" spans="1:5" ht="15.75" customHeight="1" x14ac:dyDescent="0.2">
      <c r="A417" s="1">
        <v>49325</v>
      </c>
      <c r="B417" s="1" t="s">
        <v>430</v>
      </c>
      <c r="C417" s="1" t="s">
        <v>2559</v>
      </c>
      <c r="D417" s="1">
        <v>2</v>
      </c>
      <c r="E417" s="1" t="s">
        <v>2560</v>
      </c>
    </row>
    <row r="418" spans="1:5" ht="15.75" customHeight="1" x14ac:dyDescent="0.2">
      <c r="A418" s="1">
        <v>46652</v>
      </c>
      <c r="B418" s="1" t="s">
        <v>2561</v>
      </c>
      <c r="C418" s="1" t="s">
        <v>2562</v>
      </c>
      <c r="D418" s="1">
        <v>2</v>
      </c>
      <c r="E418" s="1" t="s">
        <v>2563</v>
      </c>
    </row>
    <row r="419" spans="1:5" ht="15.75" customHeight="1" x14ac:dyDescent="0.2">
      <c r="A419" s="1">
        <v>13084</v>
      </c>
      <c r="B419" s="1" t="s">
        <v>191</v>
      </c>
      <c r="C419" s="1" t="s">
        <v>2564</v>
      </c>
      <c r="D419" s="1">
        <v>2</v>
      </c>
      <c r="E419" s="1" t="s">
        <v>2565</v>
      </c>
    </row>
    <row r="420" spans="1:5" ht="15.75" customHeight="1" x14ac:dyDescent="0.2">
      <c r="A420" s="1">
        <v>55164</v>
      </c>
      <c r="B420" s="1" t="s">
        <v>496</v>
      </c>
      <c r="C420" s="1" t="s">
        <v>2566</v>
      </c>
      <c r="D420" s="1">
        <v>2</v>
      </c>
      <c r="E420" s="1" t="s">
        <v>2567</v>
      </c>
    </row>
    <row r="421" spans="1:5" ht="15.75" customHeight="1" x14ac:dyDescent="0.2">
      <c r="A421" s="1">
        <v>17430</v>
      </c>
      <c r="B421" s="1" t="s">
        <v>23</v>
      </c>
      <c r="C421" s="1" t="s">
        <v>2568</v>
      </c>
      <c r="D421" s="1">
        <v>2</v>
      </c>
      <c r="E421" s="1" t="s">
        <v>2569</v>
      </c>
    </row>
    <row r="422" spans="1:5" ht="15.75" customHeight="1" x14ac:dyDescent="0.2">
      <c r="A422" s="1">
        <v>59295</v>
      </c>
      <c r="B422" s="1" t="s">
        <v>357</v>
      </c>
      <c r="C422" s="1" t="s">
        <v>2570</v>
      </c>
      <c r="D422" s="1">
        <v>1</v>
      </c>
      <c r="E422" s="1" t="s">
        <v>2571</v>
      </c>
    </row>
    <row r="423" spans="1:5" ht="15.75" customHeight="1" x14ac:dyDescent="0.2">
      <c r="A423" s="1">
        <v>13243</v>
      </c>
      <c r="B423" s="1" t="s">
        <v>408</v>
      </c>
      <c r="C423" s="1" t="s">
        <v>2572</v>
      </c>
      <c r="D423" s="1">
        <v>2</v>
      </c>
      <c r="E423" s="1" t="s">
        <v>2573</v>
      </c>
    </row>
    <row r="424" spans="1:5" ht="15.75" customHeight="1" x14ac:dyDescent="0.2">
      <c r="A424" s="1">
        <v>69070</v>
      </c>
      <c r="B424" s="1" t="s">
        <v>2574</v>
      </c>
      <c r="C424" s="1" t="s">
        <v>2575</v>
      </c>
      <c r="D424" s="1">
        <v>2</v>
      </c>
      <c r="E424" s="1" t="s">
        <v>2576</v>
      </c>
    </row>
    <row r="425" spans="1:5" ht="15.75" customHeight="1" x14ac:dyDescent="0.2">
      <c r="A425" s="1">
        <v>64501</v>
      </c>
      <c r="B425" s="1" t="s">
        <v>100</v>
      </c>
      <c r="C425" s="1" t="s">
        <v>2577</v>
      </c>
      <c r="D425" s="1">
        <v>2</v>
      </c>
      <c r="E425" s="1" t="s">
        <v>2578</v>
      </c>
    </row>
    <row r="426" spans="1:5" ht="15.75" customHeight="1" x14ac:dyDescent="0.2">
      <c r="A426" s="1">
        <v>17692</v>
      </c>
      <c r="B426" s="1" t="s">
        <v>552</v>
      </c>
      <c r="C426" s="1" t="s">
        <v>2579</v>
      </c>
      <c r="D426" s="1">
        <v>1</v>
      </c>
      <c r="E426" s="1" t="s">
        <v>2580</v>
      </c>
    </row>
    <row r="427" spans="1:5" ht="15.75" customHeight="1" x14ac:dyDescent="0.2">
      <c r="A427" s="1">
        <v>44788</v>
      </c>
      <c r="B427" s="1" t="s">
        <v>144</v>
      </c>
      <c r="C427" s="1" t="s">
        <v>2581</v>
      </c>
      <c r="D427" s="1">
        <v>2</v>
      </c>
      <c r="E427" s="1" t="s">
        <v>2582</v>
      </c>
    </row>
    <row r="428" spans="1:5" ht="15.75" customHeight="1" x14ac:dyDescent="0.2">
      <c r="A428" s="1">
        <v>8345</v>
      </c>
      <c r="B428" s="1" t="s">
        <v>159</v>
      </c>
      <c r="C428" s="1" t="s">
        <v>2583</v>
      </c>
      <c r="D428" s="1">
        <v>2</v>
      </c>
      <c r="E428" s="1" t="s">
        <v>2584</v>
      </c>
    </row>
    <row r="429" spans="1:5" ht="15.75" customHeight="1" x14ac:dyDescent="0.2">
      <c r="A429" s="1">
        <v>42027</v>
      </c>
      <c r="B429" s="1" t="s">
        <v>11</v>
      </c>
      <c r="C429" s="1" t="s">
        <v>2585</v>
      </c>
      <c r="D429" s="1">
        <v>2</v>
      </c>
      <c r="E429" s="1" t="s">
        <v>2586</v>
      </c>
    </row>
    <row r="430" spans="1:5" ht="15.75" customHeight="1" x14ac:dyDescent="0.2">
      <c r="A430" s="1">
        <v>46504</v>
      </c>
      <c r="B430" s="1" t="s">
        <v>84</v>
      </c>
      <c r="C430" s="1" t="s">
        <v>2587</v>
      </c>
      <c r="D430" s="1">
        <v>2</v>
      </c>
      <c r="E430" s="1" t="s">
        <v>2588</v>
      </c>
    </row>
    <row r="431" spans="1:5" ht="15.75" customHeight="1" x14ac:dyDescent="0.2">
      <c r="A431" s="1">
        <v>6407</v>
      </c>
      <c r="B431" s="1" t="s">
        <v>524</v>
      </c>
      <c r="C431" s="1" t="s">
        <v>2589</v>
      </c>
      <c r="D431" s="1">
        <v>2</v>
      </c>
      <c r="E431" s="1" t="s">
        <v>2590</v>
      </c>
    </row>
    <row r="432" spans="1:5" ht="15.75" customHeight="1" x14ac:dyDescent="0.2">
      <c r="A432" s="1">
        <v>7336</v>
      </c>
      <c r="B432" s="1" t="s">
        <v>103</v>
      </c>
      <c r="C432" s="1" t="s">
        <v>2591</v>
      </c>
      <c r="D432" s="1">
        <v>1</v>
      </c>
      <c r="E432" s="1" t="s">
        <v>2592</v>
      </c>
    </row>
    <row r="433" spans="1:5" ht="15.75" customHeight="1" x14ac:dyDescent="0.2">
      <c r="A433" s="1">
        <v>60497</v>
      </c>
      <c r="B433" s="1" t="s">
        <v>126</v>
      </c>
      <c r="C433" s="1" t="s">
        <v>2593</v>
      </c>
      <c r="D433" s="1">
        <v>2</v>
      </c>
      <c r="E433" s="1" t="s">
        <v>2594</v>
      </c>
    </row>
    <row r="434" spans="1:5" ht="15.75" customHeight="1" x14ac:dyDescent="0.2">
      <c r="A434" s="1">
        <v>19363</v>
      </c>
      <c r="B434" s="1" t="s">
        <v>64</v>
      </c>
      <c r="C434" s="1" t="s">
        <v>2595</v>
      </c>
      <c r="D434" s="1">
        <v>2</v>
      </c>
      <c r="E434" s="1" t="s">
        <v>2596</v>
      </c>
    </row>
    <row r="435" spans="1:5" ht="15.75" customHeight="1" x14ac:dyDescent="0.2">
      <c r="A435" s="1">
        <v>65678</v>
      </c>
      <c r="B435" s="1" t="s">
        <v>244</v>
      </c>
      <c r="C435" s="1" t="s">
        <v>2597</v>
      </c>
      <c r="D435" s="1">
        <v>2</v>
      </c>
      <c r="E435" s="1" t="s">
        <v>2598</v>
      </c>
    </row>
    <row r="436" spans="1:5" ht="15.75" customHeight="1" x14ac:dyDescent="0.2">
      <c r="A436" s="1">
        <v>28681</v>
      </c>
      <c r="B436" s="1" t="s">
        <v>2599</v>
      </c>
      <c r="C436" s="1" t="s">
        <v>2600</v>
      </c>
      <c r="D436" s="1">
        <v>1</v>
      </c>
      <c r="E436" s="1" t="s">
        <v>2601</v>
      </c>
    </row>
    <row r="437" spans="1:5" ht="15.75" customHeight="1" x14ac:dyDescent="0.2">
      <c r="A437" s="1">
        <v>47902</v>
      </c>
      <c r="B437" s="1" t="s">
        <v>276</v>
      </c>
      <c r="C437" s="1" t="s">
        <v>2602</v>
      </c>
      <c r="D437" s="1">
        <v>1</v>
      </c>
      <c r="E437" s="1" t="s">
        <v>2603</v>
      </c>
    </row>
    <row r="438" spans="1:5" ht="15.75" customHeight="1" x14ac:dyDescent="0.2">
      <c r="A438" s="1">
        <v>56297</v>
      </c>
      <c r="B438" s="1" t="s">
        <v>32</v>
      </c>
      <c r="C438" s="1" t="s">
        <v>2604</v>
      </c>
      <c r="D438" s="1">
        <v>2</v>
      </c>
      <c r="E438" s="1" t="s">
        <v>2605</v>
      </c>
    </row>
    <row r="439" spans="1:5" ht="15.75" customHeight="1" x14ac:dyDescent="0.2">
      <c r="A439" s="1">
        <v>56879</v>
      </c>
      <c r="B439" s="1" t="s">
        <v>244</v>
      </c>
      <c r="C439" s="1" t="s">
        <v>2606</v>
      </c>
      <c r="D439" s="1">
        <v>2</v>
      </c>
      <c r="E439" s="1" t="s">
        <v>2607</v>
      </c>
    </row>
    <row r="440" spans="1:5" ht="15.75" customHeight="1" x14ac:dyDescent="0.2">
      <c r="A440" s="1">
        <v>8843</v>
      </c>
      <c r="B440" s="1" t="s">
        <v>524</v>
      </c>
      <c r="C440" s="1" t="s">
        <v>2608</v>
      </c>
      <c r="D440" s="1">
        <v>1</v>
      </c>
      <c r="E440" s="1" t="s">
        <v>2609</v>
      </c>
    </row>
    <row r="441" spans="1:5" ht="15.75" customHeight="1" x14ac:dyDescent="0.2">
      <c r="A441" s="1">
        <v>43505</v>
      </c>
      <c r="B441" s="1" t="s">
        <v>38</v>
      </c>
      <c r="C441" s="1" t="s">
        <v>2610</v>
      </c>
      <c r="D441" s="1">
        <v>2</v>
      </c>
      <c r="E441" s="1" t="s">
        <v>2611</v>
      </c>
    </row>
    <row r="442" spans="1:5" ht="15.75" customHeight="1" x14ac:dyDescent="0.2">
      <c r="A442" s="1">
        <v>35778</v>
      </c>
      <c r="B442" s="1" t="s">
        <v>490</v>
      </c>
      <c r="C442" s="1" t="s">
        <v>2612</v>
      </c>
      <c r="D442" s="1">
        <v>2</v>
      </c>
      <c r="E442" s="1" t="s">
        <v>2613</v>
      </c>
    </row>
    <row r="443" spans="1:5" ht="15.75" customHeight="1" x14ac:dyDescent="0.2">
      <c r="A443" s="1">
        <v>56014</v>
      </c>
      <c r="B443" s="1" t="s">
        <v>244</v>
      </c>
      <c r="C443" s="1" t="s">
        <v>2614</v>
      </c>
      <c r="D443" s="1">
        <v>2</v>
      </c>
      <c r="E443" s="1" t="s">
        <v>2615</v>
      </c>
    </row>
    <row r="444" spans="1:5" ht="15.75" customHeight="1" x14ac:dyDescent="0.2">
      <c r="A444" s="1">
        <v>32451</v>
      </c>
      <c r="B444" s="1" t="s">
        <v>32</v>
      </c>
      <c r="C444" s="1" t="s">
        <v>2616</v>
      </c>
      <c r="D444" s="1">
        <v>1</v>
      </c>
      <c r="E444" s="1" t="s">
        <v>2617</v>
      </c>
    </row>
    <row r="445" spans="1:5" ht="15.75" customHeight="1" x14ac:dyDescent="0.2">
      <c r="A445" s="1">
        <v>66543</v>
      </c>
      <c r="B445" s="1" t="s">
        <v>268</v>
      </c>
      <c r="C445" s="1" t="s">
        <v>2618</v>
      </c>
      <c r="D445" s="1">
        <v>1</v>
      </c>
      <c r="E445" s="1" t="s">
        <v>2619</v>
      </c>
    </row>
    <row r="446" spans="1:5" ht="15.75" customHeight="1" x14ac:dyDescent="0.2">
      <c r="A446" s="1">
        <v>49198</v>
      </c>
      <c r="B446" s="1" t="s">
        <v>103</v>
      </c>
      <c r="C446" s="1" t="s">
        <v>2620</v>
      </c>
      <c r="D446" s="1">
        <v>2</v>
      </c>
      <c r="E446" s="1" t="s">
        <v>2621</v>
      </c>
    </row>
    <row r="447" spans="1:5" ht="15.75" customHeight="1" x14ac:dyDescent="0.2">
      <c r="A447" s="1">
        <v>70979</v>
      </c>
      <c r="B447" s="1" t="s">
        <v>244</v>
      </c>
      <c r="C447" s="1" t="s">
        <v>2622</v>
      </c>
      <c r="D447" s="1">
        <v>1</v>
      </c>
      <c r="E447" s="1" t="s">
        <v>2623</v>
      </c>
    </row>
    <row r="448" spans="1:5" ht="15.75" customHeight="1" x14ac:dyDescent="0.2">
      <c r="A448" s="1">
        <v>34018</v>
      </c>
      <c r="B448" s="1" t="s">
        <v>2624</v>
      </c>
      <c r="C448" s="1" t="s">
        <v>2625</v>
      </c>
      <c r="D448" s="1">
        <v>2</v>
      </c>
      <c r="E448" s="1" t="s">
        <v>2626</v>
      </c>
    </row>
    <row r="449" spans="1:5" ht="15.75" customHeight="1" x14ac:dyDescent="0.2">
      <c r="A449" s="1">
        <v>59942</v>
      </c>
      <c r="B449" s="1" t="s">
        <v>1415</v>
      </c>
      <c r="C449" s="1" t="s">
        <v>2627</v>
      </c>
      <c r="D449" s="1">
        <v>2</v>
      </c>
      <c r="E449" s="1" t="s">
        <v>2628</v>
      </c>
    </row>
    <row r="450" spans="1:5" ht="15.75" customHeight="1" x14ac:dyDescent="0.2">
      <c r="A450" s="1">
        <v>22773</v>
      </c>
      <c r="B450" s="1" t="s">
        <v>597</v>
      </c>
      <c r="C450" s="1" t="s">
        <v>2629</v>
      </c>
      <c r="D450" s="1">
        <v>1</v>
      </c>
      <c r="E450" s="1" t="s">
        <v>2630</v>
      </c>
    </row>
    <row r="451" spans="1:5" ht="15.75" customHeight="1" x14ac:dyDescent="0.2">
      <c r="A451" s="1">
        <v>9625</v>
      </c>
      <c r="B451" s="1" t="s">
        <v>333</v>
      </c>
      <c r="C451" s="1" t="s">
        <v>2631</v>
      </c>
      <c r="D451" s="1">
        <v>2</v>
      </c>
      <c r="E451" s="1" t="s">
        <v>2632</v>
      </c>
    </row>
    <row r="452" spans="1:5" ht="15.75" customHeight="1" x14ac:dyDescent="0.2">
      <c r="A452" s="1">
        <v>12670</v>
      </c>
      <c r="B452" s="1" t="s">
        <v>298</v>
      </c>
      <c r="C452" s="1" t="s">
        <v>2633</v>
      </c>
      <c r="D452" s="1">
        <v>1</v>
      </c>
      <c r="E452" s="1" t="s">
        <v>2634</v>
      </c>
    </row>
    <row r="453" spans="1:5" ht="15.75" customHeight="1" x14ac:dyDescent="0.2">
      <c r="A453" s="1">
        <v>49955</v>
      </c>
      <c r="B453" s="1" t="s">
        <v>315</v>
      </c>
      <c r="C453" s="1" t="s">
        <v>2635</v>
      </c>
      <c r="D453" s="1">
        <v>2</v>
      </c>
      <c r="E453" s="1" t="s">
        <v>2636</v>
      </c>
    </row>
    <row r="454" spans="1:5" ht="15.75" customHeight="1" x14ac:dyDescent="0.2">
      <c r="A454" s="1">
        <v>21540</v>
      </c>
      <c r="B454" s="1" t="s">
        <v>11</v>
      </c>
      <c r="C454" s="1" t="s">
        <v>2637</v>
      </c>
      <c r="D454" s="1">
        <v>2</v>
      </c>
      <c r="E454" s="1" t="s">
        <v>2638</v>
      </c>
    </row>
    <row r="455" spans="1:5" ht="15.75" customHeight="1" x14ac:dyDescent="0.2">
      <c r="A455" s="1">
        <v>32950</v>
      </c>
      <c r="B455" s="1" t="s">
        <v>1167</v>
      </c>
      <c r="C455" s="1" t="s">
        <v>2639</v>
      </c>
      <c r="D455" s="1">
        <v>2</v>
      </c>
      <c r="E455" s="1" t="s">
        <v>2640</v>
      </c>
    </row>
    <row r="456" spans="1:5" ht="15.75" customHeight="1" x14ac:dyDescent="0.2">
      <c r="A456" s="1">
        <v>34849</v>
      </c>
      <c r="B456" s="1" t="s">
        <v>32</v>
      </c>
      <c r="C456" s="1" t="s">
        <v>2641</v>
      </c>
      <c r="D456" s="1">
        <v>1</v>
      </c>
      <c r="E456" s="1" t="s">
        <v>2642</v>
      </c>
    </row>
    <row r="457" spans="1:5" ht="15.75" customHeight="1" x14ac:dyDescent="0.2">
      <c r="A457" s="1">
        <v>47685</v>
      </c>
      <c r="B457" s="1" t="s">
        <v>731</v>
      </c>
      <c r="C457" s="1" t="s">
        <v>2643</v>
      </c>
      <c r="D457" s="1">
        <v>2</v>
      </c>
      <c r="E457" s="1" t="s">
        <v>2644</v>
      </c>
    </row>
    <row r="458" spans="1:5" ht="15.75" customHeight="1" x14ac:dyDescent="0.2">
      <c r="A458" s="1">
        <v>62389</v>
      </c>
      <c r="B458" s="1" t="s">
        <v>2645</v>
      </c>
      <c r="C458" s="1" t="s">
        <v>2646</v>
      </c>
      <c r="D458" s="1">
        <v>2</v>
      </c>
      <c r="E458" s="1" t="s">
        <v>2647</v>
      </c>
    </row>
    <row r="459" spans="1:5" ht="15.75" customHeight="1" x14ac:dyDescent="0.2">
      <c r="A459" s="1">
        <v>51692</v>
      </c>
      <c r="B459" s="1" t="s">
        <v>276</v>
      </c>
      <c r="C459" s="1" t="s">
        <v>2648</v>
      </c>
      <c r="D459" s="1">
        <v>1</v>
      </c>
      <c r="E459" s="1" t="s">
        <v>2649</v>
      </c>
    </row>
    <row r="460" spans="1:5" ht="15.75" customHeight="1" x14ac:dyDescent="0.2">
      <c r="A460" s="1">
        <v>12156</v>
      </c>
      <c r="B460" s="1" t="s">
        <v>78</v>
      </c>
      <c r="C460" s="1" t="s">
        <v>2650</v>
      </c>
      <c r="D460" s="1">
        <v>1</v>
      </c>
      <c r="E460" s="1" t="s">
        <v>2651</v>
      </c>
    </row>
    <row r="461" spans="1:5" ht="15.75" customHeight="1" x14ac:dyDescent="0.2">
      <c r="A461" s="1">
        <v>7931</v>
      </c>
      <c r="B461" s="1" t="s">
        <v>268</v>
      </c>
      <c r="C461" s="1" t="s">
        <v>2652</v>
      </c>
      <c r="D461" s="1">
        <v>2</v>
      </c>
      <c r="E461" s="1" t="s">
        <v>2653</v>
      </c>
    </row>
    <row r="462" spans="1:5" ht="15.75" customHeight="1" x14ac:dyDescent="0.2">
      <c r="A462" s="1">
        <v>67074</v>
      </c>
      <c r="B462" s="1" t="s">
        <v>2654</v>
      </c>
      <c r="C462" s="1" t="s">
        <v>2655</v>
      </c>
      <c r="D462" s="1">
        <v>2</v>
      </c>
      <c r="E462" s="1" t="s">
        <v>2656</v>
      </c>
    </row>
    <row r="463" spans="1:5" ht="15.75" customHeight="1" x14ac:dyDescent="0.2">
      <c r="A463" s="1">
        <v>28811</v>
      </c>
      <c r="B463" s="1" t="s">
        <v>656</v>
      </c>
      <c r="C463" s="1" t="s">
        <v>2657</v>
      </c>
      <c r="D463" s="1">
        <v>2</v>
      </c>
      <c r="E463" s="1" t="s">
        <v>2658</v>
      </c>
    </row>
    <row r="464" spans="1:5" ht="15.75" customHeight="1" x14ac:dyDescent="0.2">
      <c r="A464" s="1">
        <v>8624</v>
      </c>
      <c r="B464" s="1" t="s">
        <v>333</v>
      </c>
      <c r="C464" s="1" t="s">
        <v>2659</v>
      </c>
      <c r="D464" s="1">
        <v>2</v>
      </c>
      <c r="E464" s="1" t="s">
        <v>2660</v>
      </c>
    </row>
    <row r="465" spans="1:5" ht="15.75" customHeight="1" x14ac:dyDescent="0.2">
      <c r="A465" s="1">
        <v>26391</v>
      </c>
      <c r="B465" s="1" t="s">
        <v>172</v>
      </c>
      <c r="C465" s="1" t="s">
        <v>2661</v>
      </c>
      <c r="D465" s="1">
        <v>2</v>
      </c>
      <c r="E465" s="1" t="s">
        <v>2662</v>
      </c>
    </row>
    <row r="466" spans="1:5" ht="15.75" customHeight="1" x14ac:dyDescent="0.2">
      <c r="A466" s="1">
        <v>54877</v>
      </c>
      <c r="B466" s="1" t="s">
        <v>326</v>
      </c>
      <c r="C466" s="1" t="s">
        <v>2663</v>
      </c>
      <c r="D466" s="1">
        <v>2</v>
      </c>
      <c r="E466" s="1" t="s">
        <v>2664</v>
      </c>
    </row>
    <row r="467" spans="1:5" ht="15.75" customHeight="1" x14ac:dyDescent="0.2">
      <c r="A467" s="1">
        <v>25440</v>
      </c>
      <c r="B467" s="1" t="s">
        <v>1984</v>
      </c>
      <c r="C467" s="1" t="s">
        <v>2665</v>
      </c>
      <c r="D467" s="1">
        <v>2</v>
      </c>
      <c r="E467" s="1" t="s">
        <v>2666</v>
      </c>
    </row>
    <row r="468" spans="1:5" ht="15.75" customHeight="1" x14ac:dyDescent="0.2">
      <c r="A468" s="1">
        <v>32920</v>
      </c>
      <c r="B468" s="1" t="s">
        <v>2667</v>
      </c>
      <c r="C468" s="1" t="s">
        <v>2668</v>
      </c>
      <c r="D468" s="1">
        <v>2</v>
      </c>
      <c r="E468" s="1" t="s">
        <v>2669</v>
      </c>
    </row>
    <row r="469" spans="1:5" ht="15.75" customHeight="1" x14ac:dyDescent="0.2">
      <c r="A469" s="1">
        <v>471</v>
      </c>
      <c r="B469" s="1" t="s">
        <v>2670</v>
      </c>
      <c r="C469" s="1" t="s">
        <v>2671</v>
      </c>
      <c r="D469" s="1">
        <v>2</v>
      </c>
      <c r="E469" s="1" t="s">
        <v>2672</v>
      </c>
    </row>
    <row r="470" spans="1:5" ht="15.75" customHeight="1" x14ac:dyDescent="0.2">
      <c r="A470" s="1">
        <v>38691</v>
      </c>
      <c r="B470" s="1" t="s">
        <v>362</v>
      </c>
      <c r="C470" s="1" t="s">
        <v>2673</v>
      </c>
      <c r="D470" s="1">
        <v>2</v>
      </c>
      <c r="E470" s="1" t="s">
        <v>2674</v>
      </c>
    </row>
    <row r="471" spans="1:5" ht="15.75" customHeight="1" x14ac:dyDescent="0.2">
      <c r="A471" s="1">
        <v>16972</v>
      </c>
      <c r="B471" s="1" t="s">
        <v>132</v>
      </c>
      <c r="C471" s="1" t="s">
        <v>2675</v>
      </c>
      <c r="D471" s="1">
        <v>1</v>
      </c>
      <c r="E471" s="1" t="s">
        <v>2676</v>
      </c>
    </row>
    <row r="472" spans="1:5" ht="15.75" customHeight="1" x14ac:dyDescent="0.2">
      <c r="A472" s="1">
        <v>7241</v>
      </c>
      <c r="B472" s="1" t="s">
        <v>2677</v>
      </c>
      <c r="C472" s="1" t="s">
        <v>2678</v>
      </c>
      <c r="D472" s="1">
        <v>2</v>
      </c>
      <c r="E472" s="1" t="s">
        <v>2679</v>
      </c>
    </row>
    <row r="473" spans="1:5" ht="15.75" customHeight="1" x14ac:dyDescent="0.2">
      <c r="A473" s="1">
        <v>50103</v>
      </c>
      <c r="B473" s="1" t="s">
        <v>797</v>
      </c>
      <c r="C473" s="1" t="s">
        <v>2680</v>
      </c>
      <c r="D473" s="1">
        <v>2</v>
      </c>
      <c r="E473" s="1" t="s">
        <v>2681</v>
      </c>
    </row>
    <row r="474" spans="1:5" ht="15.75" customHeight="1" x14ac:dyDescent="0.2">
      <c r="A474" s="1">
        <v>8572</v>
      </c>
      <c r="B474" s="1" t="s">
        <v>2682</v>
      </c>
      <c r="C474" s="1" t="s">
        <v>2683</v>
      </c>
      <c r="D474" s="1">
        <v>2</v>
      </c>
      <c r="E474" s="1" t="s">
        <v>2684</v>
      </c>
    </row>
    <row r="475" spans="1:5" ht="15.75" customHeight="1" x14ac:dyDescent="0.2">
      <c r="A475" s="1">
        <v>27226</v>
      </c>
      <c r="B475" s="1" t="s">
        <v>2685</v>
      </c>
      <c r="C475" s="1" t="s">
        <v>2686</v>
      </c>
      <c r="D475" s="1">
        <v>1</v>
      </c>
      <c r="E475" s="1" t="s">
        <v>2687</v>
      </c>
    </row>
    <row r="476" spans="1:5" ht="15.75" customHeight="1" x14ac:dyDescent="0.2">
      <c r="A476" s="1">
        <v>67870</v>
      </c>
      <c r="B476" s="1" t="s">
        <v>244</v>
      </c>
      <c r="C476" s="1" t="s">
        <v>2688</v>
      </c>
      <c r="D476" s="1">
        <v>2</v>
      </c>
      <c r="E476" s="1" t="s">
        <v>2689</v>
      </c>
    </row>
    <row r="477" spans="1:5" ht="15.75" customHeight="1" x14ac:dyDescent="0.2">
      <c r="A477" s="1">
        <v>23454</v>
      </c>
      <c r="B477" s="1" t="s">
        <v>1052</v>
      </c>
      <c r="C477" s="1" t="s">
        <v>2690</v>
      </c>
      <c r="D477" s="1">
        <v>2</v>
      </c>
      <c r="E477" s="1" t="s">
        <v>2691</v>
      </c>
    </row>
    <row r="478" spans="1:5" ht="15.75" customHeight="1" x14ac:dyDescent="0.2">
      <c r="A478" s="1">
        <v>28148</v>
      </c>
      <c r="B478" s="1" t="s">
        <v>244</v>
      </c>
      <c r="C478" s="1" t="s">
        <v>2692</v>
      </c>
      <c r="D478" s="1">
        <v>2</v>
      </c>
      <c r="E478" s="1" t="s">
        <v>2693</v>
      </c>
    </row>
    <row r="479" spans="1:5" ht="15.75" customHeight="1" x14ac:dyDescent="0.2">
      <c r="A479" s="1">
        <v>24262</v>
      </c>
      <c r="B479" s="1" t="s">
        <v>931</v>
      </c>
      <c r="C479" s="1" t="s">
        <v>2694</v>
      </c>
      <c r="D479" s="1">
        <v>1</v>
      </c>
      <c r="E479" s="1" t="s">
        <v>2695</v>
      </c>
    </row>
    <row r="480" spans="1:5" ht="15.75" customHeight="1" x14ac:dyDescent="0.2">
      <c r="A480" s="1">
        <v>8036</v>
      </c>
      <c r="B480" s="1" t="s">
        <v>1516</v>
      </c>
      <c r="C480" s="1" t="s">
        <v>2696</v>
      </c>
      <c r="D480" s="1">
        <v>1</v>
      </c>
      <c r="E480" s="1" t="s">
        <v>2697</v>
      </c>
    </row>
    <row r="481" spans="1:5" ht="15.75" customHeight="1" x14ac:dyDescent="0.2">
      <c r="A481" s="1">
        <v>15751</v>
      </c>
      <c r="B481" s="1" t="s">
        <v>819</v>
      </c>
      <c r="C481" s="1" t="s">
        <v>2698</v>
      </c>
      <c r="D481" s="1">
        <v>1</v>
      </c>
      <c r="E481" s="1" t="s">
        <v>2699</v>
      </c>
    </row>
    <row r="482" spans="1:5" ht="15.75" customHeight="1" x14ac:dyDescent="0.2">
      <c r="A482" s="1">
        <v>868</v>
      </c>
      <c r="B482" s="1" t="s">
        <v>1657</v>
      </c>
      <c r="C482" s="1" t="s">
        <v>2700</v>
      </c>
      <c r="D482" s="1">
        <v>1</v>
      </c>
      <c r="E482" s="1" t="s">
        <v>2701</v>
      </c>
    </row>
    <row r="483" spans="1:5" ht="15.75" customHeight="1" x14ac:dyDescent="0.2">
      <c r="A483" s="1">
        <v>10548</v>
      </c>
      <c r="B483" s="1" t="s">
        <v>153</v>
      </c>
      <c r="C483" s="1" t="s">
        <v>2702</v>
      </c>
      <c r="D483" s="1">
        <v>2</v>
      </c>
      <c r="E483" s="1" t="s">
        <v>2703</v>
      </c>
    </row>
    <row r="484" spans="1:5" ht="15.75" customHeight="1" x14ac:dyDescent="0.2">
      <c r="A484" s="1">
        <v>29562</v>
      </c>
      <c r="B484" s="1" t="s">
        <v>78</v>
      </c>
      <c r="C484" s="1" t="s">
        <v>2704</v>
      </c>
      <c r="D484" s="1">
        <v>2</v>
      </c>
      <c r="E484" s="1" t="s">
        <v>2705</v>
      </c>
    </row>
    <row r="485" spans="1:5" ht="15.75" customHeight="1" x14ac:dyDescent="0.2">
      <c r="A485" s="1">
        <v>56446</v>
      </c>
      <c r="B485" s="1" t="s">
        <v>791</v>
      </c>
      <c r="C485" s="1" t="s">
        <v>2706</v>
      </c>
      <c r="D485" s="1">
        <v>2</v>
      </c>
      <c r="E485" s="1" t="s">
        <v>2707</v>
      </c>
    </row>
    <row r="486" spans="1:5" ht="15.75" customHeight="1" x14ac:dyDescent="0.2">
      <c r="A486" s="1">
        <v>29100</v>
      </c>
      <c r="B486" s="1" t="s">
        <v>78</v>
      </c>
      <c r="C486" s="1" t="s">
        <v>2708</v>
      </c>
      <c r="D486" s="1">
        <v>2</v>
      </c>
      <c r="E486" s="1" t="s">
        <v>2709</v>
      </c>
    </row>
    <row r="487" spans="1:5" ht="15.75" customHeight="1" x14ac:dyDescent="0.2">
      <c r="A487" s="1">
        <v>67058</v>
      </c>
      <c r="B487" s="1" t="s">
        <v>90</v>
      </c>
      <c r="C487" s="1" t="s">
        <v>2710</v>
      </c>
      <c r="D487" s="1">
        <v>2</v>
      </c>
      <c r="E487" s="1" t="s">
        <v>2711</v>
      </c>
    </row>
    <row r="488" spans="1:5" ht="15.75" customHeight="1" x14ac:dyDescent="0.2">
      <c r="A488" s="1">
        <v>38924</v>
      </c>
      <c r="B488" s="1" t="s">
        <v>408</v>
      </c>
      <c r="C488" s="1" t="s">
        <v>2712</v>
      </c>
      <c r="D488" s="1">
        <v>2</v>
      </c>
      <c r="E488" s="1" t="s">
        <v>2713</v>
      </c>
    </row>
    <row r="489" spans="1:5" ht="15.75" customHeight="1" x14ac:dyDescent="0.2">
      <c r="A489" s="1">
        <v>38107</v>
      </c>
      <c r="B489" s="1" t="s">
        <v>996</v>
      </c>
      <c r="C489" s="1" t="s">
        <v>2714</v>
      </c>
      <c r="D489" s="1">
        <v>2</v>
      </c>
      <c r="E489" s="1" t="s">
        <v>2715</v>
      </c>
    </row>
    <row r="490" spans="1:5" ht="15.75" customHeight="1" x14ac:dyDescent="0.2">
      <c r="A490" s="1">
        <v>48945</v>
      </c>
      <c r="B490" s="1" t="s">
        <v>215</v>
      </c>
      <c r="C490" s="1" t="s">
        <v>2716</v>
      </c>
      <c r="D490" s="1">
        <v>2</v>
      </c>
      <c r="E490" s="1" t="s">
        <v>2717</v>
      </c>
    </row>
    <row r="491" spans="1:5" ht="15.75" customHeight="1" x14ac:dyDescent="0.2">
      <c r="A491" s="1">
        <v>27374</v>
      </c>
      <c r="B491" s="1" t="s">
        <v>167</v>
      </c>
      <c r="C491" s="1" t="s">
        <v>2718</v>
      </c>
      <c r="D491" s="1">
        <v>2</v>
      </c>
      <c r="E491" s="1" t="s">
        <v>2719</v>
      </c>
    </row>
    <row r="492" spans="1:5" ht="15.75" customHeight="1" x14ac:dyDescent="0.2">
      <c r="A492" s="1">
        <v>61483</v>
      </c>
      <c r="B492" s="1" t="s">
        <v>35</v>
      </c>
      <c r="C492" s="1" t="s">
        <v>2720</v>
      </c>
      <c r="D492" s="1">
        <v>2</v>
      </c>
      <c r="E492" s="1" t="s">
        <v>2721</v>
      </c>
    </row>
    <row r="493" spans="1:5" ht="15.75" customHeight="1" x14ac:dyDescent="0.2">
      <c r="A493" s="1">
        <v>32234</v>
      </c>
      <c r="B493" s="1" t="s">
        <v>1102</v>
      </c>
      <c r="C493" s="1" t="s">
        <v>2722</v>
      </c>
      <c r="D493" s="1">
        <v>2</v>
      </c>
      <c r="E493" s="1" t="s">
        <v>2723</v>
      </c>
    </row>
    <row r="494" spans="1:5" ht="15.75" customHeight="1" x14ac:dyDescent="0.2">
      <c r="A494" s="1">
        <v>62555</v>
      </c>
      <c r="B494" s="1" t="s">
        <v>32</v>
      </c>
      <c r="C494" s="1" t="s">
        <v>2724</v>
      </c>
      <c r="D494" s="1">
        <v>2</v>
      </c>
      <c r="E494" s="1" t="s">
        <v>2725</v>
      </c>
    </row>
    <row r="495" spans="1:5" ht="15.75" customHeight="1" x14ac:dyDescent="0.2">
      <c r="A495" s="1">
        <v>63045</v>
      </c>
      <c r="B495" s="1" t="s">
        <v>109</v>
      </c>
      <c r="C495" s="1" t="s">
        <v>2726</v>
      </c>
      <c r="D495" s="1">
        <v>1</v>
      </c>
      <c r="E495" s="1" t="s">
        <v>2727</v>
      </c>
    </row>
    <row r="496" spans="1:5" ht="15.75" customHeight="1" x14ac:dyDescent="0.2">
      <c r="A496" s="1">
        <v>32439</v>
      </c>
      <c r="B496" s="1" t="s">
        <v>2728</v>
      </c>
      <c r="C496" s="1" t="s">
        <v>2729</v>
      </c>
      <c r="D496" s="1">
        <v>2</v>
      </c>
      <c r="E496" s="1" t="s">
        <v>2730</v>
      </c>
    </row>
    <row r="497" spans="1:5" ht="15.75" customHeight="1" x14ac:dyDescent="0.2">
      <c r="A497" s="1">
        <v>69823</v>
      </c>
      <c r="B497" s="1" t="s">
        <v>126</v>
      </c>
      <c r="C497" s="1" t="s">
        <v>2731</v>
      </c>
      <c r="D497" s="1">
        <v>2</v>
      </c>
      <c r="E497" s="1" t="s">
        <v>2732</v>
      </c>
    </row>
    <row r="498" spans="1:5" ht="15.75" customHeight="1" x14ac:dyDescent="0.2">
      <c r="A498" s="1">
        <v>17424</v>
      </c>
      <c r="B498" s="1" t="s">
        <v>1548</v>
      </c>
      <c r="C498" s="1" t="s">
        <v>2733</v>
      </c>
      <c r="D498" s="1">
        <v>2</v>
      </c>
      <c r="E498" s="1" t="s">
        <v>2734</v>
      </c>
    </row>
    <row r="499" spans="1:5" ht="15.75" customHeight="1" x14ac:dyDescent="0.2">
      <c r="A499" s="1">
        <v>28287</v>
      </c>
      <c r="B499" s="1" t="s">
        <v>751</v>
      </c>
      <c r="C499" s="1" t="s">
        <v>2735</v>
      </c>
      <c r="D499" s="1">
        <v>2</v>
      </c>
      <c r="E499" s="1" t="s">
        <v>2736</v>
      </c>
    </row>
    <row r="500" spans="1:5" ht="15.75" customHeight="1" x14ac:dyDescent="0.2">
      <c r="A500" s="1">
        <v>17971</v>
      </c>
      <c r="B500" s="1" t="s">
        <v>354</v>
      </c>
      <c r="C500" s="1" t="s">
        <v>2737</v>
      </c>
      <c r="D500" s="1">
        <v>1</v>
      </c>
      <c r="E500" s="1" t="s">
        <v>2738</v>
      </c>
    </row>
    <row r="501" spans="1:5" ht="15.75" customHeight="1" x14ac:dyDescent="0.2">
      <c r="A501" s="1">
        <v>48063</v>
      </c>
      <c r="B501" s="1" t="s">
        <v>408</v>
      </c>
      <c r="C501" s="1" t="s">
        <v>2739</v>
      </c>
      <c r="D501" s="1">
        <v>2</v>
      </c>
      <c r="E501" s="1" t="s">
        <v>2740</v>
      </c>
    </row>
    <row r="502" spans="1:5" ht="15.75" customHeight="1" x14ac:dyDescent="0.2">
      <c r="A502" s="1">
        <v>10093</v>
      </c>
      <c r="B502" s="1" t="s">
        <v>2741</v>
      </c>
      <c r="C502" s="1" t="s">
        <v>2742</v>
      </c>
      <c r="D502" s="1">
        <v>2</v>
      </c>
      <c r="E502" s="1" t="s">
        <v>2743</v>
      </c>
    </row>
    <row r="503" spans="1:5" ht="15.75" customHeight="1" x14ac:dyDescent="0.2">
      <c r="A503" s="1">
        <v>46618</v>
      </c>
      <c r="B503" s="1" t="s">
        <v>1333</v>
      </c>
      <c r="C503" s="1" t="s">
        <v>2744</v>
      </c>
      <c r="D503" s="1">
        <v>2</v>
      </c>
      <c r="E503" s="1" t="s">
        <v>2745</v>
      </c>
    </row>
    <row r="504" spans="1:5" ht="15.75" customHeight="1" x14ac:dyDescent="0.2">
      <c r="A504" s="1">
        <v>57582</v>
      </c>
      <c r="B504" s="1" t="s">
        <v>144</v>
      </c>
      <c r="C504" s="1" t="s">
        <v>2746</v>
      </c>
      <c r="D504" s="1">
        <v>2</v>
      </c>
      <c r="E504" s="1" t="s">
        <v>2747</v>
      </c>
    </row>
    <row r="505" spans="1:5" ht="15.75" customHeight="1" x14ac:dyDescent="0.2">
      <c r="A505" s="1">
        <v>68900</v>
      </c>
      <c r="B505" s="1" t="s">
        <v>751</v>
      </c>
      <c r="C505" s="1" t="s">
        <v>2748</v>
      </c>
      <c r="D505" s="1">
        <v>2</v>
      </c>
      <c r="E505" s="1" t="s">
        <v>2749</v>
      </c>
    </row>
    <row r="506" spans="1:5" ht="15.75" customHeight="1" x14ac:dyDescent="0.2">
      <c r="A506" s="1">
        <v>17867</v>
      </c>
      <c r="B506" s="1" t="s">
        <v>32</v>
      </c>
      <c r="C506" s="1" t="s">
        <v>2750</v>
      </c>
      <c r="D506" s="1">
        <v>2</v>
      </c>
      <c r="E506" s="1" t="s">
        <v>2751</v>
      </c>
    </row>
    <row r="507" spans="1:5" ht="15.75" customHeight="1" x14ac:dyDescent="0.2">
      <c r="A507" s="1">
        <v>11885</v>
      </c>
      <c r="B507" s="1" t="s">
        <v>2752</v>
      </c>
      <c r="C507" s="1" t="s">
        <v>2753</v>
      </c>
      <c r="D507" s="1">
        <v>2</v>
      </c>
      <c r="E507" s="1" t="s">
        <v>2754</v>
      </c>
    </row>
    <row r="508" spans="1:5" ht="15.75" customHeight="1" x14ac:dyDescent="0.2">
      <c r="A508" s="1">
        <v>31848</v>
      </c>
      <c r="B508" s="1" t="s">
        <v>78</v>
      </c>
      <c r="C508" s="1" t="s">
        <v>2755</v>
      </c>
      <c r="D508" s="1">
        <v>2</v>
      </c>
      <c r="E508" s="1" t="s">
        <v>2756</v>
      </c>
    </row>
    <row r="509" spans="1:5" ht="15.75" customHeight="1" x14ac:dyDescent="0.2">
      <c r="A509" s="1">
        <v>26687</v>
      </c>
      <c r="B509" s="1" t="s">
        <v>326</v>
      </c>
      <c r="C509" s="1" t="s">
        <v>2757</v>
      </c>
      <c r="D509" s="1">
        <v>2</v>
      </c>
      <c r="E509" s="1" t="s">
        <v>2758</v>
      </c>
    </row>
    <row r="510" spans="1:5" ht="15.75" customHeight="1" x14ac:dyDescent="0.2">
      <c r="A510" s="1">
        <v>66420</v>
      </c>
      <c r="B510" s="1" t="s">
        <v>41</v>
      </c>
      <c r="C510" s="1" t="s">
        <v>2759</v>
      </c>
      <c r="D510" s="1">
        <v>2</v>
      </c>
      <c r="E510" s="1" t="s">
        <v>2760</v>
      </c>
    </row>
    <row r="511" spans="1:5" ht="15.75" customHeight="1" x14ac:dyDescent="0.2">
      <c r="A511" s="1">
        <v>31900</v>
      </c>
      <c r="B511" s="1" t="s">
        <v>172</v>
      </c>
      <c r="C511" s="1" t="s">
        <v>2761</v>
      </c>
      <c r="D511" s="1">
        <v>2</v>
      </c>
      <c r="E511" s="1" t="s">
        <v>2762</v>
      </c>
    </row>
    <row r="512" spans="1:5" ht="15.75" customHeight="1" x14ac:dyDescent="0.2">
      <c r="A512" s="1">
        <v>46797</v>
      </c>
      <c r="B512" s="1" t="s">
        <v>490</v>
      </c>
      <c r="C512" s="1" t="s">
        <v>2763</v>
      </c>
      <c r="D512" s="1">
        <v>1</v>
      </c>
      <c r="E512" s="1" t="s">
        <v>2764</v>
      </c>
    </row>
    <row r="513" spans="1:5" ht="15.75" customHeight="1" x14ac:dyDescent="0.2">
      <c r="A513" s="1">
        <v>65945</v>
      </c>
      <c r="B513" s="1" t="s">
        <v>95</v>
      </c>
      <c r="C513" s="1" t="s">
        <v>2765</v>
      </c>
      <c r="D513" s="1">
        <v>2</v>
      </c>
      <c r="E513" s="1" t="s">
        <v>2766</v>
      </c>
    </row>
    <row r="514" spans="1:5" ht="15.75" customHeight="1" x14ac:dyDescent="0.2">
      <c r="A514" s="1">
        <v>24754</v>
      </c>
      <c r="B514" s="1" t="s">
        <v>244</v>
      </c>
      <c r="C514" s="1" t="s">
        <v>2767</v>
      </c>
      <c r="D514" s="1">
        <v>2</v>
      </c>
      <c r="E514" s="1" t="s">
        <v>2768</v>
      </c>
    </row>
    <row r="515" spans="1:5" ht="15.75" customHeight="1" x14ac:dyDescent="0.2">
      <c r="A515" s="1">
        <v>61989</v>
      </c>
      <c r="B515" s="1" t="s">
        <v>38</v>
      </c>
      <c r="C515" s="1" t="s">
        <v>2769</v>
      </c>
      <c r="D515" s="1">
        <v>2</v>
      </c>
      <c r="E515" s="1" t="s">
        <v>2770</v>
      </c>
    </row>
    <row r="516" spans="1:5" ht="15.75" customHeight="1" x14ac:dyDescent="0.2">
      <c r="A516" s="1">
        <v>24755</v>
      </c>
      <c r="B516" s="1" t="s">
        <v>144</v>
      </c>
      <c r="C516" s="1" t="s">
        <v>2771</v>
      </c>
      <c r="D516" s="1">
        <v>2</v>
      </c>
      <c r="E516" s="1" t="s">
        <v>2772</v>
      </c>
    </row>
    <row r="517" spans="1:5" ht="15.75" customHeight="1" x14ac:dyDescent="0.2">
      <c r="A517" s="1">
        <v>3364</v>
      </c>
      <c r="B517" s="1" t="s">
        <v>2599</v>
      </c>
      <c r="C517" s="1" t="s">
        <v>2773</v>
      </c>
      <c r="D517" s="1">
        <v>1</v>
      </c>
      <c r="E517" s="1" t="s">
        <v>2774</v>
      </c>
    </row>
    <row r="518" spans="1:5" ht="15.75" customHeight="1" x14ac:dyDescent="0.2">
      <c r="A518" s="1">
        <v>11861</v>
      </c>
      <c r="B518" s="1" t="s">
        <v>78</v>
      </c>
      <c r="C518" s="1" t="s">
        <v>2775</v>
      </c>
      <c r="D518" s="1">
        <v>2</v>
      </c>
      <c r="E518" s="1" t="s">
        <v>2776</v>
      </c>
    </row>
    <row r="519" spans="1:5" ht="15.75" customHeight="1" x14ac:dyDescent="0.2">
      <c r="A519" s="1">
        <v>39244</v>
      </c>
      <c r="B519" s="1" t="s">
        <v>2777</v>
      </c>
      <c r="C519" s="1" t="s">
        <v>2778</v>
      </c>
      <c r="D519" s="1">
        <v>1</v>
      </c>
      <c r="E519" s="1" t="s">
        <v>2779</v>
      </c>
    </row>
    <row r="520" spans="1:5" ht="15.75" customHeight="1" x14ac:dyDescent="0.2">
      <c r="A520" s="1">
        <v>65392</v>
      </c>
      <c r="B520" s="1" t="s">
        <v>2780</v>
      </c>
      <c r="C520" s="1" t="s">
        <v>2781</v>
      </c>
      <c r="D520" s="1">
        <v>1</v>
      </c>
      <c r="E520" s="1" t="s">
        <v>2782</v>
      </c>
    </row>
    <row r="521" spans="1:5" ht="15.75" customHeight="1" x14ac:dyDescent="0.2">
      <c r="A521" s="1">
        <v>48242</v>
      </c>
      <c r="B521" s="1" t="s">
        <v>1921</v>
      </c>
      <c r="C521" s="1" t="s">
        <v>2783</v>
      </c>
      <c r="D521" s="1">
        <v>2</v>
      </c>
      <c r="E521" s="1" t="s">
        <v>2784</v>
      </c>
    </row>
    <row r="522" spans="1:5" ht="15.75" customHeight="1" x14ac:dyDescent="0.2">
      <c r="A522" s="1">
        <v>9159</v>
      </c>
      <c r="B522" s="1" t="s">
        <v>2785</v>
      </c>
      <c r="C522" s="1" t="s">
        <v>2786</v>
      </c>
      <c r="D522" s="1">
        <v>2</v>
      </c>
      <c r="E522" s="1" t="s">
        <v>2787</v>
      </c>
    </row>
    <row r="523" spans="1:5" ht="15.75" customHeight="1" x14ac:dyDescent="0.2">
      <c r="A523" s="1">
        <v>25973</v>
      </c>
      <c r="B523" s="1" t="s">
        <v>78</v>
      </c>
      <c r="C523" s="1" t="s">
        <v>2788</v>
      </c>
      <c r="D523" s="1">
        <v>1</v>
      </c>
      <c r="E523" s="1" t="s">
        <v>2789</v>
      </c>
    </row>
    <row r="524" spans="1:5" ht="15.75" customHeight="1" x14ac:dyDescent="0.2">
      <c r="A524" s="1">
        <v>7029</v>
      </c>
      <c r="B524" s="1" t="s">
        <v>78</v>
      </c>
      <c r="C524" s="1" t="s">
        <v>2790</v>
      </c>
      <c r="D524" s="1">
        <v>1</v>
      </c>
      <c r="E524" s="1" t="s">
        <v>2791</v>
      </c>
    </row>
    <row r="525" spans="1:5" ht="15.75" customHeight="1" x14ac:dyDescent="0.2">
      <c r="A525" s="1">
        <v>51018</v>
      </c>
      <c r="B525" s="1" t="s">
        <v>259</v>
      </c>
      <c r="C525" s="1" t="s">
        <v>2792</v>
      </c>
      <c r="D525" s="1">
        <v>1</v>
      </c>
      <c r="E525" s="1" t="s">
        <v>2793</v>
      </c>
    </row>
    <row r="526" spans="1:5" ht="15.75" customHeight="1" x14ac:dyDescent="0.2">
      <c r="A526" s="1">
        <v>25167</v>
      </c>
      <c r="B526" s="1" t="s">
        <v>2794</v>
      </c>
      <c r="C526" s="1" t="s">
        <v>2795</v>
      </c>
      <c r="D526" s="1">
        <v>2</v>
      </c>
      <c r="E526" s="1" t="s">
        <v>2796</v>
      </c>
    </row>
    <row r="527" spans="1:5" ht="15.75" customHeight="1" x14ac:dyDescent="0.2">
      <c r="A527" s="1">
        <v>28763</v>
      </c>
      <c r="B527" s="1" t="s">
        <v>2797</v>
      </c>
      <c r="C527" s="1" t="s">
        <v>2798</v>
      </c>
      <c r="D527" s="1">
        <v>2</v>
      </c>
      <c r="E527" s="1" t="s">
        <v>2799</v>
      </c>
    </row>
    <row r="528" spans="1:5" ht="15.75" customHeight="1" x14ac:dyDescent="0.2">
      <c r="A528" s="1">
        <v>71736</v>
      </c>
      <c r="B528" s="1" t="s">
        <v>276</v>
      </c>
      <c r="C528" s="1" t="s">
        <v>2800</v>
      </c>
      <c r="D528" s="1">
        <v>1</v>
      </c>
      <c r="E528" s="1" t="s">
        <v>2801</v>
      </c>
    </row>
    <row r="529" spans="1:5" ht="15.75" customHeight="1" x14ac:dyDescent="0.2">
      <c r="A529" s="1">
        <v>38668</v>
      </c>
      <c r="B529" s="1" t="s">
        <v>298</v>
      </c>
      <c r="C529" s="1" t="s">
        <v>2802</v>
      </c>
      <c r="D529" s="1">
        <v>2</v>
      </c>
      <c r="E529" s="1" t="s">
        <v>2803</v>
      </c>
    </row>
    <row r="530" spans="1:5" ht="15.75" customHeight="1" x14ac:dyDescent="0.2">
      <c r="A530" s="1">
        <v>59095</v>
      </c>
      <c r="B530" s="1" t="s">
        <v>723</v>
      </c>
      <c r="C530" s="1" t="s">
        <v>2804</v>
      </c>
      <c r="D530" s="1">
        <v>2</v>
      </c>
      <c r="E530" s="1" t="s">
        <v>2805</v>
      </c>
    </row>
    <row r="531" spans="1:5" ht="15.75" customHeight="1" x14ac:dyDescent="0.2">
      <c r="A531" s="1">
        <v>54521</v>
      </c>
      <c r="B531" s="1" t="s">
        <v>185</v>
      </c>
      <c r="C531" s="1" t="s">
        <v>2806</v>
      </c>
      <c r="D531" s="1">
        <v>2</v>
      </c>
      <c r="E531" s="1" t="s">
        <v>2807</v>
      </c>
    </row>
    <row r="532" spans="1:5" ht="15.75" customHeight="1" x14ac:dyDescent="0.2">
      <c r="A532" s="1">
        <v>50932</v>
      </c>
      <c r="B532" s="1" t="s">
        <v>11</v>
      </c>
      <c r="C532" s="1" t="s">
        <v>2808</v>
      </c>
      <c r="D532" s="1">
        <v>2</v>
      </c>
      <c r="E532" s="1" t="s">
        <v>2809</v>
      </c>
    </row>
    <row r="533" spans="1:5" ht="15.75" customHeight="1" x14ac:dyDescent="0.2">
      <c r="A533" s="1">
        <v>15955</v>
      </c>
      <c r="B533" s="1" t="s">
        <v>731</v>
      </c>
      <c r="C533" s="1" t="s">
        <v>2810</v>
      </c>
      <c r="D533" s="1">
        <v>2</v>
      </c>
      <c r="E533" s="1" t="s">
        <v>2811</v>
      </c>
    </row>
    <row r="534" spans="1:5" ht="15.75" customHeight="1" x14ac:dyDescent="0.2">
      <c r="A534" s="1">
        <v>41651</v>
      </c>
      <c r="B534" s="1" t="s">
        <v>422</v>
      </c>
      <c r="C534" s="1" t="s">
        <v>2812</v>
      </c>
      <c r="D534" s="1">
        <v>1</v>
      </c>
      <c r="E534" s="1" t="s">
        <v>2813</v>
      </c>
    </row>
    <row r="535" spans="1:5" ht="15.75" customHeight="1" x14ac:dyDescent="0.2">
      <c r="A535" s="1">
        <v>58727</v>
      </c>
      <c r="B535" s="1" t="s">
        <v>382</v>
      </c>
      <c r="C535" s="1" t="s">
        <v>2814</v>
      </c>
      <c r="D535" s="1">
        <v>2</v>
      </c>
      <c r="E535" s="1" t="s">
        <v>2815</v>
      </c>
    </row>
    <row r="536" spans="1:5" ht="15.75" customHeight="1" x14ac:dyDescent="0.2">
      <c r="A536" s="1">
        <v>11931</v>
      </c>
      <c r="B536" s="1" t="s">
        <v>425</v>
      </c>
      <c r="C536" s="1" t="s">
        <v>2816</v>
      </c>
      <c r="D536" s="1">
        <v>2</v>
      </c>
      <c r="E536" s="1" t="s">
        <v>2817</v>
      </c>
    </row>
    <row r="537" spans="1:5" ht="15.75" customHeight="1" x14ac:dyDescent="0.2">
      <c r="A537" s="1">
        <v>65719</v>
      </c>
      <c r="B537" s="1" t="s">
        <v>394</v>
      </c>
      <c r="C537" s="1" t="s">
        <v>2818</v>
      </c>
      <c r="D537" s="1">
        <v>2</v>
      </c>
      <c r="E537" s="1" t="s">
        <v>2819</v>
      </c>
    </row>
    <row r="538" spans="1:5" ht="15.75" customHeight="1" x14ac:dyDescent="0.2">
      <c r="A538" s="1">
        <v>65824</v>
      </c>
      <c r="B538" s="1" t="s">
        <v>385</v>
      </c>
      <c r="C538" s="1" t="s">
        <v>2820</v>
      </c>
      <c r="D538" s="1">
        <v>2</v>
      </c>
      <c r="E538" s="1" t="s">
        <v>2821</v>
      </c>
    </row>
    <row r="539" spans="1:5" ht="15.75" customHeight="1" x14ac:dyDescent="0.2">
      <c r="A539" s="1">
        <v>40615</v>
      </c>
      <c r="B539" s="1" t="s">
        <v>44</v>
      </c>
      <c r="C539" s="1" t="s">
        <v>2822</v>
      </c>
      <c r="D539" s="1">
        <v>1</v>
      </c>
      <c r="E539" s="1" t="s">
        <v>2823</v>
      </c>
    </row>
    <row r="540" spans="1:5" ht="15.75" customHeight="1" x14ac:dyDescent="0.2">
      <c r="A540" s="1">
        <v>3988</v>
      </c>
      <c r="B540" s="1" t="s">
        <v>2824</v>
      </c>
      <c r="C540" s="1" t="s">
        <v>2825</v>
      </c>
      <c r="D540" s="1">
        <v>2</v>
      </c>
      <c r="E540" s="1" t="s">
        <v>2826</v>
      </c>
    </row>
    <row r="541" spans="1:5" ht="15.75" customHeight="1" x14ac:dyDescent="0.2">
      <c r="A541" s="1">
        <v>63757</v>
      </c>
      <c r="B541" s="1" t="s">
        <v>819</v>
      </c>
      <c r="C541" s="1" t="s">
        <v>2827</v>
      </c>
      <c r="D541" s="1">
        <v>2</v>
      </c>
      <c r="E541" s="1" t="s">
        <v>2828</v>
      </c>
    </row>
    <row r="542" spans="1:5" ht="15.75" customHeight="1" x14ac:dyDescent="0.2">
      <c r="A542" s="1">
        <v>41420</v>
      </c>
      <c r="B542" s="1" t="s">
        <v>276</v>
      </c>
      <c r="C542" s="1" t="s">
        <v>2829</v>
      </c>
      <c r="D542" s="1">
        <v>1</v>
      </c>
      <c r="E542" s="1" t="s">
        <v>2830</v>
      </c>
    </row>
    <row r="543" spans="1:5" ht="15.75" customHeight="1" x14ac:dyDescent="0.2">
      <c r="A543" s="1">
        <v>242</v>
      </c>
      <c r="B543" s="1" t="s">
        <v>2831</v>
      </c>
      <c r="C543" s="1" t="s">
        <v>2832</v>
      </c>
      <c r="D543" s="1">
        <v>2</v>
      </c>
      <c r="E543" s="1" t="s">
        <v>2833</v>
      </c>
    </row>
    <row r="544" spans="1:5" ht="15.75" customHeight="1" x14ac:dyDescent="0.2">
      <c r="A544" s="1">
        <v>64380</v>
      </c>
      <c r="B544" s="1" t="s">
        <v>986</v>
      </c>
      <c r="C544" s="1" t="s">
        <v>2834</v>
      </c>
      <c r="D544" s="1">
        <v>2</v>
      </c>
      <c r="E544" s="1" t="s">
        <v>2835</v>
      </c>
    </row>
    <row r="545" spans="1:5" ht="15.75" customHeight="1" x14ac:dyDescent="0.2">
      <c r="A545" s="1">
        <v>38249</v>
      </c>
      <c r="B545" s="1" t="s">
        <v>23</v>
      </c>
      <c r="C545" s="1" t="s">
        <v>2836</v>
      </c>
      <c r="D545" s="1">
        <v>2</v>
      </c>
      <c r="E545" s="1" t="s">
        <v>2837</v>
      </c>
    </row>
    <row r="546" spans="1:5" ht="15.75" customHeight="1" x14ac:dyDescent="0.2">
      <c r="A546" s="1">
        <v>28785</v>
      </c>
      <c r="B546" s="1" t="s">
        <v>2838</v>
      </c>
      <c r="C546" s="1" t="s">
        <v>2839</v>
      </c>
      <c r="D546" s="1">
        <v>2</v>
      </c>
      <c r="E546" s="1" t="s">
        <v>2840</v>
      </c>
    </row>
    <row r="547" spans="1:5" ht="15.75" customHeight="1" x14ac:dyDescent="0.2">
      <c r="A547" s="1">
        <v>13310</v>
      </c>
      <c r="B547" s="1" t="s">
        <v>301</v>
      </c>
      <c r="C547" s="1" t="s">
        <v>2841</v>
      </c>
      <c r="D547" s="1">
        <v>2</v>
      </c>
      <c r="E547" s="1" t="s">
        <v>2842</v>
      </c>
    </row>
    <row r="548" spans="1:5" ht="15.75" customHeight="1" x14ac:dyDescent="0.2">
      <c r="A548" s="1">
        <v>11464</v>
      </c>
      <c r="B548" s="1" t="s">
        <v>1921</v>
      </c>
      <c r="C548" s="1" t="s">
        <v>2843</v>
      </c>
      <c r="D548" s="1">
        <v>2</v>
      </c>
      <c r="E548" s="1" t="s">
        <v>2844</v>
      </c>
    </row>
    <row r="549" spans="1:5" ht="15.75" customHeight="1" x14ac:dyDescent="0.2">
      <c r="A549" s="1">
        <v>32751</v>
      </c>
      <c r="B549" s="1" t="s">
        <v>524</v>
      </c>
      <c r="C549" s="1" t="s">
        <v>2845</v>
      </c>
      <c r="D549" s="1">
        <v>2</v>
      </c>
      <c r="E549" s="1" t="s">
        <v>2846</v>
      </c>
    </row>
    <row r="550" spans="1:5" ht="15.75" customHeight="1" x14ac:dyDescent="0.2">
      <c r="A550" s="1">
        <v>17407</v>
      </c>
      <c r="B550" s="1" t="s">
        <v>14</v>
      </c>
      <c r="C550" s="1" t="s">
        <v>2847</v>
      </c>
      <c r="D550" s="1">
        <v>1</v>
      </c>
      <c r="E550" s="1" t="s">
        <v>2848</v>
      </c>
    </row>
    <row r="551" spans="1:5" ht="15.75" customHeight="1" x14ac:dyDescent="0.2">
      <c r="A551" s="1">
        <v>25941</v>
      </c>
      <c r="B551" s="1" t="s">
        <v>1357</v>
      </c>
      <c r="C551" s="1" t="s">
        <v>2849</v>
      </c>
      <c r="D551" s="1">
        <v>2</v>
      </c>
      <c r="E551" s="1" t="s">
        <v>2850</v>
      </c>
    </row>
    <row r="552" spans="1:5" ht="15.75" customHeight="1" x14ac:dyDescent="0.2">
      <c r="A552" s="1">
        <v>17148</v>
      </c>
      <c r="B552" s="1" t="s">
        <v>35</v>
      </c>
      <c r="C552" s="1" t="s">
        <v>2851</v>
      </c>
      <c r="D552" s="1">
        <v>1</v>
      </c>
      <c r="E552" s="1" t="s">
        <v>2852</v>
      </c>
    </row>
    <row r="553" spans="1:5" ht="15.75" customHeight="1" x14ac:dyDescent="0.2">
      <c r="A553" s="1">
        <v>34665</v>
      </c>
      <c r="B553" s="1" t="s">
        <v>466</v>
      </c>
      <c r="C553" s="1" t="s">
        <v>2853</v>
      </c>
      <c r="D553" s="1">
        <v>2</v>
      </c>
      <c r="E553" s="1" t="s">
        <v>2854</v>
      </c>
    </row>
    <row r="554" spans="1:5" ht="15.75" customHeight="1" x14ac:dyDescent="0.2">
      <c r="A554" s="1">
        <v>37553</v>
      </c>
      <c r="B554" s="1" t="s">
        <v>2855</v>
      </c>
      <c r="C554" s="1" t="s">
        <v>2856</v>
      </c>
      <c r="D554" s="1">
        <v>2</v>
      </c>
      <c r="E554" s="1" t="s">
        <v>2857</v>
      </c>
    </row>
    <row r="555" spans="1:5" ht="15.75" customHeight="1" x14ac:dyDescent="0.2">
      <c r="A555" s="1">
        <v>16218</v>
      </c>
      <c r="B555" s="1" t="s">
        <v>2858</v>
      </c>
      <c r="C555" s="1" t="s">
        <v>2859</v>
      </c>
      <c r="D555" s="1">
        <v>2</v>
      </c>
      <c r="E555" s="1" t="s">
        <v>2860</v>
      </c>
    </row>
    <row r="556" spans="1:5" ht="15.75" customHeight="1" x14ac:dyDescent="0.2">
      <c r="A556" s="1">
        <v>19355</v>
      </c>
      <c r="B556" s="1" t="s">
        <v>301</v>
      </c>
      <c r="C556" s="1" t="s">
        <v>2861</v>
      </c>
      <c r="D556" s="1">
        <v>2</v>
      </c>
      <c r="E556" s="1" t="s">
        <v>2862</v>
      </c>
    </row>
    <row r="557" spans="1:5" ht="15.75" customHeight="1" x14ac:dyDescent="0.2">
      <c r="A557" s="1">
        <v>58777</v>
      </c>
      <c r="B557" s="1" t="s">
        <v>35</v>
      </c>
      <c r="C557" s="1" t="s">
        <v>2863</v>
      </c>
      <c r="D557" s="1">
        <v>2</v>
      </c>
      <c r="E557" s="1" t="s">
        <v>2864</v>
      </c>
    </row>
    <row r="558" spans="1:5" ht="15.75" customHeight="1" x14ac:dyDescent="0.2">
      <c r="A558" s="1">
        <v>595</v>
      </c>
      <c r="B558" s="1" t="s">
        <v>2865</v>
      </c>
      <c r="C558" s="1" t="s">
        <v>2866</v>
      </c>
      <c r="D558" s="1">
        <v>2</v>
      </c>
      <c r="E558" s="1" t="s">
        <v>2867</v>
      </c>
    </row>
    <row r="559" spans="1:5" ht="15.75" customHeight="1" x14ac:dyDescent="0.2">
      <c r="A559" s="1">
        <v>56056</v>
      </c>
      <c r="B559" s="1" t="s">
        <v>791</v>
      </c>
      <c r="C559" s="1" t="s">
        <v>2868</v>
      </c>
      <c r="D559" s="1">
        <v>2</v>
      </c>
      <c r="E559" s="1" t="s">
        <v>2869</v>
      </c>
    </row>
    <row r="560" spans="1:5" ht="15.75" customHeight="1" x14ac:dyDescent="0.2">
      <c r="A560" s="1">
        <v>25004</v>
      </c>
      <c r="B560" s="1" t="s">
        <v>268</v>
      </c>
      <c r="C560" s="1" t="s">
        <v>2870</v>
      </c>
      <c r="D560" s="1">
        <v>1</v>
      </c>
      <c r="E560" s="1" t="s">
        <v>2871</v>
      </c>
    </row>
    <row r="561" spans="1:5" ht="15.75" customHeight="1" x14ac:dyDescent="0.2">
      <c r="A561" s="1">
        <v>64711</v>
      </c>
      <c r="B561" s="1" t="s">
        <v>2872</v>
      </c>
      <c r="C561" s="1" t="s">
        <v>2873</v>
      </c>
      <c r="D561" s="1">
        <v>1</v>
      </c>
      <c r="E561" s="1" t="s">
        <v>2874</v>
      </c>
    </row>
    <row r="562" spans="1:5" ht="15.75" customHeight="1" x14ac:dyDescent="0.2">
      <c r="A562" s="1">
        <v>39022</v>
      </c>
      <c r="B562" s="1" t="s">
        <v>2875</v>
      </c>
      <c r="C562" s="1" t="s">
        <v>2876</v>
      </c>
      <c r="D562" s="1">
        <v>2</v>
      </c>
      <c r="E562" s="1" t="s">
        <v>2877</v>
      </c>
    </row>
    <row r="563" spans="1:5" ht="15.75" customHeight="1" x14ac:dyDescent="0.2">
      <c r="A563" s="1">
        <v>54297</v>
      </c>
      <c r="B563" s="1" t="s">
        <v>1290</v>
      </c>
      <c r="C563" s="1" t="s">
        <v>2878</v>
      </c>
      <c r="D563" s="1">
        <v>2</v>
      </c>
      <c r="E563" s="1" t="s">
        <v>2879</v>
      </c>
    </row>
    <row r="564" spans="1:5" ht="15.75" customHeight="1" x14ac:dyDescent="0.2">
      <c r="A564" s="1">
        <v>42410</v>
      </c>
      <c r="B564" s="1" t="s">
        <v>466</v>
      </c>
      <c r="C564" s="1" t="s">
        <v>2880</v>
      </c>
      <c r="D564" s="1">
        <v>1</v>
      </c>
      <c r="E564" s="1" t="s">
        <v>2881</v>
      </c>
    </row>
    <row r="565" spans="1:5" ht="15.75" customHeight="1" x14ac:dyDescent="0.2">
      <c r="A565" s="1">
        <v>27481</v>
      </c>
      <c r="B565" s="1" t="s">
        <v>1307</v>
      </c>
      <c r="C565" s="1" t="s">
        <v>2882</v>
      </c>
      <c r="D565" s="1">
        <v>2</v>
      </c>
      <c r="E565" s="1" t="s">
        <v>2883</v>
      </c>
    </row>
    <row r="566" spans="1:5" ht="15.75" customHeight="1" x14ac:dyDescent="0.2">
      <c r="A566" s="1">
        <v>63623</v>
      </c>
      <c r="B566" s="1" t="s">
        <v>2884</v>
      </c>
      <c r="C566" s="1" t="s">
        <v>2885</v>
      </c>
      <c r="D566" s="1">
        <v>2</v>
      </c>
      <c r="E566" s="1" t="s">
        <v>2886</v>
      </c>
    </row>
    <row r="567" spans="1:5" ht="15.75" customHeight="1" x14ac:dyDescent="0.2">
      <c r="A567" s="1">
        <v>19707</v>
      </c>
      <c r="B567" s="1" t="s">
        <v>172</v>
      </c>
      <c r="C567" s="1" t="s">
        <v>2887</v>
      </c>
      <c r="D567" s="1">
        <v>2</v>
      </c>
      <c r="E567" s="1" t="s">
        <v>2888</v>
      </c>
    </row>
    <row r="568" spans="1:5" ht="15.75" customHeight="1" x14ac:dyDescent="0.2">
      <c r="A568" s="1">
        <v>64721</v>
      </c>
      <c r="B568" s="1" t="s">
        <v>11</v>
      </c>
      <c r="C568" s="1" t="s">
        <v>2889</v>
      </c>
      <c r="D568" s="1">
        <v>2</v>
      </c>
      <c r="E568" s="1" t="s">
        <v>2890</v>
      </c>
    </row>
    <row r="569" spans="1:5" ht="15.75" customHeight="1" x14ac:dyDescent="0.2">
      <c r="A569" s="1">
        <v>31294</v>
      </c>
      <c r="B569" s="1" t="s">
        <v>41</v>
      </c>
      <c r="C569" s="1" t="s">
        <v>2891</v>
      </c>
      <c r="D569" s="1">
        <v>2</v>
      </c>
      <c r="E569" s="1" t="s">
        <v>2892</v>
      </c>
    </row>
    <row r="570" spans="1:5" ht="15.75" customHeight="1" x14ac:dyDescent="0.2">
      <c r="A570" s="1">
        <v>26309</v>
      </c>
      <c r="B570" s="1" t="s">
        <v>552</v>
      </c>
      <c r="C570" s="1" t="s">
        <v>2893</v>
      </c>
      <c r="D570" s="1">
        <v>1</v>
      </c>
      <c r="E570" s="1" t="s">
        <v>2894</v>
      </c>
    </row>
    <row r="571" spans="1:5" ht="15.75" customHeight="1" x14ac:dyDescent="0.2">
      <c r="A571" s="1">
        <v>25907</v>
      </c>
      <c r="B571" s="1" t="s">
        <v>952</v>
      </c>
      <c r="C571" s="1" t="s">
        <v>2895</v>
      </c>
      <c r="D571" s="1">
        <v>2</v>
      </c>
      <c r="E571" s="1" t="s">
        <v>2896</v>
      </c>
    </row>
    <row r="572" spans="1:5" ht="15.75" customHeight="1" x14ac:dyDescent="0.2">
      <c r="A572" s="1">
        <v>12855</v>
      </c>
      <c r="B572" s="1" t="s">
        <v>38</v>
      </c>
      <c r="C572" s="1" t="s">
        <v>2897</v>
      </c>
      <c r="D572" s="1">
        <v>2</v>
      </c>
      <c r="E572" s="1" t="s">
        <v>2898</v>
      </c>
    </row>
    <row r="573" spans="1:5" ht="15.75" customHeight="1" x14ac:dyDescent="0.2">
      <c r="A573" s="1">
        <v>5209</v>
      </c>
      <c r="B573" s="1" t="s">
        <v>244</v>
      </c>
      <c r="C573" s="1" t="s">
        <v>2899</v>
      </c>
      <c r="D573" s="1">
        <v>2</v>
      </c>
      <c r="E573" s="1" t="s">
        <v>2900</v>
      </c>
    </row>
    <row r="574" spans="1:5" ht="15.75" customHeight="1" x14ac:dyDescent="0.2">
      <c r="A574" s="1">
        <v>69088</v>
      </c>
      <c r="B574" s="1" t="s">
        <v>254</v>
      </c>
      <c r="C574" s="1" t="s">
        <v>2901</v>
      </c>
      <c r="D574" s="1">
        <v>1</v>
      </c>
      <c r="E574" s="1" t="s">
        <v>2902</v>
      </c>
    </row>
    <row r="575" spans="1:5" ht="15.75" customHeight="1" x14ac:dyDescent="0.2">
      <c r="A575" s="1">
        <v>50844</v>
      </c>
      <c r="B575" s="1" t="s">
        <v>2903</v>
      </c>
      <c r="C575" s="1" t="s">
        <v>2904</v>
      </c>
      <c r="D575" s="1">
        <v>2</v>
      </c>
      <c r="E575" s="1" t="s">
        <v>2905</v>
      </c>
    </row>
    <row r="576" spans="1:5" ht="15.75" customHeight="1" x14ac:dyDescent="0.2">
      <c r="A576" s="1">
        <v>63967</v>
      </c>
      <c r="B576" s="1" t="s">
        <v>354</v>
      </c>
      <c r="C576" s="1" t="s">
        <v>2906</v>
      </c>
      <c r="D576" s="1">
        <v>2</v>
      </c>
      <c r="E576" s="1" t="s">
        <v>2907</v>
      </c>
    </row>
    <row r="577" spans="1:5" ht="15.75" customHeight="1" x14ac:dyDescent="0.2">
      <c r="A577" s="1">
        <v>37677</v>
      </c>
      <c r="B577" s="1" t="s">
        <v>819</v>
      </c>
      <c r="C577" s="1" t="s">
        <v>2908</v>
      </c>
      <c r="D577" s="1">
        <v>1</v>
      </c>
      <c r="E577" s="1" t="s">
        <v>2909</v>
      </c>
    </row>
    <row r="578" spans="1:5" ht="15.75" customHeight="1" x14ac:dyDescent="0.2">
      <c r="A578" s="1">
        <v>58797</v>
      </c>
      <c r="B578" s="1" t="s">
        <v>2910</v>
      </c>
      <c r="C578" s="1" t="s">
        <v>2911</v>
      </c>
      <c r="D578" s="1">
        <v>2</v>
      </c>
      <c r="E578" s="1" t="s">
        <v>2912</v>
      </c>
    </row>
    <row r="579" spans="1:5" ht="15.75" customHeight="1" x14ac:dyDescent="0.2">
      <c r="A579" s="1">
        <v>9272</v>
      </c>
      <c r="B579" s="1" t="s">
        <v>460</v>
      </c>
      <c r="C579" s="1" t="s">
        <v>2913</v>
      </c>
      <c r="D579" s="1">
        <v>2</v>
      </c>
      <c r="E579" s="1" t="s">
        <v>2914</v>
      </c>
    </row>
    <row r="580" spans="1:5" ht="15.75" customHeight="1" x14ac:dyDescent="0.2">
      <c r="A580" s="1">
        <v>55687</v>
      </c>
      <c r="B580" s="1" t="s">
        <v>32</v>
      </c>
      <c r="C580" s="1" t="s">
        <v>2915</v>
      </c>
      <c r="D580" s="1">
        <v>2</v>
      </c>
      <c r="E580" s="1" t="s">
        <v>2916</v>
      </c>
    </row>
    <row r="581" spans="1:5" ht="15.75" customHeight="1" x14ac:dyDescent="0.2">
      <c r="A581" s="1">
        <v>44027</v>
      </c>
      <c r="B581" s="1" t="s">
        <v>2917</v>
      </c>
      <c r="C581" s="1" t="s">
        <v>2918</v>
      </c>
      <c r="D581" s="1">
        <v>1</v>
      </c>
      <c r="E581" s="1" t="s">
        <v>2919</v>
      </c>
    </row>
    <row r="582" spans="1:5" ht="15.75" customHeight="1" x14ac:dyDescent="0.2">
      <c r="A582" s="1">
        <v>13017</v>
      </c>
      <c r="B582" s="1" t="s">
        <v>268</v>
      </c>
      <c r="C582" s="1" t="s">
        <v>2920</v>
      </c>
      <c r="D582" s="1">
        <v>2</v>
      </c>
      <c r="E582" s="1" t="s">
        <v>2921</v>
      </c>
    </row>
    <row r="583" spans="1:5" ht="15.75" customHeight="1" x14ac:dyDescent="0.2">
      <c r="A583" s="1">
        <v>16718</v>
      </c>
      <c r="B583" s="1" t="s">
        <v>385</v>
      </c>
      <c r="C583" s="1" t="s">
        <v>2922</v>
      </c>
      <c r="D583" s="1">
        <v>2</v>
      </c>
      <c r="E583" s="1" t="s">
        <v>2923</v>
      </c>
    </row>
    <row r="584" spans="1:5" ht="15.75" customHeight="1" x14ac:dyDescent="0.2">
      <c r="A584" s="1">
        <v>66736</v>
      </c>
      <c r="B584" s="1" t="s">
        <v>597</v>
      </c>
      <c r="C584" s="1" t="s">
        <v>2924</v>
      </c>
      <c r="D584" s="1">
        <v>2</v>
      </c>
      <c r="E584" s="1" t="s">
        <v>2925</v>
      </c>
    </row>
    <row r="585" spans="1:5" ht="15.75" customHeight="1" x14ac:dyDescent="0.2">
      <c r="A585" s="1">
        <v>52138</v>
      </c>
      <c r="B585" s="1" t="s">
        <v>1788</v>
      </c>
      <c r="C585" s="1" t="s">
        <v>2926</v>
      </c>
      <c r="D585" s="1">
        <v>2</v>
      </c>
      <c r="E585" s="1" t="s">
        <v>2927</v>
      </c>
    </row>
    <row r="586" spans="1:5" ht="15.75" customHeight="1" x14ac:dyDescent="0.2">
      <c r="A586" s="1">
        <v>37915</v>
      </c>
      <c r="B586" s="1" t="s">
        <v>939</v>
      </c>
      <c r="C586" s="1" t="s">
        <v>2928</v>
      </c>
      <c r="D586" s="1">
        <v>2</v>
      </c>
      <c r="E586" s="1" t="s">
        <v>2929</v>
      </c>
    </row>
    <row r="587" spans="1:5" ht="15.75" customHeight="1" x14ac:dyDescent="0.2">
      <c r="A587" s="1">
        <v>59089</v>
      </c>
      <c r="B587" s="1" t="s">
        <v>552</v>
      </c>
      <c r="C587" s="1" t="s">
        <v>2930</v>
      </c>
      <c r="D587" s="1">
        <v>1</v>
      </c>
      <c r="E587" s="1" t="s">
        <v>2931</v>
      </c>
    </row>
    <row r="588" spans="1:5" ht="15.75" customHeight="1" x14ac:dyDescent="0.2">
      <c r="A588" s="1">
        <v>18524</v>
      </c>
      <c r="B588" s="1" t="s">
        <v>906</v>
      </c>
      <c r="C588" s="1" t="s">
        <v>2932</v>
      </c>
      <c r="D588" s="1">
        <v>2</v>
      </c>
      <c r="E588" s="1" t="s">
        <v>2933</v>
      </c>
    </row>
    <row r="589" spans="1:5" ht="15.75" customHeight="1" x14ac:dyDescent="0.2">
      <c r="A589" s="1">
        <v>44494</v>
      </c>
      <c r="B589" s="1" t="s">
        <v>485</v>
      </c>
      <c r="C589" s="1" t="s">
        <v>2934</v>
      </c>
      <c r="D589" s="1">
        <v>1</v>
      </c>
      <c r="E589" s="1" t="s">
        <v>2935</v>
      </c>
    </row>
    <row r="590" spans="1:5" ht="15.75" customHeight="1" x14ac:dyDescent="0.2">
      <c r="A590" s="1">
        <v>28922</v>
      </c>
      <c r="B590" s="1" t="s">
        <v>301</v>
      </c>
      <c r="C590" s="1" t="s">
        <v>2936</v>
      </c>
      <c r="D590" s="1">
        <v>2</v>
      </c>
      <c r="E590" s="1" t="s">
        <v>2937</v>
      </c>
    </row>
    <row r="591" spans="1:5" ht="15.75" customHeight="1" x14ac:dyDescent="0.2">
      <c r="A591" s="1">
        <v>22451</v>
      </c>
      <c r="B591" s="1" t="s">
        <v>150</v>
      </c>
      <c r="C591" s="1" t="s">
        <v>2938</v>
      </c>
      <c r="D591" s="1">
        <v>1</v>
      </c>
      <c r="E591" s="1" t="s">
        <v>2939</v>
      </c>
    </row>
    <row r="592" spans="1:5" ht="15.75" customHeight="1" x14ac:dyDescent="0.2">
      <c r="A592" s="1">
        <v>3949</v>
      </c>
      <c r="B592" s="1" t="s">
        <v>2940</v>
      </c>
      <c r="C592" s="1" t="s">
        <v>2941</v>
      </c>
      <c r="D592" s="1">
        <v>2</v>
      </c>
      <c r="E592" s="1" t="s">
        <v>2942</v>
      </c>
    </row>
    <row r="593" spans="1:5" ht="15.75" customHeight="1" x14ac:dyDescent="0.2">
      <c r="A593" s="1">
        <v>3277</v>
      </c>
      <c r="B593" s="1" t="s">
        <v>597</v>
      </c>
      <c r="C593" s="1" t="s">
        <v>2943</v>
      </c>
      <c r="D593" s="1">
        <v>1</v>
      </c>
      <c r="E593" s="1" t="s">
        <v>2944</v>
      </c>
    </row>
    <row r="594" spans="1:5" ht="15.75" customHeight="1" x14ac:dyDescent="0.2">
      <c r="A594" s="1">
        <v>67842</v>
      </c>
      <c r="B594" s="1" t="s">
        <v>552</v>
      </c>
      <c r="C594" s="1" t="s">
        <v>2945</v>
      </c>
      <c r="D594" s="1">
        <v>1</v>
      </c>
      <c r="E594" s="1" t="s">
        <v>2946</v>
      </c>
    </row>
    <row r="595" spans="1:5" ht="15.75" customHeight="1" x14ac:dyDescent="0.2">
      <c r="A595" s="1">
        <v>48619</v>
      </c>
      <c r="B595" s="1" t="s">
        <v>233</v>
      </c>
      <c r="C595" s="1" t="s">
        <v>2947</v>
      </c>
      <c r="D595" s="1">
        <v>2</v>
      </c>
      <c r="E595" s="1" t="s">
        <v>2948</v>
      </c>
    </row>
    <row r="596" spans="1:5" ht="15.75" customHeight="1" x14ac:dyDescent="0.2">
      <c r="A596" s="1">
        <v>6237</v>
      </c>
      <c r="B596" s="1" t="s">
        <v>991</v>
      </c>
      <c r="C596" s="1" t="s">
        <v>2949</v>
      </c>
      <c r="D596" s="1">
        <v>2</v>
      </c>
      <c r="E596" s="1" t="s">
        <v>2950</v>
      </c>
    </row>
    <row r="597" spans="1:5" ht="15.75" customHeight="1" x14ac:dyDescent="0.2">
      <c r="A597" s="1">
        <v>69427</v>
      </c>
      <c r="B597" s="1" t="s">
        <v>301</v>
      </c>
      <c r="C597" s="1" t="s">
        <v>2951</v>
      </c>
      <c r="D597" s="1">
        <v>1</v>
      </c>
      <c r="E597" s="1" t="s">
        <v>2952</v>
      </c>
    </row>
    <row r="598" spans="1:5" ht="15.75" customHeight="1" x14ac:dyDescent="0.2">
      <c r="A598" s="1">
        <v>31635</v>
      </c>
      <c r="B598" s="1" t="s">
        <v>345</v>
      </c>
      <c r="C598" s="1" t="s">
        <v>2953</v>
      </c>
      <c r="D598" s="1">
        <v>1</v>
      </c>
      <c r="E598" s="1" t="s">
        <v>2954</v>
      </c>
    </row>
    <row r="599" spans="1:5" ht="15.75" customHeight="1" x14ac:dyDescent="0.2">
      <c r="A599" s="1">
        <v>49236</v>
      </c>
      <c r="B599" s="1" t="s">
        <v>188</v>
      </c>
      <c r="C599" s="1" t="s">
        <v>2955</v>
      </c>
      <c r="D599" s="1">
        <v>2</v>
      </c>
      <c r="E599" s="1" t="s">
        <v>2956</v>
      </c>
    </row>
    <row r="600" spans="1:5" ht="15.75" customHeight="1" x14ac:dyDescent="0.2">
      <c r="A600" s="1">
        <v>22648</v>
      </c>
      <c r="B600" s="1" t="s">
        <v>2957</v>
      </c>
      <c r="C600" s="1" t="s">
        <v>2958</v>
      </c>
      <c r="D600" s="1">
        <v>2</v>
      </c>
      <c r="E600" s="1" t="s">
        <v>2959</v>
      </c>
    </row>
    <row r="601" spans="1:5" ht="15.75" customHeight="1" x14ac:dyDescent="0.2">
      <c r="A601" s="1">
        <v>24997</v>
      </c>
      <c r="B601" s="1" t="s">
        <v>268</v>
      </c>
      <c r="C601" s="1" t="s">
        <v>2960</v>
      </c>
      <c r="D601" s="1">
        <v>1</v>
      </c>
      <c r="E601" s="1" t="s">
        <v>2961</v>
      </c>
    </row>
    <row r="602" spans="1:5" ht="15.75" customHeight="1" x14ac:dyDescent="0.2">
      <c r="A602" s="1">
        <v>67306</v>
      </c>
      <c r="B602" s="1" t="s">
        <v>2962</v>
      </c>
      <c r="C602" s="1" t="s">
        <v>2963</v>
      </c>
      <c r="D602" s="1">
        <v>2</v>
      </c>
      <c r="E602" s="1" t="s">
        <v>2964</v>
      </c>
    </row>
    <row r="603" spans="1:5" ht="15.75" customHeight="1" x14ac:dyDescent="0.2">
      <c r="A603" s="1">
        <v>63225</v>
      </c>
      <c r="B603" s="1" t="s">
        <v>2965</v>
      </c>
      <c r="C603" s="1" t="s">
        <v>2966</v>
      </c>
      <c r="D603" s="1">
        <v>1</v>
      </c>
      <c r="E603" s="1" t="s">
        <v>2967</v>
      </c>
    </row>
    <row r="604" spans="1:5" ht="15.75" customHeight="1" x14ac:dyDescent="0.2">
      <c r="A604" s="1">
        <v>40199</v>
      </c>
      <c r="B604" s="1" t="s">
        <v>2033</v>
      </c>
      <c r="C604" s="1" t="s">
        <v>2968</v>
      </c>
      <c r="D604" s="1">
        <v>2</v>
      </c>
      <c r="E604" s="1" t="s">
        <v>2969</v>
      </c>
    </row>
    <row r="605" spans="1:5" ht="15.75" customHeight="1" x14ac:dyDescent="0.2">
      <c r="A605" s="1">
        <v>64320</v>
      </c>
      <c r="B605" s="1" t="s">
        <v>167</v>
      </c>
      <c r="C605" s="1" t="s">
        <v>2970</v>
      </c>
      <c r="D605" s="1">
        <v>2</v>
      </c>
      <c r="E605" s="1" t="s">
        <v>2971</v>
      </c>
    </row>
    <row r="606" spans="1:5" ht="15.75" customHeight="1" x14ac:dyDescent="0.2">
      <c r="A606" s="1">
        <v>33514</v>
      </c>
      <c r="B606" s="1" t="s">
        <v>2972</v>
      </c>
      <c r="C606" s="1" t="s">
        <v>2973</v>
      </c>
      <c r="D606" s="1">
        <v>1</v>
      </c>
      <c r="E606" s="1" t="s">
        <v>2974</v>
      </c>
    </row>
    <row r="607" spans="1:5" ht="15.75" customHeight="1" x14ac:dyDescent="0.2">
      <c r="A607" s="1">
        <v>17571</v>
      </c>
      <c r="B607" s="1" t="s">
        <v>731</v>
      </c>
      <c r="C607" s="1" t="s">
        <v>2975</v>
      </c>
      <c r="D607" s="1">
        <v>2</v>
      </c>
      <c r="E607" s="1" t="s">
        <v>2976</v>
      </c>
    </row>
    <row r="608" spans="1:5" ht="15.75" customHeight="1" x14ac:dyDescent="0.2">
      <c r="A608" s="1">
        <v>65543</v>
      </c>
      <c r="B608" s="1" t="s">
        <v>2977</v>
      </c>
      <c r="C608" s="1" t="s">
        <v>2978</v>
      </c>
      <c r="D608" s="1">
        <v>2</v>
      </c>
      <c r="E608" s="1" t="s">
        <v>2979</v>
      </c>
    </row>
    <row r="609" spans="1:5" ht="15.75" customHeight="1" x14ac:dyDescent="0.2">
      <c r="A609" s="1">
        <v>40560</v>
      </c>
      <c r="B609" s="1" t="s">
        <v>656</v>
      </c>
      <c r="C609" s="1" t="s">
        <v>2980</v>
      </c>
      <c r="D609" s="1">
        <v>2</v>
      </c>
      <c r="E609" s="1" t="s">
        <v>2981</v>
      </c>
    </row>
    <row r="610" spans="1:5" ht="15.75" customHeight="1" x14ac:dyDescent="0.2">
      <c r="A610" s="1">
        <v>51694</v>
      </c>
      <c r="B610" s="1" t="s">
        <v>153</v>
      </c>
      <c r="C610" s="1" t="s">
        <v>2982</v>
      </c>
      <c r="D610" s="1">
        <v>2</v>
      </c>
      <c r="E610" s="1" t="s">
        <v>2983</v>
      </c>
    </row>
    <row r="611" spans="1:5" ht="15.75" customHeight="1" x14ac:dyDescent="0.2">
      <c r="A611" s="1">
        <v>21147</v>
      </c>
      <c r="B611" s="1" t="s">
        <v>17</v>
      </c>
      <c r="C611" s="1" t="s">
        <v>2984</v>
      </c>
      <c r="D611" s="1">
        <v>1</v>
      </c>
      <c r="E611" s="1" t="s">
        <v>2985</v>
      </c>
    </row>
    <row r="612" spans="1:5" ht="15.75" customHeight="1" x14ac:dyDescent="0.2">
      <c r="A612" s="1">
        <v>8270</v>
      </c>
      <c r="B612" s="1" t="s">
        <v>408</v>
      </c>
      <c r="C612" s="1" t="s">
        <v>2986</v>
      </c>
      <c r="D612" s="1">
        <v>2</v>
      </c>
      <c r="E612" s="1" t="s">
        <v>2987</v>
      </c>
    </row>
    <row r="613" spans="1:5" ht="15.75" customHeight="1" x14ac:dyDescent="0.2">
      <c r="A613" s="1">
        <v>4442</v>
      </c>
      <c r="B613" s="1" t="s">
        <v>1657</v>
      </c>
      <c r="C613" s="1" t="s">
        <v>2988</v>
      </c>
      <c r="D613" s="1">
        <v>1</v>
      </c>
      <c r="E613" s="1" t="s">
        <v>2989</v>
      </c>
    </row>
    <row r="614" spans="1:5" ht="15.75" customHeight="1" x14ac:dyDescent="0.2">
      <c r="A614" s="1">
        <v>61973</v>
      </c>
      <c r="B614" s="1" t="s">
        <v>276</v>
      </c>
      <c r="C614" s="1" t="s">
        <v>2990</v>
      </c>
      <c r="D614" s="1">
        <v>1</v>
      </c>
      <c r="E614" s="1" t="s">
        <v>2991</v>
      </c>
    </row>
    <row r="615" spans="1:5" ht="15.75" customHeight="1" x14ac:dyDescent="0.2">
      <c r="A615" s="1">
        <v>12034</v>
      </c>
      <c r="B615" s="1" t="s">
        <v>405</v>
      </c>
      <c r="C615" s="1" t="s">
        <v>2992</v>
      </c>
      <c r="D615" s="1">
        <v>2</v>
      </c>
      <c r="E615" s="1" t="s">
        <v>2993</v>
      </c>
    </row>
    <row r="616" spans="1:5" ht="15.75" customHeight="1" x14ac:dyDescent="0.2">
      <c r="A616" s="1">
        <v>61817</v>
      </c>
      <c r="B616" s="1" t="s">
        <v>2994</v>
      </c>
      <c r="C616" s="1" t="s">
        <v>2995</v>
      </c>
      <c r="D616" s="1">
        <v>2</v>
      </c>
      <c r="E616" s="1" t="s">
        <v>2996</v>
      </c>
    </row>
    <row r="617" spans="1:5" ht="15.75" customHeight="1" x14ac:dyDescent="0.2">
      <c r="A617" s="1">
        <v>10671</v>
      </c>
      <c r="B617" s="1" t="s">
        <v>906</v>
      </c>
      <c r="C617" s="1" t="s">
        <v>2997</v>
      </c>
      <c r="D617" s="1">
        <v>2</v>
      </c>
      <c r="E617" s="1" t="s">
        <v>2998</v>
      </c>
    </row>
    <row r="618" spans="1:5" ht="15.75" customHeight="1" x14ac:dyDescent="0.2">
      <c r="A618" s="1">
        <v>37489</v>
      </c>
      <c r="B618" s="1" t="s">
        <v>138</v>
      </c>
      <c r="C618" s="1" t="s">
        <v>2999</v>
      </c>
      <c r="D618" s="1">
        <v>2</v>
      </c>
      <c r="E618" s="1" t="s">
        <v>3000</v>
      </c>
    </row>
    <row r="619" spans="1:5" ht="15.75" customHeight="1" x14ac:dyDescent="0.2">
      <c r="A619" s="1">
        <v>57160</v>
      </c>
      <c r="B619" s="1" t="s">
        <v>490</v>
      </c>
      <c r="C619" s="1" t="s">
        <v>3001</v>
      </c>
      <c r="D619" s="1">
        <v>1</v>
      </c>
      <c r="E619" s="1" t="s">
        <v>3002</v>
      </c>
    </row>
    <row r="620" spans="1:5" ht="15.75" customHeight="1" x14ac:dyDescent="0.2">
      <c r="A620" s="1">
        <v>25889</v>
      </c>
      <c r="B620" s="1" t="s">
        <v>276</v>
      </c>
      <c r="C620" s="1" t="s">
        <v>3003</v>
      </c>
      <c r="D620" s="1">
        <v>1</v>
      </c>
      <c r="E620" s="1" t="s">
        <v>3004</v>
      </c>
    </row>
    <row r="621" spans="1:5" ht="15.75" customHeight="1" x14ac:dyDescent="0.2">
      <c r="A621" s="1">
        <v>45195</v>
      </c>
      <c r="B621" s="1" t="s">
        <v>268</v>
      </c>
      <c r="C621" s="1" t="s">
        <v>3005</v>
      </c>
      <c r="D621" s="1">
        <v>2</v>
      </c>
      <c r="E621" s="1" t="s">
        <v>3006</v>
      </c>
    </row>
    <row r="622" spans="1:5" ht="15.75" customHeight="1" x14ac:dyDescent="0.2">
      <c r="A622" s="1">
        <v>60390</v>
      </c>
      <c r="B622" s="1" t="s">
        <v>90</v>
      </c>
      <c r="C622" s="1" t="s">
        <v>3007</v>
      </c>
      <c r="D622" s="1">
        <v>1</v>
      </c>
      <c r="E622" s="1" t="s">
        <v>3008</v>
      </c>
    </row>
    <row r="623" spans="1:5" ht="15.75" customHeight="1" x14ac:dyDescent="0.2">
      <c r="A623" s="1">
        <v>68135</v>
      </c>
      <c r="B623" s="1" t="s">
        <v>32</v>
      </c>
      <c r="C623" s="1" t="s">
        <v>3009</v>
      </c>
      <c r="D623" s="1">
        <v>2</v>
      </c>
      <c r="E623" s="1" t="s">
        <v>3010</v>
      </c>
    </row>
    <row r="624" spans="1:5" ht="15.75" customHeight="1" x14ac:dyDescent="0.2">
      <c r="A624" s="1">
        <v>219</v>
      </c>
      <c r="B624" s="1" t="s">
        <v>552</v>
      </c>
      <c r="C624" s="1" t="s">
        <v>3011</v>
      </c>
      <c r="D624" s="1">
        <v>1</v>
      </c>
      <c r="E624" s="1" t="s">
        <v>3012</v>
      </c>
    </row>
    <row r="625" spans="1:5" ht="15.75" customHeight="1" x14ac:dyDescent="0.2">
      <c r="A625" s="1">
        <v>43859</v>
      </c>
      <c r="B625" s="1" t="s">
        <v>394</v>
      </c>
      <c r="C625" s="1" t="s">
        <v>3013</v>
      </c>
      <c r="D625" s="1">
        <v>2</v>
      </c>
      <c r="E625" s="1" t="s">
        <v>3014</v>
      </c>
    </row>
    <row r="626" spans="1:5" ht="15.75" customHeight="1" x14ac:dyDescent="0.2">
      <c r="A626" s="1">
        <v>39369</v>
      </c>
      <c r="B626" s="1" t="s">
        <v>11</v>
      </c>
      <c r="C626" s="1" t="s">
        <v>3015</v>
      </c>
      <c r="D626" s="1">
        <v>2</v>
      </c>
      <c r="E626" s="1" t="s">
        <v>3016</v>
      </c>
    </row>
    <row r="627" spans="1:5" ht="15.75" customHeight="1" x14ac:dyDescent="0.2">
      <c r="A627" s="1">
        <v>29298</v>
      </c>
      <c r="B627" s="1" t="s">
        <v>1021</v>
      </c>
      <c r="C627" s="1" t="s">
        <v>3017</v>
      </c>
      <c r="D627" s="1">
        <v>2</v>
      </c>
      <c r="E627" s="1" t="s">
        <v>3018</v>
      </c>
    </row>
    <row r="628" spans="1:5" ht="15.75" customHeight="1" x14ac:dyDescent="0.2">
      <c r="A628" s="1">
        <v>70608</v>
      </c>
      <c r="B628" s="1" t="s">
        <v>3019</v>
      </c>
      <c r="C628" s="1" t="s">
        <v>3020</v>
      </c>
      <c r="D628" s="1">
        <v>2</v>
      </c>
      <c r="E628" s="1" t="s">
        <v>3021</v>
      </c>
    </row>
    <row r="629" spans="1:5" ht="15.75" customHeight="1" x14ac:dyDescent="0.2">
      <c r="A629" s="1">
        <v>1261</v>
      </c>
      <c r="B629" s="1" t="s">
        <v>3022</v>
      </c>
      <c r="C629" s="1" t="s">
        <v>3023</v>
      </c>
      <c r="D629" s="1">
        <v>2</v>
      </c>
      <c r="E629" s="1" t="s">
        <v>3024</v>
      </c>
    </row>
    <row r="630" spans="1:5" ht="15.75" customHeight="1" x14ac:dyDescent="0.2">
      <c r="A630" s="1">
        <v>35730</v>
      </c>
      <c r="B630" s="1" t="s">
        <v>1189</v>
      </c>
      <c r="C630" s="1" t="s">
        <v>3025</v>
      </c>
      <c r="D630" s="1">
        <v>2</v>
      </c>
      <c r="E630" s="1" t="s">
        <v>3026</v>
      </c>
    </row>
    <row r="631" spans="1:5" ht="15.75" customHeight="1" x14ac:dyDescent="0.2">
      <c r="A631" s="1">
        <v>52528</v>
      </c>
      <c r="B631" s="1" t="s">
        <v>244</v>
      </c>
      <c r="C631" s="1" t="s">
        <v>3027</v>
      </c>
      <c r="D631" s="1">
        <v>2</v>
      </c>
      <c r="E631" s="1" t="s">
        <v>3028</v>
      </c>
    </row>
    <row r="632" spans="1:5" ht="15.75" customHeight="1" x14ac:dyDescent="0.2">
      <c r="A632" s="1">
        <v>801</v>
      </c>
      <c r="B632" s="1" t="s">
        <v>723</v>
      </c>
      <c r="C632" s="1" t="s">
        <v>3029</v>
      </c>
      <c r="D632" s="1">
        <v>1</v>
      </c>
      <c r="E632" s="1" t="s">
        <v>3030</v>
      </c>
    </row>
    <row r="633" spans="1:5" ht="15.75" customHeight="1" x14ac:dyDescent="0.2">
      <c r="A633" s="1">
        <v>27543</v>
      </c>
      <c r="B633" s="1" t="s">
        <v>23</v>
      </c>
      <c r="C633" s="1" t="s">
        <v>3031</v>
      </c>
      <c r="D633" s="1">
        <v>1</v>
      </c>
      <c r="E633" s="1" t="s">
        <v>3032</v>
      </c>
    </row>
    <row r="634" spans="1:5" ht="15.75" customHeight="1" x14ac:dyDescent="0.2">
      <c r="A634" s="1">
        <v>24510</v>
      </c>
      <c r="B634" s="1" t="s">
        <v>244</v>
      </c>
      <c r="C634" s="1" t="s">
        <v>3033</v>
      </c>
      <c r="D634" s="1">
        <v>2</v>
      </c>
      <c r="E634" s="1" t="s">
        <v>3034</v>
      </c>
    </row>
    <row r="635" spans="1:5" ht="15.75" customHeight="1" x14ac:dyDescent="0.2">
      <c r="A635" s="1">
        <v>63120</v>
      </c>
      <c r="B635" s="1" t="s">
        <v>32</v>
      </c>
      <c r="C635" s="1" t="s">
        <v>3035</v>
      </c>
      <c r="D635" s="1">
        <v>2</v>
      </c>
      <c r="E635" s="1" t="s">
        <v>3036</v>
      </c>
    </row>
    <row r="636" spans="1:5" ht="15.75" customHeight="1" x14ac:dyDescent="0.2">
      <c r="A636" s="1">
        <v>16272</v>
      </c>
      <c r="B636" s="1" t="s">
        <v>32</v>
      </c>
      <c r="C636" s="1" t="s">
        <v>3037</v>
      </c>
      <c r="D636" s="1">
        <v>2</v>
      </c>
      <c r="E636" s="1" t="s">
        <v>3038</v>
      </c>
    </row>
    <row r="637" spans="1:5" ht="15.75" customHeight="1" x14ac:dyDescent="0.2">
      <c r="A637" s="1">
        <v>69249</v>
      </c>
      <c r="B637" s="1" t="s">
        <v>1037</v>
      </c>
      <c r="C637" s="1" t="s">
        <v>3039</v>
      </c>
      <c r="D637" s="1">
        <v>1</v>
      </c>
      <c r="E637" s="1" t="s">
        <v>3040</v>
      </c>
    </row>
    <row r="638" spans="1:5" ht="15.75" customHeight="1" x14ac:dyDescent="0.2">
      <c r="A638" s="1">
        <v>17996</v>
      </c>
      <c r="B638" s="1" t="s">
        <v>866</v>
      </c>
      <c r="C638" s="1" t="s">
        <v>3041</v>
      </c>
      <c r="D638" s="1">
        <v>2</v>
      </c>
      <c r="E638" s="1" t="s">
        <v>3042</v>
      </c>
    </row>
    <row r="639" spans="1:5" ht="15.75" customHeight="1" x14ac:dyDescent="0.2">
      <c r="A639" s="1">
        <v>54725</v>
      </c>
      <c r="B639" s="1" t="s">
        <v>3043</v>
      </c>
      <c r="C639" s="1" t="s">
        <v>3044</v>
      </c>
      <c r="D639" s="1">
        <v>2</v>
      </c>
      <c r="E639" s="1" t="s">
        <v>3045</v>
      </c>
    </row>
    <row r="640" spans="1:5" ht="15.75" customHeight="1" x14ac:dyDescent="0.2">
      <c r="A640" s="1">
        <v>46241</v>
      </c>
      <c r="B640" s="1" t="s">
        <v>32</v>
      </c>
      <c r="C640" s="1" t="s">
        <v>3046</v>
      </c>
      <c r="D640" s="1">
        <v>2</v>
      </c>
      <c r="E640" s="1" t="s">
        <v>3047</v>
      </c>
    </row>
    <row r="641" spans="1:5" ht="15.75" customHeight="1" x14ac:dyDescent="0.2">
      <c r="A641" s="1">
        <v>23520</v>
      </c>
      <c r="B641" s="1" t="s">
        <v>639</v>
      </c>
      <c r="C641" s="1" t="s">
        <v>3048</v>
      </c>
      <c r="D641" s="1">
        <v>2</v>
      </c>
      <c r="E641" s="1" t="s">
        <v>3049</v>
      </c>
    </row>
    <row r="642" spans="1:5" ht="15.75" customHeight="1" x14ac:dyDescent="0.2">
      <c r="A642" s="1">
        <v>52208</v>
      </c>
      <c r="B642" s="1" t="s">
        <v>38</v>
      </c>
      <c r="C642" s="1" t="s">
        <v>3050</v>
      </c>
      <c r="D642" s="1">
        <v>2</v>
      </c>
      <c r="E642" s="1" t="s">
        <v>3051</v>
      </c>
    </row>
    <row r="643" spans="1:5" ht="15.75" customHeight="1" x14ac:dyDescent="0.2">
      <c r="A643" s="1">
        <v>6108</v>
      </c>
      <c r="B643" s="1" t="s">
        <v>307</v>
      </c>
      <c r="C643" s="1" t="s">
        <v>3052</v>
      </c>
      <c r="D643" s="1">
        <v>2</v>
      </c>
      <c r="E643" s="1" t="s">
        <v>3053</v>
      </c>
    </row>
    <row r="644" spans="1:5" ht="15.75" customHeight="1" x14ac:dyDescent="0.2">
      <c r="A644" s="1">
        <v>63571</v>
      </c>
      <c r="B644" s="1" t="s">
        <v>3054</v>
      </c>
      <c r="C644" s="1" t="s">
        <v>3055</v>
      </c>
      <c r="D644" s="1">
        <v>2</v>
      </c>
      <c r="E644" s="1" t="s">
        <v>3056</v>
      </c>
    </row>
    <row r="645" spans="1:5" ht="15.75" customHeight="1" x14ac:dyDescent="0.2">
      <c r="A645" s="1">
        <v>9902</v>
      </c>
      <c r="B645" s="1" t="s">
        <v>254</v>
      </c>
      <c r="C645" s="1" t="s">
        <v>3057</v>
      </c>
      <c r="D645" s="1">
        <v>2</v>
      </c>
      <c r="E645" s="1" t="s">
        <v>3058</v>
      </c>
    </row>
    <row r="646" spans="1:5" ht="15.75" customHeight="1" x14ac:dyDescent="0.2">
      <c r="A646" s="1">
        <v>20770</v>
      </c>
      <c r="B646" s="1" t="s">
        <v>3059</v>
      </c>
      <c r="C646" s="1" t="s">
        <v>3060</v>
      </c>
      <c r="D646" s="1">
        <v>2</v>
      </c>
      <c r="E646" s="1" t="s">
        <v>3061</v>
      </c>
    </row>
    <row r="647" spans="1:5" ht="15.75" customHeight="1" x14ac:dyDescent="0.2">
      <c r="A647" s="1">
        <v>3219</v>
      </c>
      <c r="B647" s="1" t="s">
        <v>307</v>
      </c>
      <c r="C647" s="1" t="s">
        <v>3062</v>
      </c>
      <c r="D647" s="1">
        <v>2</v>
      </c>
      <c r="E647" s="1" t="s">
        <v>3063</v>
      </c>
    </row>
    <row r="648" spans="1:5" ht="15.75" customHeight="1" x14ac:dyDescent="0.2">
      <c r="A648" s="1">
        <v>58045</v>
      </c>
      <c r="B648" s="1" t="s">
        <v>103</v>
      </c>
      <c r="C648" s="1" t="s">
        <v>3064</v>
      </c>
      <c r="D648" s="1">
        <v>2</v>
      </c>
      <c r="E648" s="1" t="s">
        <v>3065</v>
      </c>
    </row>
    <row r="649" spans="1:5" ht="15.75" customHeight="1" x14ac:dyDescent="0.2">
      <c r="A649" s="1">
        <v>30122</v>
      </c>
      <c r="B649" s="1" t="s">
        <v>485</v>
      </c>
      <c r="C649" s="1" t="s">
        <v>3066</v>
      </c>
      <c r="D649" s="1">
        <v>1</v>
      </c>
      <c r="E649" s="1" t="s">
        <v>3067</v>
      </c>
    </row>
    <row r="650" spans="1:5" ht="15.75" customHeight="1" x14ac:dyDescent="0.2">
      <c r="A650" s="1">
        <v>56590</v>
      </c>
      <c r="B650" s="1" t="s">
        <v>135</v>
      </c>
      <c r="C650" s="1" t="s">
        <v>3068</v>
      </c>
      <c r="D650" s="1">
        <v>1</v>
      </c>
      <c r="E650" s="1" t="s">
        <v>3069</v>
      </c>
    </row>
    <row r="651" spans="1:5" ht="15.75" customHeight="1" x14ac:dyDescent="0.2">
      <c r="A651" s="1">
        <v>49736</v>
      </c>
      <c r="B651" s="1" t="s">
        <v>3070</v>
      </c>
      <c r="C651" s="1" t="s">
        <v>3071</v>
      </c>
      <c r="D651" s="1">
        <v>2</v>
      </c>
      <c r="E651" s="1" t="s">
        <v>3072</v>
      </c>
    </row>
    <row r="652" spans="1:5" ht="15.75" customHeight="1" x14ac:dyDescent="0.2">
      <c r="A652" s="1">
        <v>15030</v>
      </c>
      <c r="B652" s="1" t="s">
        <v>1458</v>
      </c>
      <c r="C652" s="1" t="s">
        <v>3073</v>
      </c>
      <c r="D652" s="1">
        <v>2</v>
      </c>
      <c r="E652" s="1" t="s">
        <v>3074</v>
      </c>
    </row>
    <row r="653" spans="1:5" ht="15.75" customHeight="1" x14ac:dyDescent="0.2">
      <c r="A653" s="1">
        <v>18283</v>
      </c>
      <c r="B653" s="1" t="s">
        <v>3075</v>
      </c>
      <c r="C653" s="1" t="s">
        <v>3076</v>
      </c>
      <c r="D653" s="1">
        <v>2</v>
      </c>
      <c r="E653" s="1" t="s">
        <v>3077</v>
      </c>
    </row>
    <row r="654" spans="1:5" ht="15.75" customHeight="1" x14ac:dyDescent="0.2">
      <c r="A654" s="1">
        <v>31390</v>
      </c>
      <c r="B654" s="1" t="s">
        <v>2574</v>
      </c>
      <c r="C654" s="1" t="s">
        <v>3078</v>
      </c>
      <c r="D654" s="1">
        <v>1</v>
      </c>
      <c r="E654" s="1" t="s">
        <v>3079</v>
      </c>
    </row>
    <row r="655" spans="1:5" ht="15.75" customHeight="1" x14ac:dyDescent="0.2">
      <c r="A655" s="1">
        <v>44879</v>
      </c>
      <c r="B655" s="1" t="s">
        <v>87</v>
      </c>
      <c r="C655" s="1" t="s">
        <v>3080</v>
      </c>
      <c r="D655" s="1">
        <v>1</v>
      </c>
      <c r="E655" s="1" t="s">
        <v>3081</v>
      </c>
    </row>
    <row r="656" spans="1:5" ht="15.75" customHeight="1" x14ac:dyDescent="0.2">
      <c r="A656" s="1">
        <v>17685</v>
      </c>
      <c r="B656" s="1" t="s">
        <v>11</v>
      </c>
      <c r="C656" s="1" t="s">
        <v>3082</v>
      </c>
      <c r="D656" s="1">
        <v>2</v>
      </c>
      <c r="E656" s="1" t="s">
        <v>3083</v>
      </c>
    </row>
    <row r="657" spans="1:5" ht="15.75" customHeight="1" x14ac:dyDescent="0.2">
      <c r="A657" s="1">
        <v>41037</v>
      </c>
      <c r="B657" s="1" t="s">
        <v>233</v>
      </c>
      <c r="C657" s="1" t="s">
        <v>3084</v>
      </c>
      <c r="D657" s="1">
        <v>2</v>
      </c>
      <c r="E657" s="1" t="s">
        <v>3085</v>
      </c>
    </row>
    <row r="658" spans="1:5" ht="15.75" customHeight="1" x14ac:dyDescent="0.2">
      <c r="A658" s="1">
        <v>39012</v>
      </c>
      <c r="B658" s="1" t="s">
        <v>797</v>
      </c>
      <c r="C658" s="1" t="s">
        <v>3086</v>
      </c>
      <c r="D658" s="1">
        <v>2</v>
      </c>
      <c r="E658" s="1" t="s">
        <v>3087</v>
      </c>
    </row>
    <row r="659" spans="1:5" ht="15.75" customHeight="1" x14ac:dyDescent="0.2">
      <c r="A659" s="1">
        <v>8810</v>
      </c>
      <c r="B659" s="1" t="s">
        <v>3088</v>
      </c>
      <c r="C659" s="1" t="s">
        <v>3089</v>
      </c>
      <c r="D659" s="1">
        <v>2</v>
      </c>
      <c r="E659" s="1" t="s">
        <v>3090</v>
      </c>
    </row>
    <row r="660" spans="1:5" ht="15.75" customHeight="1" x14ac:dyDescent="0.2">
      <c r="A660" s="1">
        <v>47855</v>
      </c>
      <c r="B660" s="1" t="s">
        <v>701</v>
      </c>
      <c r="C660" s="1" t="s">
        <v>3091</v>
      </c>
      <c r="D660" s="1">
        <v>2</v>
      </c>
      <c r="E660" s="1" t="s">
        <v>3092</v>
      </c>
    </row>
    <row r="661" spans="1:5" ht="15.75" customHeight="1" x14ac:dyDescent="0.2">
      <c r="A661" s="1">
        <v>42981</v>
      </c>
      <c r="B661" s="1" t="s">
        <v>2366</v>
      </c>
      <c r="C661" s="1" t="s">
        <v>3093</v>
      </c>
      <c r="D661" s="1">
        <v>2</v>
      </c>
      <c r="E661" s="1" t="s">
        <v>3094</v>
      </c>
    </row>
    <row r="662" spans="1:5" ht="15.75" customHeight="1" x14ac:dyDescent="0.2">
      <c r="A662" s="1">
        <v>32878</v>
      </c>
      <c r="B662" s="1" t="s">
        <v>552</v>
      </c>
      <c r="C662" s="1" t="s">
        <v>3095</v>
      </c>
      <c r="D662" s="1">
        <v>1</v>
      </c>
      <c r="E662" s="1" t="s">
        <v>3096</v>
      </c>
    </row>
    <row r="663" spans="1:5" ht="15.75" customHeight="1" x14ac:dyDescent="0.2">
      <c r="A663" s="1">
        <v>68834</v>
      </c>
      <c r="B663" s="1" t="s">
        <v>3097</v>
      </c>
      <c r="C663" s="1" t="s">
        <v>3098</v>
      </c>
      <c r="D663" s="1">
        <v>2</v>
      </c>
      <c r="E663" s="1" t="s">
        <v>3099</v>
      </c>
    </row>
    <row r="664" spans="1:5" ht="15.75" customHeight="1" x14ac:dyDescent="0.2">
      <c r="A664" s="1">
        <v>18562</v>
      </c>
      <c r="B664" s="1" t="s">
        <v>167</v>
      </c>
      <c r="C664" s="1" t="s">
        <v>3100</v>
      </c>
      <c r="D664" s="1">
        <v>2</v>
      </c>
      <c r="E664" s="1" t="s">
        <v>3101</v>
      </c>
    </row>
    <row r="665" spans="1:5" ht="15.75" customHeight="1" x14ac:dyDescent="0.2">
      <c r="A665" s="1">
        <v>34676</v>
      </c>
      <c r="B665" s="1" t="s">
        <v>3102</v>
      </c>
      <c r="C665" s="1" t="s">
        <v>3103</v>
      </c>
      <c r="D665" s="1">
        <v>2</v>
      </c>
      <c r="E665" s="1" t="s">
        <v>3104</v>
      </c>
    </row>
    <row r="666" spans="1:5" ht="15.75" customHeight="1" x14ac:dyDescent="0.2">
      <c r="A666" s="1">
        <v>13228</v>
      </c>
      <c r="B666" s="1" t="s">
        <v>485</v>
      </c>
      <c r="C666" s="1" t="s">
        <v>3105</v>
      </c>
      <c r="D666" s="1">
        <v>1</v>
      </c>
      <c r="E666" s="1" t="s">
        <v>3106</v>
      </c>
    </row>
    <row r="667" spans="1:5" ht="15.75" customHeight="1" x14ac:dyDescent="0.2">
      <c r="A667" s="1">
        <v>53476</v>
      </c>
      <c r="B667" s="1" t="s">
        <v>1028</v>
      </c>
      <c r="C667" s="1" t="s">
        <v>3107</v>
      </c>
      <c r="D667" s="1">
        <v>1</v>
      </c>
      <c r="E667" s="1" t="s">
        <v>3108</v>
      </c>
    </row>
    <row r="668" spans="1:5" ht="15.75" customHeight="1" x14ac:dyDescent="0.2">
      <c r="A668" s="1">
        <v>48000</v>
      </c>
      <c r="B668" s="1" t="s">
        <v>527</v>
      </c>
      <c r="C668" s="1" t="s">
        <v>3109</v>
      </c>
      <c r="D668" s="1">
        <v>1</v>
      </c>
      <c r="E668" s="1" t="s">
        <v>3110</v>
      </c>
    </row>
    <row r="669" spans="1:5" ht="15.75" customHeight="1" x14ac:dyDescent="0.2"/>
    <row r="670" spans="1:5" ht="15.75" customHeight="1" x14ac:dyDescent="0.2"/>
    <row r="671" spans="1:5" ht="15.75" customHeight="1" x14ac:dyDescent="0.2"/>
    <row r="672" spans="1:5"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4.5" defaultRowHeight="15" customHeight="1" x14ac:dyDescent="0.2"/>
  <cols>
    <col min="1" max="1" width="8.6640625" customWidth="1"/>
    <col min="2" max="2" width="0.5" customWidth="1"/>
    <col min="3" max="3" width="184.5" customWidth="1"/>
    <col min="4" max="4" width="11.6640625" customWidth="1"/>
    <col min="5" max="26" width="8.6640625" customWidth="1"/>
  </cols>
  <sheetData>
    <row r="1" spans="1:6" x14ac:dyDescent="0.2">
      <c r="A1" s="2" t="s">
        <v>2</v>
      </c>
      <c r="B1" s="2" t="s">
        <v>3</v>
      </c>
      <c r="C1" s="2" t="s">
        <v>4</v>
      </c>
      <c r="D1" s="2" t="s">
        <v>5</v>
      </c>
      <c r="E1" s="2" t="s">
        <v>6</v>
      </c>
      <c r="F1" s="2" t="s">
        <v>7</v>
      </c>
    </row>
    <row r="2" spans="1:6" x14ac:dyDescent="0.2">
      <c r="A2" s="1">
        <v>18819</v>
      </c>
      <c r="B2" s="1" t="s">
        <v>394</v>
      </c>
      <c r="C2" s="1" t="s">
        <v>3111</v>
      </c>
      <c r="D2" s="1">
        <v>1</v>
      </c>
      <c r="E2" s="1" t="s">
        <v>3112</v>
      </c>
    </row>
    <row r="3" spans="1:6" x14ac:dyDescent="0.2">
      <c r="A3" s="1">
        <v>52555</v>
      </c>
      <c r="B3" s="1" t="s">
        <v>377</v>
      </c>
      <c r="C3" s="1" t="s">
        <v>3113</v>
      </c>
      <c r="D3" s="1">
        <v>2</v>
      </c>
      <c r="E3" s="1" t="s">
        <v>3114</v>
      </c>
    </row>
    <row r="4" spans="1:6" x14ac:dyDescent="0.2">
      <c r="A4" s="1">
        <v>6800</v>
      </c>
      <c r="B4" s="1" t="s">
        <v>1501</v>
      </c>
      <c r="C4" s="1" t="s">
        <v>3115</v>
      </c>
      <c r="D4" s="1">
        <v>2</v>
      </c>
      <c r="E4" s="1" t="s">
        <v>3116</v>
      </c>
    </row>
    <row r="5" spans="1:6" x14ac:dyDescent="0.2">
      <c r="A5" s="1">
        <v>49628</v>
      </c>
      <c r="B5" s="1" t="s">
        <v>167</v>
      </c>
      <c r="C5" s="1" t="s">
        <v>3117</v>
      </c>
      <c r="D5" s="1">
        <v>1</v>
      </c>
      <c r="E5" s="1" t="s">
        <v>3118</v>
      </c>
    </row>
    <row r="6" spans="1:6" x14ac:dyDescent="0.2">
      <c r="A6" s="1">
        <v>11084</v>
      </c>
      <c r="B6" s="1" t="s">
        <v>244</v>
      </c>
      <c r="C6" s="1" t="s">
        <v>3119</v>
      </c>
      <c r="D6" s="1">
        <v>1</v>
      </c>
      <c r="E6" s="1" t="s">
        <v>3120</v>
      </c>
    </row>
    <row r="7" spans="1:6" x14ac:dyDescent="0.2">
      <c r="A7" s="1">
        <v>10092</v>
      </c>
      <c r="B7" s="1" t="s">
        <v>1841</v>
      </c>
      <c r="C7" s="1" t="s">
        <v>3121</v>
      </c>
      <c r="D7" s="1">
        <v>2</v>
      </c>
      <c r="E7" s="1" t="s">
        <v>3122</v>
      </c>
    </row>
    <row r="8" spans="1:6" x14ac:dyDescent="0.2">
      <c r="A8" s="1">
        <v>53052</v>
      </c>
      <c r="B8" s="1" t="s">
        <v>1929</v>
      </c>
      <c r="C8" s="1" t="s">
        <v>3123</v>
      </c>
      <c r="D8" s="1">
        <v>2</v>
      </c>
      <c r="E8" s="1" t="s">
        <v>3124</v>
      </c>
    </row>
    <row r="9" spans="1:6" x14ac:dyDescent="0.2">
      <c r="A9" s="1">
        <v>56205</v>
      </c>
      <c r="B9" s="1" t="s">
        <v>172</v>
      </c>
      <c r="C9" s="1" t="s">
        <v>3125</v>
      </c>
      <c r="D9" s="1">
        <v>2</v>
      </c>
      <c r="E9" s="1" t="s">
        <v>3126</v>
      </c>
    </row>
    <row r="10" spans="1:6" x14ac:dyDescent="0.2">
      <c r="A10" s="1">
        <v>21988</v>
      </c>
      <c r="B10" s="1" t="s">
        <v>38</v>
      </c>
      <c r="C10" s="1" t="s">
        <v>3127</v>
      </c>
      <c r="D10" s="1">
        <v>2</v>
      </c>
      <c r="E10" s="1" t="s">
        <v>3128</v>
      </c>
    </row>
    <row r="11" spans="1:6" x14ac:dyDescent="0.2">
      <c r="A11" s="1">
        <v>6902</v>
      </c>
      <c r="B11" s="1" t="s">
        <v>2276</v>
      </c>
      <c r="C11" s="1" t="s">
        <v>3129</v>
      </c>
      <c r="D11" s="1">
        <v>1</v>
      </c>
      <c r="E11" s="1" t="s">
        <v>3130</v>
      </c>
    </row>
    <row r="12" spans="1:6" x14ac:dyDescent="0.2">
      <c r="A12" s="1">
        <v>34899</v>
      </c>
      <c r="B12" s="1" t="s">
        <v>167</v>
      </c>
      <c r="C12" s="1" t="s">
        <v>3131</v>
      </c>
      <c r="D12" s="1">
        <v>1</v>
      </c>
      <c r="E12" s="1" t="s">
        <v>3132</v>
      </c>
    </row>
    <row r="13" spans="1:6" x14ac:dyDescent="0.2">
      <c r="A13" s="1">
        <v>52222</v>
      </c>
      <c r="B13" s="1" t="s">
        <v>282</v>
      </c>
      <c r="C13" s="1" t="s">
        <v>3133</v>
      </c>
      <c r="D13" s="1">
        <v>2</v>
      </c>
      <c r="E13" s="1" t="s">
        <v>3134</v>
      </c>
    </row>
    <row r="14" spans="1:6" x14ac:dyDescent="0.2">
      <c r="A14" s="1">
        <v>24821</v>
      </c>
      <c r="B14" s="1" t="s">
        <v>422</v>
      </c>
      <c r="C14" s="1" t="s">
        <v>3135</v>
      </c>
      <c r="D14" s="1">
        <v>1</v>
      </c>
      <c r="E14" s="1" t="s">
        <v>3136</v>
      </c>
    </row>
    <row r="15" spans="1:6" x14ac:dyDescent="0.2">
      <c r="A15" s="1">
        <v>66791</v>
      </c>
      <c r="B15" s="1" t="s">
        <v>188</v>
      </c>
      <c r="C15" s="1" t="s">
        <v>3137</v>
      </c>
      <c r="D15" s="1">
        <v>1</v>
      </c>
      <c r="E15" s="1" t="s">
        <v>3138</v>
      </c>
    </row>
    <row r="16" spans="1:6" x14ac:dyDescent="0.2">
      <c r="A16" s="1">
        <v>31935</v>
      </c>
      <c r="B16" s="1" t="s">
        <v>32</v>
      </c>
      <c r="C16" s="1" t="s">
        <v>3139</v>
      </c>
      <c r="D16" s="1">
        <v>1</v>
      </c>
      <c r="E16" s="1" t="s">
        <v>3140</v>
      </c>
    </row>
    <row r="17" spans="1:5" x14ac:dyDescent="0.2">
      <c r="A17" s="1">
        <v>22420</v>
      </c>
      <c r="B17" s="1" t="s">
        <v>276</v>
      </c>
      <c r="C17" s="1" t="s">
        <v>3141</v>
      </c>
      <c r="D17" s="1">
        <v>1</v>
      </c>
      <c r="E17" s="1" t="s">
        <v>3142</v>
      </c>
    </row>
    <row r="18" spans="1:5" x14ac:dyDescent="0.2">
      <c r="A18" s="1">
        <v>18990</v>
      </c>
      <c r="B18" s="1" t="s">
        <v>408</v>
      </c>
      <c r="C18" s="1" t="s">
        <v>3143</v>
      </c>
      <c r="D18" s="1">
        <v>2</v>
      </c>
      <c r="E18" s="1" t="s">
        <v>3144</v>
      </c>
    </row>
    <row r="19" spans="1:5" x14ac:dyDescent="0.2">
      <c r="A19" s="1">
        <v>25465</v>
      </c>
      <c r="B19" s="1" t="s">
        <v>1102</v>
      </c>
      <c r="C19" s="1" t="s">
        <v>3145</v>
      </c>
      <c r="D19" s="1">
        <v>1</v>
      </c>
      <c r="E19" s="1" t="s">
        <v>3146</v>
      </c>
    </row>
    <row r="20" spans="1:5" x14ac:dyDescent="0.2">
      <c r="A20" s="1">
        <v>65927</v>
      </c>
      <c r="B20" s="1" t="s">
        <v>969</v>
      </c>
      <c r="C20" s="1" t="s">
        <v>3147</v>
      </c>
      <c r="D20" s="1">
        <v>2</v>
      </c>
      <c r="E20" s="1" t="s">
        <v>3148</v>
      </c>
    </row>
    <row r="21" spans="1:5" ht="15.75" customHeight="1" x14ac:dyDescent="0.2">
      <c r="A21" s="1">
        <v>40156</v>
      </c>
      <c r="B21" s="1" t="s">
        <v>848</v>
      </c>
      <c r="C21" s="1" t="s">
        <v>3149</v>
      </c>
      <c r="D21" s="1">
        <v>2</v>
      </c>
      <c r="E21" s="1" t="s">
        <v>3150</v>
      </c>
    </row>
    <row r="22" spans="1:5" ht="15.75" customHeight="1" x14ac:dyDescent="0.2">
      <c r="A22" s="1">
        <v>18207</v>
      </c>
      <c r="B22" s="1" t="s">
        <v>723</v>
      </c>
      <c r="C22" s="1" t="s">
        <v>3151</v>
      </c>
      <c r="D22" s="1">
        <v>2</v>
      </c>
      <c r="E22" s="1" t="s">
        <v>3152</v>
      </c>
    </row>
    <row r="23" spans="1:5" ht="15.75" customHeight="1" x14ac:dyDescent="0.2">
      <c r="A23" s="1">
        <v>55148</v>
      </c>
      <c r="B23" s="1" t="s">
        <v>159</v>
      </c>
      <c r="C23" s="1" t="s">
        <v>3153</v>
      </c>
      <c r="D23" s="1">
        <v>2</v>
      </c>
      <c r="E23" s="1" t="s">
        <v>3154</v>
      </c>
    </row>
    <row r="24" spans="1:5" ht="15.75" customHeight="1" x14ac:dyDescent="0.2">
      <c r="A24" s="1">
        <v>69371</v>
      </c>
      <c r="B24" s="1" t="s">
        <v>144</v>
      </c>
      <c r="C24" s="1" t="s">
        <v>3155</v>
      </c>
      <c r="D24" s="1">
        <v>1</v>
      </c>
      <c r="E24" s="1" t="s">
        <v>3156</v>
      </c>
    </row>
    <row r="25" spans="1:5" ht="15.75" customHeight="1" x14ac:dyDescent="0.2">
      <c r="A25" s="1">
        <v>48532</v>
      </c>
      <c r="B25" s="1" t="s">
        <v>969</v>
      </c>
      <c r="C25" s="1" t="s">
        <v>3157</v>
      </c>
      <c r="D25" s="1">
        <v>2</v>
      </c>
      <c r="E25" s="1" t="s">
        <v>3158</v>
      </c>
    </row>
    <row r="26" spans="1:5" ht="15.75" customHeight="1" x14ac:dyDescent="0.2">
      <c r="A26" s="1">
        <v>50239</v>
      </c>
      <c r="B26" s="1" t="s">
        <v>3159</v>
      </c>
      <c r="C26" s="1" t="s">
        <v>3160</v>
      </c>
      <c r="D26" s="1">
        <v>2</v>
      </c>
      <c r="E26" s="1" t="s">
        <v>3161</v>
      </c>
    </row>
    <row r="27" spans="1:5" ht="15.75" customHeight="1" x14ac:dyDescent="0.2">
      <c r="A27" s="1">
        <v>39990</v>
      </c>
      <c r="B27" s="1" t="s">
        <v>805</v>
      </c>
      <c r="C27" s="1" t="s">
        <v>3162</v>
      </c>
      <c r="D27" s="1">
        <v>1</v>
      </c>
      <c r="E27" s="1" t="s">
        <v>3163</v>
      </c>
    </row>
    <row r="28" spans="1:5" ht="15.75" customHeight="1" x14ac:dyDescent="0.2">
      <c r="A28" s="1">
        <v>20449</v>
      </c>
      <c r="B28" s="1" t="s">
        <v>2797</v>
      </c>
      <c r="C28" s="1" t="s">
        <v>3164</v>
      </c>
      <c r="D28" s="1">
        <v>1</v>
      </c>
      <c r="E28" s="1" t="s">
        <v>3165</v>
      </c>
    </row>
    <row r="29" spans="1:5" ht="15.75" customHeight="1" x14ac:dyDescent="0.2">
      <c r="A29" s="1">
        <v>47576</v>
      </c>
      <c r="B29" s="1" t="s">
        <v>336</v>
      </c>
      <c r="C29" s="1" t="s">
        <v>3166</v>
      </c>
      <c r="D29" s="1">
        <v>2</v>
      </c>
      <c r="E29" s="1" t="s">
        <v>3167</v>
      </c>
    </row>
    <row r="30" spans="1:5" ht="15.75" customHeight="1" x14ac:dyDescent="0.2">
      <c r="A30" s="1">
        <v>68902</v>
      </c>
      <c r="B30" s="1" t="s">
        <v>3168</v>
      </c>
      <c r="C30" s="1" t="s">
        <v>3169</v>
      </c>
      <c r="D30" s="1">
        <v>1</v>
      </c>
      <c r="E30" s="1" t="s">
        <v>3170</v>
      </c>
    </row>
    <row r="31" spans="1:5" ht="15.75" customHeight="1" x14ac:dyDescent="0.2">
      <c r="A31" s="1">
        <v>36093</v>
      </c>
      <c r="B31" s="1" t="s">
        <v>797</v>
      </c>
      <c r="C31" s="1" t="s">
        <v>3171</v>
      </c>
      <c r="D31" s="1">
        <v>2</v>
      </c>
      <c r="E31" s="1" t="s">
        <v>3172</v>
      </c>
    </row>
    <row r="32" spans="1:5" ht="15.75" customHeight="1" x14ac:dyDescent="0.2">
      <c r="A32" s="1">
        <v>56130</v>
      </c>
      <c r="B32" s="1" t="s">
        <v>11</v>
      </c>
      <c r="C32" s="1" t="s">
        <v>3173</v>
      </c>
      <c r="D32" s="1">
        <v>1</v>
      </c>
      <c r="E32" s="1" t="s">
        <v>3174</v>
      </c>
    </row>
    <row r="33" spans="1:5" ht="15.75" customHeight="1" x14ac:dyDescent="0.2">
      <c r="A33" s="1">
        <v>13575</v>
      </c>
      <c r="B33" s="1" t="s">
        <v>11</v>
      </c>
      <c r="C33" s="1" t="s">
        <v>3175</v>
      </c>
      <c r="D33" s="1">
        <v>1</v>
      </c>
      <c r="E33" s="1" t="s">
        <v>3176</v>
      </c>
    </row>
    <row r="34" spans="1:5" ht="15.75" customHeight="1" x14ac:dyDescent="0.2">
      <c r="A34" s="1">
        <v>21321</v>
      </c>
      <c r="B34" s="1" t="s">
        <v>1075</v>
      </c>
      <c r="C34" s="1" t="s">
        <v>3177</v>
      </c>
      <c r="D34" s="1">
        <v>1</v>
      </c>
      <c r="E34" s="1" t="s">
        <v>3178</v>
      </c>
    </row>
    <row r="35" spans="1:5" ht="15.75" customHeight="1" x14ac:dyDescent="0.2">
      <c r="A35" s="1">
        <v>12303</v>
      </c>
      <c r="B35" s="1" t="s">
        <v>32</v>
      </c>
      <c r="C35" s="1" t="s">
        <v>3179</v>
      </c>
      <c r="D35" s="1">
        <v>1</v>
      </c>
      <c r="E35" s="1" t="s">
        <v>3180</v>
      </c>
    </row>
    <row r="36" spans="1:5" ht="15.75" customHeight="1" x14ac:dyDescent="0.2">
      <c r="A36" s="1">
        <v>8549</v>
      </c>
      <c r="B36" s="1" t="s">
        <v>191</v>
      </c>
      <c r="C36" s="1" t="s">
        <v>3181</v>
      </c>
      <c r="D36" s="1">
        <v>2</v>
      </c>
      <c r="E36" s="1" t="s">
        <v>3182</v>
      </c>
    </row>
    <row r="37" spans="1:5" ht="15.75" customHeight="1" x14ac:dyDescent="0.2">
      <c r="A37" s="1">
        <v>9194</v>
      </c>
      <c r="B37" s="1" t="s">
        <v>490</v>
      </c>
      <c r="C37" s="1" t="s">
        <v>3183</v>
      </c>
      <c r="D37" s="1">
        <v>2</v>
      </c>
      <c r="E37" s="1" t="s">
        <v>3184</v>
      </c>
    </row>
    <row r="38" spans="1:5" ht="15.75" customHeight="1" x14ac:dyDescent="0.2">
      <c r="A38" s="1">
        <v>54703</v>
      </c>
      <c r="B38" s="1" t="s">
        <v>969</v>
      </c>
      <c r="C38" s="1" t="s">
        <v>3185</v>
      </c>
      <c r="D38" s="1">
        <v>2</v>
      </c>
      <c r="E38" s="1" t="s">
        <v>3186</v>
      </c>
    </row>
    <row r="39" spans="1:5" ht="15.75" customHeight="1" x14ac:dyDescent="0.2">
      <c r="A39" s="1">
        <v>34754</v>
      </c>
      <c r="B39" s="1" t="s">
        <v>35</v>
      </c>
      <c r="C39" s="1" t="s">
        <v>3187</v>
      </c>
      <c r="D39" s="1">
        <v>2</v>
      </c>
      <c r="E39" s="1" t="s">
        <v>3188</v>
      </c>
    </row>
    <row r="40" spans="1:5" ht="15.75" customHeight="1" x14ac:dyDescent="0.2">
      <c r="A40" s="1">
        <v>36293</v>
      </c>
      <c r="B40" s="1" t="s">
        <v>3189</v>
      </c>
      <c r="C40" s="1" t="s">
        <v>3190</v>
      </c>
      <c r="D40" s="1">
        <v>1</v>
      </c>
      <c r="E40" s="1" t="s">
        <v>3191</v>
      </c>
    </row>
    <row r="41" spans="1:5" ht="15.75" customHeight="1" x14ac:dyDescent="0.2">
      <c r="A41" s="1">
        <v>4756</v>
      </c>
      <c r="B41" s="1" t="s">
        <v>3192</v>
      </c>
      <c r="C41" s="1" t="s">
        <v>3193</v>
      </c>
      <c r="D41" s="1">
        <v>1</v>
      </c>
      <c r="E41" s="1" t="s">
        <v>3194</v>
      </c>
    </row>
    <row r="42" spans="1:5" ht="15.75" customHeight="1" x14ac:dyDescent="0.2">
      <c r="A42" s="1">
        <v>27129</v>
      </c>
      <c r="B42" s="1" t="s">
        <v>14</v>
      </c>
      <c r="C42" s="1" t="s">
        <v>3195</v>
      </c>
      <c r="D42" s="1">
        <v>2</v>
      </c>
      <c r="E42" s="1" t="s">
        <v>3196</v>
      </c>
    </row>
    <row r="43" spans="1:5" ht="15.75" customHeight="1" x14ac:dyDescent="0.2">
      <c r="A43" s="1">
        <v>19761</v>
      </c>
      <c r="B43" s="1" t="s">
        <v>268</v>
      </c>
      <c r="C43" s="1" t="s">
        <v>3197</v>
      </c>
      <c r="D43" s="1">
        <v>2</v>
      </c>
      <c r="E43" s="1" t="s">
        <v>3198</v>
      </c>
    </row>
    <row r="44" spans="1:5" ht="15.75" customHeight="1" x14ac:dyDescent="0.2">
      <c r="A44" s="1">
        <v>38527</v>
      </c>
      <c r="B44" s="1" t="s">
        <v>23</v>
      </c>
      <c r="C44" s="1" t="s">
        <v>3199</v>
      </c>
      <c r="D44" s="1">
        <v>2</v>
      </c>
      <c r="E44" s="1" t="s">
        <v>3200</v>
      </c>
    </row>
    <row r="45" spans="1:5" ht="15.75" customHeight="1" x14ac:dyDescent="0.2">
      <c r="A45" s="1">
        <v>45497</v>
      </c>
      <c r="B45" s="1" t="s">
        <v>3201</v>
      </c>
      <c r="C45" s="1" t="s">
        <v>3202</v>
      </c>
      <c r="D45" s="1">
        <v>2</v>
      </c>
      <c r="E45" s="1" t="s">
        <v>3203</v>
      </c>
    </row>
    <row r="46" spans="1:5" ht="15.75" customHeight="1" x14ac:dyDescent="0.2">
      <c r="A46" s="1">
        <v>1259</v>
      </c>
      <c r="B46" s="1" t="s">
        <v>194</v>
      </c>
      <c r="C46" s="1" t="s">
        <v>3204</v>
      </c>
      <c r="D46" s="1">
        <v>2</v>
      </c>
      <c r="E46" s="1" t="s">
        <v>3205</v>
      </c>
    </row>
    <row r="47" spans="1:5" ht="15.75" customHeight="1" x14ac:dyDescent="0.2">
      <c r="A47" s="1">
        <v>49970</v>
      </c>
      <c r="B47" s="1" t="s">
        <v>838</v>
      </c>
      <c r="C47" s="1" t="s">
        <v>3206</v>
      </c>
      <c r="D47" s="1">
        <v>1</v>
      </c>
      <c r="E47" s="1" t="s">
        <v>3207</v>
      </c>
    </row>
    <row r="48" spans="1:5" ht="15.75" customHeight="1" x14ac:dyDescent="0.2">
      <c r="A48" s="1">
        <v>10588</v>
      </c>
      <c r="B48" s="1" t="s">
        <v>701</v>
      </c>
      <c r="C48" s="1" t="s">
        <v>3208</v>
      </c>
      <c r="D48" s="1">
        <v>2</v>
      </c>
      <c r="E48" s="1" t="s">
        <v>3209</v>
      </c>
    </row>
    <row r="49" spans="1:5" ht="15.75" customHeight="1" x14ac:dyDescent="0.2">
      <c r="A49" s="1">
        <v>68540</v>
      </c>
      <c r="B49" s="1" t="s">
        <v>32</v>
      </c>
      <c r="C49" s="1" t="s">
        <v>3210</v>
      </c>
      <c r="D49" s="1">
        <v>1</v>
      </c>
      <c r="E49" s="1" t="s">
        <v>3211</v>
      </c>
    </row>
    <row r="50" spans="1:5" ht="15.75" customHeight="1" x14ac:dyDescent="0.2">
      <c r="A50" s="1">
        <v>55486</v>
      </c>
      <c r="B50" s="1" t="s">
        <v>3212</v>
      </c>
      <c r="C50" s="1" t="s">
        <v>3213</v>
      </c>
      <c r="D50" s="1">
        <v>2</v>
      </c>
      <c r="E50" s="1" t="s">
        <v>3214</v>
      </c>
    </row>
    <row r="51" spans="1:5" ht="15.75" customHeight="1" x14ac:dyDescent="0.2">
      <c r="A51" s="1">
        <v>18031</v>
      </c>
      <c r="B51" s="1" t="s">
        <v>863</v>
      </c>
      <c r="C51" s="1" t="s">
        <v>3215</v>
      </c>
      <c r="D51" s="1">
        <v>1</v>
      </c>
      <c r="E51" s="1" t="s">
        <v>3216</v>
      </c>
    </row>
    <row r="52" spans="1:5" ht="15.75" customHeight="1" x14ac:dyDescent="0.2">
      <c r="A52" s="1">
        <v>15234</v>
      </c>
      <c r="B52" s="1" t="s">
        <v>552</v>
      </c>
      <c r="C52" s="1" t="s">
        <v>3217</v>
      </c>
      <c r="D52" s="1">
        <v>1</v>
      </c>
      <c r="E52" s="1" t="s">
        <v>3218</v>
      </c>
    </row>
    <row r="53" spans="1:5" ht="15.75" customHeight="1" x14ac:dyDescent="0.2">
      <c r="A53" s="1">
        <v>53920</v>
      </c>
      <c r="B53" s="1" t="s">
        <v>1175</v>
      </c>
      <c r="C53" s="1" t="s">
        <v>3219</v>
      </c>
      <c r="D53" s="1">
        <v>2</v>
      </c>
      <c r="E53" s="1" t="s">
        <v>3220</v>
      </c>
    </row>
    <row r="54" spans="1:5" ht="15.75" customHeight="1" x14ac:dyDescent="0.2">
      <c r="A54" s="1">
        <v>17329</v>
      </c>
      <c r="B54" s="1" t="s">
        <v>35</v>
      </c>
      <c r="C54" s="1" t="s">
        <v>3221</v>
      </c>
      <c r="D54" s="1">
        <v>2</v>
      </c>
      <c r="E54" s="1" t="s">
        <v>3222</v>
      </c>
    </row>
    <row r="55" spans="1:5" ht="15.75" customHeight="1" x14ac:dyDescent="0.2">
      <c r="A55" s="1">
        <v>18996</v>
      </c>
      <c r="B55" s="1" t="s">
        <v>2957</v>
      </c>
      <c r="C55" s="1" t="s">
        <v>3223</v>
      </c>
      <c r="D55" s="1">
        <v>1</v>
      </c>
      <c r="E55" s="1" t="s">
        <v>3224</v>
      </c>
    </row>
    <row r="56" spans="1:5" ht="15.75" customHeight="1" x14ac:dyDescent="0.2">
      <c r="A56" s="1">
        <v>70823</v>
      </c>
      <c r="B56" s="1" t="s">
        <v>3225</v>
      </c>
      <c r="C56" s="1" t="s">
        <v>3226</v>
      </c>
      <c r="D56" s="1">
        <v>2</v>
      </c>
      <c r="E56" s="1" t="s">
        <v>3227</v>
      </c>
    </row>
    <row r="57" spans="1:5" ht="15.75" customHeight="1" x14ac:dyDescent="0.2">
      <c r="A57" s="1">
        <v>46918</v>
      </c>
      <c r="B57" s="1" t="s">
        <v>3228</v>
      </c>
      <c r="C57" s="1" t="s">
        <v>3229</v>
      </c>
      <c r="D57" s="1">
        <v>2</v>
      </c>
      <c r="E57" s="1" t="s">
        <v>3230</v>
      </c>
    </row>
    <row r="58" spans="1:5" ht="15.75" customHeight="1" x14ac:dyDescent="0.2">
      <c r="A58" s="1">
        <v>48158</v>
      </c>
      <c r="B58" s="1" t="s">
        <v>533</v>
      </c>
      <c r="C58" s="1" t="s">
        <v>3231</v>
      </c>
      <c r="D58" s="1">
        <v>2</v>
      </c>
      <c r="E58" s="1" t="s">
        <v>3232</v>
      </c>
    </row>
    <row r="59" spans="1:5" ht="15.75" customHeight="1" x14ac:dyDescent="0.2">
      <c r="A59" s="1">
        <v>22323</v>
      </c>
      <c r="B59" s="1" t="s">
        <v>1921</v>
      </c>
      <c r="C59" s="1" t="s">
        <v>3233</v>
      </c>
      <c r="D59" s="1">
        <v>2</v>
      </c>
      <c r="E59" s="1" t="s">
        <v>3234</v>
      </c>
    </row>
    <row r="60" spans="1:5" ht="15.75" customHeight="1" x14ac:dyDescent="0.2">
      <c r="A60" s="1">
        <v>18940</v>
      </c>
      <c r="B60" s="1" t="s">
        <v>3235</v>
      </c>
      <c r="C60" s="1" t="s">
        <v>3236</v>
      </c>
      <c r="D60" s="1">
        <v>2</v>
      </c>
      <c r="E60" s="1" t="s">
        <v>3237</v>
      </c>
    </row>
    <row r="61" spans="1:5" ht="15.75" customHeight="1" x14ac:dyDescent="0.2">
      <c r="A61" s="1">
        <v>59434</v>
      </c>
      <c r="B61" s="1" t="s">
        <v>11</v>
      </c>
      <c r="C61" s="1" t="s">
        <v>3238</v>
      </c>
      <c r="D61" s="1">
        <v>2</v>
      </c>
      <c r="E61" s="1" t="s">
        <v>3239</v>
      </c>
    </row>
    <row r="62" spans="1:5" ht="15.75" customHeight="1" x14ac:dyDescent="0.2">
      <c r="A62" s="1">
        <v>57105</v>
      </c>
      <c r="B62" s="1" t="s">
        <v>3240</v>
      </c>
      <c r="C62" s="1" t="s">
        <v>3241</v>
      </c>
      <c r="D62" s="1">
        <v>2</v>
      </c>
      <c r="E62" s="1" t="s">
        <v>3242</v>
      </c>
    </row>
    <row r="63" spans="1:5" ht="15.75" customHeight="1" x14ac:dyDescent="0.2">
      <c r="A63" s="1">
        <v>6480</v>
      </c>
      <c r="B63" s="1" t="s">
        <v>336</v>
      </c>
      <c r="C63" s="1" t="s">
        <v>3243</v>
      </c>
      <c r="D63" s="1">
        <v>1</v>
      </c>
      <c r="E63" s="1" t="s">
        <v>3244</v>
      </c>
    </row>
    <row r="64" spans="1:5" ht="15.75" customHeight="1" x14ac:dyDescent="0.2">
      <c r="A64" s="1">
        <v>46079</v>
      </c>
      <c r="B64" s="1" t="s">
        <v>1347</v>
      </c>
      <c r="C64" s="1" t="s">
        <v>3245</v>
      </c>
      <c r="D64" s="1">
        <v>1</v>
      </c>
      <c r="E64" s="1" t="s">
        <v>3246</v>
      </c>
    </row>
    <row r="65" spans="1:5" ht="15.75" customHeight="1" x14ac:dyDescent="0.2">
      <c r="A65" s="1">
        <v>21347</v>
      </c>
      <c r="B65" s="1" t="s">
        <v>32</v>
      </c>
      <c r="C65" s="1" t="s">
        <v>3247</v>
      </c>
      <c r="D65" s="1">
        <v>1</v>
      </c>
      <c r="E65" s="1" t="s">
        <v>3248</v>
      </c>
    </row>
    <row r="66" spans="1:5" ht="15.75" customHeight="1" x14ac:dyDescent="0.2">
      <c r="A66" s="1">
        <v>21122</v>
      </c>
      <c r="B66" s="1" t="s">
        <v>32</v>
      </c>
      <c r="C66" s="1" t="s">
        <v>3249</v>
      </c>
      <c r="D66" s="1">
        <v>2</v>
      </c>
      <c r="E66" s="1" t="s">
        <v>3250</v>
      </c>
    </row>
    <row r="67" spans="1:5" ht="15.75" customHeight="1" x14ac:dyDescent="0.2">
      <c r="A67" s="1">
        <v>58286</v>
      </c>
      <c r="B67" s="1" t="s">
        <v>1814</v>
      </c>
      <c r="C67" s="1" t="s">
        <v>3251</v>
      </c>
      <c r="D67" s="1">
        <v>2</v>
      </c>
      <c r="E67" s="1" t="s">
        <v>3252</v>
      </c>
    </row>
    <row r="68" spans="1:5" ht="15.75" customHeight="1" x14ac:dyDescent="0.2">
      <c r="A68" s="1">
        <v>49647</v>
      </c>
      <c r="B68" s="1" t="s">
        <v>11</v>
      </c>
      <c r="C68" s="1" t="s">
        <v>3253</v>
      </c>
      <c r="D68" s="1">
        <v>2</v>
      </c>
      <c r="E68" s="1" t="s">
        <v>3254</v>
      </c>
    </row>
    <row r="69" spans="1:5" ht="15.75" customHeight="1" x14ac:dyDescent="0.2">
      <c r="A69" s="1">
        <v>3797</v>
      </c>
      <c r="B69" s="1" t="s">
        <v>713</v>
      </c>
      <c r="C69" s="1" t="s">
        <v>3255</v>
      </c>
      <c r="D69" s="1">
        <v>2</v>
      </c>
      <c r="E69" s="1" t="s">
        <v>3256</v>
      </c>
    </row>
    <row r="70" spans="1:5" ht="15.75" customHeight="1" x14ac:dyDescent="0.2">
      <c r="A70" s="1">
        <v>48079</v>
      </c>
      <c r="B70" s="1" t="s">
        <v>336</v>
      </c>
      <c r="C70" s="1" t="s">
        <v>3257</v>
      </c>
      <c r="D70" s="1">
        <v>1</v>
      </c>
      <c r="E70" s="1" t="s">
        <v>3258</v>
      </c>
    </row>
    <row r="71" spans="1:5" ht="15.75" customHeight="1" x14ac:dyDescent="0.2">
      <c r="A71" s="1">
        <v>7190</v>
      </c>
      <c r="B71" s="1" t="s">
        <v>103</v>
      </c>
      <c r="C71" s="1" t="s">
        <v>3259</v>
      </c>
      <c r="D71" s="1">
        <v>1</v>
      </c>
      <c r="E71" s="1" t="s">
        <v>3260</v>
      </c>
    </row>
    <row r="72" spans="1:5" ht="15.75" customHeight="1" x14ac:dyDescent="0.2">
      <c r="A72" s="1">
        <v>25367</v>
      </c>
      <c r="B72" s="1" t="s">
        <v>336</v>
      </c>
      <c r="C72" s="1" t="s">
        <v>3261</v>
      </c>
      <c r="D72" s="1">
        <v>1</v>
      </c>
      <c r="E72" s="1" t="s">
        <v>3262</v>
      </c>
    </row>
    <row r="73" spans="1:5" ht="15.75" customHeight="1" x14ac:dyDescent="0.2">
      <c r="A73" s="1">
        <v>20769</v>
      </c>
      <c r="B73" s="1" t="s">
        <v>106</v>
      </c>
      <c r="C73" s="1" t="s">
        <v>3263</v>
      </c>
      <c r="D73" s="1">
        <v>1</v>
      </c>
      <c r="E73" s="1" t="s">
        <v>3264</v>
      </c>
    </row>
    <row r="74" spans="1:5" ht="15.75" customHeight="1" x14ac:dyDescent="0.2">
      <c r="A74" s="1">
        <v>40128</v>
      </c>
      <c r="B74" s="1" t="s">
        <v>3059</v>
      </c>
      <c r="C74" s="1" t="s">
        <v>3265</v>
      </c>
      <c r="D74" s="1">
        <v>1</v>
      </c>
      <c r="E74" s="1" t="s">
        <v>3266</v>
      </c>
    </row>
    <row r="75" spans="1:5" ht="15.75" customHeight="1" x14ac:dyDescent="0.2">
      <c r="A75" s="1">
        <v>42584</v>
      </c>
      <c r="B75" s="1" t="s">
        <v>90</v>
      </c>
      <c r="C75" s="1" t="s">
        <v>3267</v>
      </c>
      <c r="D75" s="1">
        <v>2</v>
      </c>
      <c r="E75" s="1" t="s">
        <v>3268</v>
      </c>
    </row>
    <row r="76" spans="1:5" ht="15.75" customHeight="1" x14ac:dyDescent="0.2">
      <c r="A76" s="1">
        <v>34953</v>
      </c>
      <c r="B76" s="1" t="s">
        <v>1946</v>
      </c>
      <c r="C76" s="1" t="s">
        <v>3269</v>
      </c>
      <c r="D76" s="1">
        <v>2</v>
      </c>
      <c r="E76" s="1" t="s">
        <v>3270</v>
      </c>
    </row>
    <row r="77" spans="1:5" ht="15.75" customHeight="1" x14ac:dyDescent="0.2">
      <c r="A77" s="1">
        <v>34686</v>
      </c>
      <c r="B77" s="1" t="s">
        <v>1755</v>
      </c>
      <c r="C77" s="1" t="s">
        <v>3271</v>
      </c>
      <c r="D77" s="1">
        <v>2</v>
      </c>
      <c r="E77" s="1" t="s">
        <v>3272</v>
      </c>
    </row>
    <row r="78" spans="1:5" ht="15.75" customHeight="1" x14ac:dyDescent="0.2">
      <c r="A78" s="1">
        <v>35733</v>
      </c>
      <c r="B78" s="1" t="s">
        <v>991</v>
      </c>
      <c r="C78" s="1" t="s">
        <v>3273</v>
      </c>
      <c r="D78" s="1">
        <v>2</v>
      </c>
      <c r="E78" s="1" t="s">
        <v>3274</v>
      </c>
    </row>
    <row r="79" spans="1:5" ht="15.75" customHeight="1" x14ac:dyDescent="0.2">
      <c r="A79" s="1">
        <v>34635</v>
      </c>
      <c r="B79" s="1" t="s">
        <v>167</v>
      </c>
      <c r="C79" s="1" t="s">
        <v>3275</v>
      </c>
      <c r="D79" s="1">
        <v>2</v>
      </c>
      <c r="E79" s="1" t="s">
        <v>3276</v>
      </c>
    </row>
    <row r="80" spans="1:5" ht="15.75" customHeight="1" x14ac:dyDescent="0.2">
      <c r="A80" s="1">
        <v>70537</v>
      </c>
      <c r="B80" s="1" t="s">
        <v>3277</v>
      </c>
      <c r="C80" s="1" t="s">
        <v>3278</v>
      </c>
      <c r="D80" s="1">
        <v>2</v>
      </c>
      <c r="E80" s="1" t="s">
        <v>3279</v>
      </c>
    </row>
    <row r="81" spans="1:5" ht="15.75" customHeight="1" x14ac:dyDescent="0.2">
      <c r="A81" s="1">
        <v>53615</v>
      </c>
      <c r="B81" s="1" t="s">
        <v>2135</v>
      </c>
      <c r="C81" s="1" t="s">
        <v>3280</v>
      </c>
      <c r="D81" s="1">
        <v>2</v>
      </c>
      <c r="E81" s="1" t="s">
        <v>3281</v>
      </c>
    </row>
    <row r="82" spans="1:5" ht="15.75" customHeight="1" x14ac:dyDescent="0.2">
      <c r="A82" s="1">
        <v>41674</v>
      </c>
      <c r="B82" s="1" t="s">
        <v>3282</v>
      </c>
      <c r="C82" s="1" t="s">
        <v>3283</v>
      </c>
      <c r="D82" s="1">
        <v>1</v>
      </c>
      <c r="E82" s="1" t="s">
        <v>3284</v>
      </c>
    </row>
    <row r="83" spans="1:5" ht="15.75" customHeight="1" x14ac:dyDescent="0.2">
      <c r="A83" s="1">
        <v>69813</v>
      </c>
      <c r="B83" s="1" t="s">
        <v>188</v>
      </c>
      <c r="C83" s="1" t="s">
        <v>3285</v>
      </c>
      <c r="D83" s="1">
        <v>1</v>
      </c>
      <c r="E83" s="1" t="s">
        <v>3286</v>
      </c>
    </row>
    <row r="84" spans="1:5" ht="15.75" customHeight="1" x14ac:dyDescent="0.2">
      <c r="A84" s="1">
        <v>71677</v>
      </c>
      <c r="B84" s="1" t="s">
        <v>385</v>
      </c>
      <c r="C84" s="1" t="s">
        <v>3287</v>
      </c>
      <c r="D84" s="1">
        <v>2</v>
      </c>
      <c r="E84" s="1" t="s">
        <v>3288</v>
      </c>
    </row>
    <row r="85" spans="1:5" ht="15.75" customHeight="1" x14ac:dyDescent="0.2">
      <c r="A85" s="1">
        <v>16962</v>
      </c>
      <c r="B85" s="1" t="s">
        <v>524</v>
      </c>
      <c r="C85" s="1" t="s">
        <v>3289</v>
      </c>
      <c r="D85" s="1">
        <v>2</v>
      </c>
      <c r="E85" s="1" t="s">
        <v>3290</v>
      </c>
    </row>
    <row r="86" spans="1:5" ht="15.75" customHeight="1" x14ac:dyDescent="0.2">
      <c r="A86" s="1">
        <v>48139</v>
      </c>
      <c r="B86" s="1" t="s">
        <v>2957</v>
      </c>
      <c r="C86" s="1" t="s">
        <v>3291</v>
      </c>
      <c r="D86" s="1">
        <v>1</v>
      </c>
      <c r="E86" s="1" t="s">
        <v>3292</v>
      </c>
    </row>
    <row r="87" spans="1:5" ht="15.75" customHeight="1" x14ac:dyDescent="0.2">
      <c r="A87" s="1">
        <v>45216</v>
      </c>
      <c r="B87" s="1" t="s">
        <v>1290</v>
      </c>
      <c r="C87" s="1" t="s">
        <v>3293</v>
      </c>
      <c r="D87" s="1">
        <v>2</v>
      </c>
      <c r="E87" s="1" t="s">
        <v>3294</v>
      </c>
    </row>
    <row r="88" spans="1:5" ht="15.75" customHeight="1" x14ac:dyDescent="0.2">
      <c r="A88" s="1">
        <v>13932</v>
      </c>
      <c r="B88" s="1" t="s">
        <v>20</v>
      </c>
      <c r="C88" s="1" t="s">
        <v>3295</v>
      </c>
      <c r="D88" s="1">
        <v>2</v>
      </c>
      <c r="E88" s="1" t="s">
        <v>3296</v>
      </c>
    </row>
    <row r="89" spans="1:5" ht="15.75" customHeight="1" x14ac:dyDescent="0.2">
      <c r="A89" s="1">
        <v>63104</v>
      </c>
      <c r="B89" s="1" t="s">
        <v>405</v>
      </c>
      <c r="C89" s="1" t="s">
        <v>3297</v>
      </c>
      <c r="D89" s="1">
        <v>1</v>
      </c>
      <c r="E89" s="1" t="s">
        <v>3298</v>
      </c>
    </row>
    <row r="90" spans="1:5" ht="15.75" customHeight="1" x14ac:dyDescent="0.2">
      <c r="A90" s="1">
        <v>35534</v>
      </c>
      <c r="B90" s="1" t="s">
        <v>819</v>
      </c>
      <c r="C90" s="1" t="s">
        <v>3299</v>
      </c>
      <c r="D90" s="1">
        <v>1</v>
      </c>
      <c r="E90" s="1" t="s">
        <v>3300</v>
      </c>
    </row>
    <row r="91" spans="1:5" ht="15.75" customHeight="1" x14ac:dyDescent="0.2">
      <c r="A91" s="1">
        <v>6423</v>
      </c>
      <c r="B91" s="1" t="s">
        <v>78</v>
      </c>
      <c r="C91" s="1" t="s">
        <v>3301</v>
      </c>
      <c r="D91" s="1">
        <v>2</v>
      </c>
      <c r="E91" s="1" t="s">
        <v>3302</v>
      </c>
    </row>
    <row r="92" spans="1:5" ht="15.75" customHeight="1" x14ac:dyDescent="0.2">
      <c r="A92" s="1">
        <v>35988</v>
      </c>
      <c r="B92" s="1" t="s">
        <v>1686</v>
      </c>
      <c r="C92" s="1" t="s">
        <v>3303</v>
      </c>
      <c r="D92" s="1">
        <v>1</v>
      </c>
      <c r="E92" s="1" t="s">
        <v>3304</v>
      </c>
    </row>
    <row r="93" spans="1:5" ht="15.75" customHeight="1" x14ac:dyDescent="0.2">
      <c r="A93" s="1">
        <v>6708</v>
      </c>
      <c r="B93" s="1" t="s">
        <v>336</v>
      </c>
      <c r="C93" s="1" t="s">
        <v>3305</v>
      </c>
      <c r="D93" s="1">
        <v>2</v>
      </c>
      <c r="E93" s="1" t="s">
        <v>3306</v>
      </c>
    </row>
    <row r="94" spans="1:5" ht="15.75" customHeight="1" x14ac:dyDescent="0.2">
      <c r="A94" s="1">
        <v>1381</v>
      </c>
      <c r="B94" s="1" t="s">
        <v>215</v>
      </c>
      <c r="C94" s="1" t="s">
        <v>3307</v>
      </c>
      <c r="D94" s="1">
        <v>2</v>
      </c>
      <c r="E94" s="1" t="s">
        <v>3308</v>
      </c>
    </row>
    <row r="95" spans="1:5" ht="15.75" customHeight="1" x14ac:dyDescent="0.2">
      <c r="A95" s="1">
        <v>58366</v>
      </c>
      <c r="B95" s="1" t="s">
        <v>32</v>
      </c>
      <c r="C95" s="1" t="s">
        <v>3309</v>
      </c>
      <c r="D95" s="1">
        <v>2</v>
      </c>
      <c r="E95" s="1" t="s">
        <v>3310</v>
      </c>
    </row>
    <row r="96" spans="1:5" ht="15.75" customHeight="1" x14ac:dyDescent="0.2">
      <c r="A96" s="1">
        <v>60900</v>
      </c>
      <c r="B96" s="1" t="s">
        <v>636</v>
      </c>
      <c r="C96" s="1" t="s">
        <v>3311</v>
      </c>
      <c r="D96" s="1">
        <v>1</v>
      </c>
      <c r="E96" s="1" t="s">
        <v>3312</v>
      </c>
    </row>
    <row r="97" spans="1:5" ht="15.75" customHeight="1" x14ac:dyDescent="0.2">
      <c r="A97" s="1">
        <v>18106</v>
      </c>
      <c r="B97" s="1" t="s">
        <v>408</v>
      </c>
      <c r="C97" s="1" t="s">
        <v>3313</v>
      </c>
      <c r="D97" s="1">
        <v>2</v>
      </c>
      <c r="E97" s="1" t="s">
        <v>3314</v>
      </c>
    </row>
    <row r="98" spans="1:5" ht="15.75" customHeight="1" x14ac:dyDescent="0.2">
      <c r="A98" s="1">
        <v>49600</v>
      </c>
      <c r="B98" s="1" t="s">
        <v>159</v>
      </c>
      <c r="C98" s="1" t="s">
        <v>3315</v>
      </c>
      <c r="D98" s="1">
        <v>2</v>
      </c>
      <c r="E98" s="1" t="s">
        <v>3316</v>
      </c>
    </row>
    <row r="99" spans="1:5" ht="15.75" customHeight="1" x14ac:dyDescent="0.2">
      <c r="A99" s="1">
        <v>59308</v>
      </c>
      <c r="B99" s="1" t="s">
        <v>986</v>
      </c>
      <c r="C99" s="1" t="s">
        <v>3317</v>
      </c>
      <c r="D99" s="1">
        <v>2</v>
      </c>
      <c r="E99" s="1" t="s">
        <v>3318</v>
      </c>
    </row>
    <row r="100" spans="1:5" ht="15.75" customHeight="1" x14ac:dyDescent="0.2">
      <c r="A100" s="1">
        <v>27958</v>
      </c>
      <c r="B100" s="1" t="s">
        <v>3319</v>
      </c>
      <c r="C100" s="1" t="s">
        <v>3320</v>
      </c>
      <c r="D100" s="1">
        <v>1</v>
      </c>
      <c r="E100" s="1" t="s">
        <v>3321</v>
      </c>
    </row>
    <row r="101" spans="1:5" ht="15.75" customHeight="1" x14ac:dyDescent="0.2">
      <c r="A101" s="1">
        <v>65589</v>
      </c>
      <c r="B101" s="1" t="s">
        <v>90</v>
      </c>
      <c r="C101" s="1" t="s">
        <v>3322</v>
      </c>
      <c r="D101" s="1">
        <v>1</v>
      </c>
      <c r="E101" s="1" t="s">
        <v>3323</v>
      </c>
    </row>
    <row r="102" spans="1:5" ht="15.75" customHeight="1" x14ac:dyDescent="0.2">
      <c r="A102" s="1">
        <v>49743</v>
      </c>
      <c r="B102" s="1" t="s">
        <v>14</v>
      </c>
      <c r="C102" s="1" t="s">
        <v>3324</v>
      </c>
      <c r="D102" s="1">
        <v>1</v>
      </c>
      <c r="E102" s="1" t="s">
        <v>3325</v>
      </c>
    </row>
    <row r="103" spans="1:5" ht="15.75" customHeight="1" x14ac:dyDescent="0.2">
      <c r="A103" s="1">
        <v>38509</v>
      </c>
      <c r="B103" s="1" t="s">
        <v>23</v>
      </c>
      <c r="C103" s="1" t="s">
        <v>3326</v>
      </c>
      <c r="D103" s="1">
        <v>2</v>
      </c>
      <c r="E103" s="1" t="s">
        <v>3327</v>
      </c>
    </row>
    <row r="104" spans="1:5" ht="15.75" customHeight="1" x14ac:dyDescent="0.2">
      <c r="A104" s="1">
        <v>37849</v>
      </c>
      <c r="B104" s="1" t="s">
        <v>35</v>
      </c>
      <c r="C104" s="1" t="s">
        <v>3328</v>
      </c>
      <c r="D104" s="1">
        <v>2</v>
      </c>
      <c r="E104" s="1" t="s">
        <v>3329</v>
      </c>
    </row>
    <row r="105" spans="1:5" ht="15.75" customHeight="1" x14ac:dyDescent="0.2">
      <c r="A105" s="1">
        <v>41359</v>
      </c>
      <c r="B105" s="1" t="s">
        <v>172</v>
      </c>
      <c r="C105" s="1" t="s">
        <v>3330</v>
      </c>
      <c r="D105" s="1">
        <v>2</v>
      </c>
      <c r="E105" s="1" t="s">
        <v>3331</v>
      </c>
    </row>
    <row r="106" spans="1:5" ht="15.75" customHeight="1" x14ac:dyDescent="0.2">
      <c r="A106" s="1">
        <v>44511</v>
      </c>
      <c r="B106" s="1" t="s">
        <v>808</v>
      </c>
      <c r="C106" s="1" t="s">
        <v>3332</v>
      </c>
      <c r="D106" s="1">
        <v>2</v>
      </c>
      <c r="E106" s="1" t="s">
        <v>3333</v>
      </c>
    </row>
    <row r="107" spans="1:5" ht="15.75" customHeight="1" x14ac:dyDescent="0.2">
      <c r="A107" s="1">
        <v>30811</v>
      </c>
      <c r="B107" s="1" t="s">
        <v>75</v>
      </c>
      <c r="C107" s="1" t="s">
        <v>3334</v>
      </c>
      <c r="D107" s="1">
        <v>2</v>
      </c>
      <c r="E107" s="1" t="s">
        <v>3335</v>
      </c>
    </row>
    <row r="108" spans="1:5" ht="15.75" customHeight="1" x14ac:dyDescent="0.2">
      <c r="A108" s="1">
        <v>9473</v>
      </c>
      <c r="B108" s="1" t="s">
        <v>552</v>
      </c>
      <c r="C108" s="1" t="s">
        <v>3336</v>
      </c>
      <c r="D108" s="1">
        <v>1</v>
      </c>
      <c r="E108" s="1" t="s">
        <v>3337</v>
      </c>
    </row>
    <row r="109" spans="1:5" ht="15.75" customHeight="1" x14ac:dyDescent="0.2">
      <c r="A109" s="1">
        <v>14359</v>
      </c>
      <c r="B109" s="1" t="s">
        <v>150</v>
      </c>
      <c r="C109" s="1" t="s">
        <v>3338</v>
      </c>
      <c r="D109" s="1">
        <v>2</v>
      </c>
      <c r="E109" s="1" t="s">
        <v>3339</v>
      </c>
    </row>
    <row r="110" spans="1:5" ht="15.75" customHeight="1" x14ac:dyDescent="0.2">
      <c r="A110" s="1">
        <v>61566</v>
      </c>
      <c r="B110" s="1" t="s">
        <v>3340</v>
      </c>
      <c r="C110" s="1" t="s">
        <v>3341</v>
      </c>
      <c r="D110" s="1">
        <v>2</v>
      </c>
      <c r="E110" s="1" t="s">
        <v>3342</v>
      </c>
    </row>
    <row r="111" spans="1:5" ht="15.75" customHeight="1" x14ac:dyDescent="0.2">
      <c r="A111" s="1">
        <v>41902</v>
      </c>
      <c r="B111" s="1" t="s">
        <v>3235</v>
      </c>
      <c r="C111" s="1" t="s">
        <v>3343</v>
      </c>
      <c r="D111" s="1">
        <v>2</v>
      </c>
      <c r="E111" s="1" t="s">
        <v>3344</v>
      </c>
    </row>
    <row r="112" spans="1:5" ht="15.75" customHeight="1" x14ac:dyDescent="0.2">
      <c r="A112" s="1">
        <v>49520</v>
      </c>
      <c r="B112" s="1" t="s">
        <v>751</v>
      </c>
      <c r="C112" s="1" t="s">
        <v>3345</v>
      </c>
      <c r="D112" s="1">
        <v>2</v>
      </c>
      <c r="E112" s="1" t="s">
        <v>3346</v>
      </c>
    </row>
    <row r="113" spans="1:5" ht="15.75" customHeight="1" x14ac:dyDescent="0.2">
      <c r="A113" s="1">
        <v>71480</v>
      </c>
      <c r="B113" s="1" t="s">
        <v>3347</v>
      </c>
      <c r="C113" s="1" t="s">
        <v>3348</v>
      </c>
      <c r="D113" s="1">
        <v>2</v>
      </c>
      <c r="E113" s="1" t="s">
        <v>3349</v>
      </c>
    </row>
    <row r="114" spans="1:5" ht="15.75" customHeight="1" x14ac:dyDescent="0.2">
      <c r="A114" s="1">
        <v>65546</v>
      </c>
      <c r="B114" s="1" t="s">
        <v>44</v>
      </c>
      <c r="C114" s="1" t="s">
        <v>3350</v>
      </c>
      <c r="D114" s="1">
        <v>2</v>
      </c>
      <c r="E114" s="1" t="s">
        <v>3351</v>
      </c>
    </row>
    <row r="115" spans="1:5" ht="15.75" customHeight="1" x14ac:dyDescent="0.2">
      <c r="A115" s="1">
        <v>29432</v>
      </c>
      <c r="B115" s="1" t="s">
        <v>524</v>
      </c>
      <c r="C115" s="1" t="s">
        <v>3352</v>
      </c>
      <c r="D115" s="1">
        <v>2</v>
      </c>
      <c r="E115" s="1" t="s">
        <v>3353</v>
      </c>
    </row>
    <row r="116" spans="1:5" ht="15.75" customHeight="1" x14ac:dyDescent="0.2">
      <c r="A116" s="1">
        <v>36987</v>
      </c>
      <c r="B116" s="1" t="s">
        <v>2752</v>
      </c>
      <c r="C116" s="1" t="s">
        <v>3354</v>
      </c>
      <c r="D116" s="1">
        <v>2</v>
      </c>
      <c r="E116" s="1" t="s">
        <v>3355</v>
      </c>
    </row>
    <row r="117" spans="1:5" ht="15.75" customHeight="1" x14ac:dyDescent="0.2">
      <c r="A117" s="1">
        <v>15039</v>
      </c>
      <c r="B117" s="1" t="s">
        <v>141</v>
      </c>
      <c r="C117" s="1" t="s">
        <v>3356</v>
      </c>
      <c r="D117" s="1">
        <v>2</v>
      </c>
      <c r="E117" s="1" t="s">
        <v>3357</v>
      </c>
    </row>
    <row r="118" spans="1:5" ht="15.75" customHeight="1" x14ac:dyDescent="0.2">
      <c r="A118" s="1">
        <v>28085</v>
      </c>
      <c r="B118" s="1" t="s">
        <v>485</v>
      </c>
      <c r="C118" s="1" t="s">
        <v>3358</v>
      </c>
      <c r="D118" s="1">
        <v>1</v>
      </c>
      <c r="E118" s="1" t="s">
        <v>3359</v>
      </c>
    </row>
    <row r="119" spans="1:5" ht="15.75" customHeight="1" x14ac:dyDescent="0.2">
      <c r="A119" s="1">
        <v>30982</v>
      </c>
      <c r="B119" s="1" t="s">
        <v>3360</v>
      </c>
      <c r="C119" s="1" t="s">
        <v>3361</v>
      </c>
      <c r="D119" s="1">
        <v>2</v>
      </c>
      <c r="E119" s="1" t="s">
        <v>3362</v>
      </c>
    </row>
    <row r="120" spans="1:5" ht="15.75" customHeight="1" x14ac:dyDescent="0.2">
      <c r="A120" s="1">
        <v>35780</v>
      </c>
      <c r="B120" s="1" t="s">
        <v>3363</v>
      </c>
      <c r="C120" s="1" t="s">
        <v>3364</v>
      </c>
      <c r="D120" s="1">
        <v>1</v>
      </c>
      <c r="E120" s="1" t="s">
        <v>3365</v>
      </c>
    </row>
    <row r="121" spans="1:5" ht="15.75" customHeight="1" x14ac:dyDescent="0.2">
      <c r="A121" s="1">
        <v>7017</v>
      </c>
      <c r="B121" s="1" t="s">
        <v>819</v>
      </c>
      <c r="C121" s="1" t="s">
        <v>3366</v>
      </c>
      <c r="D121" s="1">
        <v>2</v>
      </c>
      <c r="E121" s="1" t="s">
        <v>3367</v>
      </c>
    </row>
    <row r="122" spans="1:5" ht="15.75" customHeight="1" x14ac:dyDescent="0.2">
      <c r="A122" s="1">
        <v>51498</v>
      </c>
      <c r="B122" s="1" t="s">
        <v>357</v>
      </c>
      <c r="C122" s="1" t="s">
        <v>3368</v>
      </c>
      <c r="D122" s="1">
        <v>2</v>
      </c>
      <c r="E122" s="1" t="s">
        <v>3369</v>
      </c>
    </row>
    <row r="123" spans="1:5" ht="15.75" customHeight="1" x14ac:dyDescent="0.2">
      <c r="A123" s="1">
        <v>38609</v>
      </c>
      <c r="B123" s="1" t="s">
        <v>3370</v>
      </c>
      <c r="C123" s="1" t="s">
        <v>3371</v>
      </c>
      <c r="D123" s="1">
        <v>2</v>
      </c>
      <c r="E123" s="1" t="s">
        <v>3372</v>
      </c>
    </row>
    <row r="124" spans="1:5" ht="15.75" customHeight="1" x14ac:dyDescent="0.2">
      <c r="A124" s="1">
        <v>40495</v>
      </c>
      <c r="B124" s="1" t="s">
        <v>1307</v>
      </c>
      <c r="C124" s="1" t="s">
        <v>3373</v>
      </c>
      <c r="D124" s="1">
        <v>2</v>
      </c>
      <c r="E124" s="1" t="s">
        <v>3374</v>
      </c>
    </row>
    <row r="125" spans="1:5" ht="15.75" customHeight="1" x14ac:dyDescent="0.2">
      <c r="A125" s="1">
        <v>23812</v>
      </c>
      <c r="B125" s="1" t="s">
        <v>282</v>
      </c>
      <c r="C125" s="1" t="s">
        <v>3375</v>
      </c>
      <c r="D125" s="1">
        <v>2</v>
      </c>
      <c r="E125" s="1" t="s">
        <v>3376</v>
      </c>
    </row>
    <row r="126" spans="1:5" ht="15.75" customHeight="1" x14ac:dyDescent="0.2">
      <c r="A126" s="1">
        <v>48091</v>
      </c>
      <c r="B126" s="1" t="s">
        <v>597</v>
      </c>
      <c r="C126" s="1" t="s">
        <v>3377</v>
      </c>
      <c r="D126" s="1">
        <v>1</v>
      </c>
      <c r="E126" s="1" t="s">
        <v>3378</v>
      </c>
    </row>
    <row r="127" spans="1:5" ht="15.75" customHeight="1" x14ac:dyDescent="0.2">
      <c r="A127" s="1">
        <v>41957</v>
      </c>
      <c r="B127" s="1" t="s">
        <v>1123</v>
      </c>
      <c r="C127" s="1" t="s">
        <v>3379</v>
      </c>
      <c r="D127" s="1">
        <v>1</v>
      </c>
      <c r="E127" s="1" t="s">
        <v>3380</v>
      </c>
    </row>
    <row r="128" spans="1:5" ht="15.75" customHeight="1" x14ac:dyDescent="0.2">
      <c r="A128" s="1">
        <v>60847</v>
      </c>
      <c r="B128" s="1" t="s">
        <v>597</v>
      </c>
      <c r="C128" s="1" t="s">
        <v>3381</v>
      </c>
      <c r="D128" s="1">
        <v>1</v>
      </c>
      <c r="E128" s="1" t="s">
        <v>3382</v>
      </c>
    </row>
    <row r="129" spans="1:5" ht="15.75" customHeight="1" x14ac:dyDescent="0.2">
      <c r="A129" s="1">
        <v>32292</v>
      </c>
      <c r="B129" s="1" t="s">
        <v>996</v>
      </c>
      <c r="C129" s="1" t="s">
        <v>3383</v>
      </c>
      <c r="D129" s="1">
        <v>1</v>
      </c>
      <c r="E129" s="1" t="s">
        <v>3384</v>
      </c>
    </row>
    <row r="130" spans="1:5" ht="15.75" customHeight="1" x14ac:dyDescent="0.2">
      <c r="A130" s="1">
        <v>71726</v>
      </c>
      <c r="B130" s="1" t="s">
        <v>135</v>
      </c>
      <c r="C130" s="1" t="s">
        <v>3385</v>
      </c>
      <c r="D130" s="1">
        <v>2</v>
      </c>
      <c r="E130" s="1" t="s">
        <v>3386</v>
      </c>
    </row>
    <row r="131" spans="1:5" ht="15.75" customHeight="1" x14ac:dyDescent="0.2">
      <c r="A131" s="1">
        <v>10937</v>
      </c>
      <c r="B131" s="1" t="s">
        <v>307</v>
      </c>
      <c r="C131" s="1" t="s">
        <v>3387</v>
      </c>
      <c r="D131" s="1">
        <v>2</v>
      </c>
      <c r="E131" s="1" t="s">
        <v>3388</v>
      </c>
    </row>
    <row r="132" spans="1:5" ht="15.75" customHeight="1" x14ac:dyDescent="0.2">
      <c r="A132" s="1">
        <v>3853</v>
      </c>
      <c r="B132" s="1" t="s">
        <v>636</v>
      </c>
      <c r="C132" s="1" t="s">
        <v>3389</v>
      </c>
      <c r="D132" s="1">
        <v>2</v>
      </c>
      <c r="E132" s="1" t="s">
        <v>3390</v>
      </c>
    </row>
    <row r="133" spans="1:5" ht="15.75" customHeight="1" x14ac:dyDescent="0.2">
      <c r="A133" s="1">
        <v>7406</v>
      </c>
      <c r="B133" s="1" t="s">
        <v>276</v>
      </c>
      <c r="C133" s="1" t="s">
        <v>3391</v>
      </c>
      <c r="D133" s="1">
        <v>1</v>
      </c>
      <c r="E133" s="1" t="s">
        <v>3392</v>
      </c>
    </row>
    <row r="134" spans="1:5" ht="15.75" customHeight="1" x14ac:dyDescent="0.2">
      <c r="A134" s="1">
        <v>18017</v>
      </c>
      <c r="B134" s="1" t="s">
        <v>3393</v>
      </c>
      <c r="C134" s="1" t="s">
        <v>3394</v>
      </c>
      <c r="D134" s="1">
        <v>1</v>
      </c>
      <c r="E134" s="1" t="s">
        <v>3395</v>
      </c>
    </row>
    <row r="135" spans="1:5" ht="15.75" customHeight="1" x14ac:dyDescent="0.2">
      <c r="A135" s="1">
        <v>28839</v>
      </c>
      <c r="B135" s="1" t="s">
        <v>75</v>
      </c>
      <c r="C135" s="1" t="s">
        <v>3396</v>
      </c>
      <c r="D135" s="1">
        <v>1</v>
      </c>
      <c r="E135" s="1" t="s">
        <v>3397</v>
      </c>
    </row>
    <row r="136" spans="1:5" ht="15.75" customHeight="1" x14ac:dyDescent="0.2">
      <c r="A136" s="1">
        <v>35937</v>
      </c>
      <c r="B136" s="1" t="s">
        <v>78</v>
      </c>
      <c r="C136" s="1" t="s">
        <v>3398</v>
      </c>
      <c r="D136" s="1">
        <v>2</v>
      </c>
      <c r="E136" s="1" t="s">
        <v>3399</v>
      </c>
    </row>
    <row r="137" spans="1:5" ht="15.75" customHeight="1" x14ac:dyDescent="0.2">
      <c r="A137" s="1">
        <v>42359</v>
      </c>
      <c r="B137" s="1" t="s">
        <v>172</v>
      </c>
      <c r="C137" s="1" t="s">
        <v>3400</v>
      </c>
      <c r="D137" s="1">
        <v>2</v>
      </c>
      <c r="E137" s="1" t="s">
        <v>3401</v>
      </c>
    </row>
    <row r="138" spans="1:5" ht="15.75" customHeight="1" x14ac:dyDescent="0.2">
      <c r="A138" s="1">
        <v>51899</v>
      </c>
      <c r="B138" s="1" t="s">
        <v>2385</v>
      </c>
      <c r="C138" s="1" t="s">
        <v>3402</v>
      </c>
      <c r="D138" s="1">
        <v>2</v>
      </c>
      <c r="E138" s="1" t="s">
        <v>3403</v>
      </c>
    </row>
    <row r="139" spans="1:5" ht="15.75" customHeight="1" x14ac:dyDescent="0.2">
      <c r="A139" s="1">
        <v>1410</v>
      </c>
      <c r="B139" s="1" t="s">
        <v>180</v>
      </c>
      <c r="C139" s="1" t="s">
        <v>3404</v>
      </c>
      <c r="D139" s="1">
        <v>2</v>
      </c>
      <c r="E139" s="1" t="s">
        <v>3405</v>
      </c>
    </row>
    <row r="140" spans="1:5" ht="15.75" customHeight="1" x14ac:dyDescent="0.2">
      <c r="A140" s="1">
        <v>32295</v>
      </c>
      <c r="B140" s="1" t="s">
        <v>273</v>
      </c>
      <c r="C140" s="1" t="s">
        <v>3406</v>
      </c>
      <c r="D140" s="1">
        <v>1</v>
      </c>
      <c r="E140" s="1" t="s">
        <v>3407</v>
      </c>
    </row>
    <row r="141" spans="1:5" ht="15.75" customHeight="1" x14ac:dyDescent="0.2">
      <c r="A141" s="1">
        <v>66169</v>
      </c>
      <c r="B141" s="1" t="s">
        <v>1433</v>
      </c>
      <c r="C141" s="1" t="s">
        <v>3408</v>
      </c>
      <c r="D141" s="1">
        <v>2</v>
      </c>
      <c r="E141" s="1" t="s">
        <v>3409</v>
      </c>
    </row>
    <row r="142" spans="1:5" ht="15.75" customHeight="1" x14ac:dyDescent="0.2">
      <c r="A142" s="1">
        <v>37114</v>
      </c>
      <c r="B142" s="1" t="s">
        <v>1962</v>
      </c>
      <c r="C142" s="1" t="s">
        <v>3410</v>
      </c>
      <c r="D142" s="1">
        <v>2</v>
      </c>
      <c r="E142" s="1" t="s">
        <v>3411</v>
      </c>
    </row>
    <row r="143" spans="1:5" ht="15.75" customHeight="1" x14ac:dyDescent="0.2">
      <c r="A143" s="1">
        <v>49159</v>
      </c>
      <c r="B143" s="1" t="s">
        <v>172</v>
      </c>
      <c r="C143" s="1" t="s">
        <v>3412</v>
      </c>
      <c r="D143" s="1">
        <v>2</v>
      </c>
      <c r="E143" s="1" t="s">
        <v>3413</v>
      </c>
    </row>
    <row r="144" spans="1:5" ht="15.75" customHeight="1" x14ac:dyDescent="0.2">
      <c r="A144" s="1">
        <v>20298</v>
      </c>
      <c r="B144" s="1" t="s">
        <v>728</v>
      </c>
      <c r="C144" s="1" t="s">
        <v>3414</v>
      </c>
      <c r="D144" s="1">
        <v>2</v>
      </c>
      <c r="E144" s="1" t="s">
        <v>3415</v>
      </c>
    </row>
    <row r="145" spans="1:5" ht="15.75" customHeight="1" x14ac:dyDescent="0.2">
      <c r="A145" s="1">
        <v>26656</v>
      </c>
      <c r="B145" s="1" t="s">
        <v>866</v>
      </c>
      <c r="C145" s="1" t="s">
        <v>3416</v>
      </c>
      <c r="D145" s="1">
        <v>2</v>
      </c>
      <c r="E145" s="1" t="s">
        <v>3417</v>
      </c>
    </row>
    <row r="146" spans="1:5" ht="15.75" customHeight="1" x14ac:dyDescent="0.2">
      <c r="A146" s="1">
        <v>65640</v>
      </c>
      <c r="B146" s="1" t="s">
        <v>496</v>
      </c>
      <c r="C146" s="1" t="s">
        <v>3418</v>
      </c>
      <c r="D146" s="1">
        <v>2</v>
      </c>
      <c r="E146" s="1" t="s">
        <v>3419</v>
      </c>
    </row>
    <row r="147" spans="1:5" ht="15.75" customHeight="1" x14ac:dyDescent="0.2">
      <c r="A147" s="1">
        <v>18481</v>
      </c>
      <c r="B147" s="1" t="s">
        <v>986</v>
      </c>
      <c r="C147" s="1" t="s">
        <v>3420</v>
      </c>
      <c r="D147" s="1">
        <v>2</v>
      </c>
      <c r="E147" s="1" t="s">
        <v>3421</v>
      </c>
    </row>
    <row r="148" spans="1:5" ht="15.75" customHeight="1" x14ac:dyDescent="0.2">
      <c r="A148" s="1">
        <v>53201</v>
      </c>
      <c r="B148" s="1" t="s">
        <v>882</v>
      </c>
      <c r="C148" s="1" t="s">
        <v>3422</v>
      </c>
      <c r="D148" s="1">
        <v>2</v>
      </c>
      <c r="E148" s="1" t="s">
        <v>3423</v>
      </c>
    </row>
    <row r="149" spans="1:5" ht="15.75" customHeight="1" x14ac:dyDescent="0.2">
      <c r="A149" s="1">
        <v>1776</v>
      </c>
      <c r="B149" s="1" t="s">
        <v>301</v>
      </c>
      <c r="C149" s="1" t="s">
        <v>3424</v>
      </c>
      <c r="D149" s="1">
        <v>1</v>
      </c>
      <c r="E149" s="1" t="s">
        <v>3425</v>
      </c>
    </row>
    <row r="150" spans="1:5" ht="15.75" customHeight="1" x14ac:dyDescent="0.2">
      <c r="A150" s="1">
        <v>58193</v>
      </c>
      <c r="B150" s="1" t="s">
        <v>524</v>
      </c>
      <c r="C150" s="1" t="s">
        <v>3426</v>
      </c>
      <c r="D150" s="1">
        <v>2</v>
      </c>
      <c r="E150" s="1" t="s">
        <v>3427</v>
      </c>
    </row>
    <row r="151" spans="1:5" ht="15.75" customHeight="1" x14ac:dyDescent="0.2">
      <c r="A151" s="1">
        <v>42917</v>
      </c>
      <c r="B151" s="1" t="s">
        <v>32</v>
      </c>
      <c r="C151" s="1" t="s">
        <v>3428</v>
      </c>
      <c r="D151" s="1">
        <v>1</v>
      </c>
      <c r="E151" s="1" t="s">
        <v>3429</v>
      </c>
    </row>
    <row r="152" spans="1:5" ht="15.75" customHeight="1" x14ac:dyDescent="0.2">
      <c r="A152" s="1">
        <v>18986</v>
      </c>
      <c r="B152" s="1" t="s">
        <v>3430</v>
      </c>
      <c r="C152" s="1" t="s">
        <v>3431</v>
      </c>
      <c r="D152" s="1">
        <v>1</v>
      </c>
      <c r="E152" s="1" t="s">
        <v>3432</v>
      </c>
    </row>
    <row r="153" spans="1:5" ht="15.75" customHeight="1" x14ac:dyDescent="0.2">
      <c r="A153" s="1">
        <v>2293</v>
      </c>
      <c r="B153" s="1" t="s">
        <v>17</v>
      </c>
      <c r="C153" s="1" t="s">
        <v>3433</v>
      </c>
      <c r="D153" s="1">
        <v>2</v>
      </c>
      <c r="E153" s="1" t="s">
        <v>3434</v>
      </c>
    </row>
    <row r="154" spans="1:5" ht="15.75" customHeight="1" x14ac:dyDescent="0.2">
      <c r="A154" s="1">
        <v>29465</v>
      </c>
      <c r="B154" s="1" t="s">
        <v>713</v>
      </c>
      <c r="C154" s="1" t="s">
        <v>3435</v>
      </c>
      <c r="D154" s="1">
        <v>2</v>
      </c>
      <c r="E154" s="1" t="s">
        <v>3436</v>
      </c>
    </row>
    <row r="155" spans="1:5" ht="15.75" customHeight="1" x14ac:dyDescent="0.2">
      <c r="A155" s="1">
        <v>19180</v>
      </c>
      <c r="B155" s="1" t="s">
        <v>1895</v>
      </c>
      <c r="C155" s="1" t="s">
        <v>3437</v>
      </c>
      <c r="D155" s="1">
        <v>2</v>
      </c>
      <c r="E155" s="1" t="s">
        <v>3438</v>
      </c>
    </row>
    <row r="156" spans="1:5" ht="15.75" customHeight="1" x14ac:dyDescent="0.2">
      <c r="A156" s="1">
        <v>38462</v>
      </c>
      <c r="B156" s="1" t="s">
        <v>1021</v>
      </c>
      <c r="C156" s="1" t="s">
        <v>3439</v>
      </c>
      <c r="D156" s="1">
        <v>2</v>
      </c>
      <c r="E156" s="1" t="s">
        <v>3440</v>
      </c>
    </row>
    <row r="157" spans="1:5" ht="15.75" customHeight="1" x14ac:dyDescent="0.2">
      <c r="A157" s="1">
        <v>33159</v>
      </c>
      <c r="B157" s="1" t="s">
        <v>362</v>
      </c>
      <c r="C157" s="1" t="s">
        <v>3441</v>
      </c>
      <c r="D157" s="1">
        <v>1</v>
      </c>
      <c r="E157" s="1" t="s">
        <v>3442</v>
      </c>
    </row>
    <row r="158" spans="1:5" ht="15.75" customHeight="1" x14ac:dyDescent="0.2">
      <c r="A158" s="1">
        <v>34547</v>
      </c>
      <c r="B158" s="1" t="s">
        <v>2509</v>
      </c>
      <c r="C158" s="1" t="s">
        <v>3443</v>
      </c>
      <c r="D158" s="1">
        <v>2</v>
      </c>
      <c r="E158" s="1" t="s">
        <v>3444</v>
      </c>
    </row>
    <row r="159" spans="1:5" ht="15.75" customHeight="1" x14ac:dyDescent="0.2">
      <c r="A159" s="1">
        <v>40906</v>
      </c>
      <c r="B159" s="1" t="s">
        <v>791</v>
      </c>
      <c r="C159" s="1" t="s">
        <v>3445</v>
      </c>
      <c r="D159" s="1">
        <v>2</v>
      </c>
      <c r="E159" s="1" t="s">
        <v>3446</v>
      </c>
    </row>
    <row r="160" spans="1:5" ht="15.75" customHeight="1" x14ac:dyDescent="0.2">
      <c r="A160" s="1">
        <v>4130</v>
      </c>
      <c r="B160" s="1" t="s">
        <v>430</v>
      </c>
      <c r="C160" s="1" t="s">
        <v>3447</v>
      </c>
      <c r="D160" s="1">
        <v>2</v>
      </c>
      <c r="E160" s="1" t="s">
        <v>3448</v>
      </c>
    </row>
    <row r="161" spans="1:5" ht="15.75" customHeight="1" x14ac:dyDescent="0.2">
      <c r="A161" s="1">
        <v>6109</v>
      </c>
      <c r="B161" s="1" t="s">
        <v>144</v>
      </c>
      <c r="C161" s="1" t="s">
        <v>3449</v>
      </c>
      <c r="D161" s="1">
        <v>2</v>
      </c>
      <c r="E161" s="1" t="s">
        <v>3450</v>
      </c>
    </row>
    <row r="162" spans="1:5" ht="15.75" customHeight="1" x14ac:dyDescent="0.2">
      <c r="A162" s="1">
        <v>30812</v>
      </c>
      <c r="B162" s="1" t="s">
        <v>3451</v>
      </c>
      <c r="C162" s="1" t="s">
        <v>3452</v>
      </c>
      <c r="D162" s="1">
        <v>2</v>
      </c>
      <c r="E162" s="1" t="s">
        <v>3453</v>
      </c>
    </row>
    <row r="163" spans="1:5" ht="15.75" customHeight="1" x14ac:dyDescent="0.2">
      <c r="A163" s="1">
        <v>49987</v>
      </c>
      <c r="B163" s="1" t="s">
        <v>408</v>
      </c>
      <c r="C163" s="1" t="s">
        <v>3454</v>
      </c>
      <c r="D163" s="1">
        <v>2</v>
      </c>
      <c r="E163" s="1" t="s">
        <v>3455</v>
      </c>
    </row>
    <row r="164" spans="1:5" ht="15.75" customHeight="1" x14ac:dyDescent="0.2">
      <c r="A164" s="1">
        <v>16742</v>
      </c>
      <c r="B164" s="1" t="s">
        <v>457</v>
      </c>
      <c r="C164" s="1" t="s">
        <v>3456</v>
      </c>
      <c r="D164" s="1">
        <v>1</v>
      </c>
      <c r="E164" s="1" t="s">
        <v>3457</v>
      </c>
    </row>
    <row r="165" spans="1:5" ht="15.75" customHeight="1" x14ac:dyDescent="0.2">
      <c r="A165" s="1">
        <v>30546</v>
      </c>
      <c r="B165" s="1" t="s">
        <v>1090</v>
      </c>
      <c r="C165" s="1" t="s">
        <v>3458</v>
      </c>
      <c r="D165" s="1">
        <v>2</v>
      </c>
      <c r="E165" s="1" t="s">
        <v>3459</v>
      </c>
    </row>
    <row r="166" spans="1:5" ht="15.75" customHeight="1" x14ac:dyDescent="0.2">
      <c r="A166" s="1">
        <v>55351</v>
      </c>
      <c r="B166" s="1" t="s">
        <v>3460</v>
      </c>
      <c r="C166" s="1" t="s">
        <v>3461</v>
      </c>
      <c r="D166" s="1">
        <v>1</v>
      </c>
      <c r="E166" s="1" t="s">
        <v>3462</v>
      </c>
    </row>
    <row r="167" spans="1:5" ht="15.75" customHeight="1" x14ac:dyDescent="0.2">
      <c r="A167" s="1">
        <v>5092</v>
      </c>
      <c r="B167" s="1" t="s">
        <v>301</v>
      </c>
      <c r="C167" s="1" t="s">
        <v>3463</v>
      </c>
      <c r="D167" s="1">
        <v>1</v>
      </c>
      <c r="E167" s="1" t="s">
        <v>3464</v>
      </c>
    </row>
    <row r="168" spans="1:5" ht="15.75" customHeight="1" x14ac:dyDescent="0.2">
      <c r="A168" s="1">
        <v>55499</v>
      </c>
      <c r="B168" s="1" t="s">
        <v>986</v>
      </c>
      <c r="C168" s="1" t="s">
        <v>3465</v>
      </c>
      <c r="D168" s="1">
        <v>2</v>
      </c>
      <c r="E168" s="1" t="s">
        <v>3466</v>
      </c>
    </row>
    <row r="169" spans="1:5" ht="15.75" customHeight="1" x14ac:dyDescent="0.2">
      <c r="A169" s="1">
        <v>22813</v>
      </c>
      <c r="B169" s="1" t="s">
        <v>485</v>
      </c>
      <c r="C169" s="1" t="s">
        <v>3467</v>
      </c>
      <c r="D169" s="1">
        <v>1</v>
      </c>
      <c r="E169" s="1" t="s">
        <v>3468</v>
      </c>
    </row>
    <row r="170" spans="1:5" ht="15.75" customHeight="1" x14ac:dyDescent="0.2">
      <c r="A170" s="1">
        <v>22931</v>
      </c>
      <c r="B170" s="1" t="s">
        <v>3469</v>
      </c>
      <c r="C170" s="1" t="s">
        <v>3470</v>
      </c>
      <c r="D170" s="1">
        <v>1</v>
      </c>
      <c r="E170" s="1" t="s">
        <v>3471</v>
      </c>
    </row>
    <row r="171" spans="1:5" ht="15.75" customHeight="1" x14ac:dyDescent="0.2">
      <c r="A171" s="1">
        <v>67486</v>
      </c>
      <c r="B171" s="1" t="s">
        <v>336</v>
      </c>
      <c r="C171" s="1" t="s">
        <v>3472</v>
      </c>
      <c r="D171" s="1">
        <v>2</v>
      </c>
      <c r="E171" s="1" t="s">
        <v>3473</v>
      </c>
    </row>
    <row r="172" spans="1:5" ht="15.75" customHeight="1" x14ac:dyDescent="0.2">
      <c r="A172" s="1">
        <v>4708</v>
      </c>
      <c r="B172" s="1" t="s">
        <v>244</v>
      </c>
      <c r="C172" s="1" t="s">
        <v>3474</v>
      </c>
      <c r="D172" s="1">
        <v>1</v>
      </c>
      <c r="E172" s="1" t="s">
        <v>3475</v>
      </c>
    </row>
    <row r="173" spans="1:5" ht="15.75" customHeight="1" x14ac:dyDescent="0.2">
      <c r="A173" s="1">
        <v>63382</v>
      </c>
      <c r="B173" s="1" t="s">
        <v>1172</v>
      </c>
      <c r="C173" s="1" t="s">
        <v>3476</v>
      </c>
      <c r="D173" s="1">
        <v>2</v>
      </c>
      <c r="E173" s="1" t="s">
        <v>3477</v>
      </c>
    </row>
    <row r="174" spans="1:5" ht="15.75" customHeight="1" x14ac:dyDescent="0.2">
      <c r="A174" s="1">
        <v>67324</v>
      </c>
      <c r="B174" s="1" t="s">
        <v>244</v>
      </c>
      <c r="C174" s="1" t="s">
        <v>3478</v>
      </c>
      <c r="D174" s="1">
        <v>1</v>
      </c>
      <c r="E174" s="1" t="s">
        <v>3479</v>
      </c>
    </row>
    <row r="175" spans="1:5" ht="15.75" customHeight="1" x14ac:dyDescent="0.2">
      <c r="A175" s="1">
        <v>13956</v>
      </c>
      <c r="B175" s="1" t="s">
        <v>1455</v>
      </c>
      <c r="C175" s="1" t="s">
        <v>3480</v>
      </c>
      <c r="D175" s="1">
        <v>2</v>
      </c>
      <c r="E175" s="1" t="s">
        <v>3481</v>
      </c>
    </row>
    <row r="176" spans="1:5" ht="15.75" customHeight="1" x14ac:dyDescent="0.2">
      <c r="A176" s="1">
        <v>55277</v>
      </c>
      <c r="B176" s="1" t="s">
        <v>90</v>
      </c>
      <c r="C176" s="1" t="s">
        <v>3482</v>
      </c>
      <c r="D176" s="1">
        <v>2</v>
      </c>
      <c r="E176" s="1" t="s">
        <v>3483</v>
      </c>
    </row>
    <row r="177" spans="1:5" ht="15.75" customHeight="1" x14ac:dyDescent="0.2">
      <c r="A177" s="1">
        <v>68775</v>
      </c>
      <c r="B177" s="1" t="s">
        <v>2015</v>
      </c>
      <c r="C177" s="1" t="s">
        <v>3484</v>
      </c>
      <c r="D177" s="1">
        <v>2</v>
      </c>
      <c r="E177" s="1" t="s">
        <v>3485</v>
      </c>
    </row>
    <row r="178" spans="1:5" ht="15.75" customHeight="1" x14ac:dyDescent="0.2">
      <c r="A178" s="1">
        <v>37369</v>
      </c>
      <c r="B178" s="1" t="s">
        <v>78</v>
      </c>
      <c r="C178" s="1" t="s">
        <v>3486</v>
      </c>
      <c r="D178" s="1">
        <v>2</v>
      </c>
      <c r="E178" s="1" t="s">
        <v>3487</v>
      </c>
    </row>
    <row r="179" spans="1:5" ht="15.75" customHeight="1" x14ac:dyDescent="0.2">
      <c r="A179" s="1">
        <v>9683</v>
      </c>
      <c r="B179" s="1" t="s">
        <v>159</v>
      </c>
      <c r="C179" s="1" t="s">
        <v>3488</v>
      </c>
      <c r="D179" s="1">
        <v>2</v>
      </c>
      <c r="E179" s="1" t="s">
        <v>3489</v>
      </c>
    </row>
    <row r="180" spans="1:5" ht="15.75" customHeight="1" x14ac:dyDescent="0.2">
      <c r="A180" s="1">
        <v>45982</v>
      </c>
      <c r="B180" s="1" t="s">
        <v>466</v>
      </c>
      <c r="C180" s="1" t="s">
        <v>3490</v>
      </c>
      <c r="D180" s="1">
        <v>2</v>
      </c>
      <c r="E180" s="1" t="s">
        <v>3491</v>
      </c>
    </row>
    <row r="181" spans="1:5" ht="15.75" customHeight="1" x14ac:dyDescent="0.2">
      <c r="A181" s="1">
        <v>26033</v>
      </c>
      <c r="B181" s="1" t="s">
        <v>1657</v>
      </c>
      <c r="C181" s="1" t="s">
        <v>3492</v>
      </c>
      <c r="D181" s="1">
        <v>1</v>
      </c>
      <c r="E181" s="1" t="s">
        <v>3493</v>
      </c>
    </row>
    <row r="182" spans="1:5" ht="15.75" customHeight="1" x14ac:dyDescent="0.2">
      <c r="A182" s="1">
        <v>21305</v>
      </c>
      <c r="B182" s="1" t="s">
        <v>336</v>
      </c>
      <c r="C182" s="1" t="s">
        <v>3494</v>
      </c>
      <c r="D182" s="1">
        <v>2</v>
      </c>
      <c r="E182" s="1" t="s">
        <v>3495</v>
      </c>
    </row>
    <row r="183" spans="1:5" ht="15.75" customHeight="1" x14ac:dyDescent="0.2">
      <c r="A183" s="1">
        <v>17948</v>
      </c>
      <c r="B183" s="1" t="s">
        <v>238</v>
      </c>
      <c r="C183" s="1" t="s">
        <v>3496</v>
      </c>
      <c r="D183" s="1">
        <v>2</v>
      </c>
      <c r="E183" s="1" t="s">
        <v>3497</v>
      </c>
    </row>
    <row r="184" spans="1:5" ht="15.75" customHeight="1" x14ac:dyDescent="0.2">
      <c r="A184" s="1">
        <v>20495</v>
      </c>
      <c r="B184" s="1" t="s">
        <v>991</v>
      </c>
      <c r="C184" s="1" t="s">
        <v>3498</v>
      </c>
      <c r="D184" s="1">
        <v>2</v>
      </c>
      <c r="E184" s="1" t="s">
        <v>3499</v>
      </c>
    </row>
    <row r="185" spans="1:5" ht="15.75" customHeight="1" x14ac:dyDescent="0.2">
      <c r="A185" s="1">
        <v>11074</v>
      </c>
      <c r="B185" s="1" t="s">
        <v>276</v>
      </c>
      <c r="C185" s="1" t="s">
        <v>3500</v>
      </c>
      <c r="D185" s="1">
        <v>1</v>
      </c>
      <c r="E185" s="1" t="s">
        <v>3501</v>
      </c>
    </row>
    <row r="186" spans="1:5" ht="15.75" customHeight="1" x14ac:dyDescent="0.2">
      <c r="A186" s="1">
        <v>18384</v>
      </c>
      <c r="B186" s="1" t="s">
        <v>44</v>
      </c>
      <c r="C186" s="1" t="s">
        <v>3502</v>
      </c>
      <c r="D186" s="1">
        <v>2</v>
      </c>
      <c r="E186" s="1" t="s">
        <v>3503</v>
      </c>
    </row>
    <row r="187" spans="1:5" ht="15.75" customHeight="1" x14ac:dyDescent="0.2">
      <c r="A187" s="1">
        <v>40046</v>
      </c>
      <c r="B187" s="1" t="s">
        <v>2042</v>
      </c>
      <c r="C187" s="1" t="s">
        <v>3504</v>
      </c>
      <c r="D187" s="1">
        <v>2</v>
      </c>
      <c r="E187" s="1" t="s">
        <v>3505</v>
      </c>
    </row>
    <row r="188" spans="1:5" ht="15.75" customHeight="1" x14ac:dyDescent="0.2">
      <c r="A188" s="1">
        <v>20469</v>
      </c>
      <c r="B188" s="1" t="s">
        <v>3506</v>
      </c>
      <c r="C188" s="1" t="s">
        <v>3507</v>
      </c>
      <c r="D188" s="1">
        <v>2</v>
      </c>
      <c r="E188" s="1" t="s">
        <v>3508</v>
      </c>
    </row>
    <row r="189" spans="1:5" ht="15.75" customHeight="1" x14ac:dyDescent="0.2">
      <c r="A189" s="1">
        <v>24744</v>
      </c>
      <c r="B189" s="1" t="s">
        <v>1415</v>
      </c>
      <c r="C189" s="1" t="s">
        <v>3509</v>
      </c>
      <c r="D189" s="1">
        <v>2</v>
      </c>
      <c r="E189" s="1" t="s">
        <v>3510</v>
      </c>
    </row>
    <row r="190" spans="1:5" ht="15.75" customHeight="1" x14ac:dyDescent="0.2">
      <c r="A190" s="1">
        <v>61350</v>
      </c>
      <c r="B190" s="1" t="s">
        <v>408</v>
      </c>
      <c r="C190" s="1" t="s">
        <v>3511</v>
      </c>
      <c r="D190" s="1">
        <v>2</v>
      </c>
      <c r="E190" s="1" t="s">
        <v>3512</v>
      </c>
    </row>
    <row r="191" spans="1:5" ht="15.75" customHeight="1" x14ac:dyDescent="0.2">
      <c r="A191" s="1">
        <v>55563</v>
      </c>
      <c r="B191" s="1" t="s">
        <v>659</v>
      </c>
      <c r="C191" s="1" t="s">
        <v>3513</v>
      </c>
      <c r="D191" s="1">
        <v>1</v>
      </c>
      <c r="E191" s="1" t="s">
        <v>3514</v>
      </c>
    </row>
    <row r="192" spans="1:5" ht="15.75" customHeight="1" x14ac:dyDescent="0.2">
      <c r="A192" s="1">
        <v>15118</v>
      </c>
      <c r="B192" s="1" t="s">
        <v>1895</v>
      </c>
      <c r="C192" s="1" t="s">
        <v>3515</v>
      </c>
      <c r="D192" s="1">
        <v>2</v>
      </c>
      <c r="E192" s="1" t="s">
        <v>3516</v>
      </c>
    </row>
    <row r="193" spans="1:5" ht="15.75" customHeight="1" x14ac:dyDescent="0.2">
      <c r="A193" s="1">
        <v>55792</v>
      </c>
      <c r="B193" s="1" t="s">
        <v>268</v>
      </c>
      <c r="C193" s="1" t="s">
        <v>3517</v>
      </c>
      <c r="D193" s="1">
        <v>1</v>
      </c>
      <c r="E193" s="1" t="s">
        <v>3518</v>
      </c>
    </row>
    <row r="194" spans="1:5" ht="15.75" customHeight="1" x14ac:dyDescent="0.2">
      <c r="A194" s="1">
        <v>26644</v>
      </c>
      <c r="B194" s="1" t="s">
        <v>805</v>
      </c>
      <c r="C194" s="1" t="s">
        <v>3519</v>
      </c>
      <c r="D194" s="1">
        <v>1</v>
      </c>
      <c r="E194" s="1" t="s">
        <v>3520</v>
      </c>
    </row>
    <row r="195" spans="1:5" ht="15.75" customHeight="1" x14ac:dyDescent="0.2">
      <c r="A195" s="1">
        <v>56606</v>
      </c>
      <c r="B195" s="1" t="s">
        <v>713</v>
      </c>
      <c r="C195" s="1" t="s">
        <v>3521</v>
      </c>
      <c r="D195" s="1">
        <v>2</v>
      </c>
      <c r="E195" s="1" t="s">
        <v>3522</v>
      </c>
    </row>
    <row r="196" spans="1:5" ht="15.75" customHeight="1" x14ac:dyDescent="0.2">
      <c r="A196" s="1">
        <v>57271</v>
      </c>
      <c r="B196" s="1" t="s">
        <v>3523</v>
      </c>
      <c r="C196" s="1" t="s">
        <v>3524</v>
      </c>
      <c r="D196" s="1">
        <v>2</v>
      </c>
      <c r="E196" s="1" t="s">
        <v>3525</v>
      </c>
    </row>
    <row r="197" spans="1:5" ht="15.75" customHeight="1" x14ac:dyDescent="0.2">
      <c r="A197" s="1">
        <v>26444</v>
      </c>
      <c r="B197" s="1" t="s">
        <v>1357</v>
      </c>
      <c r="C197" s="1" t="s">
        <v>3526</v>
      </c>
      <c r="D197" s="1">
        <v>2</v>
      </c>
      <c r="E197" s="1" t="s">
        <v>3527</v>
      </c>
    </row>
    <row r="198" spans="1:5" ht="15.75" customHeight="1" x14ac:dyDescent="0.2">
      <c r="A198" s="1">
        <v>62797</v>
      </c>
      <c r="B198" s="1" t="s">
        <v>17</v>
      </c>
      <c r="C198" s="1" t="s">
        <v>3528</v>
      </c>
      <c r="D198" s="1">
        <v>2</v>
      </c>
      <c r="E198" s="1" t="s">
        <v>3529</v>
      </c>
    </row>
    <row r="199" spans="1:5" ht="15.75" customHeight="1" x14ac:dyDescent="0.2">
      <c r="A199" s="1">
        <v>28164</v>
      </c>
      <c r="B199" s="1" t="s">
        <v>84</v>
      </c>
      <c r="C199" s="1" t="s">
        <v>3530</v>
      </c>
      <c r="D199" s="1">
        <v>1</v>
      </c>
      <c r="E199" s="1" t="s">
        <v>3531</v>
      </c>
    </row>
    <row r="200" spans="1:5" ht="15.75" customHeight="1" x14ac:dyDescent="0.2">
      <c r="A200" s="1">
        <v>71232</v>
      </c>
      <c r="B200" s="1" t="s">
        <v>3532</v>
      </c>
      <c r="C200" s="1" t="s">
        <v>3533</v>
      </c>
      <c r="D200" s="1">
        <v>2</v>
      </c>
      <c r="E200" s="1" t="s">
        <v>3534</v>
      </c>
    </row>
    <row r="201" spans="1:5" ht="15.75" customHeight="1" x14ac:dyDescent="0.2">
      <c r="A201" s="1">
        <v>47361</v>
      </c>
      <c r="B201" s="1" t="s">
        <v>3535</v>
      </c>
      <c r="C201" s="1" t="s">
        <v>3536</v>
      </c>
      <c r="D201" s="1">
        <v>2</v>
      </c>
      <c r="E201" s="1" t="s">
        <v>3537</v>
      </c>
    </row>
    <row r="202" spans="1:5" ht="15.75" customHeight="1" x14ac:dyDescent="0.2">
      <c r="A202" s="1">
        <v>38772</v>
      </c>
      <c r="B202" s="1" t="s">
        <v>75</v>
      </c>
      <c r="C202" s="1" t="s">
        <v>3538</v>
      </c>
      <c r="D202" s="1">
        <v>2</v>
      </c>
      <c r="E202" s="1" t="s">
        <v>3539</v>
      </c>
    </row>
    <row r="203" spans="1:5" ht="15.75" customHeight="1" x14ac:dyDescent="0.2">
      <c r="A203" s="1">
        <v>18344</v>
      </c>
      <c r="B203" s="1" t="s">
        <v>78</v>
      </c>
      <c r="C203" s="1" t="s">
        <v>3540</v>
      </c>
      <c r="D203" s="1">
        <v>2</v>
      </c>
      <c r="E203" s="1" t="s">
        <v>3541</v>
      </c>
    </row>
    <row r="204" spans="1:5" ht="15.75" customHeight="1" x14ac:dyDescent="0.2">
      <c r="A204" s="1">
        <v>18958</v>
      </c>
      <c r="B204" s="1" t="s">
        <v>797</v>
      </c>
      <c r="C204" s="1" t="s">
        <v>3542</v>
      </c>
      <c r="D204" s="1">
        <v>2</v>
      </c>
      <c r="E204" s="1" t="s">
        <v>3543</v>
      </c>
    </row>
    <row r="205" spans="1:5" ht="15.75" customHeight="1" x14ac:dyDescent="0.2">
      <c r="A205" s="1">
        <v>49668</v>
      </c>
      <c r="B205" s="1" t="s">
        <v>3544</v>
      </c>
      <c r="C205" s="1" t="s">
        <v>3545</v>
      </c>
      <c r="D205" s="1">
        <v>2</v>
      </c>
      <c r="E205" s="1" t="s">
        <v>3546</v>
      </c>
    </row>
    <row r="206" spans="1:5" ht="15.75" customHeight="1" x14ac:dyDescent="0.2">
      <c r="A206" s="1">
        <v>16573</v>
      </c>
      <c r="B206" s="1" t="s">
        <v>276</v>
      </c>
      <c r="C206" s="1" t="s">
        <v>3547</v>
      </c>
      <c r="D206" s="1">
        <v>1</v>
      </c>
      <c r="E206" s="1" t="s">
        <v>3548</v>
      </c>
    </row>
    <row r="207" spans="1:5" ht="15.75" customHeight="1" x14ac:dyDescent="0.2">
      <c r="A207" s="1">
        <v>58968</v>
      </c>
      <c r="B207" s="1" t="s">
        <v>3549</v>
      </c>
      <c r="C207" s="1" t="s">
        <v>3550</v>
      </c>
      <c r="D207" s="1">
        <v>2</v>
      </c>
      <c r="E207" s="1" t="s">
        <v>3551</v>
      </c>
    </row>
    <row r="208" spans="1:5" ht="15.75" customHeight="1" x14ac:dyDescent="0.2">
      <c r="A208" s="1">
        <v>29850</v>
      </c>
      <c r="B208" s="1" t="s">
        <v>153</v>
      </c>
      <c r="C208" s="1" t="s">
        <v>3552</v>
      </c>
      <c r="D208" s="1">
        <v>1</v>
      </c>
      <c r="E208" s="1" t="s">
        <v>3553</v>
      </c>
    </row>
    <row r="209" spans="1:5" ht="15.75" customHeight="1" x14ac:dyDescent="0.2">
      <c r="A209" s="1">
        <v>63254</v>
      </c>
      <c r="B209" s="1" t="s">
        <v>153</v>
      </c>
      <c r="C209" s="1" t="s">
        <v>3554</v>
      </c>
      <c r="D209" s="1">
        <v>2</v>
      </c>
      <c r="E209" s="1" t="s">
        <v>3555</v>
      </c>
    </row>
    <row r="210" spans="1:5" ht="15.75" customHeight="1" x14ac:dyDescent="0.2">
      <c r="A210" s="1">
        <v>25332</v>
      </c>
      <c r="B210" s="1" t="s">
        <v>106</v>
      </c>
      <c r="C210" s="1" t="s">
        <v>3556</v>
      </c>
      <c r="D210" s="1">
        <v>1</v>
      </c>
      <c r="E210" s="1" t="s">
        <v>3557</v>
      </c>
    </row>
    <row r="211" spans="1:5" ht="15.75" customHeight="1" x14ac:dyDescent="0.2">
      <c r="A211" s="1">
        <v>5322</v>
      </c>
      <c r="B211" s="1" t="s">
        <v>129</v>
      </c>
      <c r="C211" s="1" t="s">
        <v>3558</v>
      </c>
      <c r="D211" s="1">
        <v>1</v>
      </c>
      <c r="E211" s="1" t="s">
        <v>3559</v>
      </c>
    </row>
    <row r="212" spans="1:5" ht="15.75" customHeight="1" x14ac:dyDescent="0.2">
      <c r="A212" s="1">
        <v>20328</v>
      </c>
      <c r="B212" s="1" t="s">
        <v>3560</v>
      </c>
      <c r="C212" s="1" t="s">
        <v>3561</v>
      </c>
      <c r="D212" s="1">
        <v>2</v>
      </c>
      <c r="E212" s="1" t="s">
        <v>3562</v>
      </c>
    </row>
    <row r="213" spans="1:5" ht="15.75" customHeight="1" x14ac:dyDescent="0.2">
      <c r="A213" s="1">
        <v>53680</v>
      </c>
      <c r="B213" s="1" t="s">
        <v>144</v>
      </c>
      <c r="C213" s="1" t="s">
        <v>3563</v>
      </c>
      <c r="D213" s="1">
        <v>1</v>
      </c>
      <c r="E213" s="1" t="s">
        <v>3564</v>
      </c>
    </row>
    <row r="214" spans="1:5" ht="15.75" customHeight="1" x14ac:dyDescent="0.2">
      <c r="A214" s="1">
        <v>69316</v>
      </c>
      <c r="B214" s="1" t="s">
        <v>159</v>
      </c>
      <c r="C214" s="1" t="s">
        <v>3565</v>
      </c>
      <c r="D214" s="1">
        <v>2</v>
      </c>
      <c r="E214" s="1" t="s">
        <v>3566</v>
      </c>
    </row>
    <row r="215" spans="1:5" ht="15.75" customHeight="1" x14ac:dyDescent="0.2">
      <c r="A215" s="1">
        <v>69218</v>
      </c>
      <c r="B215" s="1" t="s">
        <v>466</v>
      </c>
      <c r="C215" s="1" t="s">
        <v>3567</v>
      </c>
      <c r="D215" s="1">
        <v>2</v>
      </c>
      <c r="E215" s="1" t="s">
        <v>3568</v>
      </c>
    </row>
    <row r="216" spans="1:5" ht="15.75" customHeight="1" x14ac:dyDescent="0.2">
      <c r="A216" s="1">
        <v>33809</v>
      </c>
      <c r="B216" s="1" t="s">
        <v>1609</v>
      </c>
      <c r="C216" s="1" t="s">
        <v>3569</v>
      </c>
      <c r="D216" s="1">
        <v>2</v>
      </c>
      <c r="E216" s="1" t="s">
        <v>3570</v>
      </c>
    </row>
    <row r="217" spans="1:5" ht="15.75" customHeight="1" x14ac:dyDescent="0.2">
      <c r="A217" s="1">
        <v>68372</v>
      </c>
      <c r="B217" s="1" t="s">
        <v>1609</v>
      </c>
      <c r="C217" s="1" t="s">
        <v>3571</v>
      </c>
      <c r="D217" s="1">
        <v>2</v>
      </c>
      <c r="E217" s="1" t="s">
        <v>3572</v>
      </c>
    </row>
    <row r="218" spans="1:5" ht="15.75" customHeight="1" x14ac:dyDescent="0.2">
      <c r="A218" s="1">
        <v>26023</v>
      </c>
      <c r="B218" s="1" t="s">
        <v>78</v>
      </c>
      <c r="C218" s="1" t="s">
        <v>3573</v>
      </c>
      <c r="D218" s="1">
        <v>2</v>
      </c>
      <c r="E218" s="1" t="s">
        <v>3574</v>
      </c>
    </row>
    <row r="219" spans="1:5" ht="15.75" customHeight="1" x14ac:dyDescent="0.2">
      <c r="A219" s="1">
        <v>9353</v>
      </c>
      <c r="B219" s="1" t="s">
        <v>276</v>
      </c>
      <c r="C219" s="1" t="s">
        <v>3575</v>
      </c>
      <c r="D219" s="1">
        <v>1</v>
      </c>
      <c r="E219" s="1" t="s">
        <v>3576</v>
      </c>
    </row>
    <row r="220" spans="1:5" ht="15.75" customHeight="1" x14ac:dyDescent="0.2">
      <c r="A220" s="1">
        <v>10009</v>
      </c>
      <c r="B220" s="1" t="s">
        <v>191</v>
      </c>
      <c r="C220" s="1" t="s">
        <v>3577</v>
      </c>
      <c r="D220" s="1">
        <v>2</v>
      </c>
      <c r="E220" s="1" t="s">
        <v>3578</v>
      </c>
    </row>
    <row r="221" spans="1:5" ht="15.75" customHeight="1" x14ac:dyDescent="0.2">
      <c r="A221" s="1">
        <v>41459</v>
      </c>
      <c r="B221" s="1" t="s">
        <v>2003</v>
      </c>
      <c r="C221" s="1" t="s">
        <v>3579</v>
      </c>
      <c r="D221" s="1">
        <v>2</v>
      </c>
      <c r="E221" s="1" t="s">
        <v>3580</v>
      </c>
    </row>
    <row r="222" spans="1:5" ht="15.75" customHeight="1" x14ac:dyDescent="0.2">
      <c r="A222" s="1">
        <v>46810</v>
      </c>
      <c r="B222" s="1" t="s">
        <v>485</v>
      </c>
      <c r="C222" s="1" t="s">
        <v>3581</v>
      </c>
      <c r="D222" s="1">
        <v>1</v>
      </c>
      <c r="E222" s="1" t="s">
        <v>3582</v>
      </c>
    </row>
    <row r="223" spans="1:5" ht="15.75" customHeight="1" x14ac:dyDescent="0.2">
      <c r="A223" s="1">
        <v>45950</v>
      </c>
      <c r="B223" s="1" t="s">
        <v>1208</v>
      </c>
      <c r="C223" s="1" t="s">
        <v>3583</v>
      </c>
      <c r="D223" s="1">
        <v>1</v>
      </c>
      <c r="E223" s="1" t="s">
        <v>3584</v>
      </c>
    </row>
    <row r="224" spans="1:5" ht="15.75" customHeight="1" x14ac:dyDescent="0.2">
      <c r="A224" s="1">
        <v>49560</v>
      </c>
      <c r="B224" s="1" t="s">
        <v>144</v>
      </c>
      <c r="C224" s="1" t="s">
        <v>3585</v>
      </c>
      <c r="D224" s="1">
        <v>2</v>
      </c>
      <c r="E224" s="1" t="s">
        <v>3586</v>
      </c>
    </row>
    <row r="225" spans="1:5" ht="15.75" customHeight="1" x14ac:dyDescent="0.2">
      <c r="A225" s="1">
        <v>64973</v>
      </c>
      <c r="B225" s="1" t="s">
        <v>466</v>
      </c>
      <c r="C225" s="1" t="s">
        <v>3587</v>
      </c>
      <c r="D225" s="1">
        <v>2</v>
      </c>
      <c r="E225" s="1" t="s">
        <v>3588</v>
      </c>
    </row>
    <row r="226" spans="1:5" ht="15.75" customHeight="1" x14ac:dyDescent="0.2">
      <c r="A226" s="1">
        <v>22986</v>
      </c>
      <c r="B226" s="1" t="s">
        <v>457</v>
      </c>
      <c r="C226" s="1" t="s">
        <v>3589</v>
      </c>
      <c r="D226" s="1">
        <v>2</v>
      </c>
      <c r="E226" s="1" t="s">
        <v>3590</v>
      </c>
    </row>
    <row r="227" spans="1:5" ht="15.75" customHeight="1" x14ac:dyDescent="0.2">
      <c r="A227" s="1">
        <v>27130</v>
      </c>
      <c r="B227" s="1" t="s">
        <v>3591</v>
      </c>
      <c r="C227" s="1" t="s">
        <v>3592</v>
      </c>
      <c r="D227" s="1">
        <v>1</v>
      </c>
      <c r="E227" s="1" t="s">
        <v>3593</v>
      </c>
    </row>
    <row r="228" spans="1:5" ht="15.75" customHeight="1" x14ac:dyDescent="0.2">
      <c r="A228" s="1">
        <v>27988</v>
      </c>
      <c r="B228" s="1" t="s">
        <v>3594</v>
      </c>
      <c r="C228" s="1" t="s">
        <v>3595</v>
      </c>
      <c r="D228" s="1">
        <v>2</v>
      </c>
      <c r="E228" s="1" t="s">
        <v>3596</v>
      </c>
    </row>
    <row r="229" spans="1:5" ht="15.75" customHeight="1" x14ac:dyDescent="0.2">
      <c r="A229" s="1">
        <v>10602</v>
      </c>
      <c r="B229" s="1" t="s">
        <v>751</v>
      </c>
      <c r="C229" s="1" t="s">
        <v>3597</v>
      </c>
      <c r="D229" s="1">
        <v>2</v>
      </c>
      <c r="E229" s="1" t="s">
        <v>3598</v>
      </c>
    </row>
    <row r="230" spans="1:5" ht="15.75" customHeight="1" x14ac:dyDescent="0.2">
      <c r="A230" s="1">
        <v>51695</v>
      </c>
      <c r="B230" s="1" t="s">
        <v>254</v>
      </c>
      <c r="C230" s="1" t="s">
        <v>3599</v>
      </c>
      <c r="D230" s="1">
        <v>1</v>
      </c>
      <c r="E230" s="1" t="s">
        <v>3600</v>
      </c>
    </row>
    <row r="231" spans="1:5" ht="15.75" customHeight="1" x14ac:dyDescent="0.2">
      <c r="A231" s="1">
        <v>38355</v>
      </c>
      <c r="B231" s="1" t="s">
        <v>153</v>
      </c>
      <c r="C231" s="1" t="s">
        <v>3601</v>
      </c>
      <c r="D231" s="1">
        <v>2</v>
      </c>
      <c r="E231" s="1" t="s">
        <v>3602</v>
      </c>
    </row>
    <row r="232" spans="1:5" ht="15.75" customHeight="1" x14ac:dyDescent="0.2">
      <c r="A232" s="1">
        <v>38362</v>
      </c>
      <c r="B232" s="1" t="s">
        <v>301</v>
      </c>
      <c r="C232" s="1" t="s">
        <v>3603</v>
      </c>
      <c r="D232" s="1">
        <v>2</v>
      </c>
      <c r="E232" s="1" t="s">
        <v>3604</v>
      </c>
    </row>
    <row r="233" spans="1:5" ht="15.75" customHeight="1" x14ac:dyDescent="0.2">
      <c r="A233" s="1">
        <v>56725</v>
      </c>
      <c r="B233" s="1" t="s">
        <v>2003</v>
      </c>
      <c r="C233" s="1" t="s">
        <v>3605</v>
      </c>
      <c r="D233" s="1">
        <v>2</v>
      </c>
      <c r="E233" s="1" t="s">
        <v>3606</v>
      </c>
    </row>
    <row r="234" spans="1:5" ht="15.75" customHeight="1" x14ac:dyDescent="0.2">
      <c r="A234" s="1">
        <v>44764</v>
      </c>
      <c r="B234" s="1" t="s">
        <v>408</v>
      </c>
      <c r="C234" s="1" t="s">
        <v>3607</v>
      </c>
      <c r="D234" s="1">
        <v>2</v>
      </c>
      <c r="E234" s="1" t="s">
        <v>3608</v>
      </c>
    </row>
    <row r="235" spans="1:5" ht="15.75" customHeight="1" x14ac:dyDescent="0.2">
      <c r="A235" s="1">
        <v>60770</v>
      </c>
      <c r="B235" s="1" t="s">
        <v>141</v>
      </c>
      <c r="C235" s="1" t="s">
        <v>3609</v>
      </c>
      <c r="D235" s="1">
        <v>2</v>
      </c>
      <c r="E235" s="1" t="s">
        <v>3610</v>
      </c>
    </row>
    <row r="236" spans="1:5" ht="15.75" customHeight="1" x14ac:dyDescent="0.2">
      <c r="A236" s="1">
        <v>70544</v>
      </c>
      <c r="B236" s="1" t="s">
        <v>268</v>
      </c>
      <c r="C236" s="1" t="s">
        <v>3611</v>
      </c>
      <c r="D236" s="1">
        <v>2</v>
      </c>
      <c r="E236" s="1" t="s">
        <v>3612</v>
      </c>
    </row>
    <row r="237" spans="1:5" ht="15.75" customHeight="1" x14ac:dyDescent="0.2">
      <c r="A237" s="1">
        <v>60922</v>
      </c>
      <c r="B237" s="1" t="s">
        <v>3613</v>
      </c>
      <c r="C237" s="1" t="s">
        <v>3614</v>
      </c>
      <c r="D237" s="1">
        <v>2</v>
      </c>
      <c r="E237" s="1" t="s">
        <v>3615</v>
      </c>
    </row>
    <row r="238" spans="1:5" ht="15.75" customHeight="1" x14ac:dyDescent="0.2">
      <c r="A238" s="1">
        <v>19839</v>
      </c>
      <c r="B238" s="1" t="s">
        <v>276</v>
      </c>
      <c r="C238" s="1" t="s">
        <v>3616</v>
      </c>
      <c r="D238" s="1">
        <v>1</v>
      </c>
      <c r="E238" s="1" t="s">
        <v>3617</v>
      </c>
    </row>
    <row r="239" spans="1:5" ht="15.75" customHeight="1" x14ac:dyDescent="0.2">
      <c r="A239" s="1">
        <v>69259</v>
      </c>
      <c r="B239" s="1" t="s">
        <v>87</v>
      </c>
      <c r="C239" s="1" t="s">
        <v>3618</v>
      </c>
      <c r="D239" s="1">
        <v>2</v>
      </c>
      <c r="E239" s="1" t="s">
        <v>3619</v>
      </c>
    </row>
    <row r="240" spans="1:5" ht="15.75" customHeight="1" x14ac:dyDescent="0.2">
      <c r="A240" s="1">
        <v>13707</v>
      </c>
      <c r="B240" s="1" t="s">
        <v>153</v>
      </c>
      <c r="C240" s="1" t="s">
        <v>3620</v>
      </c>
      <c r="D240" s="1">
        <v>2</v>
      </c>
      <c r="E240" s="1" t="s">
        <v>3621</v>
      </c>
    </row>
    <row r="241" spans="1:5" ht="15.75" customHeight="1" x14ac:dyDescent="0.2">
      <c r="A241" s="1">
        <v>7204</v>
      </c>
      <c r="B241" s="1" t="s">
        <v>1455</v>
      </c>
      <c r="C241" s="1" t="s">
        <v>3622</v>
      </c>
      <c r="D241" s="1">
        <v>2</v>
      </c>
      <c r="E241" s="1" t="s">
        <v>3623</v>
      </c>
    </row>
    <row r="242" spans="1:5" ht="15.75" customHeight="1" x14ac:dyDescent="0.2">
      <c r="A242" s="1">
        <v>35692</v>
      </c>
      <c r="B242" s="1" t="s">
        <v>794</v>
      </c>
      <c r="C242" s="1" t="s">
        <v>3624</v>
      </c>
      <c r="D242" s="1">
        <v>2</v>
      </c>
      <c r="E242" s="1" t="s">
        <v>3625</v>
      </c>
    </row>
    <row r="243" spans="1:5" ht="15.75" customHeight="1" x14ac:dyDescent="0.2">
      <c r="A243" s="1">
        <v>34964</v>
      </c>
      <c r="B243" s="1" t="s">
        <v>408</v>
      </c>
      <c r="C243" s="1" t="s">
        <v>3626</v>
      </c>
      <c r="D243" s="1">
        <v>2</v>
      </c>
      <c r="E243" s="1" t="s">
        <v>3627</v>
      </c>
    </row>
    <row r="244" spans="1:5" ht="15.75" customHeight="1" x14ac:dyDescent="0.2">
      <c r="A244" s="1">
        <v>69028</v>
      </c>
      <c r="B244" s="1" t="s">
        <v>109</v>
      </c>
      <c r="C244" s="1" t="s">
        <v>3628</v>
      </c>
      <c r="D244" s="1">
        <v>2</v>
      </c>
      <c r="E244" s="1" t="s">
        <v>3629</v>
      </c>
    </row>
    <row r="245" spans="1:5" ht="15.75" customHeight="1" x14ac:dyDescent="0.2">
      <c r="A245" s="1">
        <v>43590</v>
      </c>
      <c r="B245" s="1" t="s">
        <v>3630</v>
      </c>
      <c r="C245" s="1" t="s">
        <v>3631</v>
      </c>
      <c r="D245" s="1">
        <v>1</v>
      </c>
      <c r="E245" s="1" t="s">
        <v>3632</v>
      </c>
    </row>
    <row r="246" spans="1:5" ht="15.75" customHeight="1" x14ac:dyDescent="0.2">
      <c r="A246" s="1">
        <v>17957</v>
      </c>
      <c r="B246" s="1" t="s">
        <v>1895</v>
      </c>
      <c r="C246" s="1" t="s">
        <v>3633</v>
      </c>
      <c r="D246" s="1">
        <v>2</v>
      </c>
      <c r="E246" s="1" t="s">
        <v>3634</v>
      </c>
    </row>
    <row r="247" spans="1:5" ht="15.75" customHeight="1" x14ac:dyDescent="0.2">
      <c r="A247" s="1">
        <v>35971</v>
      </c>
      <c r="B247" s="1" t="s">
        <v>191</v>
      </c>
      <c r="C247" s="1" t="s">
        <v>3635</v>
      </c>
      <c r="D247" s="1">
        <v>1</v>
      </c>
      <c r="E247" s="1" t="s">
        <v>3636</v>
      </c>
    </row>
    <row r="248" spans="1:5" ht="15.75" customHeight="1" x14ac:dyDescent="0.2">
      <c r="A248" s="1">
        <v>41242</v>
      </c>
      <c r="B248" s="1" t="s">
        <v>969</v>
      </c>
      <c r="C248" s="1" t="s">
        <v>3637</v>
      </c>
      <c r="D248" s="1">
        <v>1</v>
      </c>
      <c r="E248" s="1" t="s">
        <v>3638</v>
      </c>
    </row>
    <row r="249" spans="1:5" ht="15.75" customHeight="1" x14ac:dyDescent="0.2">
      <c r="A249" s="1">
        <v>70675</v>
      </c>
      <c r="B249" s="1" t="s">
        <v>466</v>
      </c>
      <c r="C249" s="1" t="s">
        <v>3639</v>
      </c>
      <c r="D249" s="1">
        <v>2</v>
      </c>
      <c r="E249" s="1" t="s">
        <v>3640</v>
      </c>
    </row>
    <row r="250" spans="1:5" ht="15.75" customHeight="1" x14ac:dyDescent="0.2">
      <c r="A250" s="1">
        <v>67060</v>
      </c>
      <c r="B250" s="1" t="s">
        <v>11</v>
      </c>
      <c r="C250" s="1" t="s">
        <v>3641</v>
      </c>
      <c r="D250" s="1">
        <v>2</v>
      </c>
      <c r="E250" s="1" t="s">
        <v>3642</v>
      </c>
    </row>
    <row r="251" spans="1:5" ht="15.75" customHeight="1" x14ac:dyDescent="0.2">
      <c r="A251" s="1">
        <v>58965</v>
      </c>
      <c r="B251" s="1" t="s">
        <v>205</v>
      </c>
      <c r="C251" s="1" t="s">
        <v>3643</v>
      </c>
      <c r="D251" s="1">
        <v>2</v>
      </c>
      <c r="E251" s="1" t="s">
        <v>3644</v>
      </c>
    </row>
    <row r="252" spans="1:5" ht="15.75" customHeight="1" x14ac:dyDescent="0.2">
      <c r="A252" s="1">
        <v>63054</v>
      </c>
      <c r="B252" s="1" t="s">
        <v>32</v>
      </c>
      <c r="C252" s="1" t="s">
        <v>3645</v>
      </c>
      <c r="D252" s="1">
        <v>2</v>
      </c>
      <c r="E252" s="1" t="s">
        <v>3646</v>
      </c>
    </row>
    <row r="253" spans="1:5" ht="15.75" customHeight="1" x14ac:dyDescent="0.2">
      <c r="A253" s="1">
        <v>13928</v>
      </c>
      <c r="B253" s="1" t="s">
        <v>103</v>
      </c>
      <c r="C253" s="1" t="s">
        <v>3647</v>
      </c>
      <c r="D253" s="1">
        <v>1</v>
      </c>
      <c r="E253" s="1" t="s">
        <v>3648</v>
      </c>
    </row>
    <row r="254" spans="1:5" ht="15.75" customHeight="1" x14ac:dyDescent="0.2">
      <c r="A254" s="1">
        <v>59478</v>
      </c>
      <c r="B254" s="1" t="s">
        <v>1167</v>
      </c>
      <c r="C254" s="1" t="s">
        <v>3649</v>
      </c>
      <c r="D254" s="1">
        <v>2</v>
      </c>
      <c r="E254" s="1" t="s">
        <v>3650</v>
      </c>
    </row>
    <row r="255" spans="1:5" ht="15.75" customHeight="1" x14ac:dyDescent="0.2">
      <c r="A255" s="1">
        <v>53210</v>
      </c>
      <c r="B255" s="1" t="s">
        <v>3651</v>
      </c>
      <c r="C255" s="1" t="s">
        <v>3652</v>
      </c>
      <c r="D255" s="1">
        <v>2</v>
      </c>
      <c r="E255" s="1" t="s">
        <v>3653</v>
      </c>
    </row>
    <row r="256" spans="1:5" ht="15.75" customHeight="1" x14ac:dyDescent="0.2">
      <c r="A256" s="1">
        <v>36382</v>
      </c>
      <c r="B256" s="1" t="s">
        <v>2777</v>
      </c>
      <c r="C256" s="1" t="s">
        <v>3654</v>
      </c>
      <c r="D256" s="1">
        <v>1</v>
      </c>
      <c r="E256" s="1" t="s">
        <v>3655</v>
      </c>
    </row>
    <row r="257" spans="1:5" ht="15.75" customHeight="1" x14ac:dyDescent="0.2">
      <c r="A257" s="1">
        <v>1359</v>
      </c>
      <c r="B257" s="1" t="s">
        <v>1468</v>
      </c>
      <c r="C257" s="1" t="s">
        <v>3656</v>
      </c>
      <c r="D257" s="1">
        <v>2</v>
      </c>
      <c r="E257" s="1" t="s">
        <v>3657</v>
      </c>
    </row>
    <row r="258" spans="1:5" ht="15.75" customHeight="1" x14ac:dyDescent="0.2">
      <c r="A258" s="1">
        <v>42071</v>
      </c>
      <c r="B258" s="1" t="s">
        <v>405</v>
      </c>
      <c r="C258" s="1" t="s">
        <v>3658</v>
      </c>
      <c r="D258" s="1">
        <v>2</v>
      </c>
      <c r="E258" s="1" t="s">
        <v>3659</v>
      </c>
    </row>
    <row r="259" spans="1:5" ht="15.75" customHeight="1" x14ac:dyDescent="0.2">
      <c r="A259" s="1">
        <v>46786</v>
      </c>
      <c r="B259" s="1" t="s">
        <v>1921</v>
      </c>
      <c r="C259" s="1" t="s">
        <v>3660</v>
      </c>
      <c r="D259" s="1">
        <v>2</v>
      </c>
      <c r="E259" s="1" t="s">
        <v>3661</v>
      </c>
    </row>
    <row r="260" spans="1:5" ht="15.75" customHeight="1" x14ac:dyDescent="0.2">
      <c r="A260" s="1">
        <v>7814</v>
      </c>
      <c r="B260" s="1" t="s">
        <v>17</v>
      </c>
      <c r="C260" s="1" t="s">
        <v>3662</v>
      </c>
      <c r="D260" s="1">
        <v>2</v>
      </c>
      <c r="E260" s="1" t="s">
        <v>3663</v>
      </c>
    </row>
    <row r="261" spans="1:5" ht="15.75" customHeight="1" x14ac:dyDescent="0.2">
      <c r="A261" s="1">
        <v>67029</v>
      </c>
      <c r="B261" s="1" t="s">
        <v>991</v>
      </c>
      <c r="C261" s="1" t="s">
        <v>3664</v>
      </c>
      <c r="D261" s="1">
        <v>1</v>
      </c>
      <c r="E261" s="1" t="s">
        <v>3665</v>
      </c>
    </row>
    <row r="262" spans="1:5" ht="15.75" customHeight="1" x14ac:dyDescent="0.2">
      <c r="A262" s="1">
        <v>51990</v>
      </c>
      <c r="B262" s="1" t="s">
        <v>552</v>
      </c>
      <c r="C262" s="1" t="s">
        <v>3666</v>
      </c>
      <c r="D262" s="1">
        <v>1</v>
      </c>
      <c r="E262" s="1" t="s">
        <v>3667</v>
      </c>
    </row>
    <row r="263" spans="1:5" ht="15.75" customHeight="1" x14ac:dyDescent="0.2">
      <c r="A263" s="1">
        <v>67630</v>
      </c>
      <c r="B263" s="1" t="s">
        <v>552</v>
      </c>
      <c r="C263" s="1" t="s">
        <v>3668</v>
      </c>
      <c r="D263" s="1">
        <v>1</v>
      </c>
      <c r="E263" s="1" t="s">
        <v>3669</v>
      </c>
    </row>
    <row r="264" spans="1:5" ht="15.75" customHeight="1" x14ac:dyDescent="0.2">
      <c r="A264" s="1">
        <v>6600</v>
      </c>
      <c r="B264" s="1" t="s">
        <v>129</v>
      </c>
      <c r="C264" s="1" t="s">
        <v>3670</v>
      </c>
      <c r="D264" s="1">
        <v>2</v>
      </c>
      <c r="E264" s="1" t="s">
        <v>3671</v>
      </c>
    </row>
    <row r="265" spans="1:5" ht="15.75" customHeight="1" x14ac:dyDescent="0.2">
      <c r="A265" s="1">
        <v>57939</v>
      </c>
      <c r="B265" s="1" t="s">
        <v>276</v>
      </c>
      <c r="C265" s="1" t="s">
        <v>3672</v>
      </c>
      <c r="D265" s="1">
        <v>1</v>
      </c>
      <c r="E265" s="1" t="s">
        <v>3673</v>
      </c>
    </row>
    <row r="266" spans="1:5" ht="15.75" customHeight="1" x14ac:dyDescent="0.2">
      <c r="A266" s="1">
        <v>33757</v>
      </c>
      <c r="B266" s="1" t="s">
        <v>44</v>
      </c>
      <c r="C266" s="1" t="s">
        <v>3674</v>
      </c>
      <c r="D266" s="1">
        <v>2</v>
      </c>
      <c r="E266" s="1" t="s">
        <v>3675</v>
      </c>
    </row>
    <row r="267" spans="1:5" ht="15.75" customHeight="1" x14ac:dyDescent="0.2">
      <c r="A267" s="1">
        <v>63767</v>
      </c>
      <c r="B267" s="1" t="s">
        <v>3676</v>
      </c>
      <c r="C267" s="1" t="s">
        <v>3677</v>
      </c>
      <c r="D267" s="1">
        <v>2</v>
      </c>
      <c r="E267" s="1" t="s">
        <v>3678</v>
      </c>
    </row>
    <row r="268" spans="1:5" ht="15.75" customHeight="1" x14ac:dyDescent="0.2">
      <c r="A268" s="1">
        <v>63168</v>
      </c>
      <c r="B268" s="1" t="s">
        <v>153</v>
      </c>
      <c r="C268" s="1" t="s">
        <v>3679</v>
      </c>
      <c r="D268" s="1">
        <v>1</v>
      </c>
      <c r="E268" s="1" t="s">
        <v>3680</v>
      </c>
    </row>
    <row r="269" spans="1:5" ht="15.75" customHeight="1" x14ac:dyDescent="0.2">
      <c r="A269" s="1">
        <v>10725</v>
      </c>
      <c r="B269" s="1" t="s">
        <v>571</v>
      </c>
      <c r="C269" s="1" t="s">
        <v>3681</v>
      </c>
      <c r="D269" s="1">
        <v>1</v>
      </c>
      <c r="E269" s="1" t="s">
        <v>3682</v>
      </c>
    </row>
    <row r="270" spans="1:5" ht="15.75" customHeight="1" x14ac:dyDescent="0.2">
      <c r="A270" s="1">
        <v>17923</v>
      </c>
      <c r="B270" s="1" t="s">
        <v>562</v>
      </c>
      <c r="C270" s="1" t="s">
        <v>3683</v>
      </c>
      <c r="D270" s="1">
        <v>2</v>
      </c>
      <c r="E270" s="1" t="s">
        <v>3684</v>
      </c>
    </row>
    <row r="271" spans="1:5" ht="15.75" customHeight="1" x14ac:dyDescent="0.2">
      <c r="A271" s="1">
        <v>61154</v>
      </c>
      <c r="B271" s="1" t="s">
        <v>3685</v>
      </c>
      <c r="C271" s="1" t="s">
        <v>3686</v>
      </c>
      <c r="D271" s="1">
        <v>1</v>
      </c>
      <c r="E271" s="1" t="s">
        <v>3687</v>
      </c>
    </row>
    <row r="272" spans="1:5" ht="15.75" customHeight="1" x14ac:dyDescent="0.2">
      <c r="A272" s="1">
        <v>68657</v>
      </c>
      <c r="B272" s="1" t="s">
        <v>103</v>
      </c>
      <c r="C272" s="1" t="s">
        <v>3688</v>
      </c>
      <c r="D272" s="1">
        <v>2</v>
      </c>
      <c r="E272" s="1" t="s">
        <v>3689</v>
      </c>
    </row>
    <row r="273" spans="1:5" ht="15.75" customHeight="1" x14ac:dyDescent="0.2">
      <c r="A273" s="1">
        <v>48575</v>
      </c>
      <c r="B273" s="1" t="s">
        <v>848</v>
      </c>
      <c r="C273" s="1" t="s">
        <v>3690</v>
      </c>
      <c r="D273" s="1">
        <v>2</v>
      </c>
      <c r="E273" s="1" t="s">
        <v>3691</v>
      </c>
    </row>
    <row r="274" spans="1:5" ht="15.75" customHeight="1" x14ac:dyDescent="0.2">
      <c r="A274" s="1">
        <v>3436</v>
      </c>
      <c r="B274" s="1" t="s">
        <v>3692</v>
      </c>
      <c r="C274" s="1" t="s">
        <v>3693</v>
      </c>
      <c r="D274" s="1">
        <v>2</v>
      </c>
      <c r="E274" s="1" t="s">
        <v>3694</v>
      </c>
    </row>
    <row r="275" spans="1:5" ht="15.75" customHeight="1" x14ac:dyDescent="0.2">
      <c r="A275" s="1">
        <v>22973</v>
      </c>
      <c r="B275" s="1" t="s">
        <v>180</v>
      </c>
      <c r="C275" s="1" t="s">
        <v>3695</v>
      </c>
      <c r="D275" s="1">
        <v>2</v>
      </c>
      <c r="E275" s="1" t="s">
        <v>3696</v>
      </c>
    </row>
    <row r="276" spans="1:5" ht="15.75" customHeight="1" x14ac:dyDescent="0.2">
      <c r="A276" s="1">
        <v>1498</v>
      </c>
      <c r="B276" s="1" t="s">
        <v>3697</v>
      </c>
      <c r="C276" s="1" t="s">
        <v>3698</v>
      </c>
      <c r="D276" s="1">
        <v>1</v>
      </c>
      <c r="E276" s="1" t="s">
        <v>3699</v>
      </c>
    </row>
    <row r="277" spans="1:5" ht="15.75" customHeight="1" x14ac:dyDescent="0.2">
      <c r="A277" s="1">
        <v>37993</v>
      </c>
      <c r="B277" s="1" t="s">
        <v>32</v>
      </c>
      <c r="C277" s="1" t="s">
        <v>3700</v>
      </c>
      <c r="D277" s="1">
        <v>2</v>
      </c>
      <c r="E277" s="1" t="s">
        <v>3701</v>
      </c>
    </row>
    <row r="278" spans="1:5" ht="15.75" customHeight="1" x14ac:dyDescent="0.2">
      <c r="A278" s="1">
        <v>6445</v>
      </c>
      <c r="B278" s="1" t="s">
        <v>135</v>
      </c>
      <c r="C278" s="1" t="s">
        <v>3702</v>
      </c>
      <c r="D278" s="1">
        <v>2</v>
      </c>
      <c r="E278" s="1" t="s">
        <v>3703</v>
      </c>
    </row>
    <row r="279" spans="1:5" ht="15.75" customHeight="1" x14ac:dyDescent="0.2">
      <c r="A279" s="1">
        <v>21894</v>
      </c>
      <c r="B279" s="1" t="s">
        <v>2097</v>
      </c>
      <c r="C279" s="1" t="s">
        <v>3704</v>
      </c>
      <c r="D279" s="1">
        <v>2</v>
      </c>
      <c r="E279" s="1" t="s">
        <v>3705</v>
      </c>
    </row>
    <row r="280" spans="1:5" ht="15.75" customHeight="1" x14ac:dyDescent="0.2">
      <c r="A280" s="1">
        <v>9840</v>
      </c>
      <c r="B280" s="1" t="s">
        <v>3706</v>
      </c>
      <c r="C280" s="1" t="s">
        <v>3707</v>
      </c>
      <c r="D280" s="1">
        <v>1</v>
      </c>
      <c r="E280" s="1" t="s">
        <v>3708</v>
      </c>
    </row>
    <row r="281" spans="1:5" ht="15.75" customHeight="1" x14ac:dyDescent="0.2">
      <c r="A281" s="1">
        <v>58588</v>
      </c>
      <c r="B281" s="1" t="s">
        <v>405</v>
      </c>
      <c r="C281" s="1" t="s">
        <v>3709</v>
      </c>
      <c r="D281" s="1">
        <v>2</v>
      </c>
      <c r="E281" s="1" t="s">
        <v>3710</v>
      </c>
    </row>
    <row r="282" spans="1:5" ht="15.75" customHeight="1" x14ac:dyDescent="0.2">
      <c r="A282" s="1">
        <v>14286</v>
      </c>
      <c r="B282" s="1" t="s">
        <v>342</v>
      </c>
      <c r="C282" s="1" t="s">
        <v>3711</v>
      </c>
      <c r="D282" s="1">
        <v>2</v>
      </c>
      <c r="E282" s="1" t="s">
        <v>3712</v>
      </c>
    </row>
    <row r="283" spans="1:5" ht="15.75" customHeight="1" x14ac:dyDescent="0.2">
      <c r="A283" s="1">
        <v>2814</v>
      </c>
      <c r="B283" s="1" t="s">
        <v>3713</v>
      </c>
      <c r="C283" s="1" t="s">
        <v>3714</v>
      </c>
      <c r="D283" s="1">
        <v>1</v>
      </c>
      <c r="E283" s="1" t="s">
        <v>3715</v>
      </c>
    </row>
    <row r="284" spans="1:5" ht="15.75" customHeight="1" x14ac:dyDescent="0.2">
      <c r="A284" s="1">
        <v>39162</v>
      </c>
      <c r="B284" s="1" t="s">
        <v>745</v>
      </c>
      <c r="C284" s="1" t="s">
        <v>3716</v>
      </c>
      <c r="D284" s="1">
        <v>1</v>
      </c>
      <c r="E284" s="1" t="s">
        <v>3717</v>
      </c>
    </row>
    <row r="285" spans="1:5" ht="15.75" customHeight="1" x14ac:dyDescent="0.2">
      <c r="A285" s="1">
        <v>31009</v>
      </c>
      <c r="B285" s="1" t="s">
        <v>405</v>
      </c>
      <c r="C285" s="1" t="s">
        <v>3718</v>
      </c>
      <c r="D285" s="1">
        <v>2</v>
      </c>
      <c r="E285" s="1" t="s">
        <v>3719</v>
      </c>
    </row>
    <row r="286" spans="1:5" ht="15.75" customHeight="1" x14ac:dyDescent="0.2">
      <c r="A286" s="1">
        <v>67296</v>
      </c>
      <c r="B286" s="1" t="s">
        <v>167</v>
      </c>
      <c r="C286" s="1" t="s">
        <v>3720</v>
      </c>
      <c r="D286" s="1">
        <v>1</v>
      </c>
      <c r="E286" s="1" t="s">
        <v>3721</v>
      </c>
    </row>
    <row r="287" spans="1:5" ht="15.75" customHeight="1" x14ac:dyDescent="0.2">
      <c r="A287" s="1">
        <v>6649</v>
      </c>
      <c r="B287" s="1" t="s">
        <v>254</v>
      </c>
      <c r="C287" s="1" t="s">
        <v>3722</v>
      </c>
      <c r="D287" s="1">
        <v>2</v>
      </c>
      <c r="E287" s="1" t="s">
        <v>3723</v>
      </c>
    </row>
    <row r="288" spans="1:5" ht="15.75" customHeight="1" x14ac:dyDescent="0.2">
      <c r="A288" s="1">
        <v>22730</v>
      </c>
      <c r="B288" s="1" t="s">
        <v>14</v>
      </c>
      <c r="C288" s="1" t="s">
        <v>3724</v>
      </c>
      <c r="D288" s="1">
        <v>1</v>
      </c>
      <c r="E288" s="1" t="s">
        <v>3725</v>
      </c>
    </row>
    <row r="289" spans="1:5" ht="15.75" customHeight="1" x14ac:dyDescent="0.2">
      <c r="A289" s="1">
        <v>37105</v>
      </c>
      <c r="B289" s="1" t="s">
        <v>931</v>
      </c>
      <c r="C289" s="1" t="s">
        <v>3726</v>
      </c>
      <c r="D289" s="1">
        <v>2</v>
      </c>
      <c r="E289" s="1" t="s">
        <v>3727</v>
      </c>
    </row>
    <row r="290" spans="1:5" ht="15.75" customHeight="1" x14ac:dyDescent="0.2">
      <c r="A290" s="1">
        <v>19812</v>
      </c>
      <c r="B290" s="1" t="s">
        <v>1501</v>
      </c>
      <c r="C290" s="1" t="s">
        <v>3728</v>
      </c>
      <c r="D290" s="1">
        <v>2</v>
      </c>
      <c r="E290" s="1" t="s">
        <v>3729</v>
      </c>
    </row>
    <row r="291" spans="1:5" ht="15.75" customHeight="1" x14ac:dyDescent="0.2">
      <c r="A291" s="1">
        <v>68331</v>
      </c>
      <c r="B291" s="1" t="s">
        <v>2003</v>
      </c>
      <c r="C291" s="1" t="s">
        <v>3730</v>
      </c>
      <c r="D291" s="1">
        <v>2</v>
      </c>
      <c r="E291" s="1" t="s">
        <v>3731</v>
      </c>
    </row>
    <row r="292" spans="1:5" ht="15.75" customHeight="1" x14ac:dyDescent="0.2">
      <c r="A292" s="1">
        <v>49160</v>
      </c>
      <c r="B292" s="1" t="s">
        <v>238</v>
      </c>
      <c r="C292" s="1" t="s">
        <v>3732</v>
      </c>
      <c r="D292" s="1">
        <v>2</v>
      </c>
      <c r="E292" s="1" t="s">
        <v>3733</v>
      </c>
    </row>
    <row r="293" spans="1:5" ht="15.75" customHeight="1" x14ac:dyDescent="0.2">
      <c r="A293" s="1">
        <v>35761</v>
      </c>
      <c r="B293" s="1" t="s">
        <v>298</v>
      </c>
      <c r="C293" s="1" t="s">
        <v>3734</v>
      </c>
      <c r="D293" s="1">
        <v>1</v>
      </c>
      <c r="E293" s="1" t="s">
        <v>3735</v>
      </c>
    </row>
    <row r="294" spans="1:5" ht="15.75" customHeight="1" x14ac:dyDescent="0.2">
      <c r="A294" s="1">
        <v>27251</v>
      </c>
      <c r="B294" s="1" t="s">
        <v>3736</v>
      </c>
      <c r="C294" s="1" t="s">
        <v>3737</v>
      </c>
      <c r="D294" s="1">
        <v>1</v>
      </c>
      <c r="E294" s="1" t="s">
        <v>3738</v>
      </c>
    </row>
    <row r="295" spans="1:5" ht="15.75" customHeight="1" x14ac:dyDescent="0.2">
      <c r="A295" s="1">
        <v>15940</v>
      </c>
      <c r="B295" s="1" t="s">
        <v>326</v>
      </c>
      <c r="C295" s="1" t="s">
        <v>3739</v>
      </c>
      <c r="D295" s="1">
        <v>2</v>
      </c>
      <c r="E295" s="1" t="s">
        <v>3740</v>
      </c>
    </row>
    <row r="296" spans="1:5" ht="15.75" customHeight="1" x14ac:dyDescent="0.2">
      <c r="A296" s="1">
        <v>54599</v>
      </c>
      <c r="B296" s="1" t="s">
        <v>656</v>
      </c>
      <c r="C296" s="1" t="s">
        <v>3741</v>
      </c>
      <c r="D296" s="1">
        <v>2</v>
      </c>
      <c r="E296" s="1" t="s">
        <v>3742</v>
      </c>
    </row>
    <row r="297" spans="1:5" ht="15.75" customHeight="1" x14ac:dyDescent="0.2">
      <c r="A297" s="1">
        <v>17722</v>
      </c>
      <c r="B297" s="1" t="s">
        <v>385</v>
      </c>
      <c r="C297" s="1" t="s">
        <v>3743</v>
      </c>
      <c r="D297" s="1">
        <v>2</v>
      </c>
      <c r="E297" s="1" t="s">
        <v>3744</v>
      </c>
    </row>
    <row r="298" spans="1:5" ht="15.75" customHeight="1" x14ac:dyDescent="0.2">
      <c r="A298" s="1">
        <v>65426</v>
      </c>
      <c r="B298" s="1" t="s">
        <v>11</v>
      </c>
      <c r="C298" s="1" t="s">
        <v>3745</v>
      </c>
      <c r="D298" s="1">
        <v>1</v>
      </c>
      <c r="E298" s="1" t="s">
        <v>3746</v>
      </c>
    </row>
    <row r="299" spans="1:5" ht="15.75" customHeight="1" x14ac:dyDescent="0.2">
      <c r="A299" s="1">
        <v>62152</v>
      </c>
      <c r="B299" s="1" t="s">
        <v>3747</v>
      </c>
      <c r="C299" s="1" t="s">
        <v>3748</v>
      </c>
      <c r="D299" s="1">
        <v>2</v>
      </c>
      <c r="E299" s="1" t="s">
        <v>3749</v>
      </c>
    </row>
    <row r="300" spans="1:5" ht="15.75" customHeight="1" x14ac:dyDescent="0.2">
      <c r="A300" s="1">
        <v>22828</v>
      </c>
      <c r="B300" s="1" t="s">
        <v>244</v>
      </c>
      <c r="C300" s="1" t="s">
        <v>3750</v>
      </c>
      <c r="D300" s="1">
        <v>1</v>
      </c>
      <c r="E300" s="1" t="s">
        <v>3751</v>
      </c>
    </row>
    <row r="301" spans="1:5" ht="15.75" customHeight="1" x14ac:dyDescent="0.2">
      <c r="A301" s="1">
        <v>60030</v>
      </c>
      <c r="B301" s="1" t="s">
        <v>35</v>
      </c>
      <c r="C301" s="1" t="s">
        <v>3752</v>
      </c>
      <c r="D301" s="1">
        <v>2</v>
      </c>
      <c r="E301" s="1" t="s">
        <v>3753</v>
      </c>
    </row>
    <row r="302" spans="1:5" ht="15.75" customHeight="1" x14ac:dyDescent="0.2">
      <c r="A302" s="1">
        <v>70896</v>
      </c>
      <c r="B302" s="1" t="s">
        <v>751</v>
      </c>
      <c r="C302" s="1" t="s">
        <v>3754</v>
      </c>
      <c r="D302" s="1">
        <v>2</v>
      </c>
      <c r="E302" s="1" t="s">
        <v>3755</v>
      </c>
    </row>
    <row r="303" spans="1:5" ht="15.75" customHeight="1" x14ac:dyDescent="0.2">
      <c r="A303" s="1">
        <v>65608</v>
      </c>
      <c r="B303" s="1" t="s">
        <v>422</v>
      </c>
      <c r="C303" s="1" t="s">
        <v>3756</v>
      </c>
      <c r="D303" s="1">
        <v>1</v>
      </c>
      <c r="E303" s="1" t="s">
        <v>3757</v>
      </c>
    </row>
    <row r="304" spans="1:5" ht="15.75" customHeight="1" x14ac:dyDescent="0.2">
      <c r="A304" s="1">
        <v>12900</v>
      </c>
      <c r="B304" s="1" t="s">
        <v>357</v>
      </c>
      <c r="C304" s="1" t="s">
        <v>3758</v>
      </c>
      <c r="D304" s="1">
        <v>2</v>
      </c>
      <c r="E304" s="1" t="s">
        <v>3759</v>
      </c>
    </row>
    <row r="305" spans="1:5" ht="15.75" customHeight="1" x14ac:dyDescent="0.2">
      <c r="A305" s="1">
        <v>207</v>
      </c>
      <c r="B305" s="1" t="s">
        <v>2831</v>
      </c>
      <c r="C305" s="1" t="s">
        <v>3760</v>
      </c>
      <c r="D305" s="1">
        <v>2</v>
      </c>
      <c r="E305" s="1" t="s">
        <v>3761</v>
      </c>
    </row>
    <row r="306" spans="1:5" ht="15.75" customHeight="1" x14ac:dyDescent="0.2">
      <c r="A306" s="1">
        <v>25876</v>
      </c>
      <c r="B306" s="1" t="s">
        <v>3630</v>
      </c>
      <c r="C306" s="1" t="s">
        <v>3762</v>
      </c>
      <c r="D306" s="1">
        <v>1</v>
      </c>
      <c r="E306" s="1" t="s">
        <v>3763</v>
      </c>
    </row>
    <row r="307" spans="1:5" ht="15.75" customHeight="1" x14ac:dyDescent="0.2">
      <c r="A307" s="1">
        <v>19118</v>
      </c>
      <c r="B307" s="1" t="s">
        <v>159</v>
      </c>
      <c r="C307" s="1" t="s">
        <v>3764</v>
      </c>
      <c r="D307" s="1">
        <v>2</v>
      </c>
      <c r="E307" s="1" t="s">
        <v>3765</v>
      </c>
    </row>
    <row r="308" spans="1:5" ht="15.75" customHeight="1" x14ac:dyDescent="0.2">
      <c r="A308" s="1">
        <v>674</v>
      </c>
      <c r="B308" s="1" t="s">
        <v>103</v>
      </c>
      <c r="C308" s="1" t="s">
        <v>3766</v>
      </c>
      <c r="D308" s="1">
        <v>2</v>
      </c>
      <c r="E308" s="1" t="s">
        <v>3767</v>
      </c>
    </row>
    <row r="309" spans="1:5" ht="15.75" customHeight="1" x14ac:dyDescent="0.2">
      <c r="A309" s="1">
        <v>9538</v>
      </c>
      <c r="B309" s="1" t="s">
        <v>2247</v>
      </c>
      <c r="C309" s="1" t="s">
        <v>3768</v>
      </c>
      <c r="D309" s="1">
        <v>1</v>
      </c>
      <c r="E309" s="1" t="s">
        <v>3769</v>
      </c>
    </row>
    <row r="310" spans="1:5" ht="15.75" customHeight="1" x14ac:dyDescent="0.2">
      <c r="A310" s="1">
        <v>57238</v>
      </c>
      <c r="B310" s="1" t="s">
        <v>3770</v>
      </c>
      <c r="C310" s="1" t="s">
        <v>3771</v>
      </c>
      <c r="D310" s="1">
        <v>1</v>
      </c>
      <c r="E310" s="1" t="s">
        <v>3772</v>
      </c>
    </row>
    <row r="311" spans="1:5" ht="15.75" customHeight="1" x14ac:dyDescent="0.2">
      <c r="A311" s="1">
        <v>27804</v>
      </c>
      <c r="B311" s="1" t="s">
        <v>315</v>
      </c>
      <c r="C311" s="1" t="s">
        <v>3773</v>
      </c>
      <c r="D311" s="1">
        <v>2</v>
      </c>
      <c r="E311" s="1" t="s">
        <v>3774</v>
      </c>
    </row>
    <row r="312" spans="1:5" ht="15.75" customHeight="1" x14ac:dyDescent="0.2">
      <c r="A312" s="1">
        <v>45620</v>
      </c>
      <c r="B312" s="1" t="s">
        <v>597</v>
      </c>
      <c r="C312" s="1" t="s">
        <v>3775</v>
      </c>
      <c r="D312" s="1">
        <v>2</v>
      </c>
      <c r="E312" s="1" t="s">
        <v>3776</v>
      </c>
    </row>
    <row r="313" spans="1:5" ht="15.75" customHeight="1" x14ac:dyDescent="0.2">
      <c r="A313" s="1">
        <v>46872</v>
      </c>
      <c r="B313" s="1" t="s">
        <v>95</v>
      </c>
      <c r="C313" s="1" t="s">
        <v>3777</v>
      </c>
      <c r="D313" s="1">
        <v>2</v>
      </c>
      <c r="E313" s="1" t="s">
        <v>3778</v>
      </c>
    </row>
    <row r="314" spans="1:5" ht="15.75" customHeight="1" x14ac:dyDescent="0.2">
      <c r="A314" s="1">
        <v>39389</v>
      </c>
      <c r="B314" s="1" t="s">
        <v>244</v>
      </c>
      <c r="C314" s="1" t="s">
        <v>3779</v>
      </c>
      <c r="D314" s="1">
        <v>2</v>
      </c>
      <c r="E314" s="1" t="s">
        <v>3780</v>
      </c>
    </row>
    <row r="315" spans="1:5" ht="15.75" customHeight="1" x14ac:dyDescent="0.2">
      <c r="A315" s="1">
        <v>58268</v>
      </c>
      <c r="B315" s="1" t="s">
        <v>2865</v>
      </c>
      <c r="C315" s="1" t="s">
        <v>3781</v>
      </c>
      <c r="D315" s="1">
        <v>2</v>
      </c>
      <c r="E315" s="1" t="s">
        <v>3782</v>
      </c>
    </row>
    <row r="316" spans="1:5" ht="15.75" customHeight="1" x14ac:dyDescent="0.2">
      <c r="A316" s="1">
        <v>52671</v>
      </c>
      <c r="B316" s="1" t="s">
        <v>1921</v>
      </c>
      <c r="C316" s="1" t="s">
        <v>3783</v>
      </c>
      <c r="D316" s="1">
        <v>2</v>
      </c>
      <c r="E316" s="1" t="s">
        <v>3784</v>
      </c>
    </row>
    <row r="317" spans="1:5" ht="15.75" customHeight="1" x14ac:dyDescent="0.2">
      <c r="A317" s="1">
        <v>66954</v>
      </c>
      <c r="B317" s="1" t="s">
        <v>1344</v>
      </c>
      <c r="C317" s="1" t="s">
        <v>3785</v>
      </c>
      <c r="D317" s="1">
        <v>2</v>
      </c>
      <c r="E317" s="1" t="s">
        <v>3786</v>
      </c>
    </row>
    <row r="318" spans="1:5" ht="15.75" customHeight="1" x14ac:dyDescent="0.2">
      <c r="A318" s="1">
        <v>45509</v>
      </c>
      <c r="B318" s="1" t="s">
        <v>1455</v>
      </c>
      <c r="C318" s="1" t="s">
        <v>3787</v>
      </c>
      <c r="D318" s="1">
        <v>2</v>
      </c>
      <c r="E318" s="1" t="s">
        <v>3788</v>
      </c>
    </row>
    <row r="319" spans="1:5" ht="15.75" customHeight="1" x14ac:dyDescent="0.2">
      <c r="A319" s="1">
        <v>32921</v>
      </c>
      <c r="B319" s="1" t="s">
        <v>3789</v>
      </c>
      <c r="C319" s="1" t="s">
        <v>3790</v>
      </c>
      <c r="D319" s="1">
        <v>1</v>
      </c>
      <c r="E319" s="1" t="s">
        <v>3791</v>
      </c>
    </row>
    <row r="320" spans="1:5" ht="15.75" customHeight="1" x14ac:dyDescent="0.2">
      <c r="A320" s="1">
        <v>15739</v>
      </c>
      <c r="B320" s="1" t="s">
        <v>78</v>
      </c>
      <c r="C320" s="1" t="s">
        <v>3792</v>
      </c>
      <c r="D320" s="1">
        <v>2</v>
      </c>
      <c r="E320" s="1" t="s">
        <v>3793</v>
      </c>
    </row>
    <row r="321" spans="1:5" ht="15.75" customHeight="1" x14ac:dyDescent="0.2">
      <c r="A321" s="1">
        <v>21981</v>
      </c>
      <c r="B321" s="1" t="s">
        <v>32</v>
      </c>
      <c r="C321" s="1" t="s">
        <v>3794</v>
      </c>
      <c r="D321" s="1">
        <v>1</v>
      </c>
      <c r="E321" s="1" t="s">
        <v>3795</v>
      </c>
    </row>
    <row r="322" spans="1:5" ht="15.75" customHeight="1" x14ac:dyDescent="0.2">
      <c r="A322" s="1">
        <v>17271</v>
      </c>
      <c r="B322" s="1" t="s">
        <v>430</v>
      </c>
      <c r="C322" s="1" t="s">
        <v>3796</v>
      </c>
      <c r="D322" s="1">
        <v>1</v>
      </c>
      <c r="E322" s="1" t="s">
        <v>3797</v>
      </c>
    </row>
    <row r="323" spans="1:5" ht="15.75" customHeight="1" x14ac:dyDescent="0.2">
      <c r="A323" s="1">
        <v>28175</v>
      </c>
      <c r="B323" s="1" t="s">
        <v>180</v>
      </c>
      <c r="C323" s="1" t="s">
        <v>3798</v>
      </c>
      <c r="D323" s="1">
        <v>2</v>
      </c>
      <c r="E323" s="1" t="s">
        <v>3799</v>
      </c>
    </row>
    <row r="324" spans="1:5" ht="15.75" customHeight="1" x14ac:dyDescent="0.2">
      <c r="A324" s="1">
        <v>50631</v>
      </c>
      <c r="B324" s="1" t="s">
        <v>244</v>
      </c>
      <c r="C324" s="1" t="s">
        <v>3800</v>
      </c>
      <c r="D324" s="1">
        <v>1</v>
      </c>
      <c r="E324" s="1" t="s">
        <v>3801</v>
      </c>
    </row>
    <row r="325" spans="1:5" ht="15.75" customHeight="1" x14ac:dyDescent="0.2">
      <c r="A325" s="1">
        <v>50274</v>
      </c>
      <c r="B325" s="1" t="s">
        <v>254</v>
      </c>
      <c r="C325" s="1" t="s">
        <v>3802</v>
      </c>
      <c r="D325" s="1">
        <v>1</v>
      </c>
      <c r="E325" s="1" t="s">
        <v>3803</v>
      </c>
    </row>
    <row r="326" spans="1:5" ht="15.75" customHeight="1" x14ac:dyDescent="0.2">
      <c r="A326" s="1">
        <v>66332</v>
      </c>
      <c r="B326" s="1" t="s">
        <v>3804</v>
      </c>
      <c r="C326" s="1" t="s">
        <v>3805</v>
      </c>
      <c r="D326" s="1">
        <v>2</v>
      </c>
      <c r="E326" s="1" t="s">
        <v>3806</v>
      </c>
    </row>
    <row r="327" spans="1:5" ht="15.75" customHeight="1" x14ac:dyDescent="0.2">
      <c r="A327" s="1">
        <v>59738</v>
      </c>
      <c r="B327" s="1" t="s">
        <v>1819</v>
      </c>
      <c r="C327" s="1" t="s">
        <v>3807</v>
      </c>
      <c r="D327" s="1">
        <v>1</v>
      </c>
      <c r="E327" s="1" t="s">
        <v>3808</v>
      </c>
    </row>
    <row r="328" spans="1:5" ht="15.75" customHeight="1" x14ac:dyDescent="0.2">
      <c r="A328" s="1">
        <v>60424</v>
      </c>
      <c r="B328" s="1" t="s">
        <v>159</v>
      </c>
      <c r="C328" s="1" t="s">
        <v>3809</v>
      </c>
      <c r="D328" s="1">
        <v>2</v>
      </c>
      <c r="E328" s="1" t="s">
        <v>3810</v>
      </c>
    </row>
    <row r="329" spans="1:5" ht="15.75" customHeight="1" x14ac:dyDescent="0.2">
      <c r="A329" s="1">
        <v>58592</v>
      </c>
      <c r="B329" s="1" t="s">
        <v>3811</v>
      </c>
      <c r="C329" s="1" t="s">
        <v>3812</v>
      </c>
      <c r="D329" s="1">
        <v>1</v>
      </c>
      <c r="E329" s="1" t="s">
        <v>3813</v>
      </c>
    </row>
    <row r="330" spans="1:5" ht="15.75" customHeight="1" x14ac:dyDescent="0.2">
      <c r="A330" s="1">
        <v>11369</v>
      </c>
      <c r="B330" s="1" t="s">
        <v>180</v>
      </c>
      <c r="C330" s="1" t="s">
        <v>3814</v>
      </c>
      <c r="D330" s="1">
        <v>2</v>
      </c>
      <c r="E330" s="1" t="s">
        <v>3815</v>
      </c>
    </row>
    <row r="331" spans="1:5" ht="15.75" customHeight="1" x14ac:dyDescent="0.2">
      <c r="A331" s="1">
        <v>13634</v>
      </c>
      <c r="B331" s="1" t="s">
        <v>3816</v>
      </c>
      <c r="C331" s="1" t="s">
        <v>3817</v>
      </c>
      <c r="D331" s="1">
        <v>2</v>
      </c>
      <c r="E331" s="1" t="s">
        <v>3818</v>
      </c>
    </row>
    <row r="332" spans="1:5" ht="15.75" customHeight="1" x14ac:dyDescent="0.2">
      <c r="A332" s="1">
        <v>57956</v>
      </c>
      <c r="B332" s="1" t="s">
        <v>3819</v>
      </c>
      <c r="C332" s="1" t="s">
        <v>3820</v>
      </c>
      <c r="D332" s="1">
        <v>2</v>
      </c>
      <c r="E332" s="1" t="s">
        <v>3821</v>
      </c>
    </row>
    <row r="333" spans="1:5" ht="15.75" customHeight="1" x14ac:dyDescent="0.2">
      <c r="A333" s="1">
        <v>65202</v>
      </c>
      <c r="B333" s="1" t="s">
        <v>1123</v>
      </c>
      <c r="C333" s="1" t="s">
        <v>3822</v>
      </c>
      <c r="D333" s="1">
        <v>1</v>
      </c>
      <c r="E333" s="1" t="s">
        <v>3823</v>
      </c>
    </row>
    <row r="334" spans="1:5" ht="15.75" customHeight="1" x14ac:dyDescent="0.2">
      <c r="A334" s="1">
        <v>56376</v>
      </c>
      <c r="B334" s="1" t="s">
        <v>3824</v>
      </c>
      <c r="C334" s="1" t="s">
        <v>3825</v>
      </c>
      <c r="D334" s="1">
        <v>1</v>
      </c>
      <c r="E334" s="1" t="s">
        <v>3826</v>
      </c>
    </row>
    <row r="335" spans="1:5" ht="15.75" customHeight="1" x14ac:dyDescent="0.2">
      <c r="A335" s="1">
        <v>19903</v>
      </c>
      <c r="B335" s="1" t="s">
        <v>457</v>
      </c>
      <c r="C335" s="1" t="s">
        <v>3827</v>
      </c>
      <c r="D335" s="1">
        <v>2</v>
      </c>
      <c r="E335" s="1" t="s">
        <v>3828</v>
      </c>
    </row>
    <row r="336" spans="1:5" ht="15.75" customHeight="1" x14ac:dyDescent="0.2">
      <c r="A336" s="1">
        <v>53979</v>
      </c>
      <c r="B336" s="1" t="s">
        <v>1965</v>
      </c>
      <c r="C336" s="1" t="s">
        <v>3829</v>
      </c>
      <c r="D336" s="1">
        <v>2</v>
      </c>
      <c r="E336" s="1" t="s">
        <v>3830</v>
      </c>
    </row>
    <row r="337" spans="1:5" ht="15.75" customHeight="1" x14ac:dyDescent="0.2">
      <c r="A337" s="1">
        <v>12865</v>
      </c>
      <c r="B337" s="1" t="s">
        <v>2777</v>
      </c>
      <c r="C337" s="1" t="s">
        <v>3831</v>
      </c>
      <c r="D337" s="1">
        <v>2</v>
      </c>
      <c r="E337" s="1" t="s">
        <v>3832</v>
      </c>
    </row>
    <row r="338" spans="1:5" ht="15.75" customHeight="1" x14ac:dyDescent="0.2">
      <c r="A338" s="1">
        <v>45529</v>
      </c>
      <c r="B338" s="1" t="s">
        <v>129</v>
      </c>
      <c r="C338" s="1" t="s">
        <v>3833</v>
      </c>
      <c r="D338" s="1">
        <v>2</v>
      </c>
      <c r="E338" s="1" t="s">
        <v>3834</v>
      </c>
    </row>
    <row r="339" spans="1:5" ht="15.75" customHeight="1" x14ac:dyDescent="0.2">
      <c r="A339" s="1">
        <v>38466</v>
      </c>
      <c r="B339" s="1" t="s">
        <v>3835</v>
      </c>
      <c r="C339" s="1" t="s">
        <v>3836</v>
      </c>
      <c r="D339" s="1">
        <v>2</v>
      </c>
      <c r="E339" s="1" t="s">
        <v>3837</v>
      </c>
    </row>
    <row r="340" spans="1:5" ht="15.75" customHeight="1" x14ac:dyDescent="0.2">
      <c r="A340" s="1">
        <v>41139</v>
      </c>
      <c r="B340" s="1" t="s">
        <v>639</v>
      </c>
      <c r="C340" s="1" t="s">
        <v>3838</v>
      </c>
      <c r="D340" s="1">
        <v>2</v>
      </c>
      <c r="E340" s="1" t="s">
        <v>3839</v>
      </c>
    </row>
    <row r="341" spans="1:5" ht="15.75" customHeight="1" x14ac:dyDescent="0.2">
      <c r="A341" s="1">
        <v>53503</v>
      </c>
      <c r="B341" s="1" t="s">
        <v>2599</v>
      </c>
      <c r="C341" s="1" t="s">
        <v>3840</v>
      </c>
      <c r="D341" s="1">
        <v>2</v>
      </c>
      <c r="E341" s="1" t="s">
        <v>3841</v>
      </c>
    </row>
    <row r="342" spans="1:5" ht="15.75" customHeight="1" x14ac:dyDescent="0.2">
      <c r="A342" s="1">
        <v>26516</v>
      </c>
      <c r="B342" s="1" t="s">
        <v>1021</v>
      </c>
      <c r="C342" s="1" t="s">
        <v>3842</v>
      </c>
      <c r="D342" s="1">
        <v>2</v>
      </c>
      <c r="E342" s="1" t="s">
        <v>3843</v>
      </c>
    </row>
    <row r="343" spans="1:5" ht="15.75" customHeight="1" x14ac:dyDescent="0.2">
      <c r="A343" s="1">
        <v>69080</v>
      </c>
      <c r="B343" s="1" t="s">
        <v>906</v>
      </c>
      <c r="C343" s="1" t="s">
        <v>3844</v>
      </c>
      <c r="D343" s="1">
        <v>2</v>
      </c>
      <c r="E343" s="1" t="s">
        <v>3845</v>
      </c>
    </row>
    <row r="344" spans="1:5" ht="15.75" customHeight="1" x14ac:dyDescent="0.2">
      <c r="A344" s="1">
        <v>56419</v>
      </c>
      <c r="B344" s="1" t="s">
        <v>1569</v>
      </c>
      <c r="C344" s="1" t="s">
        <v>3846</v>
      </c>
      <c r="D344" s="1">
        <v>1</v>
      </c>
      <c r="E344" s="1" t="s">
        <v>3847</v>
      </c>
    </row>
    <row r="345" spans="1:5" ht="15.75" customHeight="1" x14ac:dyDescent="0.2">
      <c r="A345" s="1">
        <v>50431</v>
      </c>
      <c r="B345" s="1" t="s">
        <v>144</v>
      </c>
      <c r="C345" s="1" t="s">
        <v>3848</v>
      </c>
      <c r="D345" s="1">
        <v>1</v>
      </c>
      <c r="E345" s="1" t="s">
        <v>3849</v>
      </c>
    </row>
    <row r="346" spans="1:5" ht="15.75" customHeight="1" x14ac:dyDescent="0.2">
      <c r="A346" s="1">
        <v>16822</v>
      </c>
      <c r="B346" s="1" t="s">
        <v>3850</v>
      </c>
      <c r="C346" s="1" t="s">
        <v>3851</v>
      </c>
      <c r="D346" s="1">
        <v>2</v>
      </c>
      <c r="E346" s="1" t="s">
        <v>3852</v>
      </c>
    </row>
    <row r="347" spans="1:5" ht="15.75" customHeight="1" x14ac:dyDescent="0.2">
      <c r="A347" s="1">
        <v>58175</v>
      </c>
      <c r="B347" s="1" t="s">
        <v>3853</v>
      </c>
      <c r="C347" s="1" t="s">
        <v>3854</v>
      </c>
      <c r="D347" s="1">
        <v>1</v>
      </c>
      <c r="E347" s="1" t="s">
        <v>3855</v>
      </c>
    </row>
    <row r="348" spans="1:5" ht="15.75" customHeight="1" x14ac:dyDescent="0.2">
      <c r="A348" s="1">
        <v>52112</v>
      </c>
      <c r="B348" s="1" t="s">
        <v>3856</v>
      </c>
      <c r="C348" s="1" t="s">
        <v>3857</v>
      </c>
      <c r="D348" s="1">
        <v>2</v>
      </c>
      <c r="E348" s="1" t="s">
        <v>3858</v>
      </c>
    </row>
    <row r="349" spans="1:5" ht="15.75" customHeight="1" x14ac:dyDescent="0.2">
      <c r="A349" s="1">
        <v>32492</v>
      </c>
      <c r="B349" s="1" t="s">
        <v>3859</v>
      </c>
      <c r="C349" s="1" t="s">
        <v>3860</v>
      </c>
      <c r="D349" s="1">
        <v>2</v>
      </c>
      <c r="E349" s="1" t="s">
        <v>3861</v>
      </c>
    </row>
    <row r="350" spans="1:5" ht="15.75" customHeight="1" x14ac:dyDescent="0.2">
      <c r="A350" s="1">
        <v>40568</v>
      </c>
      <c r="B350" s="1" t="s">
        <v>268</v>
      </c>
      <c r="C350" s="1" t="s">
        <v>3862</v>
      </c>
      <c r="D350" s="1">
        <v>2</v>
      </c>
      <c r="E350" s="1" t="s">
        <v>3863</v>
      </c>
    </row>
    <row r="351" spans="1:5" ht="15.75" customHeight="1" x14ac:dyDescent="0.2">
      <c r="A351" s="1">
        <v>44190</v>
      </c>
      <c r="B351" s="1" t="s">
        <v>931</v>
      </c>
      <c r="C351" s="1" t="s">
        <v>3864</v>
      </c>
      <c r="D351" s="1">
        <v>1</v>
      </c>
      <c r="E351" s="1" t="s">
        <v>3865</v>
      </c>
    </row>
    <row r="352" spans="1:5" ht="15.75" customHeight="1" x14ac:dyDescent="0.2">
      <c r="A352" s="1">
        <v>6872</v>
      </c>
      <c r="B352" s="1" t="s">
        <v>3866</v>
      </c>
      <c r="C352" s="1" t="s">
        <v>3867</v>
      </c>
      <c r="D352" s="1">
        <v>2</v>
      </c>
      <c r="E352" s="1" t="s">
        <v>3868</v>
      </c>
    </row>
    <row r="353" spans="1:5" ht="15.75" customHeight="1" x14ac:dyDescent="0.2">
      <c r="A353" s="1">
        <v>50908</v>
      </c>
      <c r="B353" s="1" t="s">
        <v>848</v>
      </c>
      <c r="C353" s="1" t="s">
        <v>3869</v>
      </c>
      <c r="D353" s="1">
        <v>1</v>
      </c>
      <c r="E353" s="1" t="s">
        <v>3870</v>
      </c>
    </row>
    <row r="354" spans="1:5" ht="15.75" customHeight="1" x14ac:dyDescent="0.2">
      <c r="A354" s="1">
        <v>112</v>
      </c>
      <c r="B354" s="1" t="s">
        <v>90</v>
      </c>
      <c r="C354" s="1" t="s">
        <v>3871</v>
      </c>
      <c r="D354" s="1">
        <v>2</v>
      </c>
      <c r="E354" s="1" t="s">
        <v>3872</v>
      </c>
    </row>
    <row r="355" spans="1:5" ht="15.75" customHeight="1" x14ac:dyDescent="0.2">
      <c r="A355" s="1">
        <v>3333</v>
      </c>
      <c r="B355" s="1" t="s">
        <v>87</v>
      </c>
      <c r="C355" s="1" t="s">
        <v>3873</v>
      </c>
      <c r="D355" s="1">
        <v>2</v>
      </c>
      <c r="E355" s="1" t="s">
        <v>3874</v>
      </c>
    </row>
    <row r="356" spans="1:5" ht="15.75" customHeight="1" x14ac:dyDescent="0.2">
      <c r="A356" s="1">
        <v>29303</v>
      </c>
      <c r="B356" s="1" t="s">
        <v>3875</v>
      </c>
      <c r="C356" s="1" t="s">
        <v>3876</v>
      </c>
      <c r="D356" s="1">
        <v>2</v>
      </c>
      <c r="E356" s="1" t="s">
        <v>3877</v>
      </c>
    </row>
    <row r="357" spans="1:5" ht="15.75" customHeight="1" x14ac:dyDescent="0.2">
      <c r="A357" s="1">
        <v>56738</v>
      </c>
      <c r="B357" s="1" t="s">
        <v>129</v>
      </c>
      <c r="C357" s="1" t="s">
        <v>3878</v>
      </c>
      <c r="D357" s="1">
        <v>2</v>
      </c>
      <c r="E357" s="1" t="s">
        <v>3879</v>
      </c>
    </row>
    <row r="358" spans="1:5" ht="15.75" customHeight="1" x14ac:dyDescent="0.2">
      <c r="A358" s="1">
        <v>57287</v>
      </c>
      <c r="B358" s="1" t="s">
        <v>408</v>
      </c>
      <c r="C358" s="1" t="s">
        <v>3880</v>
      </c>
      <c r="D358" s="1">
        <v>2</v>
      </c>
      <c r="E358" s="1" t="s">
        <v>3881</v>
      </c>
    </row>
    <row r="359" spans="1:5" ht="15.75" customHeight="1" x14ac:dyDescent="0.2">
      <c r="A359" s="1">
        <v>29455</v>
      </c>
      <c r="B359" s="1" t="s">
        <v>11</v>
      </c>
      <c r="C359" s="1" t="s">
        <v>3882</v>
      </c>
      <c r="D359" s="1">
        <v>2</v>
      </c>
      <c r="E359" s="1" t="s">
        <v>3883</v>
      </c>
    </row>
    <row r="360" spans="1:5" ht="15.75" customHeight="1" x14ac:dyDescent="0.2">
      <c r="A360" s="1">
        <v>39750</v>
      </c>
      <c r="B360" s="1" t="s">
        <v>485</v>
      </c>
      <c r="C360" s="1" t="s">
        <v>3884</v>
      </c>
      <c r="D360" s="1">
        <v>1</v>
      </c>
      <c r="E360" s="1" t="s">
        <v>3885</v>
      </c>
    </row>
    <row r="361" spans="1:5" ht="15.75" customHeight="1" x14ac:dyDescent="0.2">
      <c r="A361" s="1">
        <v>9448</v>
      </c>
      <c r="B361" s="1" t="s">
        <v>301</v>
      </c>
      <c r="C361" s="1" t="s">
        <v>3886</v>
      </c>
      <c r="D361" s="1">
        <v>1</v>
      </c>
      <c r="E361" s="1" t="s">
        <v>3887</v>
      </c>
    </row>
    <row r="362" spans="1:5" ht="15.75" customHeight="1" x14ac:dyDescent="0.2">
      <c r="A362" s="1">
        <v>1638</v>
      </c>
      <c r="B362" s="1" t="s">
        <v>23</v>
      </c>
      <c r="C362" s="1" t="s">
        <v>3888</v>
      </c>
      <c r="D362" s="1">
        <v>2</v>
      </c>
      <c r="E362" s="1" t="s">
        <v>3889</v>
      </c>
    </row>
    <row r="363" spans="1:5" ht="15.75" customHeight="1" x14ac:dyDescent="0.2">
      <c r="A363" s="1">
        <v>57272</v>
      </c>
      <c r="B363" s="1" t="s">
        <v>3890</v>
      </c>
      <c r="C363" s="1" t="s">
        <v>3891</v>
      </c>
      <c r="D363" s="1">
        <v>2</v>
      </c>
      <c r="E363" s="1" t="s">
        <v>3892</v>
      </c>
    </row>
    <row r="364" spans="1:5" ht="15.75" customHeight="1" x14ac:dyDescent="0.2">
      <c r="A364" s="1">
        <v>64395</v>
      </c>
      <c r="B364" s="1" t="s">
        <v>167</v>
      </c>
      <c r="C364" s="1" t="s">
        <v>3893</v>
      </c>
      <c r="D364" s="1">
        <v>1</v>
      </c>
      <c r="E364" s="1" t="s">
        <v>3894</v>
      </c>
    </row>
    <row r="365" spans="1:5" ht="15.75" customHeight="1" x14ac:dyDescent="0.2">
      <c r="A365" s="1">
        <v>62484</v>
      </c>
      <c r="B365" s="1" t="s">
        <v>276</v>
      </c>
      <c r="C365" s="1" t="s">
        <v>3895</v>
      </c>
      <c r="D365" s="1">
        <v>1</v>
      </c>
      <c r="E365" s="1" t="s">
        <v>3896</v>
      </c>
    </row>
    <row r="366" spans="1:5" ht="15.75" customHeight="1" x14ac:dyDescent="0.2">
      <c r="A366" s="1">
        <v>39166</v>
      </c>
      <c r="B366" s="1" t="s">
        <v>3897</v>
      </c>
      <c r="C366" s="1" t="s">
        <v>3898</v>
      </c>
      <c r="D366" s="1">
        <v>2</v>
      </c>
      <c r="E366" s="1" t="s">
        <v>3899</v>
      </c>
    </row>
    <row r="367" spans="1:5" ht="15.75" customHeight="1" x14ac:dyDescent="0.2">
      <c r="A367" s="1">
        <v>42753</v>
      </c>
      <c r="B367" s="1" t="s">
        <v>3900</v>
      </c>
      <c r="C367" s="1" t="s">
        <v>3901</v>
      </c>
      <c r="D367" s="1">
        <v>2</v>
      </c>
      <c r="E367" s="1" t="s">
        <v>3902</v>
      </c>
    </row>
    <row r="368" spans="1:5" ht="15.75" customHeight="1" x14ac:dyDescent="0.2">
      <c r="A368" s="1">
        <v>22289</v>
      </c>
      <c r="B368" s="1" t="s">
        <v>3903</v>
      </c>
      <c r="C368" s="1" t="s">
        <v>3904</v>
      </c>
      <c r="D368" s="1">
        <v>2</v>
      </c>
      <c r="E368" s="1" t="s">
        <v>3905</v>
      </c>
    </row>
    <row r="369" spans="1:5" ht="15.75" customHeight="1" x14ac:dyDescent="0.2">
      <c r="A369" s="1">
        <v>17730</v>
      </c>
      <c r="B369" s="1" t="s">
        <v>1669</v>
      </c>
      <c r="C369" s="1" t="s">
        <v>3906</v>
      </c>
      <c r="D369" s="1">
        <v>2</v>
      </c>
      <c r="E369" s="1" t="s">
        <v>3907</v>
      </c>
    </row>
    <row r="370" spans="1:5" ht="15.75" customHeight="1" x14ac:dyDescent="0.2">
      <c r="A370" s="1">
        <v>40709</v>
      </c>
      <c r="B370" s="1" t="s">
        <v>185</v>
      </c>
      <c r="C370" s="1" t="s">
        <v>3908</v>
      </c>
      <c r="D370" s="1">
        <v>1</v>
      </c>
      <c r="E370" s="1" t="s">
        <v>3909</v>
      </c>
    </row>
    <row r="371" spans="1:5" ht="15.75" customHeight="1" x14ac:dyDescent="0.2">
      <c r="A371" s="1">
        <v>239</v>
      </c>
      <c r="B371" s="1" t="s">
        <v>276</v>
      </c>
      <c r="C371" s="1" t="s">
        <v>3910</v>
      </c>
      <c r="D371" s="1">
        <v>2</v>
      </c>
      <c r="E371" s="1" t="s">
        <v>3911</v>
      </c>
    </row>
    <row r="372" spans="1:5" ht="15.75" customHeight="1" x14ac:dyDescent="0.2">
      <c r="A372" s="1">
        <v>50904</v>
      </c>
      <c r="B372" s="1" t="s">
        <v>354</v>
      </c>
      <c r="C372" s="1" t="s">
        <v>3912</v>
      </c>
      <c r="D372" s="1">
        <v>2</v>
      </c>
      <c r="E372" s="1" t="s">
        <v>3913</v>
      </c>
    </row>
    <row r="373" spans="1:5" ht="15.75" customHeight="1" x14ac:dyDescent="0.2">
      <c r="A373" s="1">
        <v>59603</v>
      </c>
      <c r="B373" s="1" t="s">
        <v>32</v>
      </c>
      <c r="C373" s="1" t="s">
        <v>3914</v>
      </c>
      <c r="D373" s="1">
        <v>2</v>
      </c>
      <c r="E373" s="1" t="s">
        <v>3915</v>
      </c>
    </row>
    <row r="374" spans="1:5" ht="15.75" customHeight="1" x14ac:dyDescent="0.2">
      <c r="A374" s="1">
        <v>34412</v>
      </c>
      <c r="B374" s="1" t="s">
        <v>194</v>
      </c>
      <c r="C374" s="1" t="s">
        <v>3916</v>
      </c>
      <c r="D374" s="1">
        <v>2</v>
      </c>
      <c r="E374" s="1" t="s">
        <v>3917</v>
      </c>
    </row>
    <row r="375" spans="1:5" ht="15.75" customHeight="1" x14ac:dyDescent="0.2">
      <c r="A375" s="1">
        <v>9627</v>
      </c>
      <c r="B375" s="1" t="s">
        <v>205</v>
      </c>
      <c r="C375" s="1" t="s">
        <v>3918</v>
      </c>
      <c r="D375" s="1">
        <v>2</v>
      </c>
      <c r="E375" s="1" t="s">
        <v>3919</v>
      </c>
    </row>
    <row r="376" spans="1:5" ht="15.75" customHeight="1" x14ac:dyDescent="0.2">
      <c r="A376" s="1">
        <v>71271</v>
      </c>
      <c r="B376" s="1" t="s">
        <v>1788</v>
      </c>
      <c r="C376" s="1" t="s">
        <v>3920</v>
      </c>
      <c r="D376" s="1">
        <v>2</v>
      </c>
      <c r="E376" s="1" t="s">
        <v>3921</v>
      </c>
    </row>
    <row r="377" spans="1:5" ht="15.75" customHeight="1" x14ac:dyDescent="0.2">
      <c r="A377" s="1">
        <v>50740</v>
      </c>
      <c r="B377" s="1" t="s">
        <v>3922</v>
      </c>
      <c r="C377" s="1" t="s">
        <v>3923</v>
      </c>
      <c r="D377" s="1">
        <v>2</v>
      </c>
      <c r="E377" s="1" t="s">
        <v>3924</v>
      </c>
    </row>
    <row r="378" spans="1:5" ht="15.75" customHeight="1" x14ac:dyDescent="0.2">
      <c r="A378" s="1">
        <v>36704</v>
      </c>
      <c r="B378" s="1" t="s">
        <v>425</v>
      </c>
      <c r="C378" s="1" t="s">
        <v>3925</v>
      </c>
      <c r="D378" s="1">
        <v>2</v>
      </c>
      <c r="E378" s="1" t="s">
        <v>3926</v>
      </c>
    </row>
    <row r="379" spans="1:5" ht="15.75" customHeight="1" x14ac:dyDescent="0.2">
      <c r="A379" s="1">
        <v>46162</v>
      </c>
      <c r="B379" s="1" t="s">
        <v>345</v>
      </c>
      <c r="C379" s="1" t="s">
        <v>3927</v>
      </c>
      <c r="D379" s="1">
        <v>1</v>
      </c>
      <c r="E379" s="1" t="s">
        <v>3928</v>
      </c>
    </row>
    <row r="380" spans="1:5" ht="15.75" customHeight="1" x14ac:dyDescent="0.2">
      <c r="A380" s="1">
        <v>33476</v>
      </c>
      <c r="B380" s="1" t="s">
        <v>109</v>
      </c>
      <c r="C380" s="1" t="s">
        <v>3929</v>
      </c>
      <c r="D380" s="1">
        <v>2</v>
      </c>
      <c r="E380" s="1" t="s">
        <v>3930</v>
      </c>
    </row>
    <row r="381" spans="1:5" ht="15.75" customHeight="1" x14ac:dyDescent="0.2">
      <c r="A381" s="1">
        <v>9087</v>
      </c>
      <c r="B381" s="1" t="s">
        <v>298</v>
      </c>
      <c r="C381" s="1" t="s">
        <v>3931</v>
      </c>
      <c r="D381" s="1">
        <v>1</v>
      </c>
      <c r="E381" s="1" t="s">
        <v>3932</v>
      </c>
    </row>
    <row r="382" spans="1:5" ht="15.75" customHeight="1" x14ac:dyDescent="0.2">
      <c r="A382" s="1">
        <v>52668</v>
      </c>
      <c r="B382" s="1" t="s">
        <v>144</v>
      </c>
      <c r="C382" s="1" t="s">
        <v>3933</v>
      </c>
      <c r="D382" s="1">
        <v>2</v>
      </c>
      <c r="E382" s="1" t="s">
        <v>3934</v>
      </c>
    </row>
    <row r="383" spans="1:5" ht="15.75" customHeight="1" x14ac:dyDescent="0.2">
      <c r="A383" s="1">
        <v>26722</v>
      </c>
      <c r="B383" s="1" t="s">
        <v>2797</v>
      </c>
      <c r="C383" s="1" t="s">
        <v>3935</v>
      </c>
      <c r="D383" s="1">
        <v>1</v>
      </c>
      <c r="E383" s="1" t="s">
        <v>3936</v>
      </c>
    </row>
    <row r="384" spans="1:5" ht="15.75" customHeight="1" x14ac:dyDescent="0.2">
      <c r="A384" s="1">
        <v>33372</v>
      </c>
      <c r="B384" s="1" t="s">
        <v>3937</v>
      </c>
      <c r="C384" s="1" t="s">
        <v>3938</v>
      </c>
      <c r="D384" s="1">
        <v>1</v>
      </c>
      <c r="E384" s="1" t="s">
        <v>3939</v>
      </c>
    </row>
    <row r="385" spans="1:5" ht="15.75" customHeight="1" x14ac:dyDescent="0.2">
      <c r="A385" s="1">
        <v>23337</v>
      </c>
      <c r="B385" s="1" t="s">
        <v>336</v>
      </c>
      <c r="C385" s="1" t="s">
        <v>3940</v>
      </c>
      <c r="D385" s="1">
        <v>2</v>
      </c>
      <c r="E385" s="1" t="s">
        <v>3941</v>
      </c>
    </row>
    <row r="386" spans="1:5" ht="15.75" customHeight="1" x14ac:dyDescent="0.2">
      <c r="A386" s="1">
        <v>68080</v>
      </c>
      <c r="B386" s="1" t="s">
        <v>399</v>
      </c>
      <c r="C386" s="1" t="s">
        <v>3942</v>
      </c>
      <c r="D386" s="1">
        <v>2</v>
      </c>
      <c r="E386" s="1" t="s">
        <v>3943</v>
      </c>
    </row>
    <row r="387" spans="1:5" ht="15.75" customHeight="1" x14ac:dyDescent="0.2">
      <c r="A387" s="1">
        <v>25113</v>
      </c>
      <c r="B387" s="1" t="s">
        <v>144</v>
      </c>
      <c r="C387" s="1" t="s">
        <v>3944</v>
      </c>
      <c r="D387" s="1">
        <v>2</v>
      </c>
      <c r="E387" s="1" t="s">
        <v>3945</v>
      </c>
    </row>
    <row r="388" spans="1:5" ht="15.75" customHeight="1" x14ac:dyDescent="0.2">
      <c r="A388" s="1">
        <v>7668</v>
      </c>
      <c r="B388" s="1" t="s">
        <v>3946</v>
      </c>
      <c r="C388" s="1" t="s">
        <v>3947</v>
      </c>
      <c r="D388" s="1">
        <v>2</v>
      </c>
      <c r="E388" s="1" t="s">
        <v>3948</v>
      </c>
    </row>
    <row r="389" spans="1:5" ht="15.75" customHeight="1" x14ac:dyDescent="0.2">
      <c r="A389" s="1">
        <v>9449</v>
      </c>
      <c r="B389" s="1" t="s">
        <v>336</v>
      </c>
      <c r="C389" s="1" t="s">
        <v>3949</v>
      </c>
      <c r="D389" s="1">
        <v>2</v>
      </c>
      <c r="E389" s="1" t="s">
        <v>3950</v>
      </c>
    </row>
    <row r="390" spans="1:5" ht="15.75" customHeight="1" x14ac:dyDescent="0.2">
      <c r="A390" s="1">
        <v>61782</v>
      </c>
      <c r="B390" s="1" t="s">
        <v>3951</v>
      </c>
      <c r="C390" s="1" t="s">
        <v>3952</v>
      </c>
      <c r="D390" s="1">
        <v>2</v>
      </c>
      <c r="E390" s="1" t="s">
        <v>3953</v>
      </c>
    </row>
    <row r="391" spans="1:5" ht="15.75" customHeight="1" x14ac:dyDescent="0.2">
      <c r="A391" s="1">
        <v>42042</v>
      </c>
      <c r="B391" s="1" t="s">
        <v>259</v>
      </c>
      <c r="C391" s="1" t="s">
        <v>3954</v>
      </c>
      <c r="D391" s="1">
        <v>2</v>
      </c>
      <c r="E391" s="1" t="s">
        <v>3955</v>
      </c>
    </row>
    <row r="392" spans="1:5" ht="15.75" customHeight="1" x14ac:dyDescent="0.2">
      <c r="A392" s="1">
        <v>41440</v>
      </c>
      <c r="B392" s="1" t="s">
        <v>863</v>
      </c>
      <c r="C392" s="1" t="s">
        <v>3956</v>
      </c>
      <c r="D392" s="1">
        <v>1</v>
      </c>
      <c r="E392" s="1" t="s">
        <v>3957</v>
      </c>
    </row>
    <row r="393" spans="1:5" ht="15.75" customHeight="1" x14ac:dyDescent="0.2">
      <c r="A393" s="1">
        <v>19620</v>
      </c>
      <c r="B393" s="1" t="s">
        <v>430</v>
      </c>
      <c r="C393" s="1" t="s">
        <v>3958</v>
      </c>
      <c r="D393" s="1">
        <v>2</v>
      </c>
      <c r="E393" s="1" t="s">
        <v>3959</v>
      </c>
    </row>
    <row r="394" spans="1:5" ht="15.75" customHeight="1" x14ac:dyDescent="0.2">
      <c r="A394" s="1">
        <v>12807</v>
      </c>
      <c r="B394" s="1" t="s">
        <v>3960</v>
      </c>
      <c r="C394" s="1" t="s">
        <v>3961</v>
      </c>
      <c r="D394" s="1">
        <v>2</v>
      </c>
      <c r="E394" s="1" t="s">
        <v>3962</v>
      </c>
    </row>
    <row r="395" spans="1:5" ht="15.75" customHeight="1" x14ac:dyDescent="0.2">
      <c r="A395" s="1">
        <v>68699</v>
      </c>
      <c r="B395" s="1" t="s">
        <v>3393</v>
      </c>
      <c r="C395" s="1" t="s">
        <v>3963</v>
      </c>
      <c r="D395" s="1">
        <v>2</v>
      </c>
      <c r="E395" s="1" t="s">
        <v>3964</v>
      </c>
    </row>
    <row r="396" spans="1:5" ht="15.75" customHeight="1" x14ac:dyDescent="0.2">
      <c r="A396" s="1">
        <v>27329</v>
      </c>
      <c r="B396" s="1" t="s">
        <v>1669</v>
      </c>
      <c r="C396" s="1" t="s">
        <v>3965</v>
      </c>
      <c r="D396" s="1">
        <v>2</v>
      </c>
      <c r="E396" s="1" t="s">
        <v>3966</v>
      </c>
    </row>
    <row r="397" spans="1:5" ht="15.75" customHeight="1" x14ac:dyDescent="0.2">
      <c r="A397" s="1">
        <v>32476</v>
      </c>
      <c r="B397" s="1" t="s">
        <v>301</v>
      </c>
      <c r="C397" s="1" t="s">
        <v>3967</v>
      </c>
      <c r="D397" s="1">
        <v>1</v>
      </c>
      <c r="E397" s="1" t="s">
        <v>3968</v>
      </c>
    </row>
    <row r="398" spans="1:5" ht="15.75" customHeight="1" x14ac:dyDescent="0.2">
      <c r="A398" s="1">
        <v>85</v>
      </c>
      <c r="B398" s="1" t="s">
        <v>172</v>
      </c>
      <c r="C398" s="1" t="s">
        <v>3969</v>
      </c>
      <c r="D398" s="1">
        <v>2</v>
      </c>
      <c r="E398" s="1" t="s">
        <v>3970</v>
      </c>
    </row>
    <row r="399" spans="1:5" ht="15.75" customHeight="1" x14ac:dyDescent="0.2">
      <c r="A399" s="1">
        <v>45421</v>
      </c>
      <c r="B399" s="1" t="s">
        <v>129</v>
      </c>
      <c r="C399" s="1" t="s">
        <v>3971</v>
      </c>
      <c r="D399" s="1">
        <v>2</v>
      </c>
      <c r="E399" s="1" t="s">
        <v>3972</v>
      </c>
    </row>
    <row r="400" spans="1:5" ht="15.75" customHeight="1" x14ac:dyDescent="0.2">
      <c r="A400" s="1">
        <v>69858</v>
      </c>
      <c r="B400" s="1" t="s">
        <v>991</v>
      </c>
      <c r="C400" s="1" t="s">
        <v>3973</v>
      </c>
      <c r="D400" s="1">
        <v>2</v>
      </c>
      <c r="E400" s="1" t="s">
        <v>3974</v>
      </c>
    </row>
    <row r="401" spans="1:5" ht="15.75" customHeight="1" x14ac:dyDescent="0.2">
      <c r="A401" s="1">
        <v>6028</v>
      </c>
      <c r="B401" s="1" t="s">
        <v>215</v>
      </c>
      <c r="C401" s="1" t="s">
        <v>3975</v>
      </c>
      <c r="D401" s="1">
        <v>2</v>
      </c>
      <c r="E401" s="1" t="s">
        <v>3976</v>
      </c>
    </row>
    <row r="402" spans="1:5" ht="15.75" customHeight="1" x14ac:dyDescent="0.2">
      <c r="A402" s="1">
        <v>45783</v>
      </c>
      <c r="B402" s="1" t="s">
        <v>1347</v>
      </c>
      <c r="C402" s="1" t="s">
        <v>3977</v>
      </c>
      <c r="D402" s="1">
        <v>2</v>
      </c>
      <c r="E402" s="1" t="s">
        <v>3978</v>
      </c>
    </row>
    <row r="403" spans="1:5" ht="15.75" customHeight="1" x14ac:dyDescent="0.2">
      <c r="A403" s="1">
        <v>3298</v>
      </c>
      <c r="B403" s="1" t="s">
        <v>17</v>
      </c>
      <c r="C403" s="1" t="s">
        <v>3979</v>
      </c>
      <c r="D403" s="1">
        <v>2</v>
      </c>
      <c r="E403" s="1" t="s">
        <v>3980</v>
      </c>
    </row>
    <row r="404" spans="1:5" ht="15.75" customHeight="1" x14ac:dyDescent="0.2">
      <c r="A404" s="1">
        <v>21820</v>
      </c>
      <c r="B404" s="1" t="s">
        <v>3097</v>
      </c>
      <c r="C404" s="1" t="s">
        <v>3981</v>
      </c>
      <c r="D404" s="1">
        <v>2</v>
      </c>
      <c r="E404" s="1" t="s">
        <v>3982</v>
      </c>
    </row>
    <row r="405" spans="1:5" ht="15.75" customHeight="1" x14ac:dyDescent="0.2">
      <c r="A405" s="1">
        <v>1543</v>
      </c>
      <c r="B405" s="1" t="s">
        <v>906</v>
      </c>
      <c r="C405" s="1" t="s">
        <v>3983</v>
      </c>
      <c r="D405" s="1">
        <v>2</v>
      </c>
      <c r="E405" s="1" t="s">
        <v>3984</v>
      </c>
    </row>
    <row r="406" spans="1:5" ht="15.75" customHeight="1" x14ac:dyDescent="0.2">
      <c r="A406" s="1">
        <v>2998</v>
      </c>
      <c r="B406" s="1" t="s">
        <v>345</v>
      </c>
      <c r="C406" s="1" t="s">
        <v>3985</v>
      </c>
      <c r="D406" s="1">
        <v>1</v>
      </c>
      <c r="E406" s="1" t="s">
        <v>3986</v>
      </c>
    </row>
    <row r="407" spans="1:5" ht="15.75" customHeight="1" x14ac:dyDescent="0.2">
      <c r="A407" s="1">
        <v>56250</v>
      </c>
      <c r="B407" s="1" t="s">
        <v>1333</v>
      </c>
      <c r="C407" s="1" t="s">
        <v>3987</v>
      </c>
      <c r="D407" s="1">
        <v>1</v>
      </c>
      <c r="E407" s="1" t="s">
        <v>3988</v>
      </c>
    </row>
    <row r="408" spans="1:5" ht="15.75" customHeight="1" x14ac:dyDescent="0.2">
      <c r="A408" s="1">
        <v>36907</v>
      </c>
      <c r="B408" s="1" t="s">
        <v>552</v>
      </c>
      <c r="C408" s="1" t="s">
        <v>3989</v>
      </c>
      <c r="D408" s="1">
        <v>2</v>
      </c>
      <c r="E408" s="1" t="s">
        <v>3990</v>
      </c>
    </row>
    <row r="409" spans="1:5" ht="15.75" customHeight="1" x14ac:dyDescent="0.2">
      <c r="A409" s="1">
        <v>49415</v>
      </c>
      <c r="B409" s="1" t="s">
        <v>3991</v>
      </c>
      <c r="C409" s="1" t="s">
        <v>3992</v>
      </c>
      <c r="D409" s="1">
        <v>2</v>
      </c>
      <c r="E409" s="1" t="s">
        <v>3993</v>
      </c>
    </row>
    <row r="410" spans="1:5" ht="15.75" customHeight="1" x14ac:dyDescent="0.2">
      <c r="A410" s="1">
        <v>67386</v>
      </c>
      <c r="B410" s="1" t="s">
        <v>906</v>
      </c>
      <c r="C410" s="1" t="s">
        <v>3994</v>
      </c>
      <c r="D410" s="1">
        <v>2</v>
      </c>
      <c r="E410" s="1" t="s">
        <v>3995</v>
      </c>
    </row>
    <row r="411" spans="1:5" ht="15.75" customHeight="1" x14ac:dyDescent="0.2">
      <c r="A411" s="1">
        <v>29012</v>
      </c>
      <c r="B411" s="1" t="s">
        <v>188</v>
      </c>
      <c r="C411" s="1" t="s">
        <v>3996</v>
      </c>
      <c r="D411" s="1">
        <v>2</v>
      </c>
      <c r="E411" s="1" t="s">
        <v>3997</v>
      </c>
    </row>
    <row r="412" spans="1:5" ht="15.75" customHeight="1" x14ac:dyDescent="0.2">
      <c r="A412" s="1">
        <v>19740</v>
      </c>
      <c r="B412" s="1" t="s">
        <v>819</v>
      </c>
      <c r="C412" s="1" t="s">
        <v>3998</v>
      </c>
      <c r="D412" s="1">
        <v>2</v>
      </c>
      <c r="E412" s="1" t="s">
        <v>3999</v>
      </c>
    </row>
    <row r="413" spans="1:5" ht="15.75" customHeight="1" x14ac:dyDescent="0.2">
      <c r="A413" s="1">
        <v>15147</v>
      </c>
      <c r="B413" s="1" t="s">
        <v>191</v>
      </c>
      <c r="C413" s="1" t="s">
        <v>4000</v>
      </c>
      <c r="D413" s="1">
        <v>2</v>
      </c>
      <c r="E413" s="1" t="s">
        <v>4001</v>
      </c>
    </row>
    <row r="414" spans="1:5" ht="15.75" customHeight="1" x14ac:dyDescent="0.2">
      <c r="A414" s="1">
        <v>36942</v>
      </c>
      <c r="B414" s="1" t="s">
        <v>4002</v>
      </c>
      <c r="C414" s="1" t="s">
        <v>4003</v>
      </c>
      <c r="D414" s="1">
        <v>2</v>
      </c>
      <c r="E414" s="1" t="s">
        <v>4004</v>
      </c>
    </row>
    <row r="415" spans="1:5" ht="15.75" customHeight="1" x14ac:dyDescent="0.2">
      <c r="A415" s="1">
        <v>29792</v>
      </c>
      <c r="B415" s="1" t="s">
        <v>4005</v>
      </c>
      <c r="C415" s="1" t="s">
        <v>4006</v>
      </c>
      <c r="D415" s="1">
        <v>1</v>
      </c>
      <c r="E415" s="1" t="s">
        <v>4007</v>
      </c>
    </row>
    <row r="416" spans="1:5" ht="15.75" customHeight="1" x14ac:dyDescent="0.2">
      <c r="A416" s="1">
        <v>6203</v>
      </c>
      <c r="B416" s="1" t="s">
        <v>408</v>
      </c>
      <c r="C416" s="1" t="s">
        <v>4008</v>
      </c>
      <c r="D416" s="1">
        <v>2</v>
      </c>
      <c r="E416" s="1" t="s">
        <v>4009</v>
      </c>
    </row>
    <row r="417" spans="1:5" ht="15.75" customHeight="1" x14ac:dyDescent="0.2">
      <c r="A417" s="1">
        <v>8062</v>
      </c>
      <c r="B417" s="1" t="s">
        <v>153</v>
      </c>
      <c r="C417" s="1" t="s">
        <v>4010</v>
      </c>
      <c r="D417" s="1">
        <v>2</v>
      </c>
      <c r="E417" s="1" t="s">
        <v>4011</v>
      </c>
    </row>
    <row r="418" spans="1:5" ht="15.75" customHeight="1" x14ac:dyDescent="0.2">
      <c r="A418" s="1">
        <v>71531</v>
      </c>
      <c r="B418" s="1" t="s">
        <v>307</v>
      </c>
      <c r="C418" s="1" t="s">
        <v>4012</v>
      </c>
      <c r="D418" s="1">
        <v>2</v>
      </c>
      <c r="E418" s="1" t="s">
        <v>4013</v>
      </c>
    </row>
    <row r="419" spans="1:5" ht="15.75" customHeight="1" x14ac:dyDescent="0.2">
      <c r="A419" s="1">
        <v>18697</v>
      </c>
      <c r="B419" s="1" t="s">
        <v>268</v>
      </c>
      <c r="C419" s="1" t="s">
        <v>4014</v>
      </c>
      <c r="D419" s="1">
        <v>1</v>
      </c>
      <c r="E419" s="1" t="s">
        <v>4015</v>
      </c>
    </row>
    <row r="420" spans="1:5" ht="15.75" customHeight="1" x14ac:dyDescent="0.2">
      <c r="A420" s="1">
        <v>64701</v>
      </c>
      <c r="B420" s="1" t="s">
        <v>2645</v>
      </c>
      <c r="C420" s="1" t="s">
        <v>4016</v>
      </c>
      <c r="D420" s="1">
        <v>2</v>
      </c>
      <c r="E420" s="1" t="s">
        <v>4017</v>
      </c>
    </row>
    <row r="421" spans="1:5" ht="15.75" customHeight="1" x14ac:dyDescent="0.2">
      <c r="A421" s="1">
        <v>57298</v>
      </c>
      <c r="B421" s="1" t="s">
        <v>233</v>
      </c>
      <c r="C421" s="1" t="s">
        <v>4018</v>
      </c>
      <c r="D421" s="1">
        <v>2</v>
      </c>
      <c r="E421" s="1" t="s">
        <v>4019</v>
      </c>
    </row>
    <row r="422" spans="1:5" ht="15.75" customHeight="1" x14ac:dyDescent="0.2">
      <c r="A422" s="1">
        <v>65793</v>
      </c>
      <c r="B422" s="1" t="s">
        <v>4020</v>
      </c>
      <c r="C422" s="1" t="s">
        <v>4021</v>
      </c>
      <c r="D422" s="1">
        <v>1</v>
      </c>
      <c r="E422" s="1" t="s">
        <v>4022</v>
      </c>
    </row>
    <row r="423" spans="1:5" ht="15.75" customHeight="1" x14ac:dyDescent="0.2">
      <c r="A423" s="1">
        <v>47737</v>
      </c>
      <c r="B423" s="1" t="s">
        <v>1307</v>
      </c>
      <c r="C423" s="1" t="s">
        <v>4023</v>
      </c>
      <c r="D423" s="1">
        <v>2</v>
      </c>
      <c r="E423" s="1" t="s">
        <v>4024</v>
      </c>
    </row>
    <row r="424" spans="1:5" ht="15.75" customHeight="1" x14ac:dyDescent="0.2">
      <c r="A424" s="1">
        <v>15967</v>
      </c>
      <c r="B424" s="1" t="s">
        <v>1657</v>
      </c>
      <c r="C424" s="1" t="s">
        <v>4025</v>
      </c>
      <c r="D424" s="1">
        <v>2</v>
      </c>
      <c r="E424" s="1" t="s">
        <v>4026</v>
      </c>
    </row>
    <row r="425" spans="1:5" ht="15.75" customHeight="1" x14ac:dyDescent="0.2">
      <c r="A425" s="1">
        <v>11734</v>
      </c>
      <c r="B425" s="1" t="s">
        <v>4027</v>
      </c>
      <c r="C425" s="1" t="s">
        <v>4028</v>
      </c>
      <c r="D425" s="1">
        <v>1</v>
      </c>
      <c r="E425" s="1" t="s">
        <v>4029</v>
      </c>
    </row>
    <row r="426" spans="1:5" ht="15.75" customHeight="1" x14ac:dyDescent="0.2">
      <c r="A426" s="1">
        <v>71454</v>
      </c>
      <c r="B426" s="1" t="s">
        <v>906</v>
      </c>
      <c r="C426" s="1" t="s">
        <v>4030</v>
      </c>
      <c r="D426" s="1">
        <v>2</v>
      </c>
      <c r="E426" s="1" t="s">
        <v>4031</v>
      </c>
    </row>
    <row r="427" spans="1:5" ht="15.75" customHeight="1" x14ac:dyDescent="0.2">
      <c r="A427" s="1">
        <v>49257</v>
      </c>
      <c r="B427" s="1" t="s">
        <v>315</v>
      </c>
      <c r="C427" s="1" t="s">
        <v>4032</v>
      </c>
      <c r="D427" s="1">
        <v>2</v>
      </c>
      <c r="E427" s="1" t="s">
        <v>4033</v>
      </c>
    </row>
    <row r="428" spans="1:5" ht="15.75" customHeight="1" x14ac:dyDescent="0.2">
      <c r="A428" s="1">
        <v>59068</v>
      </c>
      <c r="B428" s="1" t="s">
        <v>906</v>
      </c>
      <c r="C428" s="1" t="s">
        <v>4034</v>
      </c>
      <c r="D428" s="1">
        <v>2</v>
      </c>
      <c r="E428" s="1" t="s">
        <v>4035</v>
      </c>
    </row>
    <row r="429" spans="1:5" ht="15.75" customHeight="1" x14ac:dyDescent="0.2">
      <c r="A429" s="1">
        <v>4387</v>
      </c>
      <c r="B429" s="1" t="s">
        <v>4036</v>
      </c>
      <c r="C429" s="1" t="s">
        <v>4037</v>
      </c>
      <c r="D429" s="1">
        <v>1</v>
      </c>
      <c r="E429" s="1" t="s">
        <v>4038</v>
      </c>
    </row>
    <row r="430" spans="1:5" ht="15.75" customHeight="1" x14ac:dyDescent="0.2">
      <c r="A430" s="1">
        <v>43549</v>
      </c>
      <c r="B430" s="1" t="s">
        <v>301</v>
      </c>
      <c r="C430" s="1" t="s">
        <v>4039</v>
      </c>
      <c r="D430" s="1">
        <v>2</v>
      </c>
      <c r="E430" s="1" t="s">
        <v>4040</v>
      </c>
    </row>
    <row r="431" spans="1:5" ht="15.75" customHeight="1" x14ac:dyDescent="0.2">
      <c r="A431" s="1">
        <v>50440</v>
      </c>
      <c r="B431" s="1" t="s">
        <v>4002</v>
      </c>
      <c r="C431" s="1" t="s">
        <v>4041</v>
      </c>
      <c r="D431" s="1">
        <v>2</v>
      </c>
      <c r="E431" s="1" t="s">
        <v>4042</v>
      </c>
    </row>
    <row r="432" spans="1:5" ht="15.75" customHeight="1" x14ac:dyDescent="0.2">
      <c r="A432" s="1">
        <v>11574</v>
      </c>
      <c r="B432" s="1" t="s">
        <v>524</v>
      </c>
      <c r="C432" s="1" t="s">
        <v>4043</v>
      </c>
      <c r="D432" s="1">
        <v>2</v>
      </c>
      <c r="E432" s="1" t="s">
        <v>4044</v>
      </c>
    </row>
    <row r="433" spans="1:5" ht="15.75" customHeight="1" x14ac:dyDescent="0.2">
      <c r="A433" s="1">
        <v>42212</v>
      </c>
      <c r="B433" s="1" t="s">
        <v>466</v>
      </c>
      <c r="C433" s="1" t="s">
        <v>4045</v>
      </c>
      <c r="D433" s="1">
        <v>2</v>
      </c>
      <c r="E433" s="1" t="s">
        <v>4046</v>
      </c>
    </row>
    <row r="434" spans="1:5" ht="15.75" customHeight="1" x14ac:dyDescent="0.2">
      <c r="A434" s="1">
        <v>54649</v>
      </c>
      <c r="B434" s="1" t="s">
        <v>144</v>
      </c>
      <c r="C434" s="1" t="s">
        <v>4047</v>
      </c>
      <c r="D434" s="1">
        <v>2</v>
      </c>
      <c r="E434" s="1" t="s">
        <v>4048</v>
      </c>
    </row>
    <row r="435" spans="1:5" ht="15.75" customHeight="1" x14ac:dyDescent="0.2">
      <c r="A435" s="1">
        <v>19514</v>
      </c>
      <c r="B435" s="1" t="s">
        <v>399</v>
      </c>
      <c r="C435" s="1" t="s">
        <v>4049</v>
      </c>
      <c r="D435" s="1">
        <v>2</v>
      </c>
      <c r="E435" s="1" t="s">
        <v>4050</v>
      </c>
    </row>
    <row r="436" spans="1:5" ht="15.75" customHeight="1" x14ac:dyDescent="0.2">
      <c r="A436" s="1">
        <v>1371</v>
      </c>
      <c r="B436" s="1" t="s">
        <v>552</v>
      </c>
      <c r="C436" s="1" t="s">
        <v>4051</v>
      </c>
      <c r="D436" s="1">
        <v>1</v>
      </c>
      <c r="E436" s="1" t="s">
        <v>4052</v>
      </c>
    </row>
    <row r="437" spans="1:5" ht="15.75" customHeight="1" x14ac:dyDescent="0.2">
      <c r="A437" s="1">
        <v>52906</v>
      </c>
      <c r="B437" s="1" t="s">
        <v>2259</v>
      </c>
      <c r="C437" s="1" t="s">
        <v>4053</v>
      </c>
      <c r="D437" s="1">
        <v>2</v>
      </c>
      <c r="E437" s="1" t="s">
        <v>4054</v>
      </c>
    </row>
    <row r="438" spans="1:5" ht="15.75" customHeight="1" x14ac:dyDescent="0.2">
      <c r="A438" s="1">
        <v>34227</v>
      </c>
      <c r="B438" s="1" t="s">
        <v>268</v>
      </c>
      <c r="C438" s="1" t="s">
        <v>4055</v>
      </c>
      <c r="D438" s="1">
        <v>2</v>
      </c>
      <c r="E438" s="1" t="s">
        <v>4056</v>
      </c>
    </row>
    <row r="439" spans="1:5" ht="15.75" customHeight="1" x14ac:dyDescent="0.2">
      <c r="A439" s="1">
        <v>28787</v>
      </c>
      <c r="B439" s="1" t="s">
        <v>336</v>
      </c>
      <c r="C439" s="1" t="s">
        <v>4057</v>
      </c>
      <c r="D439" s="1">
        <v>2</v>
      </c>
      <c r="E439" s="1" t="s">
        <v>4058</v>
      </c>
    </row>
    <row r="440" spans="1:5" ht="15.75" customHeight="1" x14ac:dyDescent="0.2">
      <c r="A440" s="1">
        <v>50298</v>
      </c>
      <c r="B440" s="1" t="s">
        <v>4059</v>
      </c>
      <c r="C440" s="1" t="s">
        <v>4060</v>
      </c>
      <c r="D440" s="1">
        <v>2</v>
      </c>
      <c r="E440" s="1" t="s">
        <v>4061</v>
      </c>
    </row>
    <row r="441" spans="1:5" ht="15.75" customHeight="1" x14ac:dyDescent="0.2">
      <c r="A441" s="1">
        <v>58781</v>
      </c>
      <c r="B441" s="1" t="s">
        <v>188</v>
      </c>
      <c r="C441" s="1" t="s">
        <v>4062</v>
      </c>
      <c r="D441" s="1">
        <v>2</v>
      </c>
      <c r="E441" s="1" t="s">
        <v>4063</v>
      </c>
    </row>
    <row r="442" spans="1:5" ht="15.75" customHeight="1" x14ac:dyDescent="0.2">
      <c r="A442" s="1">
        <v>16675</v>
      </c>
      <c r="B442" s="1" t="s">
        <v>4064</v>
      </c>
      <c r="C442" s="1" t="s">
        <v>4065</v>
      </c>
      <c r="D442" s="1">
        <v>2</v>
      </c>
      <c r="E442" s="1" t="s">
        <v>4066</v>
      </c>
    </row>
    <row r="443" spans="1:5" ht="15.75" customHeight="1" x14ac:dyDescent="0.2">
      <c r="A443" s="1">
        <v>5517</v>
      </c>
      <c r="B443" s="1" t="s">
        <v>2599</v>
      </c>
      <c r="C443" s="1" t="s">
        <v>4067</v>
      </c>
      <c r="D443" s="1">
        <v>1</v>
      </c>
      <c r="E443" s="1" t="s">
        <v>4068</v>
      </c>
    </row>
    <row r="444" spans="1:5" ht="15.75" customHeight="1" x14ac:dyDescent="0.2">
      <c r="A444" s="1">
        <v>25588</v>
      </c>
      <c r="B444" s="1" t="s">
        <v>129</v>
      </c>
      <c r="C444" s="1" t="s">
        <v>4069</v>
      </c>
      <c r="D444" s="1">
        <v>2</v>
      </c>
      <c r="E444" s="1" t="s">
        <v>4070</v>
      </c>
    </row>
    <row r="445" spans="1:5" ht="15.75" customHeight="1" x14ac:dyDescent="0.2">
      <c r="A445" s="1">
        <v>50071</v>
      </c>
      <c r="B445" s="1" t="s">
        <v>14</v>
      </c>
      <c r="C445" s="1" t="s">
        <v>4071</v>
      </c>
      <c r="D445" s="1">
        <v>2</v>
      </c>
      <c r="E445" s="1" t="s">
        <v>4072</v>
      </c>
    </row>
    <row r="446" spans="1:5" ht="15.75" customHeight="1" x14ac:dyDescent="0.2">
      <c r="A446" s="1">
        <v>65772</v>
      </c>
      <c r="B446" s="1" t="s">
        <v>268</v>
      </c>
      <c r="C446" s="1" t="s">
        <v>4073</v>
      </c>
      <c r="D446" s="1">
        <v>1</v>
      </c>
      <c r="E446" s="1" t="s">
        <v>4074</v>
      </c>
    </row>
    <row r="447" spans="1:5" ht="15.75" customHeight="1" x14ac:dyDescent="0.2">
      <c r="A447" s="1">
        <v>1455</v>
      </c>
      <c r="B447" s="1" t="s">
        <v>172</v>
      </c>
      <c r="C447" s="1" t="s">
        <v>4075</v>
      </c>
      <c r="D447" s="1">
        <v>2</v>
      </c>
      <c r="E447" s="1" t="s">
        <v>4076</v>
      </c>
    </row>
    <row r="448" spans="1:5" ht="15.75" customHeight="1" x14ac:dyDescent="0.2">
      <c r="A448" s="1">
        <v>27108</v>
      </c>
      <c r="B448" s="1" t="s">
        <v>109</v>
      </c>
      <c r="C448" s="1" t="s">
        <v>4077</v>
      </c>
      <c r="D448" s="1">
        <v>2</v>
      </c>
      <c r="E448" s="1" t="s">
        <v>4078</v>
      </c>
    </row>
    <row r="449" spans="1:5" ht="15.75" customHeight="1" x14ac:dyDescent="0.2">
      <c r="A449" s="1">
        <v>51201</v>
      </c>
      <c r="B449" s="1" t="s">
        <v>552</v>
      </c>
      <c r="C449" s="1" t="s">
        <v>4079</v>
      </c>
      <c r="D449" s="1">
        <v>1</v>
      </c>
      <c r="E449" s="1" t="s">
        <v>4080</v>
      </c>
    </row>
    <row r="450" spans="1:5" ht="15.75" customHeight="1" x14ac:dyDescent="0.2">
      <c r="A450" s="1">
        <v>49533</v>
      </c>
      <c r="B450" s="1" t="s">
        <v>405</v>
      </c>
      <c r="C450" s="1" t="s">
        <v>4081</v>
      </c>
      <c r="D450" s="1">
        <v>2</v>
      </c>
      <c r="E450" s="1" t="s">
        <v>4082</v>
      </c>
    </row>
    <row r="451" spans="1:5" ht="15.75" customHeight="1" x14ac:dyDescent="0.2">
      <c r="A451" s="1">
        <v>1975</v>
      </c>
      <c r="B451" s="1" t="s">
        <v>336</v>
      </c>
      <c r="C451" s="1" t="s">
        <v>4083</v>
      </c>
      <c r="D451" s="1">
        <v>1</v>
      </c>
      <c r="E451" s="1" t="s">
        <v>4084</v>
      </c>
    </row>
    <row r="452" spans="1:5" ht="15.75" customHeight="1" x14ac:dyDescent="0.2">
      <c r="A452" s="1">
        <v>9007</v>
      </c>
      <c r="B452" s="1" t="s">
        <v>4085</v>
      </c>
      <c r="C452" s="1" t="s">
        <v>4086</v>
      </c>
      <c r="D452" s="1">
        <v>2</v>
      </c>
      <c r="E452" s="1" t="s">
        <v>4087</v>
      </c>
    </row>
    <row r="453" spans="1:5" ht="15.75" customHeight="1" x14ac:dyDescent="0.2">
      <c r="A453" s="1">
        <v>59959</v>
      </c>
      <c r="B453" s="1" t="s">
        <v>129</v>
      </c>
      <c r="C453" s="1" t="s">
        <v>4088</v>
      </c>
      <c r="D453" s="1">
        <v>1</v>
      </c>
      <c r="E453" s="1" t="s">
        <v>4089</v>
      </c>
    </row>
    <row r="454" spans="1:5" ht="15.75" customHeight="1" x14ac:dyDescent="0.2">
      <c r="A454" s="1">
        <v>15475</v>
      </c>
      <c r="B454" s="1" t="s">
        <v>1021</v>
      </c>
      <c r="C454" s="1" t="s">
        <v>4090</v>
      </c>
      <c r="D454" s="1">
        <v>2</v>
      </c>
      <c r="E454" s="1" t="s">
        <v>4091</v>
      </c>
    </row>
    <row r="455" spans="1:5" ht="15.75" customHeight="1" x14ac:dyDescent="0.2">
      <c r="A455" s="1">
        <v>21795</v>
      </c>
      <c r="B455" s="1" t="s">
        <v>1501</v>
      </c>
      <c r="C455" s="1" t="s">
        <v>4092</v>
      </c>
      <c r="D455" s="1">
        <v>2</v>
      </c>
      <c r="E455" s="1" t="s">
        <v>4093</v>
      </c>
    </row>
    <row r="456" spans="1:5" ht="15.75" customHeight="1" x14ac:dyDescent="0.2">
      <c r="A456" s="1">
        <v>32715</v>
      </c>
      <c r="B456" s="1" t="s">
        <v>78</v>
      </c>
      <c r="C456" s="1" t="s">
        <v>4094</v>
      </c>
      <c r="D456" s="1">
        <v>2</v>
      </c>
      <c r="E456" s="1" t="s">
        <v>4095</v>
      </c>
    </row>
    <row r="457" spans="1:5" ht="15.75" customHeight="1" x14ac:dyDescent="0.2">
      <c r="A457" s="1">
        <v>27211</v>
      </c>
      <c r="B457" s="1" t="s">
        <v>1984</v>
      </c>
      <c r="C457" s="1" t="s">
        <v>4096</v>
      </c>
      <c r="D457" s="1">
        <v>2</v>
      </c>
      <c r="E457" s="1" t="s">
        <v>4097</v>
      </c>
    </row>
    <row r="458" spans="1:5" ht="15.75" customHeight="1" x14ac:dyDescent="0.2">
      <c r="A458" s="1">
        <v>27699</v>
      </c>
      <c r="B458" s="1" t="s">
        <v>1657</v>
      </c>
      <c r="C458" s="1" t="s">
        <v>4098</v>
      </c>
      <c r="D458" s="1">
        <v>1</v>
      </c>
      <c r="E458" s="1" t="s">
        <v>4099</v>
      </c>
    </row>
    <row r="459" spans="1:5" ht="15.75" customHeight="1" x14ac:dyDescent="0.2">
      <c r="A459" s="1">
        <v>6543</v>
      </c>
      <c r="B459" s="1" t="s">
        <v>4100</v>
      </c>
      <c r="C459" s="1" t="s">
        <v>4101</v>
      </c>
      <c r="D459" s="1">
        <v>2</v>
      </c>
      <c r="E459" s="1" t="s">
        <v>4102</v>
      </c>
    </row>
    <row r="460" spans="1:5" ht="15.75" customHeight="1" x14ac:dyDescent="0.2">
      <c r="A460" s="1">
        <v>10805</v>
      </c>
      <c r="B460" s="1" t="s">
        <v>298</v>
      </c>
      <c r="C460" s="1" t="s">
        <v>4103</v>
      </c>
      <c r="D460" s="1">
        <v>2</v>
      </c>
      <c r="E460" s="1" t="s">
        <v>4104</v>
      </c>
    </row>
    <row r="461" spans="1:5" ht="15.75" customHeight="1" x14ac:dyDescent="0.2">
      <c r="A461" s="1">
        <v>65901</v>
      </c>
      <c r="B461" s="1" t="s">
        <v>4105</v>
      </c>
      <c r="C461" s="1" t="s">
        <v>4106</v>
      </c>
      <c r="D461" s="1">
        <v>2</v>
      </c>
      <c r="E461" s="1" t="s">
        <v>4107</v>
      </c>
    </row>
    <row r="462" spans="1:5" ht="15.75" customHeight="1" x14ac:dyDescent="0.2">
      <c r="A462" s="1">
        <v>42033</v>
      </c>
      <c r="B462" s="1" t="s">
        <v>3816</v>
      </c>
      <c r="C462" s="1" t="s">
        <v>4108</v>
      </c>
      <c r="D462" s="1">
        <v>2</v>
      </c>
      <c r="E462" s="1" t="s">
        <v>4109</v>
      </c>
    </row>
    <row r="463" spans="1:5" ht="15.75" customHeight="1" x14ac:dyDescent="0.2">
      <c r="A463" s="1">
        <v>6395</v>
      </c>
      <c r="B463" s="1" t="s">
        <v>3789</v>
      </c>
      <c r="C463" s="1" t="s">
        <v>4110</v>
      </c>
      <c r="D463" s="1">
        <v>2</v>
      </c>
      <c r="E463" s="1" t="s">
        <v>4111</v>
      </c>
    </row>
    <row r="464" spans="1:5" ht="15.75" customHeight="1" x14ac:dyDescent="0.2">
      <c r="A464" s="1">
        <v>36519</v>
      </c>
      <c r="B464" s="1" t="s">
        <v>1455</v>
      </c>
      <c r="C464" s="1" t="s">
        <v>4112</v>
      </c>
      <c r="D464" s="1">
        <v>2</v>
      </c>
      <c r="E464" s="1" t="s">
        <v>4113</v>
      </c>
    </row>
    <row r="465" spans="1:5" ht="15.75" customHeight="1" x14ac:dyDescent="0.2">
      <c r="A465" s="1">
        <v>21302</v>
      </c>
      <c r="B465" s="1" t="s">
        <v>244</v>
      </c>
      <c r="C465" s="1" t="s">
        <v>4114</v>
      </c>
      <c r="D465" s="1">
        <v>1</v>
      </c>
      <c r="E465" s="1" t="s">
        <v>4115</v>
      </c>
    </row>
    <row r="466" spans="1:5" ht="15.75" customHeight="1" x14ac:dyDescent="0.2">
      <c r="A466" s="1">
        <v>9302</v>
      </c>
      <c r="B466" s="1" t="s">
        <v>4116</v>
      </c>
      <c r="C466" s="1" t="s">
        <v>4117</v>
      </c>
      <c r="D466" s="1">
        <v>1</v>
      </c>
      <c r="E466" s="1" t="s">
        <v>4118</v>
      </c>
    </row>
    <row r="467" spans="1:5" ht="15.75" customHeight="1" x14ac:dyDescent="0.2">
      <c r="A467" s="1">
        <v>16107</v>
      </c>
      <c r="B467" s="1" t="s">
        <v>276</v>
      </c>
      <c r="C467" s="1" t="s">
        <v>4119</v>
      </c>
      <c r="D467" s="1">
        <v>1</v>
      </c>
      <c r="E467" s="1" t="s">
        <v>4120</v>
      </c>
    </row>
    <row r="468" spans="1:5" ht="15.75" customHeight="1" x14ac:dyDescent="0.2">
      <c r="A468" s="1">
        <v>29379</v>
      </c>
      <c r="B468" s="1" t="s">
        <v>819</v>
      </c>
      <c r="C468" s="1" t="s">
        <v>4121</v>
      </c>
      <c r="D468" s="1">
        <v>1</v>
      </c>
      <c r="E468" s="1" t="s">
        <v>4122</v>
      </c>
    </row>
    <row r="469" spans="1:5" ht="15.75" customHeight="1" x14ac:dyDescent="0.2">
      <c r="A469" s="1">
        <v>37429</v>
      </c>
      <c r="B469" s="1" t="s">
        <v>1455</v>
      </c>
      <c r="C469" s="1" t="s">
        <v>4123</v>
      </c>
      <c r="D469" s="1">
        <v>2</v>
      </c>
      <c r="E469" s="1" t="s">
        <v>4124</v>
      </c>
    </row>
    <row r="470" spans="1:5" ht="15.75" customHeight="1" x14ac:dyDescent="0.2">
      <c r="A470" s="1">
        <v>4798</v>
      </c>
      <c r="B470" s="1" t="s">
        <v>191</v>
      </c>
      <c r="C470" s="1" t="s">
        <v>4125</v>
      </c>
      <c r="D470" s="1">
        <v>2</v>
      </c>
      <c r="E470" s="1" t="s">
        <v>4126</v>
      </c>
    </row>
    <row r="471" spans="1:5" ht="15.75" customHeight="1" x14ac:dyDescent="0.2">
      <c r="A471" s="1">
        <v>5788</v>
      </c>
      <c r="B471" s="1" t="s">
        <v>41</v>
      </c>
      <c r="C471" s="1" t="s">
        <v>4127</v>
      </c>
      <c r="D471" s="1">
        <v>2</v>
      </c>
      <c r="E471" s="1" t="s">
        <v>4128</v>
      </c>
    </row>
    <row r="472" spans="1:5" ht="15.75" customHeight="1" x14ac:dyDescent="0.2">
      <c r="A472" s="1">
        <v>38281</v>
      </c>
      <c r="B472" s="1" t="s">
        <v>153</v>
      </c>
      <c r="C472" s="1" t="s">
        <v>4129</v>
      </c>
      <c r="D472" s="1">
        <v>2</v>
      </c>
      <c r="E472" s="1" t="s">
        <v>4130</v>
      </c>
    </row>
    <row r="473" spans="1:5" ht="15.75" customHeight="1" x14ac:dyDescent="0.2">
      <c r="A473" s="1">
        <v>9362</v>
      </c>
      <c r="B473" s="1" t="s">
        <v>244</v>
      </c>
      <c r="C473" s="1" t="s">
        <v>4131</v>
      </c>
      <c r="D473" s="1">
        <v>2</v>
      </c>
      <c r="E473" s="1" t="s">
        <v>4132</v>
      </c>
    </row>
    <row r="474" spans="1:5" ht="15.75" customHeight="1" x14ac:dyDescent="0.2">
      <c r="A474" s="1">
        <v>41405</v>
      </c>
      <c r="B474" s="1" t="s">
        <v>20</v>
      </c>
      <c r="C474" s="1" t="s">
        <v>4133</v>
      </c>
      <c r="D474" s="1">
        <v>2</v>
      </c>
      <c r="E474" s="1" t="s">
        <v>4134</v>
      </c>
    </row>
    <row r="475" spans="1:5" ht="15.75" customHeight="1" x14ac:dyDescent="0.2">
      <c r="A475" s="1">
        <v>51101</v>
      </c>
      <c r="B475" s="1" t="s">
        <v>259</v>
      </c>
      <c r="C475" s="1" t="s">
        <v>4135</v>
      </c>
      <c r="D475" s="1">
        <v>2</v>
      </c>
      <c r="E475" s="1" t="s">
        <v>4136</v>
      </c>
    </row>
    <row r="476" spans="1:5" ht="15.75" customHeight="1" x14ac:dyDescent="0.2">
      <c r="A476" s="1">
        <v>64583</v>
      </c>
      <c r="B476" s="1" t="s">
        <v>405</v>
      </c>
      <c r="C476" s="1" t="s">
        <v>4137</v>
      </c>
      <c r="D476" s="1">
        <v>2</v>
      </c>
      <c r="E476" s="1" t="s">
        <v>4138</v>
      </c>
    </row>
    <row r="477" spans="1:5" ht="15.75" customHeight="1" x14ac:dyDescent="0.2">
      <c r="A477" s="1">
        <v>53229</v>
      </c>
      <c r="B477" s="1" t="s">
        <v>906</v>
      </c>
      <c r="C477" s="1" t="s">
        <v>4139</v>
      </c>
      <c r="D477" s="1">
        <v>1</v>
      </c>
      <c r="E477" s="1" t="s">
        <v>4140</v>
      </c>
    </row>
    <row r="478" spans="1:5" ht="15.75" customHeight="1" x14ac:dyDescent="0.2">
      <c r="A478" s="1">
        <v>29951</v>
      </c>
      <c r="B478" s="1" t="s">
        <v>301</v>
      </c>
      <c r="C478" s="1" t="s">
        <v>4141</v>
      </c>
      <c r="D478" s="1">
        <v>1</v>
      </c>
      <c r="E478" s="1" t="s">
        <v>4142</v>
      </c>
    </row>
    <row r="479" spans="1:5" ht="15.75" customHeight="1" x14ac:dyDescent="0.2">
      <c r="A479" s="1">
        <v>45871</v>
      </c>
      <c r="B479" s="1" t="s">
        <v>490</v>
      </c>
      <c r="C479" s="1" t="s">
        <v>4143</v>
      </c>
      <c r="D479" s="1">
        <v>1</v>
      </c>
      <c r="E479" s="1" t="s">
        <v>4144</v>
      </c>
    </row>
    <row r="480" spans="1:5" ht="15.75" customHeight="1" x14ac:dyDescent="0.2">
      <c r="A480" s="1">
        <v>55163</v>
      </c>
      <c r="B480" s="1" t="s">
        <v>723</v>
      </c>
      <c r="C480" s="1" t="s">
        <v>4145</v>
      </c>
      <c r="D480" s="1">
        <v>2</v>
      </c>
      <c r="E480" s="1" t="s">
        <v>4146</v>
      </c>
    </row>
    <row r="481" spans="1:5" ht="15.75" customHeight="1" x14ac:dyDescent="0.2">
      <c r="A481" s="1">
        <v>8851</v>
      </c>
      <c r="B481" s="1" t="s">
        <v>1175</v>
      </c>
      <c r="C481" s="1" t="s">
        <v>4147</v>
      </c>
      <c r="D481" s="1">
        <v>2</v>
      </c>
      <c r="E481" s="1" t="s">
        <v>4148</v>
      </c>
    </row>
    <row r="482" spans="1:5" ht="15.75" customHeight="1" x14ac:dyDescent="0.2">
      <c r="A482" s="1">
        <v>39901</v>
      </c>
      <c r="B482" s="1" t="s">
        <v>2574</v>
      </c>
      <c r="C482" s="1" t="s">
        <v>4149</v>
      </c>
      <c r="D482" s="1">
        <v>2</v>
      </c>
      <c r="E482" s="1" t="s">
        <v>4150</v>
      </c>
    </row>
    <row r="483" spans="1:5" ht="15.75" customHeight="1" x14ac:dyDescent="0.2">
      <c r="A483" s="1">
        <v>50296</v>
      </c>
      <c r="B483" s="1" t="s">
        <v>1921</v>
      </c>
      <c r="C483" s="1" t="s">
        <v>4151</v>
      </c>
      <c r="D483" s="1">
        <v>2</v>
      </c>
      <c r="E483" s="1" t="s">
        <v>4152</v>
      </c>
    </row>
    <row r="484" spans="1:5" ht="15.75" customHeight="1" x14ac:dyDescent="0.2">
      <c r="A484" s="1">
        <v>16158</v>
      </c>
      <c r="B484" s="1" t="s">
        <v>959</v>
      </c>
      <c r="C484" s="1" t="s">
        <v>4153</v>
      </c>
      <c r="D484" s="1">
        <v>2</v>
      </c>
      <c r="E484" s="1" t="s">
        <v>4154</v>
      </c>
    </row>
    <row r="485" spans="1:5" ht="15.75" customHeight="1" x14ac:dyDescent="0.2">
      <c r="A485" s="1">
        <v>61172</v>
      </c>
      <c r="B485" s="1" t="s">
        <v>466</v>
      </c>
      <c r="C485" s="1" t="s">
        <v>4155</v>
      </c>
      <c r="D485" s="1">
        <v>2</v>
      </c>
      <c r="E485" s="1" t="s">
        <v>4156</v>
      </c>
    </row>
    <row r="486" spans="1:5" ht="15.75" customHeight="1" x14ac:dyDescent="0.2">
      <c r="A486" s="1">
        <v>63487</v>
      </c>
      <c r="B486" s="1" t="s">
        <v>11</v>
      </c>
      <c r="C486" s="1" t="s">
        <v>4157</v>
      </c>
      <c r="D486" s="1">
        <v>1</v>
      </c>
      <c r="E486" s="1" t="s">
        <v>4158</v>
      </c>
    </row>
    <row r="487" spans="1:5" ht="15.75" customHeight="1" x14ac:dyDescent="0.2">
      <c r="A487" s="1">
        <v>46236</v>
      </c>
      <c r="B487" s="1" t="s">
        <v>141</v>
      </c>
      <c r="C487" s="1" t="s">
        <v>4159</v>
      </c>
      <c r="D487" s="1">
        <v>2</v>
      </c>
      <c r="E487" s="1" t="s">
        <v>4160</v>
      </c>
    </row>
    <row r="488" spans="1:5" ht="15.75" customHeight="1" x14ac:dyDescent="0.2">
      <c r="A488" s="1">
        <v>28160</v>
      </c>
      <c r="B488" s="1" t="s">
        <v>4161</v>
      </c>
      <c r="C488" s="1" t="s">
        <v>4162</v>
      </c>
      <c r="D488" s="1">
        <v>2</v>
      </c>
      <c r="E488" s="1" t="s">
        <v>4163</v>
      </c>
    </row>
    <row r="489" spans="1:5" ht="15.75" customHeight="1" x14ac:dyDescent="0.2">
      <c r="A489" s="1">
        <v>878</v>
      </c>
      <c r="B489" s="1" t="s">
        <v>552</v>
      </c>
      <c r="C489" s="1" t="s">
        <v>4164</v>
      </c>
      <c r="D489" s="1">
        <v>2</v>
      </c>
      <c r="E489" s="1" t="s">
        <v>4165</v>
      </c>
    </row>
    <row r="490" spans="1:5" ht="15.75" customHeight="1" x14ac:dyDescent="0.2">
      <c r="A490" s="1">
        <v>23318</v>
      </c>
      <c r="B490" s="1" t="s">
        <v>35</v>
      </c>
      <c r="C490" s="1" t="s">
        <v>4166</v>
      </c>
      <c r="D490" s="1">
        <v>2</v>
      </c>
      <c r="E490" s="1" t="s">
        <v>4167</v>
      </c>
    </row>
    <row r="491" spans="1:5" ht="15.75" customHeight="1" x14ac:dyDescent="0.2">
      <c r="A491" s="1">
        <v>50921</v>
      </c>
      <c r="B491" s="1" t="s">
        <v>466</v>
      </c>
      <c r="C491" s="1" t="s">
        <v>4168</v>
      </c>
      <c r="D491" s="1">
        <v>2</v>
      </c>
      <c r="E491" s="1" t="s">
        <v>4169</v>
      </c>
    </row>
    <row r="492" spans="1:5" ht="15.75" customHeight="1" x14ac:dyDescent="0.2">
      <c r="A492" s="1">
        <v>24611</v>
      </c>
      <c r="B492" s="1" t="s">
        <v>64</v>
      </c>
      <c r="C492" s="1" t="s">
        <v>4170</v>
      </c>
      <c r="D492" s="1">
        <v>1</v>
      </c>
      <c r="E492" s="1" t="s">
        <v>4171</v>
      </c>
    </row>
    <row r="493" spans="1:5" ht="15.75" customHeight="1" x14ac:dyDescent="0.2">
      <c r="A493" s="1">
        <v>56771</v>
      </c>
      <c r="B493" s="1" t="s">
        <v>301</v>
      </c>
      <c r="C493" s="1" t="s">
        <v>4172</v>
      </c>
      <c r="D493" s="1">
        <v>1</v>
      </c>
      <c r="E493" s="1" t="s">
        <v>4173</v>
      </c>
    </row>
    <row r="494" spans="1:5" ht="15.75" customHeight="1" x14ac:dyDescent="0.2">
      <c r="A494" s="1">
        <v>14537</v>
      </c>
      <c r="B494" s="1" t="s">
        <v>254</v>
      </c>
      <c r="C494" s="1" t="s">
        <v>4174</v>
      </c>
      <c r="D494" s="1">
        <v>2</v>
      </c>
      <c r="E494" s="1" t="s">
        <v>4175</v>
      </c>
    </row>
    <row r="495" spans="1:5" ht="15.75" customHeight="1" x14ac:dyDescent="0.2">
      <c r="A495" s="1">
        <v>53301</v>
      </c>
      <c r="B495" s="1" t="s">
        <v>1415</v>
      </c>
      <c r="C495" s="1" t="s">
        <v>4176</v>
      </c>
      <c r="D495" s="1">
        <v>2</v>
      </c>
      <c r="E495" s="1" t="s">
        <v>4177</v>
      </c>
    </row>
    <row r="496" spans="1:5" ht="15.75" customHeight="1" x14ac:dyDescent="0.2">
      <c r="A496" s="1">
        <v>7908</v>
      </c>
      <c r="B496" s="1" t="s">
        <v>90</v>
      </c>
      <c r="C496" s="1" t="s">
        <v>4178</v>
      </c>
      <c r="D496" s="1">
        <v>2</v>
      </c>
      <c r="E496" s="1" t="s">
        <v>4179</v>
      </c>
    </row>
    <row r="497" spans="1:5" ht="15.75" customHeight="1" x14ac:dyDescent="0.2">
      <c r="A497" s="1">
        <v>23638</v>
      </c>
      <c r="B497" s="1" t="s">
        <v>1895</v>
      </c>
      <c r="C497" s="1" t="s">
        <v>4180</v>
      </c>
      <c r="D497" s="1">
        <v>2</v>
      </c>
      <c r="E497" s="1" t="s">
        <v>4181</v>
      </c>
    </row>
    <row r="498" spans="1:5" ht="15.75" customHeight="1" x14ac:dyDescent="0.2">
      <c r="A498" s="1">
        <v>19985</v>
      </c>
      <c r="B498" s="1" t="s">
        <v>794</v>
      </c>
      <c r="C498" s="1" t="s">
        <v>4182</v>
      </c>
      <c r="D498" s="1">
        <v>2</v>
      </c>
      <c r="E498" s="1" t="s">
        <v>4183</v>
      </c>
    </row>
    <row r="499" spans="1:5" ht="15.75" customHeight="1" x14ac:dyDescent="0.2">
      <c r="A499" s="1">
        <v>40558</v>
      </c>
      <c r="B499" s="1" t="s">
        <v>29</v>
      </c>
      <c r="C499" s="1" t="s">
        <v>4184</v>
      </c>
      <c r="D499" s="1">
        <v>2</v>
      </c>
      <c r="E499" s="1" t="s">
        <v>4185</v>
      </c>
    </row>
    <row r="500" spans="1:5" ht="15.75" customHeight="1" x14ac:dyDescent="0.2">
      <c r="A500" s="1">
        <v>33432</v>
      </c>
      <c r="B500" s="1" t="s">
        <v>210</v>
      </c>
      <c r="C500" s="1" t="s">
        <v>4186</v>
      </c>
      <c r="D500" s="1">
        <v>2</v>
      </c>
      <c r="E500" s="1" t="s">
        <v>4187</v>
      </c>
    </row>
    <row r="501" spans="1:5" ht="15.75" customHeight="1" x14ac:dyDescent="0.2">
      <c r="A501" s="1">
        <v>3250</v>
      </c>
      <c r="B501" s="1" t="s">
        <v>4188</v>
      </c>
      <c r="C501" s="1" t="s">
        <v>4189</v>
      </c>
      <c r="D501" s="1">
        <v>2</v>
      </c>
      <c r="E501" s="1" t="s">
        <v>4190</v>
      </c>
    </row>
    <row r="502" spans="1:5" ht="15.75" customHeight="1" x14ac:dyDescent="0.2">
      <c r="A502" s="1">
        <v>7542</v>
      </c>
      <c r="B502" s="1" t="s">
        <v>509</v>
      </c>
      <c r="C502" s="1" t="s">
        <v>4191</v>
      </c>
      <c r="D502" s="1">
        <v>2</v>
      </c>
      <c r="E502" s="1" t="s">
        <v>4192</v>
      </c>
    </row>
    <row r="503" spans="1:5" ht="15.75" customHeight="1" x14ac:dyDescent="0.2">
      <c r="A503" s="1">
        <v>58776</v>
      </c>
      <c r="B503" s="1" t="s">
        <v>268</v>
      </c>
      <c r="C503" s="1" t="s">
        <v>4193</v>
      </c>
      <c r="D503" s="1">
        <v>2</v>
      </c>
      <c r="E503" s="1" t="s">
        <v>4194</v>
      </c>
    </row>
    <row r="504" spans="1:5" ht="15.75" customHeight="1" x14ac:dyDescent="0.2">
      <c r="A504" s="1">
        <v>69773</v>
      </c>
      <c r="B504" s="1" t="s">
        <v>268</v>
      </c>
      <c r="C504" s="1" t="s">
        <v>4195</v>
      </c>
      <c r="D504" s="1">
        <v>2</v>
      </c>
      <c r="E504" s="1" t="s">
        <v>4196</v>
      </c>
    </row>
    <row r="505" spans="1:5" ht="15.75" customHeight="1" x14ac:dyDescent="0.2">
      <c r="A505" s="1">
        <v>31804</v>
      </c>
      <c r="B505" s="1" t="s">
        <v>336</v>
      </c>
      <c r="C505" s="1" t="s">
        <v>4197</v>
      </c>
      <c r="D505" s="1">
        <v>2</v>
      </c>
      <c r="E505" s="1" t="s">
        <v>4198</v>
      </c>
    </row>
    <row r="506" spans="1:5" ht="15.75" customHeight="1" x14ac:dyDescent="0.2">
      <c r="A506" s="1">
        <v>68128</v>
      </c>
      <c r="B506" s="1" t="s">
        <v>172</v>
      </c>
      <c r="C506" s="1" t="s">
        <v>4199</v>
      </c>
      <c r="D506" s="1">
        <v>2</v>
      </c>
      <c r="E506" s="1" t="s">
        <v>4200</v>
      </c>
    </row>
    <row r="507" spans="1:5" ht="15.75" customHeight="1" x14ac:dyDescent="0.2">
      <c r="A507" s="1">
        <v>44486</v>
      </c>
      <c r="B507" s="1" t="s">
        <v>106</v>
      </c>
      <c r="C507" s="1" t="s">
        <v>4201</v>
      </c>
      <c r="D507" s="1">
        <v>2</v>
      </c>
      <c r="E507" s="1" t="s">
        <v>4202</v>
      </c>
    </row>
    <row r="508" spans="1:5" ht="15.75" customHeight="1" x14ac:dyDescent="0.2">
      <c r="A508" s="1">
        <v>36484</v>
      </c>
      <c r="B508" s="1" t="s">
        <v>301</v>
      </c>
      <c r="C508" s="1" t="s">
        <v>4203</v>
      </c>
      <c r="D508" s="1">
        <v>2</v>
      </c>
      <c r="E508" s="1" t="s">
        <v>4204</v>
      </c>
    </row>
    <row r="509" spans="1:5" ht="15.75" customHeight="1" x14ac:dyDescent="0.2">
      <c r="A509" s="1">
        <v>39747</v>
      </c>
      <c r="B509" s="1" t="s">
        <v>109</v>
      </c>
      <c r="C509" s="1" t="s">
        <v>4205</v>
      </c>
      <c r="D509" s="1">
        <v>1</v>
      </c>
      <c r="E509" s="1" t="s">
        <v>4206</v>
      </c>
    </row>
    <row r="510" spans="1:5" ht="15.75" customHeight="1" x14ac:dyDescent="0.2">
      <c r="A510" s="1">
        <v>59887</v>
      </c>
      <c r="B510" s="1" t="s">
        <v>1929</v>
      </c>
      <c r="C510" s="1" t="s">
        <v>4207</v>
      </c>
      <c r="D510" s="1">
        <v>2</v>
      </c>
      <c r="E510" s="1" t="s">
        <v>4208</v>
      </c>
    </row>
    <row r="511" spans="1:5" ht="15.75" customHeight="1" x14ac:dyDescent="0.2">
      <c r="A511" s="1">
        <v>33448</v>
      </c>
      <c r="B511" s="1" t="s">
        <v>144</v>
      </c>
      <c r="C511" s="1" t="s">
        <v>4209</v>
      </c>
      <c r="D511" s="1">
        <v>2</v>
      </c>
      <c r="E511" s="1" t="s">
        <v>4210</v>
      </c>
    </row>
    <row r="512" spans="1:5" ht="15.75" customHeight="1" x14ac:dyDescent="0.2">
      <c r="A512" s="1">
        <v>50829</v>
      </c>
      <c r="B512" s="1" t="s">
        <v>4211</v>
      </c>
      <c r="C512" s="1" t="s">
        <v>4212</v>
      </c>
      <c r="D512" s="1">
        <v>2</v>
      </c>
      <c r="E512" s="1" t="s">
        <v>4213</v>
      </c>
    </row>
    <row r="513" spans="1:5" ht="15.75" customHeight="1" x14ac:dyDescent="0.2">
      <c r="A513" s="1">
        <v>5526</v>
      </c>
      <c r="B513" s="1" t="s">
        <v>4188</v>
      </c>
      <c r="C513" s="1" t="s">
        <v>4214</v>
      </c>
      <c r="D513" s="1">
        <v>1</v>
      </c>
      <c r="E513" s="1" t="s">
        <v>4215</v>
      </c>
    </row>
    <row r="514" spans="1:5" ht="15.75" customHeight="1" x14ac:dyDescent="0.2">
      <c r="A514" s="1">
        <v>25882</v>
      </c>
      <c r="B514" s="1" t="s">
        <v>4216</v>
      </c>
      <c r="C514" s="1" t="s">
        <v>4217</v>
      </c>
      <c r="D514" s="1">
        <v>2</v>
      </c>
      <c r="E514" s="1" t="s">
        <v>4218</v>
      </c>
    </row>
    <row r="515" spans="1:5" ht="15.75" customHeight="1" x14ac:dyDescent="0.2">
      <c r="A515" s="1">
        <v>22019</v>
      </c>
      <c r="B515" s="1" t="s">
        <v>1357</v>
      </c>
      <c r="C515" s="1" t="s">
        <v>4219</v>
      </c>
      <c r="D515" s="1">
        <v>2</v>
      </c>
      <c r="E515" s="1" t="s">
        <v>4220</v>
      </c>
    </row>
    <row r="516" spans="1:5" ht="15.75" customHeight="1" x14ac:dyDescent="0.2">
      <c r="A516" s="1">
        <v>21824</v>
      </c>
      <c r="B516" s="1" t="s">
        <v>1034</v>
      </c>
      <c r="C516" s="1" t="s">
        <v>4221</v>
      </c>
      <c r="D516" s="1">
        <v>2</v>
      </c>
      <c r="E516" s="1" t="s">
        <v>4222</v>
      </c>
    </row>
    <row r="517" spans="1:5" ht="15.75" customHeight="1" x14ac:dyDescent="0.2">
      <c r="A517" s="1">
        <v>41227</v>
      </c>
      <c r="B517" s="1" t="s">
        <v>4223</v>
      </c>
      <c r="C517" s="1" t="s">
        <v>4224</v>
      </c>
      <c r="D517" s="1">
        <v>2</v>
      </c>
      <c r="E517" s="1" t="s">
        <v>4225</v>
      </c>
    </row>
    <row r="518" spans="1:5" ht="15.75" customHeight="1" x14ac:dyDescent="0.2">
      <c r="A518" s="1">
        <v>1831</v>
      </c>
      <c r="B518" s="1" t="s">
        <v>4226</v>
      </c>
      <c r="C518" s="1" t="s">
        <v>4227</v>
      </c>
      <c r="D518" s="1">
        <v>2</v>
      </c>
      <c r="E518" s="1" t="s">
        <v>4228</v>
      </c>
    </row>
    <row r="519" spans="1:5" ht="15.75" customHeight="1" x14ac:dyDescent="0.2">
      <c r="A519" s="1">
        <v>48939</v>
      </c>
      <c r="B519" s="1" t="s">
        <v>32</v>
      </c>
      <c r="C519" s="1" t="s">
        <v>4229</v>
      </c>
      <c r="D519" s="1">
        <v>1</v>
      </c>
      <c r="E519" s="1" t="s">
        <v>4230</v>
      </c>
    </row>
    <row r="520" spans="1:5" ht="15.75" customHeight="1" x14ac:dyDescent="0.2">
      <c r="A520" s="1">
        <v>58778</v>
      </c>
      <c r="B520" s="1" t="s">
        <v>1211</v>
      </c>
      <c r="C520" s="1" t="s">
        <v>4231</v>
      </c>
      <c r="D520" s="1">
        <v>2</v>
      </c>
      <c r="E520" s="1" t="s">
        <v>4232</v>
      </c>
    </row>
    <row r="521" spans="1:5" ht="15.75" customHeight="1" x14ac:dyDescent="0.2">
      <c r="A521" s="1">
        <v>70302</v>
      </c>
      <c r="B521" s="1" t="s">
        <v>159</v>
      </c>
      <c r="C521" s="1" t="s">
        <v>4233</v>
      </c>
      <c r="D521" s="1">
        <v>2</v>
      </c>
      <c r="E521" s="1" t="s">
        <v>4234</v>
      </c>
    </row>
    <row r="522" spans="1:5" ht="15.75" customHeight="1" x14ac:dyDescent="0.2">
      <c r="A522" s="1">
        <v>3968</v>
      </c>
      <c r="B522" s="1" t="s">
        <v>728</v>
      </c>
      <c r="C522" s="1" t="s">
        <v>4235</v>
      </c>
      <c r="D522" s="1">
        <v>2</v>
      </c>
      <c r="E522" s="1" t="s">
        <v>4236</v>
      </c>
    </row>
    <row r="523" spans="1:5" ht="15.75" customHeight="1" x14ac:dyDescent="0.2">
      <c r="A523" s="1">
        <v>24390</v>
      </c>
      <c r="B523" s="1" t="s">
        <v>430</v>
      </c>
      <c r="C523" s="1" t="s">
        <v>4237</v>
      </c>
      <c r="D523" s="1">
        <v>2</v>
      </c>
      <c r="E523" s="1" t="s">
        <v>4238</v>
      </c>
    </row>
    <row r="524" spans="1:5" ht="15.75" customHeight="1" x14ac:dyDescent="0.2">
      <c r="A524" s="1">
        <v>27204</v>
      </c>
      <c r="B524" s="1" t="s">
        <v>4239</v>
      </c>
      <c r="C524" s="1" t="s">
        <v>4240</v>
      </c>
      <c r="D524" s="1">
        <v>2</v>
      </c>
      <c r="E524" s="1" t="s">
        <v>4241</v>
      </c>
    </row>
    <row r="525" spans="1:5" ht="15.75" customHeight="1" x14ac:dyDescent="0.2">
      <c r="A525" s="1">
        <v>45954</v>
      </c>
      <c r="B525" s="1" t="s">
        <v>17</v>
      </c>
      <c r="C525" s="1" t="s">
        <v>4242</v>
      </c>
      <c r="D525" s="1">
        <v>2</v>
      </c>
      <c r="E525" s="1" t="s">
        <v>4243</v>
      </c>
    </row>
    <row r="526" spans="1:5" ht="15.75" customHeight="1" x14ac:dyDescent="0.2">
      <c r="A526" s="1">
        <v>5481</v>
      </c>
      <c r="B526" s="1" t="s">
        <v>185</v>
      </c>
      <c r="C526" s="1" t="s">
        <v>4244</v>
      </c>
      <c r="D526" s="1">
        <v>2</v>
      </c>
      <c r="E526" s="1" t="s">
        <v>4245</v>
      </c>
    </row>
    <row r="527" spans="1:5" ht="15.75" customHeight="1" x14ac:dyDescent="0.2">
      <c r="A527" s="1">
        <v>29805</v>
      </c>
      <c r="B527" s="1" t="s">
        <v>188</v>
      </c>
      <c r="C527" s="1" t="s">
        <v>4246</v>
      </c>
      <c r="D527" s="1">
        <v>2</v>
      </c>
      <c r="E527" s="1" t="s">
        <v>4247</v>
      </c>
    </row>
    <row r="528" spans="1:5" ht="15.75" customHeight="1" x14ac:dyDescent="0.2">
      <c r="A528" s="1">
        <v>48155</v>
      </c>
      <c r="B528" s="1" t="s">
        <v>2777</v>
      </c>
      <c r="C528" s="1" t="s">
        <v>4248</v>
      </c>
      <c r="D528" s="1">
        <v>2</v>
      </c>
      <c r="E528" s="1" t="s">
        <v>4249</v>
      </c>
    </row>
    <row r="529" spans="1:5" ht="15.75" customHeight="1" x14ac:dyDescent="0.2">
      <c r="A529" s="1">
        <v>32685</v>
      </c>
      <c r="B529" s="1" t="s">
        <v>276</v>
      </c>
      <c r="C529" s="1" t="s">
        <v>4250</v>
      </c>
      <c r="D529" s="1">
        <v>1</v>
      </c>
      <c r="E529" s="1" t="s">
        <v>4251</v>
      </c>
    </row>
    <row r="530" spans="1:5" ht="15.75" customHeight="1" x14ac:dyDescent="0.2">
      <c r="A530" s="1">
        <v>20607</v>
      </c>
      <c r="B530" s="1" t="s">
        <v>2048</v>
      </c>
      <c r="C530" s="1" t="s">
        <v>4252</v>
      </c>
      <c r="D530" s="1">
        <v>2</v>
      </c>
      <c r="E530" s="1" t="s">
        <v>4253</v>
      </c>
    </row>
    <row r="531" spans="1:5" ht="15.75" customHeight="1" x14ac:dyDescent="0.2">
      <c r="A531" s="1">
        <v>40534</v>
      </c>
      <c r="B531" s="1" t="s">
        <v>3277</v>
      </c>
      <c r="C531" s="1" t="s">
        <v>4254</v>
      </c>
      <c r="D531" s="1">
        <v>2</v>
      </c>
      <c r="E531" s="1" t="s">
        <v>4255</v>
      </c>
    </row>
    <row r="532" spans="1:5" ht="15.75" customHeight="1" x14ac:dyDescent="0.2">
      <c r="A532" s="1">
        <v>1026</v>
      </c>
      <c r="B532" s="1" t="s">
        <v>1679</v>
      </c>
      <c r="C532" s="1" t="s">
        <v>4256</v>
      </c>
      <c r="D532" s="1">
        <v>2</v>
      </c>
      <c r="E532" s="1" t="s">
        <v>4257</v>
      </c>
    </row>
    <row r="533" spans="1:5" ht="15.75" customHeight="1" x14ac:dyDescent="0.2">
      <c r="A533" s="1">
        <v>1657</v>
      </c>
      <c r="B533" s="1" t="s">
        <v>808</v>
      </c>
      <c r="C533" s="1" t="s">
        <v>4258</v>
      </c>
      <c r="D533" s="1">
        <v>2</v>
      </c>
      <c r="E533" s="1" t="s">
        <v>4259</v>
      </c>
    </row>
    <row r="534" spans="1:5" ht="15.75" customHeight="1" x14ac:dyDescent="0.2">
      <c r="A534" s="1">
        <v>66340</v>
      </c>
      <c r="B534" s="1" t="s">
        <v>4005</v>
      </c>
      <c r="C534" s="1" t="s">
        <v>4260</v>
      </c>
      <c r="D534" s="1">
        <v>2</v>
      </c>
      <c r="E534" s="1" t="s">
        <v>4261</v>
      </c>
    </row>
    <row r="535" spans="1:5" ht="15.75" customHeight="1" x14ac:dyDescent="0.2">
      <c r="A535" s="1">
        <v>21680</v>
      </c>
      <c r="B535" s="1" t="s">
        <v>172</v>
      </c>
      <c r="C535" s="1" t="s">
        <v>4262</v>
      </c>
      <c r="D535" s="1">
        <v>2</v>
      </c>
      <c r="E535" s="1" t="s">
        <v>4263</v>
      </c>
    </row>
    <row r="536" spans="1:5" ht="15.75" customHeight="1" x14ac:dyDescent="0.2">
      <c r="A536" s="1">
        <v>13392</v>
      </c>
      <c r="B536" s="1" t="s">
        <v>4264</v>
      </c>
      <c r="C536" s="1" t="s">
        <v>4265</v>
      </c>
      <c r="D536" s="1">
        <v>2</v>
      </c>
      <c r="E536" s="1" t="s">
        <v>4266</v>
      </c>
    </row>
    <row r="537" spans="1:5" ht="15.75" customHeight="1" x14ac:dyDescent="0.2">
      <c r="A537" s="1">
        <v>23459</v>
      </c>
      <c r="B537" s="1" t="s">
        <v>194</v>
      </c>
      <c r="C537" s="1" t="s">
        <v>4267</v>
      </c>
      <c r="D537" s="1">
        <v>2</v>
      </c>
      <c r="E537" s="1" t="s">
        <v>4268</v>
      </c>
    </row>
    <row r="538" spans="1:5" ht="15.75" customHeight="1" x14ac:dyDescent="0.2">
      <c r="A538" s="1">
        <v>62011</v>
      </c>
      <c r="B538" s="1" t="s">
        <v>90</v>
      </c>
      <c r="C538" s="1" t="s">
        <v>4269</v>
      </c>
      <c r="D538" s="1">
        <v>2</v>
      </c>
      <c r="E538" s="1" t="s">
        <v>4270</v>
      </c>
    </row>
    <row r="539" spans="1:5" ht="15.75" customHeight="1" x14ac:dyDescent="0.2">
      <c r="A539" s="1">
        <v>27915</v>
      </c>
      <c r="B539" s="1" t="s">
        <v>298</v>
      </c>
      <c r="C539" s="1" t="s">
        <v>4271</v>
      </c>
      <c r="D539" s="1">
        <v>2</v>
      </c>
      <c r="E539" s="1" t="s">
        <v>4272</v>
      </c>
    </row>
    <row r="540" spans="1:5" ht="15.75" customHeight="1" x14ac:dyDescent="0.2">
      <c r="A540" s="1">
        <v>45129</v>
      </c>
      <c r="B540" s="1" t="s">
        <v>1052</v>
      </c>
      <c r="C540" s="1" t="s">
        <v>4273</v>
      </c>
      <c r="D540" s="1">
        <v>2</v>
      </c>
      <c r="E540" s="1" t="s">
        <v>4274</v>
      </c>
    </row>
    <row r="541" spans="1:5" ht="15.75" customHeight="1" x14ac:dyDescent="0.2">
      <c r="A541" s="1">
        <v>30043</v>
      </c>
      <c r="B541" s="1" t="s">
        <v>430</v>
      </c>
      <c r="C541" s="1" t="s">
        <v>4275</v>
      </c>
      <c r="D541" s="1">
        <v>2</v>
      </c>
      <c r="E541" s="1" t="s">
        <v>4276</v>
      </c>
    </row>
    <row r="542" spans="1:5" ht="15.75" customHeight="1" x14ac:dyDescent="0.2">
      <c r="A542" s="1">
        <v>41094</v>
      </c>
      <c r="B542" s="1" t="s">
        <v>996</v>
      </c>
      <c r="C542" s="1" t="s">
        <v>4277</v>
      </c>
      <c r="D542" s="1">
        <v>2</v>
      </c>
      <c r="E542" s="1" t="s">
        <v>4278</v>
      </c>
    </row>
    <row r="543" spans="1:5" ht="15.75" customHeight="1" x14ac:dyDescent="0.2">
      <c r="A543" s="1">
        <v>46227</v>
      </c>
      <c r="B543" s="1" t="s">
        <v>153</v>
      </c>
      <c r="C543" s="1" t="s">
        <v>4279</v>
      </c>
      <c r="D543" s="1">
        <v>2</v>
      </c>
      <c r="E543" s="1" t="s">
        <v>4280</v>
      </c>
    </row>
    <row r="544" spans="1:5" ht="15.75" customHeight="1" x14ac:dyDescent="0.2">
      <c r="A544" s="1">
        <v>23088</v>
      </c>
      <c r="B544" s="1" t="s">
        <v>4281</v>
      </c>
      <c r="C544" s="1" t="s">
        <v>4282</v>
      </c>
      <c r="D544" s="1">
        <v>1</v>
      </c>
      <c r="E544" s="1" t="s">
        <v>4283</v>
      </c>
    </row>
    <row r="545" spans="1:5" ht="15.75" customHeight="1" x14ac:dyDescent="0.2">
      <c r="A545" s="1">
        <v>47651</v>
      </c>
      <c r="B545" s="1" t="s">
        <v>172</v>
      </c>
      <c r="C545" s="1" t="s">
        <v>4284</v>
      </c>
      <c r="D545" s="1">
        <v>2</v>
      </c>
      <c r="E545" s="1" t="s">
        <v>4285</v>
      </c>
    </row>
    <row r="546" spans="1:5" ht="15.75" customHeight="1" x14ac:dyDescent="0.2">
      <c r="A546" s="1">
        <v>34366</v>
      </c>
      <c r="B546" s="1" t="s">
        <v>1686</v>
      </c>
      <c r="C546" s="1" t="s">
        <v>4286</v>
      </c>
      <c r="D546" s="1">
        <v>1</v>
      </c>
      <c r="E546" s="1" t="s">
        <v>4287</v>
      </c>
    </row>
    <row r="547" spans="1:5" ht="15.75" customHeight="1" x14ac:dyDescent="0.2">
      <c r="A547" s="1">
        <v>9594</v>
      </c>
      <c r="B547" s="1" t="s">
        <v>103</v>
      </c>
      <c r="C547" s="1" t="s">
        <v>4288</v>
      </c>
      <c r="D547" s="1">
        <v>2</v>
      </c>
      <c r="E547" s="1" t="s">
        <v>4289</v>
      </c>
    </row>
    <row r="548" spans="1:5" ht="15.75" customHeight="1" x14ac:dyDescent="0.2">
      <c r="A548" s="1">
        <v>65372</v>
      </c>
      <c r="B548" s="1" t="s">
        <v>1299</v>
      </c>
      <c r="C548" s="1" t="s">
        <v>4290</v>
      </c>
      <c r="D548" s="1">
        <v>1</v>
      </c>
      <c r="E548" s="1" t="s">
        <v>4291</v>
      </c>
    </row>
    <row r="549" spans="1:5" ht="15.75" customHeight="1" x14ac:dyDescent="0.2">
      <c r="A549" s="1">
        <v>5948</v>
      </c>
      <c r="B549" s="1" t="s">
        <v>276</v>
      </c>
      <c r="C549" s="1" t="s">
        <v>4292</v>
      </c>
      <c r="D549" s="1">
        <v>1</v>
      </c>
      <c r="E549" s="1" t="s">
        <v>4293</v>
      </c>
    </row>
    <row r="550" spans="1:5" ht="15.75" customHeight="1" x14ac:dyDescent="0.2">
      <c r="A550" s="1">
        <v>52554</v>
      </c>
      <c r="B550" s="1" t="s">
        <v>14</v>
      </c>
      <c r="C550" s="1" t="s">
        <v>4294</v>
      </c>
      <c r="D550" s="1">
        <v>1</v>
      </c>
      <c r="E550" s="1" t="s">
        <v>4295</v>
      </c>
    </row>
    <row r="551" spans="1:5" ht="15.75" customHeight="1" x14ac:dyDescent="0.2">
      <c r="A551" s="1">
        <v>27053</v>
      </c>
      <c r="B551" s="1" t="s">
        <v>1657</v>
      </c>
      <c r="C551" s="1" t="s">
        <v>4296</v>
      </c>
      <c r="D551" s="1">
        <v>1</v>
      </c>
      <c r="E551" s="1" t="s">
        <v>4297</v>
      </c>
    </row>
    <row r="552" spans="1:5" ht="15.75" customHeight="1" x14ac:dyDescent="0.2">
      <c r="A552" s="1">
        <v>7388</v>
      </c>
      <c r="B552" s="1" t="s">
        <v>32</v>
      </c>
      <c r="C552" s="1" t="s">
        <v>4298</v>
      </c>
      <c r="D552" s="1">
        <v>2</v>
      </c>
      <c r="E552" s="1" t="s">
        <v>4299</v>
      </c>
    </row>
    <row r="553" spans="1:5" ht="15.75" customHeight="1" x14ac:dyDescent="0.2">
      <c r="A553" s="1">
        <v>46562</v>
      </c>
      <c r="B553" s="1" t="s">
        <v>1001</v>
      </c>
      <c r="C553" s="1" t="s">
        <v>4300</v>
      </c>
      <c r="D553" s="1">
        <v>1</v>
      </c>
      <c r="E553" s="1" t="s">
        <v>4301</v>
      </c>
    </row>
    <row r="554" spans="1:5" ht="15.75" customHeight="1" x14ac:dyDescent="0.2">
      <c r="A554" s="1">
        <v>61863</v>
      </c>
      <c r="B554" s="1" t="s">
        <v>986</v>
      </c>
      <c r="C554" s="1" t="s">
        <v>4302</v>
      </c>
      <c r="D554" s="1">
        <v>2</v>
      </c>
      <c r="E554" s="1" t="s">
        <v>4303</v>
      </c>
    </row>
    <row r="555" spans="1:5" ht="15.75" customHeight="1" x14ac:dyDescent="0.2">
      <c r="A555" s="1">
        <v>57027</v>
      </c>
      <c r="B555" s="1" t="s">
        <v>2884</v>
      </c>
      <c r="C555" s="1" t="s">
        <v>4304</v>
      </c>
      <c r="D555" s="1">
        <v>2</v>
      </c>
      <c r="E555" s="1" t="s">
        <v>4305</v>
      </c>
    </row>
    <row r="556" spans="1:5" ht="15.75" customHeight="1" x14ac:dyDescent="0.2">
      <c r="A556" s="1">
        <v>36725</v>
      </c>
      <c r="B556" s="1" t="s">
        <v>23</v>
      </c>
      <c r="C556" s="1" t="s">
        <v>4306</v>
      </c>
      <c r="D556" s="1">
        <v>2</v>
      </c>
      <c r="E556" s="1" t="s">
        <v>4307</v>
      </c>
    </row>
    <row r="557" spans="1:5" ht="15.75" customHeight="1" x14ac:dyDescent="0.2">
      <c r="A557" s="1">
        <v>36803</v>
      </c>
      <c r="B557" s="1" t="s">
        <v>4308</v>
      </c>
      <c r="C557" s="1" t="s">
        <v>4309</v>
      </c>
      <c r="D557" s="1">
        <v>2</v>
      </c>
      <c r="E557" s="1" t="s">
        <v>4310</v>
      </c>
    </row>
    <row r="558" spans="1:5" ht="15.75" customHeight="1" x14ac:dyDescent="0.2">
      <c r="A558" s="1">
        <v>8133</v>
      </c>
      <c r="B558" s="1" t="s">
        <v>87</v>
      </c>
      <c r="C558" s="1" t="s">
        <v>4311</v>
      </c>
      <c r="D558" s="1">
        <v>1</v>
      </c>
      <c r="E558" s="1" t="s">
        <v>4312</v>
      </c>
    </row>
    <row r="559" spans="1:5" ht="15.75" customHeight="1" x14ac:dyDescent="0.2">
      <c r="A559" s="1">
        <v>1751</v>
      </c>
      <c r="B559" s="1" t="s">
        <v>457</v>
      </c>
      <c r="C559" s="1" t="s">
        <v>4313</v>
      </c>
      <c r="D559" s="1">
        <v>2</v>
      </c>
      <c r="E559" s="1" t="s">
        <v>4314</v>
      </c>
    </row>
    <row r="560" spans="1:5" ht="15.75" customHeight="1" x14ac:dyDescent="0.2">
      <c r="A560" s="1">
        <v>2482</v>
      </c>
      <c r="B560" s="1" t="s">
        <v>354</v>
      </c>
      <c r="C560" s="1" t="s">
        <v>4315</v>
      </c>
      <c r="D560" s="1">
        <v>2</v>
      </c>
      <c r="E560" s="1" t="s">
        <v>4316</v>
      </c>
    </row>
    <row r="561" spans="1:5" ht="15.75" customHeight="1" x14ac:dyDescent="0.2">
      <c r="A561" s="1">
        <v>49431</v>
      </c>
      <c r="B561" s="1" t="s">
        <v>32</v>
      </c>
      <c r="C561" s="1" t="s">
        <v>4317</v>
      </c>
      <c r="D561" s="1">
        <v>2</v>
      </c>
      <c r="E561" s="1" t="s">
        <v>4318</v>
      </c>
    </row>
    <row r="562" spans="1:5" ht="15.75" customHeight="1" x14ac:dyDescent="0.2">
      <c r="A562" s="1">
        <v>55415</v>
      </c>
      <c r="B562" s="1" t="s">
        <v>4319</v>
      </c>
      <c r="C562" s="1" t="s">
        <v>4320</v>
      </c>
      <c r="D562" s="1">
        <v>2</v>
      </c>
      <c r="E562" s="1" t="s">
        <v>4321</v>
      </c>
    </row>
    <row r="563" spans="1:5" ht="15.75" customHeight="1" x14ac:dyDescent="0.2">
      <c r="A563" s="1">
        <v>70226</v>
      </c>
      <c r="B563" s="1" t="s">
        <v>4322</v>
      </c>
      <c r="C563" s="1" t="s">
        <v>4323</v>
      </c>
      <c r="D563" s="1">
        <v>2</v>
      </c>
      <c r="E563" s="1" t="s">
        <v>4324</v>
      </c>
    </row>
    <row r="564" spans="1:5" ht="15.75" customHeight="1" x14ac:dyDescent="0.2">
      <c r="A564" s="1">
        <v>50672</v>
      </c>
      <c r="B564" s="1" t="s">
        <v>32</v>
      </c>
      <c r="C564" s="1" t="s">
        <v>4325</v>
      </c>
      <c r="D564" s="1">
        <v>1</v>
      </c>
      <c r="E564" s="1" t="s">
        <v>4326</v>
      </c>
    </row>
    <row r="565" spans="1:5" ht="15.75" customHeight="1" x14ac:dyDescent="0.2">
      <c r="A565" s="1">
        <v>36341</v>
      </c>
      <c r="B565" s="1" t="s">
        <v>4327</v>
      </c>
      <c r="C565" s="1" t="s">
        <v>4328</v>
      </c>
      <c r="D565" s="1">
        <v>2</v>
      </c>
      <c r="E565" s="1" t="s">
        <v>4329</v>
      </c>
    </row>
    <row r="566" spans="1:5" ht="15.75" customHeight="1" x14ac:dyDescent="0.2">
      <c r="A566" s="1">
        <v>48875</v>
      </c>
      <c r="B566" s="1" t="s">
        <v>394</v>
      </c>
      <c r="C566" s="1" t="s">
        <v>4330</v>
      </c>
      <c r="D566" s="1">
        <v>1</v>
      </c>
      <c r="E566" s="1" t="s">
        <v>4331</v>
      </c>
    </row>
    <row r="567" spans="1:5" ht="15.75" customHeight="1" x14ac:dyDescent="0.2">
      <c r="A567" s="1">
        <v>49136</v>
      </c>
      <c r="B567" s="1" t="s">
        <v>920</v>
      </c>
      <c r="C567" s="1" t="s">
        <v>4332</v>
      </c>
      <c r="D567" s="1">
        <v>1</v>
      </c>
      <c r="E567" s="1" t="s">
        <v>4333</v>
      </c>
    </row>
    <row r="568" spans="1:5" ht="15.75" customHeight="1" x14ac:dyDescent="0.2">
      <c r="A568" s="1">
        <v>35127</v>
      </c>
      <c r="B568" s="1" t="s">
        <v>3059</v>
      </c>
      <c r="C568" s="1" t="s">
        <v>4334</v>
      </c>
      <c r="D568" s="1">
        <v>2</v>
      </c>
      <c r="E568" s="1" t="s">
        <v>4335</v>
      </c>
    </row>
    <row r="569" spans="1:5" ht="15.75" customHeight="1" x14ac:dyDescent="0.2">
      <c r="A569" s="1">
        <v>11279</v>
      </c>
      <c r="B569" s="1" t="s">
        <v>466</v>
      </c>
      <c r="C569" s="1" t="s">
        <v>4336</v>
      </c>
      <c r="D569" s="1">
        <v>2</v>
      </c>
      <c r="E569" s="1" t="s">
        <v>4337</v>
      </c>
    </row>
    <row r="570" spans="1:5" ht="15.75" customHeight="1" x14ac:dyDescent="0.2">
      <c r="A570" s="1">
        <v>17488</v>
      </c>
      <c r="B570" s="1" t="s">
        <v>1037</v>
      </c>
      <c r="C570" s="1" t="s">
        <v>4338</v>
      </c>
      <c r="D570" s="1">
        <v>2</v>
      </c>
      <c r="E570" s="1" t="s">
        <v>4339</v>
      </c>
    </row>
    <row r="571" spans="1:5" ht="15.75" customHeight="1" x14ac:dyDescent="0.2">
      <c r="A571" s="1">
        <v>17035</v>
      </c>
      <c r="B571" s="1" t="s">
        <v>298</v>
      </c>
      <c r="C571" s="1" t="s">
        <v>4340</v>
      </c>
      <c r="D571" s="1">
        <v>2</v>
      </c>
      <c r="E571" s="1" t="s">
        <v>4341</v>
      </c>
    </row>
    <row r="572" spans="1:5" ht="15.75" customHeight="1" x14ac:dyDescent="0.2">
      <c r="A572" s="1">
        <v>47000</v>
      </c>
      <c r="B572" s="1" t="s">
        <v>1679</v>
      </c>
      <c r="C572" s="1" t="s">
        <v>4342</v>
      </c>
      <c r="D572" s="1">
        <v>2</v>
      </c>
      <c r="E572" s="1" t="s">
        <v>4343</v>
      </c>
    </row>
    <row r="573" spans="1:5" ht="15.75" customHeight="1" x14ac:dyDescent="0.2">
      <c r="A573" s="1">
        <v>36038</v>
      </c>
      <c r="B573" s="1" t="s">
        <v>723</v>
      </c>
      <c r="C573" s="1" t="s">
        <v>4344</v>
      </c>
      <c r="D573" s="1">
        <v>2</v>
      </c>
      <c r="E573" s="1" t="s">
        <v>4345</v>
      </c>
    </row>
    <row r="574" spans="1:5" ht="15.75" customHeight="1" x14ac:dyDescent="0.2">
      <c r="A574" s="1">
        <v>58251</v>
      </c>
      <c r="B574" s="1" t="s">
        <v>3070</v>
      </c>
      <c r="C574" s="1" t="s">
        <v>4346</v>
      </c>
      <c r="D574" s="1">
        <v>2</v>
      </c>
      <c r="E574" s="1" t="s">
        <v>4347</v>
      </c>
    </row>
    <row r="575" spans="1:5" ht="15.75" customHeight="1" x14ac:dyDescent="0.2">
      <c r="A575" s="1">
        <v>69360</v>
      </c>
      <c r="B575" s="1" t="s">
        <v>3835</v>
      </c>
      <c r="C575" s="1" t="s">
        <v>4348</v>
      </c>
      <c r="D575" s="1">
        <v>2</v>
      </c>
      <c r="E575" s="1" t="s">
        <v>4349</v>
      </c>
    </row>
    <row r="576" spans="1:5" ht="15.75" customHeight="1" x14ac:dyDescent="0.2">
      <c r="A576" s="1">
        <v>5786</v>
      </c>
      <c r="B576" s="1" t="s">
        <v>2345</v>
      </c>
      <c r="C576" s="1" t="s">
        <v>4350</v>
      </c>
      <c r="D576" s="1">
        <v>1</v>
      </c>
      <c r="E576" s="1" t="s">
        <v>4351</v>
      </c>
    </row>
    <row r="577" spans="1:5" ht="15.75" customHeight="1" x14ac:dyDescent="0.2">
      <c r="A577" s="1">
        <v>57680</v>
      </c>
      <c r="B577" s="1" t="s">
        <v>38</v>
      </c>
      <c r="C577" s="1" t="s">
        <v>4352</v>
      </c>
      <c r="D577" s="1">
        <v>2</v>
      </c>
      <c r="E577" s="1" t="s">
        <v>4353</v>
      </c>
    </row>
    <row r="578" spans="1:5" ht="15.75" customHeight="1" x14ac:dyDescent="0.2">
      <c r="A578" s="1">
        <v>47915</v>
      </c>
      <c r="B578" s="1" t="s">
        <v>2777</v>
      </c>
      <c r="C578" s="1" t="s">
        <v>4354</v>
      </c>
      <c r="D578" s="1">
        <v>1</v>
      </c>
      <c r="E578" s="1" t="s">
        <v>4355</v>
      </c>
    </row>
    <row r="579" spans="1:5" ht="15.75" customHeight="1" x14ac:dyDescent="0.2">
      <c r="A579" s="1">
        <v>4499</v>
      </c>
      <c r="B579" s="1" t="s">
        <v>562</v>
      </c>
      <c r="C579" s="1" t="s">
        <v>4356</v>
      </c>
      <c r="D579" s="1">
        <v>2</v>
      </c>
      <c r="E579" s="1" t="s">
        <v>4357</v>
      </c>
    </row>
    <row r="580" spans="1:5" ht="15.75" customHeight="1" x14ac:dyDescent="0.2">
      <c r="A580" s="1">
        <v>1818</v>
      </c>
      <c r="B580" s="1" t="s">
        <v>2198</v>
      </c>
      <c r="C580" s="1" t="s">
        <v>4358</v>
      </c>
      <c r="D580" s="1">
        <v>2</v>
      </c>
      <c r="E580" s="1" t="s">
        <v>4359</v>
      </c>
    </row>
    <row r="581" spans="1:5" ht="15.75" customHeight="1" x14ac:dyDescent="0.2">
      <c r="A581" s="1">
        <v>59373</v>
      </c>
      <c r="B581" s="1" t="s">
        <v>385</v>
      </c>
      <c r="C581" s="1" t="s">
        <v>4360</v>
      </c>
      <c r="D581" s="1">
        <v>2</v>
      </c>
      <c r="E581" s="1" t="s">
        <v>4361</v>
      </c>
    </row>
    <row r="582" spans="1:5" ht="15.75" customHeight="1" x14ac:dyDescent="0.2">
      <c r="A582" s="1">
        <v>33727</v>
      </c>
      <c r="B582" s="1" t="s">
        <v>282</v>
      </c>
      <c r="C582" s="1" t="s">
        <v>4362</v>
      </c>
      <c r="D582" s="1">
        <v>2</v>
      </c>
      <c r="E582" s="1" t="s">
        <v>4363</v>
      </c>
    </row>
    <row r="583" spans="1:5" ht="15.75" customHeight="1" x14ac:dyDescent="0.2">
      <c r="A583" s="1">
        <v>25040</v>
      </c>
      <c r="B583" s="1" t="s">
        <v>333</v>
      </c>
      <c r="C583" s="1" t="s">
        <v>4364</v>
      </c>
      <c r="D583" s="1">
        <v>2</v>
      </c>
      <c r="E583" s="1" t="s">
        <v>4365</v>
      </c>
    </row>
    <row r="584" spans="1:5" ht="15.75" customHeight="1" x14ac:dyDescent="0.2">
      <c r="A584" s="1">
        <v>16533</v>
      </c>
      <c r="B584" s="1" t="s">
        <v>268</v>
      </c>
      <c r="C584" s="1" t="s">
        <v>4366</v>
      </c>
      <c r="D584" s="1">
        <v>2</v>
      </c>
      <c r="E584" s="1" t="s">
        <v>4367</v>
      </c>
    </row>
    <row r="585" spans="1:5" ht="15.75" customHeight="1" x14ac:dyDescent="0.2">
      <c r="A585" s="1">
        <v>12534</v>
      </c>
      <c r="B585" s="1" t="s">
        <v>276</v>
      </c>
      <c r="C585" s="1" t="s">
        <v>4368</v>
      </c>
      <c r="D585" s="1">
        <v>1</v>
      </c>
      <c r="E585" s="1" t="s">
        <v>4369</v>
      </c>
    </row>
    <row r="586" spans="1:5" ht="15.75" customHeight="1" x14ac:dyDescent="0.2">
      <c r="A586" s="1">
        <v>41606</v>
      </c>
      <c r="B586" s="1" t="s">
        <v>159</v>
      </c>
      <c r="C586" s="1" t="s">
        <v>4370</v>
      </c>
      <c r="D586" s="1">
        <v>2</v>
      </c>
      <c r="E586" s="1" t="s">
        <v>4371</v>
      </c>
    </row>
    <row r="587" spans="1:5" ht="15.75" customHeight="1" x14ac:dyDescent="0.2">
      <c r="A587" s="1">
        <v>61949</v>
      </c>
      <c r="B587" s="1" t="s">
        <v>3685</v>
      </c>
      <c r="C587" s="1" t="s">
        <v>4372</v>
      </c>
      <c r="D587" s="1">
        <v>2</v>
      </c>
      <c r="E587" s="1" t="s">
        <v>4373</v>
      </c>
    </row>
    <row r="588" spans="1:5" ht="15.75" customHeight="1" x14ac:dyDescent="0.2">
      <c r="A588" s="1">
        <v>23435</v>
      </c>
      <c r="B588" s="1" t="s">
        <v>552</v>
      </c>
      <c r="C588" s="1" t="s">
        <v>4374</v>
      </c>
      <c r="D588" s="1">
        <v>1</v>
      </c>
      <c r="E588" s="1" t="s">
        <v>4375</v>
      </c>
    </row>
    <row r="589" spans="1:5" ht="15.75" customHeight="1" x14ac:dyDescent="0.2">
      <c r="A589" s="1">
        <v>40382</v>
      </c>
      <c r="B589" s="1" t="s">
        <v>430</v>
      </c>
      <c r="C589" s="1" t="s">
        <v>4376</v>
      </c>
      <c r="D589" s="1">
        <v>2</v>
      </c>
      <c r="E589" s="1" t="s">
        <v>4377</v>
      </c>
    </row>
    <row r="590" spans="1:5" ht="15.75" customHeight="1" x14ac:dyDescent="0.2">
      <c r="A590" s="1">
        <v>10297</v>
      </c>
      <c r="B590" s="1" t="s">
        <v>11</v>
      </c>
      <c r="C590" s="1" t="s">
        <v>4378</v>
      </c>
      <c r="D590" s="1">
        <v>2</v>
      </c>
      <c r="E590" s="1" t="s">
        <v>4379</v>
      </c>
    </row>
    <row r="591" spans="1:5" ht="15.75" customHeight="1" x14ac:dyDescent="0.2">
      <c r="A591" s="1">
        <v>67437</v>
      </c>
      <c r="B591" s="1" t="s">
        <v>172</v>
      </c>
      <c r="C591" s="1" t="s">
        <v>4380</v>
      </c>
      <c r="D591" s="1">
        <v>2</v>
      </c>
      <c r="E591" s="1" t="s">
        <v>4381</v>
      </c>
    </row>
    <row r="592" spans="1:5" ht="15.75" customHeight="1" x14ac:dyDescent="0.2">
      <c r="A592" s="1">
        <v>48247</v>
      </c>
      <c r="B592" s="1" t="s">
        <v>129</v>
      </c>
      <c r="C592" s="1" t="s">
        <v>4382</v>
      </c>
      <c r="D592" s="1">
        <v>1</v>
      </c>
      <c r="E592" s="1" t="s">
        <v>4383</v>
      </c>
    </row>
    <row r="593" spans="1:5" ht="15.75" customHeight="1" x14ac:dyDescent="0.2">
      <c r="A593" s="1">
        <v>7352</v>
      </c>
      <c r="B593" s="1" t="s">
        <v>32</v>
      </c>
      <c r="C593" s="1" t="s">
        <v>4384</v>
      </c>
      <c r="D593" s="1">
        <v>1</v>
      </c>
      <c r="E593" s="1" t="s">
        <v>4385</v>
      </c>
    </row>
    <row r="594" spans="1:5" ht="15.75" customHeight="1" x14ac:dyDescent="0.2">
      <c r="A594" s="1">
        <v>63887</v>
      </c>
      <c r="B594" s="1" t="s">
        <v>185</v>
      </c>
      <c r="C594" s="1" t="s">
        <v>4386</v>
      </c>
      <c r="D594" s="1">
        <v>2</v>
      </c>
      <c r="E594" s="1" t="s">
        <v>4387</v>
      </c>
    </row>
    <row r="595" spans="1:5" ht="15.75" customHeight="1" x14ac:dyDescent="0.2">
      <c r="A595" s="1">
        <v>53958</v>
      </c>
      <c r="B595" s="1" t="s">
        <v>210</v>
      </c>
      <c r="C595" s="1" t="s">
        <v>4388</v>
      </c>
      <c r="D595" s="1">
        <v>2</v>
      </c>
      <c r="E595" s="1" t="s">
        <v>4389</v>
      </c>
    </row>
    <row r="596" spans="1:5" ht="15.75" customHeight="1" x14ac:dyDescent="0.2">
      <c r="A596" s="1">
        <v>54564</v>
      </c>
      <c r="B596" s="1" t="s">
        <v>2321</v>
      </c>
      <c r="C596" s="1" t="s">
        <v>4390</v>
      </c>
      <c r="D596" s="1">
        <v>2</v>
      </c>
      <c r="E596" s="1" t="s">
        <v>4391</v>
      </c>
    </row>
    <row r="597" spans="1:5" ht="15.75" customHeight="1" x14ac:dyDescent="0.2">
      <c r="A597" s="1">
        <v>19873</v>
      </c>
      <c r="B597" s="1" t="s">
        <v>254</v>
      </c>
      <c r="C597" s="1" t="s">
        <v>4392</v>
      </c>
      <c r="D597" s="1">
        <v>2</v>
      </c>
      <c r="E597" s="1" t="s">
        <v>4393</v>
      </c>
    </row>
    <row r="598" spans="1:5" ht="15.75" customHeight="1" x14ac:dyDescent="0.2">
      <c r="A598" s="1">
        <v>33238</v>
      </c>
      <c r="B598" s="1" t="s">
        <v>1672</v>
      </c>
      <c r="C598" s="1" t="s">
        <v>4394</v>
      </c>
      <c r="D598" s="1">
        <v>2</v>
      </c>
      <c r="E598" s="1" t="s">
        <v>4395</v>
      </c>
    </row>
    <row r="599" spans="1:5" ht="15.75" customHeight="1" x14ac:dyDescent="0.2">
      <c r="A599" s="1">
        <v>61903</v>
      </c>
      <c r="B599" s="1" t="s">
        <v>4396</v>
      </c>
      <c r="C599" s="1" t="s">
        <v>4397</v>
      </c>
      <c r="D599" s="1">
        <v>2</v>
      </c>
      <c r="E599" s="1" t="s">
        <v>4398</v>
      </c>
    </row>
    <row r="600" spans="1:5" ht="15.75" customHeight="1" x14ac:dyDescent="0.2">
      <c r="A600" s="1">
        <v>27434</v>
      </c>
      <c r="B600" s="1" t="s">
        <v>1167</v>
      </c>
      <c r="C600" s="1" t="s">
        <v>4399</v>
      </c>
      <c r="D600" s="1">
        <v>2</v>
      </c>
      <c r="E600" s="1" t="s">
        <v>4400</v>
      </c>
    </row>
    <row r="601" spans="1:5" ht="15.75" customHeight="1" x14ac:dyDescent="0.2">
      <c r="A601" s="1">
        <v>51479</v>
      </c>
      <c r="B601" s="1" t="s">
        <v>326</v>
      </c>
      <c r="C601" s="1" t="s">
        <v>4401</v>
      </c>
      <c r="D601" s="1">
        <v>1</v>
      </c>
      <c r="E601" s="1" t="s">
        <v>4402</v>
      </c>
    </row>
    <row r="602" spans="1:5" ht="15.75" customHeight="1" x14ac:dyDescent="0.2">
      <c r="A602" s="1">
        <v>41257</v>
      </c>
      <c r="B602" s="1" t="s">
        <v>4403</v>
      </c>
      <c r="C602" s="1" t="s">
        <v>4404</v>
      </c>
      <c r="D602" s="1">
        <v>2</v>
      </c>
      <c r="E602" s="1" t="s">
        <v>4405</v>
      </c>
    </row>
    <row r="603" spans="1:5" ht="15.75" customHeight="1" x14ac:dyDescent="0.2">
      <c r="A603" s="1">
        <v>67893</v>
      </c>
      <c r="B603" s="1" t="s">
        <v>180</v>
      </c>
      <c r="C603" s="1" t="s">
        <v>4406</v>
      </c>
      <c r="D603" s="1">
        <v>2</v>
      </c>
      <c r="E603" s="1" t="s">
        <v>4407</v>
      </c>
    </row>
    <row r="604" spans="1:5" ht="15.75" customHeight="1" x14ac:dyDescent="0.2">
      <c r="A604" s="1">
        <v>536</v>
      </c>
      <c r="B604" s="1" t="s">
        <v>3059</v>
      </c>
      <c r="C604" s="1" t="s">
        <v>4408</v>
      </c>
      <c r="D604" s="1">
        <v>2</v>
      </c>
      <c r="E604" s="1" t="s">
        <v>4409</v>
      </c>
    </row>
    <row r="605" spans="1:5" ht="15.75" customHeight="1" x14ac:dyDescent="0.2">
      <c r="A605" s="1">
        <v>30317</v>
      </c>
      <c r="B605" s="1" t="s">
        <v>172</v>
      </c>
      <c r="C605" s="1" t="s">
        <v>4410</v>
      </c>
      <c r="D605" s="1">
        <v>2</v>
      </c>
      <c r="E605" s="1" t="s">
        <v>4411</v>
      </c>
    </row>
    <row r="606" spans="1:5" ht="15.75" customHeight="1" x14ac:dyDescent="0.2">
      <c r="A606" s="1">
        <v>60949</v>
      </c>
      <c r="B606" s="1" t="s">
        <v>167</v>
      </c>
      <c r="C606" s="1" t="s">
        <v>4412</v>
      </c>
      <c r="D606" s="1">
        <v>2</v>
      </c>
      <c r="E606" s="1" t="s">
        <v>4413</v>
      </c>
    </row>
    <row r="607" spans="1:5" ht="15.75" customHeight="1" x14ac:dyDescent="0.2">
      <c r="A607" s="1">
        <v>62279</v>
      </c>
      <c r="B607" s="1" t="s">
        <v>597</v>
      </c>
      <c r="C607" s="1" t="s">
        <v>4414</v>
      </c>
      <c r="D607" s="1">
        <v>1</v>
      </c>
      <c r="E607" s="1" t="s">
        <v>4415</v>
      </c>
    </row>
    <row r="608" spans="1:5" ht="15.75" customHeight="1" x14ac:dyDescent="0.2">
      <c r="A608" s="1">
        <v>28280</v>
      </c>
      <c r="B608" s="1" t="s">
        <v>41</v>
      </c>
      <c r="C608" s="1" t="s">
        <v>4416</v>
      </c>
      <c r="D608" s="1">
        <v>2</v>
      </c>
      <c r="E608" s="1" t="s">
        <v>4417</v>
      </c>
    </row>
    <row r="609" spans="1:5" ht="15.75" customHeight="1" x14ac:dyDescent="0.2">
      <c r="A609" s="1">
        <v>39693</v>
      </c>
      <c r="B609" s="1" t="s">
        <v>32</v>
      </c>
      <c r="C609" s="1" t="s">
        <v>4418</v>
      </c>
      <c r="D609" s="1">
        <v>1</v>
      </c>
      <c r="E609" s="1" t="s">
        <v>4419</v>
      </c>
    </row>
    <row r="610" spans="1:5" ht="15.75" customHeight="1" x14ac:dyDescent="0.2">
      <c r="A610" s="1">
        <v>53247</v>
      </c>
      <c r="B610" s="1" t="s">
        <v>385</v>
      </c>
      <c r="C610" s="1" t="s">
        <v>4420</v>
      </c>
      <c r="D610" s="1">
        <v>2</v>
      </c>
      <c r="E610" s="1" t="s">
        <v>4421</v>
      </c>
    </row>
    <row r="611" spans="1:5" ht="15.75" customHeight="1" x14ac:dyDescent="0.2">
      <c r="A611" s="1">
        <v>26371</v>
      </c>
      <c r="B611" s="1" t="s">
        <v>4403</v>
      </c>
      <c r="C611" s="1" t="s">
        <v>4422</v>
      </c>
      <c r="D611" s="1">
        <v>2</v>
      </c>
      <c r="E611" s="1" t="s">
        <v>4423</v>
      </c>
    </row>
    <row r="612" spans="1:5" ht="15.75" customHeight="1" x14ac:dyDescent="0.2">
      <c r="A612" s="1">
        <v>4796</v>
      </c>
      <c r="B612" s="1" t="s">
        <v>4424</v>
      </c>
      <c r="C612" s="1" t="s">
        <v>4425</v>
      </c>
      <c r="D612" s="1">
        <v>1</v>
      </c>
      <c r="E612" s="1" t="s">
        <v>4426</v>
      </c>
    </row>
    <row r="613" spans="1:5" ht="15.75" customHeight="1" x14ac:dyDescent="0.2">
      <c r="A613" s="1">
        <v>22065</v>
      </c>
      <c r="B613" s="1" t="s">
        <v>4427</v>
      </c>
      <c r="C613" s="1" t="s">
        <v>4428</v>
      </c>
      <c r="D613" s="1">
        <v>2</v>
      </c>
      <c r="E613" s="1" t="s">
        <v>4429</v>
      </c>
    </row>
    <row r="614" spans="1:5" ht="15.75" customHeight="1" x14ac:dyDescent="0.2">
      <c r="A614" s="1">
        <v>39710</v>
      </c>
      <c r="B614" s="1" t="s">
        <v>996</v>
      </c>
      <c r="C614" s="1" t="s">
        <v>4430</v>
      </c>
      <c r="D614" s="1">
        <v>2</v>
      </c>
      <c r="E614" s="1" t="s">
        <v>4431</v>
      </c>
    </row>
    <row r="615" spans="1:5" ht="15.75" customHeight="1" x14ac:dyDescent="0.2">
      <c r="A615" s="1">
        <v>20683</v>
      </c>
      <c r="B615" s="1" t="s">
        <v>4432</v>
      </c>
      <c r="C615" s="1" t="s">
        <v>4433</v>
      </c>
      <c r="D615" s="1">
        <v>1</v>
      </c>
      <c r="E615" s="1" t="s">
        <v>4434</v>
      </c>
    </row>
    <row r="616" spans="1:5" ht="15.75" customHeight="1" x14ac:dyDescent="0.2">
      <c r="A616" s="1">
        <v>35546</v>
      </c>
      <c r="B616" s="1" t="s">
        <v>144</v>
      </c>
      <c r="C616" s="1" t="s">
        <v>4435</v>
      </c>
      <c r="D616" s="1">
        <v>2</v>
      </c>
      <c r="E616" s="1" t="s">
        <v>4436</v>
      </c>
    </row>
    <row r="617" spans="1:5" ht="15.75" customHeight="1" x14ac:dyDescent="0.2">
      <c r="A617" s="1">
        <v>3056</v>
      </c>
      <c r="B617" s="1" t="s">
        <v>268</v>
      </c>
      <c r="C617" s="1" t="s">
        <v>4437</v>
      </c>
      <c r="D617" s="1">
        <v>1</v>
      </c>
      <c r="E617" s="1" t="s">
        <v>4438</v>
      </c>
    </row>
    <row r="618" spans="1:5" ht="15.75" customHeight="1" x14ac:dyDescent="0.2">
      <c r="A618" s="1">
        <v>71787</v>
      </c>
      <c r="B618" s="1" t="s">
        <v>4439</v>
      </c>
      <c r="C618" s="1" t="s">
        <v>4440</v>
      </c>
      <c r="D618" s="1">
        <v>2</v>
      </c>
      <c r="E618" s="1" t="s">
        <v>4441</v>
      </c>
    </row>
    <row r="619" spans="1:5" ht="15.75" customHeight="1" x14ac:dyDescent="0.2">
      <c r="A619" s="1">
        <v>54186</v>
      </c>
      <c r="B619" s="1" t="s">
        <v>4442</v>
      </c>
      <c r="C619" s="1" t="s">
        <v>4443</v>
      </c>
      <c r="D619" s="1">
        <v>2</v>
      </c>
      <c r="E619" s="1" t="s">
        <v>4444</v>
      </c>
    </row>
    <row r="620" spans="1:5" ht="15.75" customHeight="1" x14ac:dyDescent="0.2">
      <c r="A620" s="1">
        <v>1142</v>
      </c>
      <c r="B620" s="1" t="s">
        <v>4445</v>
      </c>
      <c r="C620" s="1" t="s">
        <v>4446</v>
      </c>
      <c r="D620" s="1">
        <v>2</v>
      </c>
      <c r="E620" s="1" t="s">
        <v>4447</v>
      </c>
    </row>
    <row r="621" spans="1:5" ht="15.75" customHeight="1" x14ac:dyDescent="0.2">
      <c r="A621" s="1">
        <v>56746</v>
      </c>
      <c r="B621" s="1" t="s">
        <v>32</v>
      </c>
      <c r="C621" s="1" t="s">
        <v>4448</v>
      </c>
      <c r="D621" s="1">
        <v>2</v>
      </c>
      <c r="E621" s="1" t="s">
        <v>4449</v>
      </c>
    </row>
    <row r="622" spans="1:5" ht="15.75" customHeight="1" x14ac:dyDescent="0.2">
      <c r="A622" s="1">
        <v>35578</v>
      </c>
      <c r="B622" s="1" t="s">
        <v>244</v>
      </c>
      <c r="C622" s="1" t="s">
        <v>4450</v>
      </c>
      <c r="D622" s="1">
        <v>2</v>
      </c>
      <c r="E622" s="1" t="s">
        <v>4451</v>
      </c>
    </row>
    <row r="623" spans="1:5" ht="15.75" customHeight="1" x14ac:dyDescent="0.2">
      <c r="A623" s="1">
        <v>1987</v>
      </c>
      <c r="B623" s="1" t="s">
        <v>32</v>
      </c>
      <c r="C623" s="1" t="s">
        <v>4452</v>
      </c>
      <c r="D623" s="1">
        <v>2</v>
      </c>
      <c r="E623" s="1" t="s">
        <v>4453</v>
      </c>
    </row>
    <row r="624" spans="1:5" ht="15.75" customHeight="1" x14ac:dyDescent="0.2">
      <c r="A624" s="1">
        <v>9761</v>
      </c>
      <c r="B624" s="1" t="s">
        <v>4454</v>
      </c>
      <c r="C624" s="1" t="s">
        <v>4455</v>
      </c>
      <c r="D624" s="1">
        <v>2</v>
      </c>
      <c r="E624" s="1" t="s">
        <v>4456</v>
      </c>
    </row>
    <row r="625" spans="1:5" ht="15.75" customHeight="1" x14ac:dyDescent="0.2">
      <c r="A625" s="1">
        <v>22264</v>
      </c>
      <c r="B625" s="1" t="s">
        <v>808</v>
      </c>
      <c r="C625" s="1" t="s">
        <v>4457</v>
      </c>
      <c r="D625" s="1">
        <v>2</v>
      </c>
      <c r="E625" s="1" t="s">
        <v>4458</v>
      </c>
    </row>
    <row r="626" spans="1:5" ht="15.75" customHeight="1" x14ac:dyDescent="0.2">
      <c r="A626" s="1">
        <v>31016</v>
      </c>
      <c r="B626" s="1" t="s">
        <v>466</v>
      </c>
      <c r="C626" s="1" t="s">
        <v>4459</v>
      </c>
      <c r="D626" s="1">
        <v>2</v>
      </c>
      <c r="E626" s="1" t="s">
        <v>4460</v>
      </c>
    </row>
    <row r="627" spans="1:5" ht="15.75" customHeight="1" x14ac:dyDescent="0.2">
      <c r="A627" s="1">
        <v>64958</v>
      </c>
      <c r="B627" s="1" t="s">
        <v>254</v>
      </c>
      <c r="C627" s="1" t="s">
        <v>4461</v>
      </c>
      <c r="D627" s="1">
        <v>2</v>
      </c>
      <c r="E627" s="1" t="s">
        <v>4462</v>
      </c>
    </row>
    <row r="628" spans="1:5" ht="15.75" customHeight="1" x14ac:dyDescent="0.2">
      <c r="A628" s="1">
        <v>49632</v>
      </c>
      <c r="B628" s="1" t="s">
        <v>167</v>
      </c>
      <c r="C628" s="1" t="s">
        <v>4463</v>
      </c>
      <c r="D628" s="1">
        <v>1</v>
      </c>
      <c r="E628" s="1" t="s">
        <v>4464</v>
      </c>
    </row>
    <row r="629" spans="1:5" ht="15.75" customHeight="1" x14ac:dyDescent="0.2">
      <c r="A629" s="1">
        <v>55937</v>
      </c>
      <c r="B629" s="1" t="s">
        <v>191</v>
      </c>
      <c r="C629" s="1" t="s">
        <v>4465</v>
      </c>
      <c r="D629" s="1">
        <v>2</v>
      </c>
      <c r="E629" s="1" t="s">
        <v>4466</v>
      </c>
    </row>
    <row r="630" spans="1:5" ht="15.75" customHeight="1" x14ac:dyDescent="0.2">
      <c r="A630" s="1">
        <v>61167</v>
      </c>
      <c r="B630" s="1" t="s">
        <v>342</v>
      </c>
      <c r="C630" s="1" t="s">
        <v>4467</v>
      </c>
      <c r="D630" s="1">
        <v>2</v>
      </c>
      <c r="E630" s="1" t="s">
        <v>4468</v>
      </c>
    </row>
    <row r="631" spans="1:5" ht="15.75" customHeight="1" x14ac:dyDescent="0.2">
      <c r="A631" s="1">
        <v>67304</v>
      </c>
      <c r="B631" s="1" t="s">
        <v>1211</v>
      </c>
      <c r="C631" s="1" t="s">
        <v>4469</v>
      </c>
      <c r="D631" s="1">
        <v>1</v>
      </c>
      <c r="E631" s="1" t="s">
        <v>4470</v>
      </c>
    </row>
    <row r="632" spans="1:5" ht="15.75" customHeight="1" x14ac:dyDescent="0.2">
      <c r="A632" s="1">
        <v>18338</v>
      </c>
      <c r="B632" s="1" t="s">
        <v>1463</v>
      </c>
      <c r="C632" s="1" t="s">
        <v>4471</v>
      </c>
      <c r="D632" s="1">
        <v>2</v>
      </c>
      <c r="E632" s="1" t="s">
        <v>4472</v>
      </c>
    </row>
    <row r="633" spans="1:5" ht="15.75" customHeight="1" x14ac:dyDescent="0.2">
      <c r="A633" s="1">
        <v>58294</v>
      </c>
      <c r="B633" s="1" t="s">
        <v>1698</v>
      </c>
      <c r="C633" s="1" t="s">
        <v>4473</v>
      </c>
      <c r="D633" s="1">
        <v>2</v>
      </c>
      <c r="E633" s="1" t="s">
        <v>4474</v>
      </c>
    </row>
    <row r="634" spans="1:5" ht="15.75" customHeight="1" x14ac:dyDescent="0.2">
      <c r="A634" s="1">
        <v>1011</v>
      </c>
      <c r="B634" s="1" t="s">
        <v>4475</v>
      </c>
      <c r="C634" s="1" t="s">
        <v>4476</v>
      </c>
      <c r="D634" s="1">
        <v>2</v>
      </c>
      <c r="E634" s="1" t="s">
        <v>4477</v>
      </c>
    </row>
    <row r="635" spans="1:5" ht="15.75" customHeight="1" x14ac:dyDescent="0.2">
      <c r="A635" s="1">
        <v>19234</v>
      </c>
      <c r="B635" s="1" t="s">
        <v>333</v>
      </c>
      <c r="C635" s="1" t="s">
        <v>4478</v>
      </c>
      <c r="D635" s="1">
        <v>2</v>
      </c>
      <c r="E635" s="1" t="s">
        <v>4479</v>
      </c>
    </row>
    <row r="636" spans="1:5" ht="15.75" customHeight="1" x14ac:dyDescent="0.2">
      <c r="A636" s="1">
        <v>1069</v>
      </c>
      <c r="B636" s="1" t="s">
        <v>430</v>
      </c>
      <c r="C636" s="1" t="s">
        <v>4480</v>
      </c>
      <c r="D636" s="1">
        <v>2</v>
      </c>
      <c r="E636" s="1" t="s">
        <v>4481</v>
      </c>
    </row>
    <row r="637" spans="1:5" ht="15.75" customHeight="1" x14ac:dyDescent="0.2">
      <c r="A637" s="1">
        <v>10391</v>
      </c>
      <c r="B637" s="1" t="s">
        <v>153</v>
      </c>
      <c r="C637" s="1" t="s">
        <v>4482</v>
      </c>
      <c r="D637" s="1">
        <v>2</v>
      </c>
      <c r="E637" s="1" t="s">
        <v>4483</v>
      </c>
    </row>
    <row r="638" spans="1:5" ht="15.75" customHeight="1" x14ac:dyDescent="0.2">
      <c r="A638" s="1">
        <v>30225</v>
      </c>
      <c r="B638" s="1" t="s">
        <v>3277</v>
      </c>
      <c r="C638" s="1" t="s">
        <v>4484</v>
      </c>
      <c r="D638" s="1">
        <v>2</v>
      </c>
      <c r="E638" s="1" t="s">
        <v>4485</v>
      </c>
    </row>
    <row r="639" spans="1:5" ht="15.75" customHeight="1" x14ac:dyDescent="0.2">
      <c r="A639" s="1">
        <v>25939</v>
      </c>
      <c r="B639" s="1" t="s">
        <v>172</v>
      </c>
      <c r="C639" s="1" t="s">
        <v>4486</v>
      </c>
      <c r="D639" s="1">
        <v>2</v>
      </c>
      <c r="E639" s="1" t="s">
        <v>4487</v>
      </c>
    </row>
    <row r="640" spans="1:5" ht="15.75" customHeight="1" x14ac:dyDescent="0.2">
      <c r="A640" s="1">
        <v>823</v>
      </c>
      <c r="B640" s="1" t="s">
        <v>4211</v>
      </c>
      <c r="C640" s="1" t="s">
        <v>4488</v>
      </c>
      <c r="D640" s="1">
        <v>2</v>
      </c>
      <c r="E640" s="1" t="s">
        <v>4489</v>
      </c>
    </row>
    <row r="641" spans="1:5" ht="15.75" customHeight="1" x14ac:dyDescent="0.2">
      <c r="A641" s="1">
        <v>47575</v>
      </c>
      <c r="B641" s="1" t="s">
        <v>482</v>
      </c>
      <c r="C641" s="1" t="s">
        <v>4490</v>
      </c>
      <c r="D641" s="1">
        <v>2</v>
      </c>
      <c r="E641" s="1" t="s">
        <v>4491</v>
      </c>
    </row>
    <row r="642" spans="1:5" ht="15.75" customHeight="1" x14ac:dyDescent="0.2">
      <c r="A642" s="1">
        <v>63576</v>
      </c>
      <c r="B642" s="1" t="s">
        <v>1347</v>
      </c>
      <c r="C642" s="1" t="s">
        <v>4492</v>
      </c>
      <c r="D642" s="1">
        <v>1</v>
      </c>
      <c r="E642" s="1" t="s">
        <v>4493</v>
      </c>
    </row>
    <row r="643" spans="1:5" ht="15.75" customHeight="1" x14ac:dyDescent="0.2">
      <c r="A643" s="1">
        <v>877</v>
      </c>
      <c r="B643" s="1" t="s">
        <v>44</v>
      </c>
      <c r="C643" s="1" t="s">
        <v>4494</v>
      </c>
      <c r="D643" s="1">
        <v>2</v>
      </c>
      <c r="E643" s="1" t="s">
        <v>4495</v>
      </c>
    </row>
    <row r="644" spans="1:5" ht="15.75" customHeight="1" x14ac:dyDescent="0.2">
      <c r="A644" s="1">
        <v>31858</v>
      </c>
      <c r="B644" s="1" t="s">
        <v>4496</v>
      </c>
      <c r="C644" s="1" t="s">
        <v>4497</v>
      </c>
      <c r="D644" s="1">
        <v>2</v>
      </c>
      <c r="E644" s="1" t="s">
        <v>4498</v>
      </c>
    </row>
    <row r="645" spans="1:5" ht="15.75" customHeight="1" x14ac:dyDescent="0.2">
      <c r="A645" s="1">
        <v>30088</v>
      </c>
      <c r="B645" s="1" t="s">
        <v>336</v>
      </c>
      <c r="C645" s="1" t="s">
        <v>4499</v>
      </c>
      <c r="D645" s="1">
        <v>2</v>
      </c>
      <c r="E645" s="1" t="s">
        <v>4500</v>
      </c>
    </row>
    <row r="646" spans="1:5" ht="15.75" customHeight="1" x14ac:dyDescent="0.2">
      <c r="A646" s="1">
        <v>39564</v>
      </c>
      <c r="B646" s="1" t="s">
        <v>385</v>
      </c>
      <c r="C646" s="1" t="s">
        <v>4501</v>
      </c>
      <c r="D646" s="1">
        <v>2</v>
      </c>
      <c r="E646" s="1" t="s">
        <v>4502</v>
      </c>
    </row>
    <row r="647" spans="1:5" ht="15.75" customHeight="1" x14ac:dyDescent="0.2">
      <c r="A647" s="1">
        <v>13694</v>
      </c>
      <c r="B647" s="1" t="s">
        <v>23</v>
      </c>
      <c r="C647" s="1" t="s">
        <v>4503</v>
      </c>
      <c r="D647" s="1">
        <v>2</v>
      </c>
      <c r="E647" s="1" t="s">
        <v>4504</v>
      </c>
    </row>
    <row r="648" spans="1:5" ht="15.75" customHeight="1" x14ac:dyDescent="0.2">
      <c r="A648" s="1">
        <v>38258</v>
      </c>
      <c r="B648" s="1" t="s">
        <v>969</v>
      </c>
      <c r="C648" s="1" t="s">
        <v>4505</v>
      </c>
      <c r="D648" s="1">
        <v>2</v>
      </c>
      <c r="E648" s="1" t="s">
        <v>4506</v>
      </c>
    </row>
    <row r="649" spans="1:5" ht="15.75" customHeight="1" x14ac:dyDescent="0.2">
      <c r="A649" s="1">
        <v>9851</v>
      </c>
      <c r="B649" s="1" t="s">
        <v>172</v>
      </c>
      <c r="C649" s="1" t="s">
        <v>4507</v>
      </c>
      <c r="D649" s="1">
        <v>2</v>
      </c>
      <c r="E649" s="1" t="s">
        <v>4508</v>
      </c>
    </row>
    <row r="650" spans="1:5" ht="15.75" customHeight="1" x14ac:dyDescent="0.2">
      <c r="A650" s="1">
        <v>52082</v>
      </c>
      <c r="B650" s="1" t="s">
        <v>4027</v>
      </c>
      <c r="C650" s="1" t="s">
        <v>4509</v>
      </c>
      <c r="D650" s="1">
        <v>2</v>
      </c>
      <c r="E650" s="1" t="s">
        <v>4510</v>
      </c>
    </row>
    <row r="651" spans="1:5" ht="15.75" customHeight="1" x14ac:dyDescent="0.2">
      <c r="A651" s="1">
        <v>69685</v>
      </c>
      <c r="B651" s="1" t="s">
        <v>172</v>
      </c>
      <c r="C651" s="1" t="s">
        <v>4511</v>
      </c>
      <c r="D651" s="1">
        <v>2</v>
      </c>
      <c r="E651" s="1" t="s">
        <v>4512</v>
      </c>
    </row>
    <row r="652" spans="1:5" ht="15.75" customHeight="1" x14ac:dyDescent="0.2">
      <c r="A652" s="1">
        <v>55772</v>
      </c>
      <c r="B652" s="1" t="s">
        <v>4513</v>
      </c>
      <c r="C652" s="1" t="s">
        <v>4514</v>
      </c>
      <c r="D652" s="1">
        <v>2</v>
      </c>
      <c r="E652" s="1" t="s">
        <v>4515</v>
      </c>
    </row>
    <row r="653" spans="1:5" ht="15.75" customHeight="1" x14ac:dyDescent="0.2">
      <c r="A653" s="1">
        <v>69978</v>
      </c>
      <c r="B653" s="1" t="s">
        <v>939</v>
      </c>
      <c r="C653" s="1" t="s">
        <v>4516</v>
      </c>
      <c r="D653" s="1">
        <v>2</v>
      </c>
      <c r="E653" s="1" t="s">
        <v>4517</v>
      </c>
    </row>
    <row r="654" spans="1:5" ht="15.75" customHeight="1" x14ac:dyDescent="0.2">
      <c r="A654" s="1">
        <v>26038</v>
      </c>
      <c r="B654" s="1" t="s">
        <v>244</v>
      </c>
      <c r="C654" s="1" t="s">
        <v>4518</v>
      </c>
      <c r="D654" s="1">
        <v>2</v>
      </c>
      <c r="E654" s="1" t="s">
        <v>4519</v>
      </c>
    </row>
    <row r="655" spans="1:5" ht="15.75" customHeight="1" x14ac:dyDescent="0.2">
      <c r="A655" s="1">
        <v>33543</v>
      </c>
      <c r="B655" s="1" t="s">
        <v>485</v>
      </c>
      <c r="C655" s="1" t="s">
        <v>4520</v>
      </c>
      <c r="D655" s="1">
        <v>1</v>
      </c>
      <c r="E655" s="1" t="s">
        <v>4521</v>
      </c>
    </row>
    <row r="656" spans="1:5" ht="15.75" customHeight="1" x14ac:dyDescent="0.2">
      <c r="A656" s="1">
        <v>71276</v>
      </c>
      <c r="B656" s="1" t="s">
        <v>3159</v>
      </c>
      <c r="C656" s="1" t="s">
        <v>4522</v>
      </c>
      <c r="D656" s="1">
        <v>2</v>
      </c>
      <c r="E656" s="1" t="s">
        <v>4523</v>
      </c>
    </row>
    <row r="657" spans="1:5" ht="15.75" customHeight="1" x14ac:dyDescent="0.2">
      <c r="A657" s="1">
        <v>20481</v>
      </c>
      <c r="B657" s="1" t="s">
        <v>1965</v>
      </c>
      <c r="C657" s="1" t="s">
        <v>4524</v>
      </c>
      <c r="D657" s="1">
        <v>2</v>
      </c>
      <c r="E657" s="1" t="s">
        <v>4525</v>
      </c>
    </row>
    <row r="658" spans="1:5" ht="15.75" customHeight="1" x14ac:dyDescent="0.2">
      <c r="A658" s="1">
        <v>13955</v>
      </c>
      <c r="B658" s="1" t="s">
        <v>4526</v>
      </c>
      <c r="C658" s="1" t="s">
        <v>4527</v>
      </c>
      <c r="D658" s="1">
        <v>2</v>
      </c>
      <c r="E658" s="1" t="s">
        <v>4528</v>
      </c>
    </row>
    <row r="659" spans="1:5" ht="15.75" customHeight="1" x14ac:dyDescent="0.2">
      <c r="A659" s="1">
        <v>40656</v>
      </c>
      <c r="B659" s="1" t="s">
        <v>14</v>
      </c>
      <c r="C659" s="1" t="s">
        <v>4529</v>
      </c>
      <c r="D659" s="1">
        <v>2</v>
      </c>
      <c r="E659" s="1" t="s">
        <v>4530</v>
      </c>
    </row>
    <row r="660" spans="1:5" ht="15.75" customHeight="1" x14ac:dyDescent="0.2">
      <c r="A660" s="1">
        <v>23467</v>
      </c>
      <c r="B660" s="1" t="s">
        <v>144</v>
      </c>
      <c r="C660" s="1" t="s">
        <v>4531</v>
      </c>
      <c r="D660" s="1">
        <v>2</v>
      </c>
      <c r="E660" s="1" t="s">
        <v>4532</v>
      </c>
    </row>
    <row r="661" spans="1:5" ht="15.75" customHeight="1" x14ac:dyDescent="0.2">
      <c r="A661" s="1">
        <v>22598</v>
      </c>
      <c r="B661" s="1" t="s">
        <v>466</v>
      </c>
      <c r="C661" s="1" t="s">
        <v>4533</v>
      </c>
      <c r="D661" s="1">
        <v>1</v>
      </c>
      <c r="E661" s="1" t="s">
        <v>4534</v>
      </c>
    </row>
    <row r="662" spans="1:5" ht="15.75" customHeight="1" x14ac:dyDescent="0.2">
      <c r="A662" s="1">
        <v>51045</v>
      </c>
      <c r="B662" s="1" t="s">
        <v>4535</v>
      </c>
      <c r="C662" s="1" t="s">
        <v>4536</v>
      </c>
      <c r="D662" s="1">
        <v>2</v>
      </c>
      <c r="E662" s="1" t="s">
        <v>4537</v>
      </c>
    </row>
    <row r="663" spans="1:5" ht="15.75" customHeight="1" x14ac:dyDescent="0.2">
      <c r="A663" s="1">
        <v>57388</v>
      </c>
      <c r="B663" s="1" t="s">
        <v>1021</v>
      </c>
      <c r="C663" s="1" t="s">
        <v>4538</v>
      </c>
      <c r="D663" s="1">
        <v>2</v>
      </c>
      <c r="E663" s="1" t="s">
        <v>4539</v>
      </c>
    </row>
    <row r="664" spans="1:5" ht="15.75" customHeight="1" x14ac:dyDescent="0.2">
      <c r="A664" s="1">
        <v>57336</v>
      </c>
      <c r="B664" s="1" t="s">
        <v>4540</v>
      </c>
      <c r="C664" s="1" t="s">
        <v>4541</v>
      </c>
      <c r="D664" s="1">
        <v>2</v>
      </c>
      <c r="E664" s="1" t="s">
        <v>4542</v>
      </c>
    </row>
    <row r="665" spans="1:5" ht="15.75" customHeight="1" x14ac:dyDescent="0.2">
      <c r="A665" s="1">
        <v>45221</v>
      </c>
      <c r="B665" s="1" t="s">
        <v>205</v>
      </c>
      <c r="C665" s="1" t="s">
        <v>4543</v>
      </c>
      <c r="D665" s="1">
        <v>2</v>
      </c>
      <c r="E665" s="1" t="s">
        <v>4544</v>
      </c>
    </row>
    <row r="666" spans="1:5" ht="15.75" customHeight="1" x14ac:dyDescent="0.2">
      <c r="A666" s="1">
        <v>65112</v>
      </c>
      <c r="B666" s="1" t="s">
        <v>4545</v>
      </c>
      <c r="C666" s="1" t="s">
        <v>4546</v>
      </c>
      <c r="D666" s="1">
        <v>1</v>
      </c>
      <c r="E666" s="1" t="s">
        <v>4547</v>
      </c>
    </row>
    <row r="667" spans="1:5" ht="15.75" customHeight="1" x14ac:dyDescent="0.2">
      <c r="A667" s="1">
        <v>30274</v>
      </c>
      <c r="B667" s="1" t="s">
        <v>194</v>
      </c>
      <c r="C667" s="1" t="s">
        <v>4548</v>
      </c>
      <c r="D667" s="1">
        <v>2</v>
      </c>
      <c r="E667" s="1" t="s">
        <v>4549</v>
      </c>
    </row>
    <row r="668" spans="1:5" ht="15.75" customHeight="1" x14ac:dyDescent="0.2"/>
    <row r="669" spans="1:5" ht="15.75" customHeight="1" x14ac:dyDescent="0.2"/>
    <row r="670" spans="1:5" ht="15.75" customHeight="1" x14ac:dyDescent="0.2"/>
    <row r="671" spans="1:5" ht="15.75" customHeight="1" x14ac:dyDescent="0.2"/>
    <row r="672" spans="1:5"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Dataset</vt:lpstr>
      <vt:lpstr>Camille</vt:lpstr>
      <vt:lpstr>Telmo</vt:lpstr>
      <vt:lpstr>Max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Reinhard, Max</cp:lastModifiedBy>
  <dcterms:modified xsi:type="dcterms:W3CDTF">2023-10-08T17:37:49Z</dcterms:modified>
</cp:coreProperties>
</file>