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RA\專題\"/>
    </mc:Choice>
  </mc:AlternateContent>
  <xr:revisionPtr revIDLastSave="0" documentId="13_ncr:1_{0D892EA6-D322-4522-B948-E61A4AE7E968}" xr6:coauthVersionLast="36" xr6:coauthVersionMax="36" xr10:uidLastSave="{00000000-0000-0000-0000-000000000000}"/>
  <bookViews>
    <workbookView xWindow="0" yWindow="0" windowWidth="21684" windowHeight="9588" activeTab="2" xr2:uid="{6BD3FC30-D3A4-4F3A-A1F1-0A3CDF8A31AA}"/>
  </bookViews>
  <sheets>
    <sheet name="final_variables" sheetId="6" r:id="rId1"/>
    <sheet name="variables" sheetId="1" r:id="rId2"/>
    <sheet name="業務比重" sheetId="5" r:id="rId3"/>
    <sheet name="中英對譯" sheetId="3" r:id="rId4"/>
    <sheet name="(分險種)再保保費支出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6" i="6" l="1"/>
  <c r="U13" i="6" s="1"/>
  <c r="T16" i="6"/>
  <c r="T13" i="6" s="1"/>
  <c r="S16" i="6"/>
  <c r="S13" i="6" s="1"/>
  <c r="R16" i="6"/>
  <c r="R13" i="6" s="1"/>
  <c r="Q16" i="6"/>
  <c r="P16" i="6"/>
  <c r="P13" i="6" s="1"/>
  <c r="O16" i="6"/>
  <c r="N16" i="6"/>
  <c r="N13" i="6" s="1"/>
  <c r="M16" i="6"/>
  <c r="M13" i="6" s="1"/>
  <c r="L16" i="6"/>
  <c r="L13" i="6" s="1"/>
  <c r="K16" i="6"/>
  <c r="K13" i="6" s="1"/>
  <c r="J16" i="6"/>
  <c r="J13" i="6" s="1"/>
  <c r="I16" i="6"/>
  <c r="I13" i="6" s="1"/>
  <c r="H16" i="6"/>
  <c r="H13" i="6" s="1"/>
  <c r="G16" i="6"/>
  <c r="F16" i="6"/>
  <c r="F13" i="6" s="1"/>
  <c r="E16" i="6"/>
  <c r="E13" i="6" s="1"/>
  <c r="D16" i="6"/>
  <c r="D13" i="6" s="1"/>
  <c r="C16" i="6"/>
  <c r="C13" i="6" s="1"/>
  <c r="B16" i="6"/>
  <c r="Q13" i="6"/>
  <c r="O13" i="6"/>
  <c r="G13" i="6"/>
  <c r="B12" i="6"/>
  <c r="C9" i="6"/>
  <c r="C10" i="6"/>
  <c r="D6" i="6"/>
  <c r="C3" i="6"/>
  <c r="S27" i="1"/>
  <c r="S24" i="1" s="1"/>
  <c r="T27" i="1"/>
  <c r="T24" i="1" s="1"/>
  <c r="U27" i="1"/>
  <c r="U24" i="1" s="1"/>
  <c r="V27" i="1"/>
  <c r="V24" i="1" s="1"/>
  <c r="Q27" i="1"/>
  <c r="Q24" i="1" s="1"/>
  <c r="I27" i="1"/>
  <c r="I24" i="1" s="1"/>
  <c r="J27" i="1"/>
  <c r="J24" i="1" s="1"/>
  <c r="K27" i="1"/>
  <c r="K24" i="1" s="1"/>
  <c r="L27" i="1"/>
  <c r="L24" i="1" s="1"/>
  <c r="M27" i="1"/>
  <c r="M24" i="1" s="1"/>
  <c r="N27" i="1"/>
  <c r="N24" i="1" s="1"/>
  <c r="O27" i="1"/>
  <c r="O24" i="1" s="1"/>
  <c r="P27" i="1"/>
  <c r="P24" i="1" s="1"/>
  <c r="R27" i="1"/>
  <c r="R24" i="1" s="1"/>
  <c r="H27" i="1"/>
  <c r="H24" i="1" s="1"/>
  <c r="G27" i="1"/>
  <c r="G24" i="1" s="1"/>
  <c r="F27" i="1"/>
  <c r="E8" i="1"/>
  <c r="E27" i="1"/>
  <c r="E24" i="1" s="1"/>
  <c r="D27" i="1"/>
  <c r="C27" i="1"/>
  <c r="C23" i="1"/>
  <c r="F18" i="1"/>
  <c r="F19" i="1"/>
  <c r="C18" i="1"/>
  <c r="C19" i="1"/>
  <c r="E16" i="5"/>
  <c r="E19" i="5"/>
  <c r="E15" i="5"/>
  <c r="E14" i="5"/>
  <c r="E7" i="5"/>
  <c r="E5" i="5"/>
  <c r="E12" i="5"/>
  <c r="E20" i="5"/>
  <c r="E13" i="5"/>
  <c r="E6" i="5"/>
  <c r="E9" i="5"/>
  <c r="E4" i="5"/>
  <c r="E10" i="1"/>
  <c r="E19" i="1"/>
  <c r="E18" i="1"/>
  <c r="D22" i="5"/>
  <c r="D7" i="5"/>
  <c r="D8" i="5"/>
  <c r="D11" i="5"/>
  <c r="D6" i="5"/>
  <c r="D20" i="5"/>
  <c r="D19" i="5"/>
  <c r="D12" i="5"/>
  <c r="D16" i="5"/>
  <c r="D15" i="5"/>
  <c r="D13" i="5"/>
  <c r="D9" i="5"/>
  <c r="C24" i="5"/>
  <c r="D14" i="4"/>
  <c r="D22" i="4"/>
  <c r="D21" i="4"/>
  <c r="D7" i="4"/>
  <c r="D8" i="4"/>
  <c r="D10" i="4"/>
  <c r="D11" i="4"/>
  <c r="D6" i="4"/>
  <c r="D20" i="4"/>
  <c r="D18" i="4"/>
  <c r="D19" i="4"/>
  <c r="D16" i="4"/>
  <c r="D17" i="4"/>
  <c r="D12" i="4"/>
  <c r="D5" i="4"/>
  <c r="D4" i="4"/>
  <c r="C4" i="4"/>
  <c r="C5" i="4"/>
  <c r="D15" i="4"/>
  <c r="D13" i="4"/>
  <c r="D9" i="4"/>
  <c r="C21" i="4"/>
  <c r="C7" i="4"/>
  <c r="C10" i="4"/>
  <c r="C8" i="4"/>
  <c r="C11" i="4"/>
  <c r="C6" i="4"/>
  <c r="C20" i="4"/>
  <c r="C19" i="4"/>
  <c r="C18" i="4"/>
  <c r="C17" i="4"/>
  <c r="C16" i="4"/>
  <c r="C12" i="4"/>
  <c r="C14" i="4"/>
  <c r="C15" i="4"/>
  <c r="C13" i="4"/>
  <c r="C9" i="4"/>
  <c r="D19" i="1"/>
  <c r="D13" i="1"/>
  <c r="D4" i="1"/>
  <c r="D14" i="1"/>
  <c r="B13" i="6" l="1"/>
  <c r="F24" i="1"/>
  <c r="C24" i="1"/>
  <c r="E24" i="5"/>
  <c r="D18" i="1"/>
  <c r="D24" i="1" s="1"/>
  <c r="D24" i="5"/>
  <c r="D23" i="4"/>
  <c r="C23" i="4"/>
</calcChain>
</file>

<file path=xl/sharedStrings.xml><?xml version="1.0" encoding="utf-8"?>
<sst xmlns="http://schemas.openxmlformats.org/spreadsheetml/2006/main" count="201" uniqueCount="111">
  <si>
    <t>兆豐</t>
    <phoneticPr fontId="2" type="noConversion"/>
  </si>
  <si>
    <t>reinsurance expence</t>
    <phoneticPr fontId="2" type="noConversion"/>
  </si>
  <si>
    <t>operation expence</t>
    <phoneticPr fontId="2" type="noConversion"/>
  </si>
  <si>
    <t>reinsurance premium</t>
    <phoneticPr fontId="2" type="noConversion"/>
  </si>
  <si>
    <t>underwriting profit</t>
    <phoneticPr fontId="2" type="noConversion"/>
  </si>
  <si>
    <t>Fire Insurance</t>
  </si>
  <si>
    <t>Marine Cargo Insurance</t>
  </si>
  <si>
    <t>Marine Hull Insurance</t>
  </si>
  <si>
    <t>Automobile Insurance</t>
  </si>
  <si>
    <t>Engineering Insurance</t>
  </si>
  <si>
    <t>Aviation Insurance</t>
  </si>
  <si>
    <t>Other Insurance</t>
  </si>
  <si>
    <t>Written premiums</t>
  </si>
  <si>
    <t xml:space="preserve">investment profit </t>
    <phoneticPr fontId="2" type="noConversion"/>
  </si>
  <si>
    <t>富邦</t>
    <phoneticPr fontId="2" type="noConversion"/>
  </si>
  <si>
    <t>https://www.cki.com.tw/content/files/202006160852%E5%85%86%E8%B1%90%E4%BF%9D%E9%9A%AA2019Annual%20Report_0611(%E4%BF%9D%E7%95%99%E8%B7%A8%E9%A0%81).pdf</t>
  </si>
  <si>
    <t>https://www.irpro.co/2881/annual/2019/CH/Fubon%20Ins_2019_C_aF7nfPb6Upm3.pdf</t>
  </si>
  <si>
    <t>火災保險</t>
  </si>
  <si>
    <t>保險</t>
    <phoneticPr fontId="2" type="noConversion"/>
  </si>
  <si>
    <t>中</t>
    <phoneticPr fontId="2" type="noConversion"/>
  </si>
  <si>
    <t>ENG</t>
    <phoneticPr fontId="2" type="noConversion"/>
  </si>
  <si>
    <t>汽車保險</t>
  </si>
  <si>
    <t>健康保險</t>
  </si>
  <si>
    <t>Accident Insurance</t>
    <phoneticPr fontId="2" type="noConversion"/>
  </si>
  <si>
    <t>傷害(意外)保險</t>
    <phoneticPr fontId="2" type="noConversion"/>
  </si>
  <si>
    <t>Health Insurance</t>
    <phoneticPr fontId="2" type="noConversion"/>
  </si>
  <si>
    <t>貨運保險</t>
  </si>
  <si>
    <t>船舶保險</t>
  </si>
  <si>
    <t>工程保險</t>
  </si>
  <si>
    <t>航空保險</t>
  </si>
  <si>
    <t>其他保險</t>
    <phoneticPr fontId="2" type="noConversion"/>
  </si>
  <si>
    <t>Net changes in unearned premium reserve</t>
  </si>
  <si>
    <t>Retention Earned Premiums Income(可能不能用)</t>
    <phoneticPr fontId="2" type="noConversion"/>
  </si>
  <si>
    <t>Commission on reinsurance ceded</t>
  </si>
  <si>
    <t>Handling fee revenue</t>
  </si>
  <si>
    <t>Commission expenses</t>
  </si>
  <si>
    <t>未滿期保費準備淨變動</t>
  </si>
  <si>
    <t>Handling fee</t>
  </si>
  <si>
    <t>Other operating costs</t>
  </si>
  <si>
    <t>其他營業成本</t>
  </si>
  <si>
    <t>手續費支出</t>
  </si>
  <si>
    <t>Claims expenditures</t>
  </si>
  <si>
    <t>保險賠款與給付</t>
  </si>
  <si>
    <t>Reinsurance claims recovery</t>
  </si>
  <si>
    <t>Retention Claim Expenditures</t>
  </si>
  <si>
    <t>自留保險賠款與給付</t>
  </si>
  <si>
    <t>攤回再保賠款與給付</t>
  </si>
  <si>
    <t>營業費用</t>
  </si>
  <si>
    <t>簽單保費收入</t>
  </si>
  <si>
    <t>再保費收入</t>
  </si>
  <si>
    <t>自留滿期保費收入</t>
  </si>
  <si>
    <t>再保佣金收入</t>
  </si>
  <si>
    <t>核保利潤</t>
    <phoneticPr fontId="2" type="noConversion"/>
  </si>
  <si>
    <t>投資利潤</t>
    <phoneticPr fontId="2" type="noConversion"/>
  </si>
  <si>
    <t>https://ins-info.ib.gov.tw/customer/property3-2.aspx?UID=03090217</t>
  </si>
  <si>
    <t>總計</t>
    <phoneticPr fontId="2" type="noConversion"/>
  </si>
  <si>
    <t>責任保險</t>
    <phoneticPr fontId="2" type="noConversion"/>
  </si>
  <si>
    <t>Liability Insurance</t>
  </si>
  <si>
    <t>核能保險</t>
    <phoneticPr fontId="2" type="noConversion"/>
  </si>
  <si>
    <t>保證保險</t>
    <phoneticPr fontId="2" type="noConversion"/>
  </si>
  <si>
    <t>信用保險</t>
    <phoneticPr fontId="2" type="noConversion"/>
  </si>
  <si>
    <t>傷害保險</t>
    <phoneticPr fontId="2" type="noConversion"/>
  </si>
  <si>
    <t>地震保險</t>
    <phoneticPr fontId="2" type="noConversion"/>
  </si>
  <si>
    <t>颱風洪水保險</t>
    <phoneticPr fontId="2" type="noConversion"/>
  </si>
  <si>
    <t>國外再保分進業務</t>
  </si>
  <si>
    <t>強制汽車保險</t>
    <phoneticPr fontId="2" type="noConversion"/>
  </si>
  <si>
    <t>任意汽車保險</t>
    <phoneticPr fontId="2" type="noConversion"/>
  </si>
  <si>
    <t>個人及商業綜合保險</t>
    <phoneticPr fontId="2" type="noConversion"/>
  </si>
  <si>
    <t>國外子公司</t>
    <phoneticPr fontId="2" type="noConversion"/>
  </si>
  <si>
    <t>台產</t>
    <phoneticPr fontId="2" type="noConversion"/>
  </si>
  <si>
    <t>附註：(千元)
工程+核能
保證+信用
颱風洪水地震
漁船航</t>
    <phoneticPr fontId="2" type="noConversion"/>
  </si>
  <si>
    <t xml:space="preserve">強制+任意
傷害+健康
</t>
    <phoneticPr fontId="2" type="noConversion"/>
  </si>
  <si>
    <t>其餘</t>
    <phoneticPr fontId="2" type="noConversion"/>
  </si>
  <si>
    <t>(千元)</t>
    <phoneticPr fontId="2" type="noConversion"/>
  </si>
  <si>
    <t>再保費支出</t>
    <phoneticPr fontId="2" type="noConversion"/>
  </si>
  <si>
    <t>佣金費用</t>
    <phoneticPr fontId="2" type="noConversion"/>
  </si>
  <si>
    <t>手續費收入(其他收入)</t>
    <phoneticPr fontId="2" type="noConversion"/>
  </si>
  <si>
    <t>Net changes in other insurance liabilities</t>
  </si>
  <si>
    <t>其他保險負債淨變動</t>
  </si>
  <si>
    <t>採用覆蓋法重分類之損益</t>
  </si>
  <si>
    <t>https://www.tfmi.com.tw/Upload/CKUpload/files/%E5%8F%B0%E7%94%A2108%E5%B9%B4%E5%A0%B1.pdf</t>
  </si>
  <si>
    <t>Operating Income</t>
  </si>
  <si>
    <t>營業利益</t>
  </si>
  <si>
    <t>總簽單保費</t>
    <phoneticPr fontId="2" type="noConversion"/>
  </si>
  <si>
    <t>信用+保證</t>
    <phoneticPr fontId="2" type="noConversion"/>
  </si>
  <si>
    <t>和泰</t>
    <phoneticPr fontId="2" type="noConversion"/>
  </si>
  <si>
    <t>https://www.hotains.com.tw/file/public/109%E5%B9%B4%E5%BA%A6%E8%82%A1%E6%9D%B1%E5%B8%B8%E6%9C%83%E8%AD%B0%E4%BA%8B%E9%8C%84.pdf</t>
  </si>
  <si>
    <t>營業收入</t>
    <phoneticPr fontId="2" type="noConversion"/>
  </si>
  <si>
    <t>其他營業收入</t>
    <phoneticPr fontId="2" type="noConversion"/>
  </si>
  <si>
    <t>http://www.tii.org.tw/report_test/0005/69359440227937.pdf</t>
  </si>
  <si>
    <t>http://www.tii.org.tw/report_test/0012/69359461395250.pdf</t>
  </si>
  <si>
    <t>承保費用</t>
    <phoneticPr fontId="2" type="noConversion"/>
  </si>
  <si>
    <t>營業外</t>
    <phoneticPr fontId="2" type="noConversion"/>
  </si>
  <si>
    <t>繼續營業單位稅前純益</t>
    <phoneticPr fontId="2" type="noConversion"/>
  </si>
  <si>
    <t>財務成本</t>
    <phoneticPr fontId="2" type="noConversion"/>
  </si>
  <si>
    <t>泰安</t>
  </si>
  <si>
    <t>明台</t>
    <phoneticPr fontId="2" type="noConversion"/>
  </si>
  <si>
    <t>南山</t>
    <phoneticPr fontId="2" type="noConversion"/>
  </si>
  <si>
    <t>第一</t>
    <phoneticPr fontId="2" type="noConversion"/>
  </si>
  <si>
    <t>旺旺友聯</t>
    <phoneticPr fontId="2" type="noConversion"/>
  </si>
  <si>
    <t>新光</t>
    <phoneticPr fontId="2" type="noConversion"/>
  </si>
  <si>
    <t>華南</t>
    <phoneticPr fontId="2" type="noConversion"/>
  </si>
  <si>
    <t>國泰世紀</t>
    <phoneticPr fontId="2" type="noConversion"/>
  </si>
  <si>
    <t>台壽保</t>
    <phoneticPr fontId="2" type="noConversion"/>
  </si>
  <si>
    <t>美國國際</t>
  </si>
  <si>
    <t>科法斯</t>
  </si>
  <si>
    <t>安達</t>
    <phoneticPr fontId="2" type="noConversion"/>
  </si>
  <si>
    <t>亞洲</t>
  </si>
  <si>
    <t>法國巴黎</t>
  </si>
  <si>
    <t>裕利安宜</t>
    <phoneticPr fontId="2" type="noConversion"/>
  </si>
  <si>
    <t>新安東京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</si>
</sst>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83" formatCode="_-&quot;$&quot;* #,##0_-;\-&quot;$&quot;* #,##0_-;_-&quot;$&quot;* &quot;-&quot;??_-;_-@_-"/>
    <numFmt numFmtId="184" formatCode="0.00000000000000%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indexed="64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medium">
        <color indexed="64"/>
      </bottom>
      <diagonal/>
    </border>
    <border>
      <left/>
      <right style="thin">
        <color theme="2"/>
      </right>
      <top style="thin">
        <color theme="2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44" fontId="0" fillId="0" borderId="0" xfId="1" applyFont="1">
      <alignment vertical="center"/>
    </xf>
    <xf numFmtId="183" fontId="0" fillId="0" borderId="0" xfId="1" applyNumberFormat="1" applyFont="1">
      <alignment vertical="center"/>
    </xf>
    <xf numFmtId="0" fontId="0" fillId="0" borderId="2" xfId="0" applyBorder="1" applyAlignment="1">
      <alignment horizontal="center" vertical="center"/>
    </xf>
    <xf numFmtId="183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2" applyFont="1">
      <alignment vertical="center"/>
    </xf>
    <xf numFmtId="10" fontId="0" fillId="0" borderId="0" xfId="2" applyNumberFormat="1" applyFont="1">
      <alignment vertical="center"/>
    </xf>
    <xf numFmtId="10" fontId="0" fillId="0" borderId="0" xfId="2" applyNumberFormat="1" applyFont="1" applyAlignment="1">
      <alignment horizontal="right" vertical="center"/>
    </xf>
    <xf numFmtId="10" fontId="0" fillId="0" borderId="0" xfId="2" applyNumberFormat="1" applyFont="1" applyBorder="1" applyAlignment="1">
      <alignment horizontal="right" vertical="center"/>
    </xf>
    <xf numFmtId="44" fontId="0" fillId="3" borderId="6" xfId="1" applyFont="1" applyFill="1" applyBorder="1">
      <alignment vertical="center"/>
    </xf>
    <xf numFmtId="183" fontId="0" fillId="3" borderId="6" xfId="1" applyNumberFormat="1" applyFont="1" applyFill="1" applyBorder="1" applyAlignment="1">
      <alignment horizontal="right" vertical="center"/>
    </xf>
    <xf numFmtId="183" fontId="0" fillId="3" borderId="7" xfId="1" applyNumberFormat="1" applyFont="1" applyFill="1" applyBorder="1" applyAlignment="1">
      <alignment horizontal="right" vertical="center"/>
    </xf>
    <xf numFmtId="44" fontId="0" fillId="3" borderId="8" xfId="1" applyFont="1" applyFill="1" applyBorder="1">
      <alignment vertical="center"/>
    </xf>
    <xf numFmtId="44" fontId="0" fillId="0" borderId="6" xfId="1" applyFont="1" applyBorder="1">
      <alignment vertical="center"/>
    </xf>
    <xf numFmtId="44" fontId="3" fillId="0" borderId="6" xfId="1" applyFont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183" fontId="0" fillId="0" borderId="6" xfId="1" applyNumberFormat="1" applyFont="1" applyBorder="1">
      <alignment vertical="center"/>
    </xf>
    <xf numFmtId="183" fontId="0" fillId="0" borderId="6" xfId="1" applyNumberFormat="1" applyFont="1" applyBorder="1" applyAlignment="1">
      <alignment horizontal="right" vertical="center"/>
    </xf>
    <xf numFmtId="44" fontId="0" fillId="0" borderId="6" xfId="1" applyFont="1" applyBorder="1" applyAlignment="1">
      <alignment horizontal="right" vertical="center"/>
    </xf>
    <xf numFmtId="44" fontId="0" fillId="2" borderId="6" xfId="1" applyFont="1" applyFill="1" applyBorder="1">
      <alignment vertical="center"/>
    </xf>
    <xf numFmtId="183" fontId="0" fillId="2" borderId="6" xfId="1" applyNumberFormat="1" applyFont="1" applyFill="1" applyBorder="1" applyAlignment="1">
      <alignment horizontal="right" vertical="center"/>
    </xf>
    <xf numFmtId="183" fontId="0" fillId="2" borderId="6" xfId="1" applyNumberFormat="1" applyFont="1" applyFill="1" applyBorder="1">
      <alignment vertical="center"/>
    </xf>
    <xf numFmtId="183" fontId="0" fillId="0" borderId="6" xfId="1" applyNumberFormat="1" applyFont="1" applyBorder="1" applyAlignment="1">
      <alignment horizontal="center" vertical="center"/>
    </xf>
    <xf numFmtId="183" fontId="3" fillId="0" borderId="7" xfId="1" applyNumberFormat="1" applyFont="1" applyBorder="1" applyAlignment="1">
      <alignment horizontal="center" vertical="center"/>
    </xf>
    <xf numFmtId="183" fontId="0" fillId="0" borderId="7" xfId="1" applyNumberFormat="1" applyFont="1" applyBorder="1" applyAlignment="1">
      <alignment horizontal="right" vertical="center"/>
    </xf>
    <xf numFmtId="183" fontId="0" fillId="2" borderId="7" xfId="1" applyNumberFormat="1" applyFont="1" applyFill="1" applyBorder="1" applyAlignment="1">
      <alignment horizontal="right" vertical="center"/>
    </xf>
    <xf numFmtId="183" fontId="0" fillId="2" borderId="7" xfId="1" applyNumberFormat="1" applyFont="1" applyFill="1" applyBorder="1">
      <alignment vertical="center"/>
    </xf>
    <xf numFmtId="183" fontId="0" fillId="0" borderId="7" xfId="1" applyNumberFormat="1" applyFont="1" applyBorder="1" applyAlignment="1">
      <alignment horizontal="center" vertical="center"/>
    </xf>
    <xf numFmtId="44" fontId="0" fillId="0" borderId="8" xfId="1" applyFont="1" applyBorder="1">
      <alignment vertical="center"/>
    </xf>
    <xf numFmtId="0" fontId="0" fillId="0" borderId="8" xfId="0" applyBorder="1">
      <alignment vertical="center"/>
    </xf>
    <xf numFmtId="44" fontId="0" fillId="2" borderId="8" xfId="1" applyFont="1" applyFill="1" applyBorder="1">
      <alignment vertical="center"/>
    </xf>
    <xf numFmtId="44" fontId="0" fillId="0" borderId="10" xfId="1" applyFont="1" applyBorder="1">
      <alignment vertical="center"/>
    </xf>
    <xf numFmtId="44" fontId="0" fillId="0" borderId="11" xfId="1" applyFont="1" applyBorder="1">
      <alignment vertical="center"/>
    </xf>
    <xf numFmtId="183" fontId="0" fillId="0" borderId="12" xfId="1" applyNumberFormat="1" applyFont="1" applyBorder="1" applyAlignment="1">
      <alignment horizontal="right" vertical="center"/>
    </xf>
    <xf numFmtId="44" fontId="0" fillId="0" borderId="9" xfId="1" applyFont="1" applyBorder="1">
      <alignment vertical="center"/>
    </xf>
    <xf numFmtId="44" fontId="0" fillId="0" borderId="13" xfId="1" applyFont="1" applyBorder="1">
      <alignment vertical="center"/>
    </xf>
    <xf numFmtId="183" fontId="0" fillId="0" borderId="14" xfId="1" applyNumberFormat="1" applyFont="1" applyBorder="1">
      <alignment vertical="center"/>
    </xf>
    <xf numFmtId="44" fontId="0" fillId="0" borderId="9" xfId="1" applyFont="1" applyBorder="1" applyAlignment="1">
      <alignment horizontal="center" vertical="center"/>
    </xf>
    <xf numFmtId="0" fontId="3" fillId="0" borderId="1" xfId="3" applyBorder="1">
      <alignment vertical="center"/>
    </xf>
    <xf numFmtId="183" fontId="0" fillId="0" borderId="10" xfId="1" applyNumberFormat="1" applyFont="1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44" fontId="0" fillId="0" borderId="9" xfId="1" applyFont="1" applyBorder="1" applyAlignment="1">
      <alignment horizontal="left" vertical="center"/>
    </xf>
    <xf numFmtId="44" fontId="0" fillId="0" borderId="10" xfId="1" applyFont="1" applyBorder="1" applyAlignment="1">
      <alignment horizontal="left" vertical="center"/>
    </xf>
    <xf numFmtId="44" fontId="0" fillId="0" borderId="6" xfId="1" applyFont="1" applyBorder="1" applyAlignment="1">
      <alignment horizontal="left" vertical="center"/>
    </xf>
    <xf numFmtId="44" fontId="0" fillId="2" borderId="6" xfId="1" applyFont="1" applyFill="1" applyBorder="1" applyAlignment="1">
      <alignment horizontal="left" vertical="center"/>
    </xf>
    <xf numFmtId="44" fontId="0" fillId="3" borderId="6" xfId="1" applyFont="1" applyFill="1" applyBorder="1" applyAlignment="1">
      <alignment horizontal="left" vertical="center"/>
    </xf>
    <xf numFmtId="44" fontId="0" fillId="4" borderId="6" xfId="1" applyFont="1" applyFill="1" applyBorder="1" applyAlignment="1">
      <alignment horizontal="left" vertical="center"/>
    </xf>
    <xf numFmtId="44" fontId="0" fillId="4" borderId="8" xfId="1" applyFont="1" applyFill="1" applyBorder="1">
      <alignment vertical="center"/>
    </xf>
    <xf numFmtId="183" fontId="0" fillId="4" borderId="7" xfId="1" applyNumberFormat="1" applyFont="1" applyFill="1" applyBorder="1" applyAlignment="1">
      <alignment horizontal="right" vertical="center"/>
    </xf>
    <xf numFmtId="183" fontId="0" fillId="4" borderId="6" xfId="1" applyNumberFormat="1" applyFont="1" applyFill="1" applyBorder="1" applyAlignment="1">
      <alignment horizontal="right" vertical="center"/>
    </xf>
    <xf numFmtId="44" fontId="0" fillId="4" borderId="6" xfId="1" applyFont="1" applyFill="1" applyBorder="1">
      <alignment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>
      <alignment vertical="center"/>
    </xf>
    <xf numFmtId="183" fontId="0" fillId="4" borderId="7" xfId="0" applyNumberFormat="1" applyFill="1" applyBorder="1">
      <alignment vertical="center"/>
    </xf>
    <xf numFmtId="184" fontId="0" fillId="0" borderId="0" xfId="2" applyNumberFormat="1" applyFont="1">
      <alignment vertical="center"/>
    </xf>
    <xf numFmtId="10" fontId="0" fillId="0" borderId="4" xfId="2" applyNumberFormat="1" applyFont="1" applyBorder="1">
      <alignment vertical="center"/>
    </xf>
    <xf numFmtId="9" fontId="0" fillId="0" borderId="4" xfId="2" applyFont="1" applyBorder="1">
      <alignment vertical="center"/>
    </xf>
    <xf numFmtId="10" fontId="0" fillId="0" borderId="4" xfId="2" applyNumberFormat="1" applyFont="1" applyBorder="1" applyAlignment="1">
      <alignment horizontal="right" vertical="center"/>
    </xf>
    <xf numFmtId="183" fontId="0" fillId="4" borderId="7" xfId="1" applyNumberFormat="1" applyFont="1" applyFill="1" applyBorder="1">
      <alignment vertical="center"/>
    </xf>
    <xf numFmtId="183" fontId="0" fillId="0" borderId="10" xfId="1" applyNumberFormat="1" applyFont="1" applyBorder="1" applyAlignment="1">
      <alignment horizontal="center" vertical="center"/>
    </xf>
    <xf numFmtId="183" fontId="0" fillId="0" borderId="10" xfId="1" applyNumberFormat="1" applyFont="1" applyBorder="1">
      <alignment vertical="center"/>
    </xf>
    <xf numFmtId="183" fontId="0" fillId="4" borderId="6" xfId="1" applyNumberFormat="1" applyFont="1" applyFill="1" applyBorder="1" applyAlignment="1">
      <alignment horizontal="center" vertical="center"/>
    </xf>
    <xf numFmtId="183" fontId="0" fillId="4" borderId="6" xfId="1" applyNumberFormat="1" applyFont="1" applyFill="1" applyBorder="1">
      <alignment vertical="center"/>
    </xf>
    <xf numFmtId="183" fontId="0" fillId="2" borderId="6" xfId="1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5" borderId="6" xfId="1" applyFont="1" applyFill="1" applyBorder="1" applyAlignment="1">
      <alignment horizontal="left" vertical="center"/>
    </xf>
    <xf numFmtId="183" fontId="0" fillId="5" borderId="6" xfId="1" applyNumberFormat="1" applyFont="1" applyFill="1" applyBorder="1" applyAlignment="1">
      <alignment horizontal="right" vertical="center"/>
    </xf>
    <xf numFmtId="183" fontId="0" fillId="5" borderId="7" xfId="1" applyNumberFormat="1" applyFont="1" applyFill="1" applyBorder="1" applyAlignment="1">
      <alignment horizontal="right" vertical="center"/>
    </xf>
    <xf numFmtId="183" fontId="0" fillId="5" borderId="6" xfId="1" applyNumberFormat="1" applyFont="1" applyFill="1" applyBorder="1" applyAlignment="1">
      <alignment horizontal="center" vertical="center"/>
    </xf>
    <xf numFmtId="183" fontId="0" fillId="5" borderId="6" xfId="1" applyNumberFormat="1" applyFont="1" applyFill="1" applyBorder="1">
      <alignment vertical="center"/>
    </xf>
    <xf numFmtId="44" fontId="0" fillId="5" borderId="6" xfId="1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183" fontId="3" fillId="0" borderId="14" xfId="1" applyNumberFormat="1" applyFont="1" applyBorder="1" applyAlignment="1">
      <alignment horizontal="center" vertical="center"/>
    </xf>
    <xf numFmtId="44" fontId="3" fillId="0" borderId="9" xfId="1" applyFont="1" applyBorder="1" applyAlignment="1">
      <alignment horizontal="center" vertical="center"/>
    </xf>
  </cellXfs>
  <cellStyles count="4">
    <cellStyle name="一般" xfId="0" builtinId="0"/>
    <cellStyle name="百分比" xfId="2" builtinId="5"/>
    <cellStyle name="貨幣" xfId="1" builtinId="4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rpro.co/2881/annual/2019/CH/Fubon%20Ins_2019_C_aF7nfPb6Upm3.pdf" TargetMode="External"/><Relationship Id="rId1" Type="http://schemas.openxmlformats.org/officeDocument/2006/relationships/hyperlink" Target="https://www.cki.com.tw/content/files/202006160852%E5%85%86%E8%B1%90%E4%BF%9D%E9%9A%AA2019Annual%20Report_0611(%E4%BF%9D%E7%95%99%E8%B7%A8%E9%A0%81)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irpro.co/2881/annual/2019/CH/Fubon%20Ins_2019_C_aF7nfPb6Upm3.pdf" TargetMode="External"/><Relationship Id="rId1" Type="http://schemas.openxmlformats.org/officeDocument/2006/relationships/hyperlink" Target="https://www.cki.com.tw/content/files/202006160852%E5%85%86%E8%B1%90%E4%BF%9D%E9%9A%AA2019Annual%20Report_0611(%E4%BF%9D%E7%95%99%E8%B7%A8%E9%A0%8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C705-4540-41FD-8D9A-1572C3B5B996}">
  <dimension ref="A1:X31"/>
  <sheetViews>
    <sheetView workbookViewId="0">
      <pane xSplit="1" topLeftCell="B1" activePane="topRight" state="frozen"/>
      <selection pane="topRight" activeCell="K17" sqref="K17"/>
    </sheetView>
  </sheetViews>
  <sheetFormatPr defaultRowHeight="16.2" x14ac:dyDescent="0.3"/>
  <cols>
    <col min="1" max="1" width="26.6640625" style="52" customWidth="1"/>
    <col min="2" max="2" width="14.44140625" style="24" customWidth="1"/>
    <col min="3" max="3" width="20.5546875" style="36" customWidth="1"/>
    <col min="4" max="4" width="18.5546875" style="24" customWidth="1"/>
    <col min="5" max="5" width="12.21875" style="24" bestFit="1" customWidth="1"/>
    <col min="6" max="6" width="11.88671875" style="24" customWidth="1"/>
    <col min="7" max="8" width="13.6640625" style="24" customWidth="1"/>
    <col min="9" max="9" width="12.77734375" style="24" customWidth="1"/>
    <col min="10" max="10" width="12.109375" style="24" customWidth="1"/>
    <col min="11" max="11" width="15" style="24" customWidth="1"/>
    <col min="12" max="12" width="12.21875" style="24" bestFit="1" customWidth="1"/>
    <col min="13" max="13" width="12.77734375" style="24" customWidth="1"/>
    <col min="14" max="14" width="15.6640625" style="24" customWidth="1"/>
    <col min="15" max="15" width="12.109375" style="22" customWidth="1"/>
    <col min="16" max="16" width="11.77734375" style="22" customWidth="1"/>
    <col min="17" max="17" width="13.33203125" style="22" bestFit="1" customWidth="1"/>
    <col min="18" max="18" width="11.77734375" style="22" customWidth="1"/>
    <col min="19" max="19" width="13" style="22" customWidth="1"/>
    <col min="20" max="20" width="12.33203125" style="22" customWidth="1"/>
    <col min="21" max="21" width="11.44140625" style="22" customWidth="1"/>
    <col min="22" max="16384" width="8.88671875" style="22"/>
  </cols>
  <sheetData>
    <row r="1" spans="1:24" s="46" customFormat="1" ht="16.8" thickBot="1" x14ac:dyDescent="0.35">
      <c r="A1" s="81">
        <v>2019</v>
      </c>
      <c r="B1" s="46" t="s">
        <v>69</v>
      </c>
      <c r="C1" s="82" t="s">
        <v>0</v>
      </c>
      <c r="D1" s="83" t="s">
        <v>14</v>
      </c>
      <c r="E1" s="46" t="s">
        <v>85</v>
      </c>
      <c r="F1" s="46" t="s">
        <v>95</v>
      </c>
      <c r="G1" s="46" t="s">
        <v>96</v>
      </c>
      <c r="H1" s="46" t="s">
        <v>97</v>
      </c>
      <c r="I1" s="46" t="s">
        <v>98</v>
      </c>
      <c r="J1" s="46" t="s">
        <v>99</v>
      </c>
      <c r="K1" s="46" t="s">
        <v>100</v>
      </c>
      <c r="L1" s="46" t="s">
        <v>101</v>
      </c>
      <c r="M1" s="46" t="s">
        <v>102</v>
      </c>
      <c r="N1" s="46" t="s">
        <v>110</v>
      </c>
      <c r="O1" s="46" t="s">
        <v>103</v>
      </c>
      <c r="P1" s="46" t="s">
        <v>109</v>
      </c>
      <c r="Q1" s="46" t="s">
        <v>104</v>
      </c>
      <c r="R1" s="46" t="s">
        <v>105</v>
      </c>
      <c r="S1" s="46" t="s">
        <v>106</v>
      </c>
      <c r="T1" s="46" t="s">
        <v>107</v>
      </c>
      <c r="U1" s="46" t="s">
        <v>108</v>
      </c>
    </row>
    <row r="2" spans="1:24" s="40" customFormat="1" x14ac:dyDescent="0.3">
      <c r="A2" s="51" t="s">
        <v>91</v>
      </c>
      <c r="B2" s="48">
        <v>0</v>
      </c>
      <c r="C2" s="42">
        <v>0</v>
      </c>
      <c r="D2" s="48">
        <v>0</v>
      </c>
      <c r="E2" s="48">
        <v>409</v>
      </c>
      <c r="F2" s="48">
        <v>0</v>
      </c>
      <c r="G2" s="48">
        <v>0</v>
      </c>
      <c r="H2" s="48">
        <v>737</v>
      </c>
      <c r="I2" s="48">
        <v>0</v>
      </c>
      <c r="J2" s="48">
        <v>0</v>
      </c>
      <c r="K2" s="48">
        <v>0</v>
      </c>
      <c r="L2" s="48">
        <v>0</v>
      </c>
      <c r="M2" s="68">
        <v>0</v>
      </c>
      <c r="N2" s="68">
        <v>0</v>
      </c>
      <c r="O2" s="69">
        <v>0</v>
      </c>
      <c r="P2" s="40">
        <v>0</v>
      </c>
      <c r="Q2" s="69">
        <v>0</v>
      </c>
      <c r="R2" s="69">
        <v>0</v>
      </c>
      <c r="S2" s="69">
        <v>0</v>
      </c>
      <c r="T2" s="69">
        <v>0</v>
      </c>
      <c r="U2" s="40">
        <v>0</v>
      </c>
      <c r="V2" s="69"/>
    </row>
    <row r="3" spans="1:24" s="40" customFormat="1" x14ac:dyDescent="0.3">
      <c r="A3" s="51" t="s">
        <v>75</v>
      </c>
      <c r="B3" s="48">
        <v>845748</v>
      </c>
      <c r="C3" s="42">
        <f>1088310</f>
        <v>1088310</v>
      </c>
      <c r="D3" s="48">
        <v>5382516</v>
      </c>
      <c r="E3" s="48">
        <v>1368573</v>
      </c>
      <c r="F3" s="48">
        <v>1194180</v>
      </c>
      <c r="G3" s="48">
        <v>1705894</v>
      </c>
      <c r="H3" s="48">
        <v>723735</v>
      </c>
      <c r="I3" s="48">
        <v>1085406</v>
      </c>
      <c r="J3" s="48">
        <v>1537730</v>
      </c>
      <c r="K3" s="48">
        <v>2547138</v>
      </c>
      <c r="L3" s="48">
        <v>1535498</v>
      </c>
      <c r="M3" s="68">
        <v>3309937</v>
      </c>
      <c r="N3" s="68">
        <v>1663024</v>
      </c>
      <c r="O3" s="69">
        <v>335031</v>
      </c>
      <c r="P3" s="69">
        <v>31578</v>
      </c>
      <c r="Q3" s="69">
        <v>111744</v>
      </c>
      <c r="R3" s="69">
        <v>34067</v>
      </c>
      <c r="S3" s="69">
        <v>1014532</v>
      </c>
      <c r="T3" s="69">
        <v>0</v>
      </c>
      <c r="U3" s="69">
        <v>11400</v>
      </c>
      <c r="V3" s="69"/>
    </row>
    <row r="4" spans="1:24" x14ac:dyDescent="0.3">
      <c r="A4" s="49" t="s">
        <v>39</v>
      </c>
      <c r="B4" s="26">
        <v>42000</v>
      </c>
      <c r="C4" s="33">
        <v>180420</v>
      </c>
      <c r="D4" s="26">
        <v>224116</v>
      </c>
      <c r="E4" s="26">
        <v>15138</v>
      </c>
      <c r="F4" s="26">
        <v>35257</v>
      </c>
      <c r="G4" s="26">
        <v>40122</v>
      </c>
      <c r="H4" s="26">
        <v>10938</v>
      </c>
      <c r="I4" s="26">
        <v>15816</v>
      </c>
      <c r="J4" s="26">
        <v>39386</v>
      </c>
      <c r="K4" s="26">
        <v>65925</v>
      </c>
      <c r="L4" s="26">
        <v>21708</v>
      </c>
      <c r="M4" s="31">
        <v>68988</v>
      </c>
      <c r="N4" s="31">
        <v>24106</v>
      </c>
      <c r="O4" s="25">
        <v>4826</v>
      </c>
      <c r="P4" s="69">
        <v>3974</v>
      </c>
      <c r="Q4" s="25">
        <v>2674</v>
      </c>
      <c r="R4" s="25">
        <v>11155</v>
      </c>
      <c r="S4" s="25">
        <v>11904</v>
      </c>
      <c r="T4" s="25">
        <v>0</v>
      </c>
      <c r="U4" s="69">
        <v>145</v>
      </c>
      <c r="V4" s="25"/>
    </row>
    <row r="5" spans="1:24" x14ac:dyDescent="0.3">
      <c r="A5" s="49" t="s">
        <v>94</v>
      </c>
      <c r="B5" s="26">
        <v>0</v>
      </c>
      <c r="C5" s="33">
        <v>0</v>
      </c>
      <c r="D5" s="26">
        <v>0</v>
      </c>
      <c r="E5" s="26">
        <v>1841</v>
      </c>
      <c r="F5" s="26">
        <v>0</v>
      </c>
      <c r="G5" s="26">
        <v>0</v>
      </c>
      <c r="H5" s="26">
        <v>315</v>
      </c>
      <c r="I5" s="26">
        <v>0</v>
      </c>
      <c r="J5" s="26">
        <v>2168</v>
      </c>
      <c r="K5" s="26">
        <v>0</v>
      </c>
      <c r="L5" s="26">
        <v>0</v>
      </c>
      <c r="M5" s="31">
        <v>0</v>
      </c>
      <c r="N5" s="31">
        <v>0</v>
      </c>
      <c r="O5" s="25">
        <v>0</v>
      </c>
      <c r="P5" s="25">
        <v>87</v>
      </c>
      <c r="Q5" s="25">
        <v>1150</v>
      </c>
      <c r="R5" s="25">
        <v>171</v>
      </c>
      <c r="S5" s="25">
        <v>6907</v>
      </c>
      <c r="T5" s="25">
        <v>0</v>
      </c>
      <c r="U5" s="25">
        <v>60</v>
      </c>
      <c r="V5" s="25"/>
    </row>
    <row r="6" spans="1:24" x14ac:dyDescent="0.3">
      <c r="A6" s="49" t="s">
        <v>47</v>
      </c>
      <c r="B6" s="26">
        <v>1209664</v>
      </c>
      <c r="C6" s="33">
        <v>1195537</v>
      </c>
      <c r="D6" s="26">
        <f>7741726</f>
        <v>7741726</v>
      </c>
      <c r="E6" s="26">
        <v>1762890</v>
      </c>
      <c r="F6" s="26">
        <v>1291048</v>
      </c>
      <c r="G6" s="26">
        <v>2602582</v>
      </c>
      <c r="H6" s="26">
        <v>1295549</v>
      </c>
      <c r="I6" s="26">
        <v>1339907</v>
      </c>
      <c r="J6" s="26">
        <v>2032547</v>
      </c>
      <c r="K6" s="26">
        <v>3241421</v>
      </c>
      <c r="L6" s="26">
        <v>1586394</v>
      </c>
      <c r="M6" s="31">
        <v>3935900</v>
      </c>
      <c r="N6" s="31">
        <v>2585167</v>
      </c>
      <c r="O6" s="25">
        <v>582342</v>
      </c>
      <c r="P6" s="25">
        <v>71173</v>
      </c>
      <c r="Q6" s="25">
        <v>294390</v>
      </c>
      <c r="R6" s="25">
        <v>89161</v>
      </c>
      <c r="S6" s="25">
        <v>1052730</v>
      </c>
      <c r="T6" s="25">
        <v>3583</v>
      </c>
      <c r="U6" s="25">
        <v>48570</v>
      </c>
      <c r="V6" s="25"/>
    </row>
    <row r="7" spans="1:24" s="28" customFormat="1" x14ac:dyDescent="0.3">
      <c r="A7" s="53" t="s">
        <v>48</v>
      </c>
      <c r="B7" s="29">
        <v>6226661</v>
      </c>
      <c r="C7" s="34">
        <v>7467764</v>
      </c>
      <c r="D7" s="29">
        <v>41843076</v>
      </c>
      <c r="E7" s="29">
        <v>8339236</v>
      </c>
      <c r="F7" s="29">
        <v>7772502</v>
      </c>
      <c r="G7" s="29">
        <v>12336679</v>
      </c>
      <c r="H7" s="29">
        <v>5299256</v>
      </c>
      <c r="I7" s="29">
        <v>6875054</v>
      </c>
      <c r="J7" s="29">
        <v>9833305</v>
      </c>
      <c r="K7" s="29">
        <v>18692441</v>
      </c>
      <c r="L7" s="29">
        <v>9073777</v>
      </c>
      <c r="M7" s="72">
        <v>23022786</v>
      </c>
      <c r="N7" s="72">
        <v>12923849</v>
      </c>
      <c r="O7" s="30">
        <v>2106802</v>
      </c>
      <c r="P7" s="30">
        <v>127373</v>
      </c>
      <c r="Q7" s="30">
        <v>966579</v>
      </c>
      <c r="R7" s="30">
        <v>233454</v>
      </c>
      <c r="S7" s="30">
        <v>3961672</v>
      </c>
      <c r="T7" s="30">
        <v>0</v>
      </c>
      <c r="U7" s="30">
        <v>72425</v>
      </c>
      <c r="V7" s="30"/>
    </row>
    <row r="8" spans="1:24" s="28" customFormat="1" x14ac:dyDescent="0.3">
      <c r="A8" s="53" t="s">
        <v>76</v>
      </c>
      <c r="B8" s="29">
        <v>56785</v>
      </c>
      <c r="C8" s="34">
        <v>74624</v>
      </c>
      <c r="D8" s="28">
        <v>0</v>
      </c>
      <c r="E8" s="29">
        <v>11327</v>
      </c>
      <c r="F8" s="29">
        <v>17316</v>
      </c>
      <c r="G8" s="29">
        <v>46078</v>
      </c>
      <c r="H8" s="29">
        <v>6410</v>
      </c>
      <c r="I8" s="29">
        <v>24477</v>
      </c>
      <c r="J8" s="29">
        <v>0</v>
      </c>
      <c r="K8" s="29">
        <v>35611</v>
      </c>
      <c r="L8" s="29">
        <v>23024</v>
      </c>
      <c r="M8" s="72">
        <v>42475</v>
      </c>
      <c r="N8" s="72">
        <v>14632</v>
      </c>
      <c r="O8" s="30">
        <v>17987</v>
      </c>
      <c r="P8" s="30">
        <v>0</v>
      </c>
      <c r="Q8" s="30">
        <v>5408</v>
      </c>
      <c r="R8" s="30">
        <v>0</v>
      </c>
      <c r="S8" s="30">
        <v>19575</v>
      </c>
      <c r="T8" s="30">
        <v>0</v>
      </c>
      <c r="U8" s="30">
        <v>2634</v>
      </c>
      <c r="V8" s="30"/>
    </row>
    <row r="9" spans="1:24" s="80" customFormat="1" x14ac:dyDescent="0.3">
      <c r="A9" s="75" t="s">
        <v>74</v>
      </c>
      <c r="B9" s="76">
        <v>2023010</v>
      </c>
      <c r="C9" s="77">
        <f>3490003</f>
        <v>3490003</v>
      </c>
      <c r="D9" s="76">
        <v>11029907</v>
      </c>
      <c r="E9" s="76">
        <v>1932041</v>
      </c>
      <c r="F9" s="76">
        <v>2929907</v>
      </c>
      <c r="G9" s="76">
        <v>4120534</v>
      </c>
      <c r="H9" s="76">
        <v>2148453</v>
      </c>
      <c r="I9" s="76">
        <v>1925618</v>
      </c>
      <c r="J9" s="76">
        <v>3231917</v>
      </c>
      <c r="K9" s="76">
        <v>4422098</v>
      </c>
      <c r="L9" s="76">
        <v>3188045</v>
      </c>
      <c r="M9" s="78">
        <v>5548421</v>
      </c>
      <c r="N9" s="78">
        <v>3110052</v>
      </c>
      <c r="O9" s="79">
        <v>653871</v>
      </c>
      <c r="P9" s="79">
        <v>131971</v>
      </c>
      <c r="Q9" s="79">
        <v>904020</v>
      </c>
      <c r="R9" s="79">
        <v>265171</v>
      </c>
      <c r="S9" s="79">
        <v>2551341</v>
      </c>
      <c r="T9" s="79">
        <v>0</v>
      </c>
      <c r="U9" s="79">
        <v>40275</v>
      </c>
      <c r="V9" s="79"/>
    </row>
    <row r="10" spans="1:24" s="28" customFormat="1" x14ac:dyDescent="0.3">
      <c r="A10" s="53" t="s">
        <v>49</v>
      </c>
      <c r="B10" s="29">
        <v>423433</v>
      </c>
      <c r="C10" s="35">
        <f>769640</f>
        <v>769640</v>
      </c>
      <c r="D10" s="29">
        <v>2261668</v>
      </c>
      <c r="E10" s="29">
        <v>337946</v>
      </c>
      <c r="F10" s="29">
        <v>472922</v>
      </c>
      <c r="G10" s="29">
        <v>464223</v>
      </c>
      <c r="H10" s="29">
        <v>234185</v>
      </c>
      <c r="I10" s="29">
        <v>404585</v>
      </c>
      <c r="J10" s="29">
        <v>400459</v>
      </c>
      <c r="K10" s="29">
        <v>717155</v>
      </c>
      <c r="L10" s="29">
        <v>805639</v>
      </c>
      <c r="M10" s="72">
        <v>1888472</v>
      </c>
      <c r="N10" s="72">
        <v>546492</v>
      </c>
      <c r="O10" s="30">
        <v>204191</v>
      </c>
      <c r="P10" s="30">
        <v>94536</v>
      </c>
      <c r="Q10" s="30">
        <v>255668</v>
      </c>
      <c r="R10" s="30">
        <v>96019</v>
      </c>
      <c r="S10" s="30">
        <v>1043026</v>
      </c>
      <c r="T10" s="30">
        <v>0</v>
      </c>
      <c r="U10" s="30">
        <v>4332</v>
      </c>
      <c r="V10" s="30"/>
    </row>
    <row r="11" spans="1:24" s="28" customFormat="1" x14ac:dyDescent="0.3">
      <c r="A11" s="53" t="s">
        <v>51</v>
      </c>
      <c r="B11" s="29">
        <v>238569</v>
      </c>
      <c r="C11" s="34">
        <v>564965</v>
      </c>
      <c r="D11" s="29">
        <v>1347127</v>
      </c>
      <c r="E11" s="29">
        <v>353929</v>
      </c>
      <c r="F11" s="29">
        <v>547966</v>
      </c>
      <c r="G11" s="29">
        <v>555733</v>
      </c>
      <c r="H11" s="29">
        <v>684537</v>
      </c>
      <c r="I11" s="29">
        <v>287665</v>
      </c>
      <c r="J11" s="29">
        <v>586449</v>
      </c>
      <c r="K11" s="29">
        <v>406913</v>
      </c>
      <c r="L11" s="29">
        <v>636474</v>
      </c>
      <c r="M11" s="72">
        <v>538028</v>
      </c>
      <c r="N11" s="72">
        <v>536063</v>
      </c>
      <c r="O11" s="30">
        <v>88226</v>
      </c>
      <c r="P11" s="30">
        <v>39126</v>
      </c>
      <c r="Q11" s="30">
        <v>324805</v>
      </c>
      <c r="R11" s="30">
        <v>83606</v>
      </c>
      <c r="S11" s="30">
        <v>889620</v>
      </c>
      <c r="T11" s="30">
        <v>0</v>
      </c>
      <c r="U11" s="30">
        <v>7117</v>
      </c>
      <c r="V11" s="30"/>
    </row>
    <row r="12" spans="1:24" s="18" customFormat="1" x14ac:dyDescent="0.3">
      <c r="A12" s="54" t="s">
        <v>53</v>
      </c>
      <c r="B12" s="19">
        <f>427989</f>
        <v>427989</v>
      </c>
      <c r="C12" s="20">
        <v>339383</v>
      </c>
      <c r="D12" s="19">
        <v>3228069</v>
      </c>
      <c r="E12" s="19">
        <v>309097</v>
      </c>
      <c r="F12" s="19">
        <v>319848</v>
      </c>
      <c r="G12" s="19">
        <v>382617</v>
      </c>
      <c r="H12" s="19">
        <v>236632</v>
      </c>
      <c r="I12" s="19">
        <v>390683</v>
      </c>
      <c r="J12" s="19">
        <v>433263</v>
      </c>
      <c r="K12" s="19">
        <v>701324</v>
      </c>
      <c r="L12" s="19">
        <v>436718</v>
      </c>
      <c r="M12" s="19">
        <v>978938</v>
      </c>
      <c r="N12" s="19">
        <v>483836</v>
      </c>
      <c r="O12" s="19">
        <v>108409</v>
      </c>
      <c r="P12" s="19">
        <v>853</v>
      </c>
      <c r="Q12" s="19">
        <v>16545</v>
      </c>
      <c r="R12" s="19">
        <v>181</v>
      </c>
      <c r="S12" s="19">
        <v>31080</v>
      </c>
      <c r="T12" s="19">
        <v>798</v>
      </c>
      <c r="U12" s="19">
        <v>1679</v>
      </c>
      <c r="V12" s="19"/>
      <c r="W12" s="19"/>
      <c r="X12" s="19"/>
    </row>
    <row r="13" spans="1:24" s="18" customFormat="1" x14ac:dyDescent="0.3">
      <c r="A13" s="54" t="s">
        <v>52</v>
      </c>
      <c r="B13" s="20">
        <f>B16-B12</f>
        <v>411862</v>
      </c>
      <c r="C13" s="20">
        <f>C16-C12</f>
        <v>-110383</v>
      </c>
      <c r="D13" s="20">
        <f>D16-D12</f>
        <v>2067179</v>
      </c>
      <c r="E13" s="20">
        <f>E16-E12</f>
        <v>53091</v>
      </c>
      <c r="F13" s="20">
        <f>F16-F12</f>
        <v>318433</v>
      </c>
      <c r="G13" s="20">
        <f>G16-G12</f>
        <v>65918</v>
      </c>
      <c r="H13" s="20">
        <f t="shared" ref="H13:Q13" si="0">H16-H12</f>
        <v>29863</v>
      </c>
      <c r="I13" s="20">
        <f t="shared" si="0"/>
        <v>273507</v>
      </c>
      <c r="J13" s="20">
        <f t="shared" si="0"/>
        <v>254158</v>
      </c>
      <c r="K13" s="20">
        <f t="shared" si="0"/>
        <v>1168246</v>
      </c>
      <c r="L13" s="20">
        <f t="shared" si="0"/>
        <v>315702</v>
      </c>
      <c r="M13" s="20">
        <f t="shared" si="0"/>
        <v>1511577</v>
      </c>
      <c r="N13" s="20">
        <f t="shared" si="0"/>
        <v>645483</v>
      </c>
      <c r="O13" s="20">
        <f t="shared" si="0"/>
        <v>-99299</v>
      </c>
      <c r="P13" s="20">
        <f t="shared" si="0"/>
        <v>-56816</v>
      </c>
      <c r="Q13" s="20">
        <f t="shared" si="0"/>
        <v>136393</v>
      </c>
      <c r="R13" s="20">
        <f>R16-R12</f>
        <v>132</v>
      </c>
      <c r="S13" s="20">
        <f t="shared" ref="S13:U13" si="1">S16-S12</f>
        <v>366306</v>
      </c>
      <c r="T13" s="20">
        <f t="shared" si="1"/>
        <v>-3334</v>
      </c>
      <c r="U13" s="20">
        <f t="shared" si="1"/>
        <v>-14010</v>
      </c>
      <c r="V13" s="20"/>
      <c r="W13" s="20"/>
      <c r="X13" s="20"/>
    </row>
    <row r="14" spans="1:24" s="18" customFormat="1" x14ac:dyDescent="0.3">
      <c r="A14" s="54" t="s">
        <v>92</v>
      </c>
      <c r="B14" s="20">
        <v>-6199</v>
      </c>
      <c r="C14" s="20">
        <v>2812</v>
      </c>
      <c r="D14" s="20">
        <v>-271722</v>
      </c>
      <c r="E14" s="20">
        <v>770</v>
      </c>
      <c r="F14" s="20">
        <v>-9819</v>
      </c>
      <c r="G14" s="20">
        <v>2307</v>
      </c>
      <c r="H14" s="20">
        <v>-22456</v>
      </c>
      <c r="I14" s="20">
        <v>-565</v>
      </c>
      <c r="J14" s="20">
        <v>13930</v>
      </c>
      <c r="K14" s="20">
        <v>21323</v>
      </c>
      <c r="L14" s="20">
        <v>2725</v>
      </c>
      <c r="M14" s="20">
        <v>4481</v>
      </c>
      <c r="N14" s="20">
        <v>21643</v>
      </c>
      <c r="O14" s="20">
        <v>3491</v>
      </c>
      <c r="P14" s="20">
        <v>0</v>
      </c>
      <c r="Q14" s="20">
        <v>2057</v>
      </c>
      <c r="R14" s="20">
        <v>0</v>
      </c>
      <c r="S14" s="20">
        <v>2895</v>
      </c>
      <c r="T14" s="20">
        <v>0</v>
      </c>
      <c r="U14" s="20">
        <v>121</v>
      </c>
      <c r="V14" s="20"/>
      <c r="W14" s="20"/>
      <c r="X14" s="20"/>
    </row>
    <row r="15" spans="1:24" s="18" customFormat="1" x14ac:dyDescent="0.3">
      <c r="A15" s="54" t="s">
        <v>93</v>
      </c>
      <c r="B15" s="20">
        <v>833652</v>
      </c>
      <c r="C15" s="20">
        <v>231812</v>
      </c>
      <c r="D15" s="20">
        <v>5023526</v>
      </c>
      <c r="E15" s="20">
        <v>362958</v>
      </c>
      <c r="F15" s="20">
        <v>628462</v>
      </c>
      <c r="G15" s="20">
        <v>450842</v>
      </c>
      <c r="H15" s="20">
        <v>244039</v>
      </c>
      <c r="I15" s="20">
        <v>663625</v>
      </c>
      <c r="J15" s="20">
        <v>701351</v>
      </c>
      <c r="K15" s="20">
        <v>1890893</v>
      </c>
      <c r="L15" s="20">
        <v>755145</v>
      </c>
      <c r="M15" s="20">
        <v>2494996</v>
      </c>
      <c r="N15" s="20">
        <v>1150962</v>
      </c>
      <c r="O15" s="20">
        <v>12601</v>
      </c>
      <c r="P15" s="20">
        <v>-55963</v>
      </c>
      <c r="Q15" s="20">
        <v>154995</v>
      </c>
      <c r="R15" s="20">
        <v>313</v>
      </c>
      <c r="S15" s="20">
        <v>400281</v>
      </c>
      <c r="T15" s="20">
        <v>-2536</v>
      </c>
      <c r="U15" s="20">
        <v>-12210</v>
      </c>
      <c r="V15" s="20"/>
      <c r="W15" s="20"/>
      <c r="X15" s="20"/>
    </row>
    <row r="16" spans="1:24" s="18" customFormat="1" x14ac:dyDescent="0.3">
      <c r="A16" s="54" t="s">
        <v>82</v>
      </c>
      <c r="B16" s="20">
        <f>B15-B14</f>
        <v>839851</v>
      </c>
      <c r="C16" s="20">
        <f t="shared" ref="C16:D16" si="2">C15-C14</f>
        <v>229000</v>
      </c>
      <c r="D16" s="20">
        <f t="shared" si="2"/>
        <v>5295248</v>
      </c>
      <c r="E16" s="20">
        <f>E15-E14</f>
        <v>362188</v>
      </c>
      <c r="F16" s="20">
        <f>F15-F14</f>
        <v>638281</v>
      </c>
      <c r="G16" s="20">
        <f>G15-G14</f>
        <v>448535</v>
      </c>
      <c r="H16" s="20">
        <f t="shared" ref="H16:U16" si="3">H15-H14</f>
        <v>266495</v>
      </c>
      <c r="I16" s="20">
        <f t="shared" si="3"/>
        <v>664190</v>
      </c>
      <c r="J16" s="20">
        <f t="shared" si="3"/>
        <v>687421</v>
      </c>
      <c r="K16" s="20">
        <f t="shared" si="3"/>
        <v>1869570</v>
      </c>
      <c r="L16" s="20">
        <f t="shared" si="3"/>
        <v>752420</v>
      </c>
      <c r="M16" s="20">
        <f t="shared" si="3"/>
        <v>2490515</v>
      </c>
      <c r="N16" s="20">
        <f t="shared" si="3"/>
        <v>1129319</v>
      </c>
      <c r="O16" s="20">
        <f t="shared" si="3"/>
        <v>9110</v>
      </c>
      <c r="P16" s="20">
        <f t="shared" si="3"/>
        <v>-55963</v>
      </c>
      <c r="Q16" s="20">
        <f t="shared" si="3"/>
        <v>152938</v>
      </c>
      <c r="R16" s="20">
        <f t="shared" si="3"/>
        <v>313</v>
      </c>
      <c r="S16" s="20">
        <f t="shared" si="3"/>
        <v>397386</v>
      </c>
      <c r="T16" s="20">
        <f t="shared" si="3"/>
        <v>-2536</v>
      </c>
      <c r="U16" s="20">
        <f t="shared" si="3"/>
        <v>-12331</v>
      </c>
      <c r="V16" s="20"/>
      <c r="W16" s="20"/>
      <c r="X16" s="20"/>
    </row>
    <row r="17" spans="1:24" x14ac:dyDescent="0.3">
      <c r="B17" s="27"/>
      <c r="C17" s="33"/>
      <c r="D17" s="27"/>
      <c r="E17" s="27"/>
      <c r="F17" s="27"/>
      <c r="G17" s="27"/>
      <c r="H17" s="27"/>
      <c r="I17" s="27"/>
      <c r="J17" s="27"/>
      <c r="K17" s="27"/>
      <c r="L17" s="27"/>
    </row>
    <row r="18" spans="1:24" x14ac:dyDescent="0.3">
      <c r="B18" s="27"/>
      <c r="C18" s="33"/>
      <c r="D18" s="27"/>
      <c r="E18" s="27"/>
      <c r="F18" s="27"/>
      <c r="G18" s="27"/>
      <c r="H18" s="27"/>
      <c r="I18" s="27"/>
      <c r="J18" s="27"/>
      <c r="K18" s="27"/>
      <c r="L18" s="27"/>
    </row>
    <row r="19" spans="1:24" x14ac:dyDescent="0.3">
      <c r="B19" s="27"/>
      <c r="C19" s="33"/>
      <c r="D19" s="27"/>
      <c r="E19" s="27"/>
      <c r="F19" s="27"/>
      <c r="G19" s="27"/>
      <c r="H19" s="27"/>
      <c r="I19" s="27"/>
      <c r="J19" s="27"/>
      <c r="K19" s="27"/>
      <c r="L19" s="27"/>
    </row>
    <row r="20" spans="1:24" x14ac:dyDescent="0.3">
      <c r="B20" s="33"/>
      <c r="C20" s="33"/>
      <c r="D20" s="27"/>
      <c r="E20" s="27"/>
      <c r="F20" s="33"/>
      <c r="G20" s="27"/>
      <c r="H20" s="33"/>
      <c r="I20" s="27"/>
      <c r="J20" s="33"/>
      <c r="K20" s="27"/>
      <c r="L20" s="33"/>
      <c r="M20" s="27"/>
      <c r="N20" s="33"/>
      <c r="O20" s="27"/>
      <c r="P20" s="27"/>
      <c r="Q20" s="33"/>
      <c r="R20" s="27"/>
      <c r="S20" s="33"/>
      <c r="T20" s="27"/>
      <c r="U20" s="33"/>
    </row>
    <row r="21" spans="1:24" x14ac:dyDescent="0.3">
      <c r="B21" s="27"/>
      <c r="C21" s="33"/>
      <c r="D21" s="27"/>
      <c r="E21" s="27"/>
      <c r="F21" s="27"/>
      <c r="G21" s="27"/>
      <c r="H21" s="27"/>
      <c r="I21" s="27"/>
      <c r="J21" s="27"/>
      <c r="K21" s="27"/>
      <c r="L21" s="27"/>
    </row>
    <row r="22" spans="1:24" s="24" customFormat="1" x14ac:dyDescent="0.3">
      <c r="A22" s="52"/>
      <c r="B22" s="27"/>
      <c r="C22" s="33"/>
      <c r="D22" s="27"/>
      <c r="E22" s="27"/>
      <c r="F22" s="27"/>
      <c r="G22" s="27"/>
      <c r="H22" s="27"/>
      <c r="I22" s="27"/>
      <c r="J22" s="27"/>
      <c r="K22" s="27"/>
      <c r="L22" s="27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s="24" customFormat="1" x14ac:dyDescent="0.3">
      <c r="A23" s="52"/>
      <c r="B23" s="27"/>
      <c r="C23" s="33"/>
      <c r="D23" s="27"/>
      <c r="E23" s="27"/>
      <c r="F23" s="27"/>
      <c r="G23" s="27"/>
      <c r="H23" s="27"/>
      <c r="I23" s="27"/>
      <c r="J23" s="27"/>
      <c r="K23" s="27"/>
      <c r="L23" s="27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s="24" customFormat="1" x14ac:dyDescent="0.3">
      <c r="A24" s="52"/>
      <c r="B24" s="27"/>
      <c r="C24" s="33"/>
      <c r="D24" s="27"/>
      <c r="E24" s="27"/>
      <c r="F24" s="27"/>
      <c r="G24" s="27"/>
      <c r="H24" s="27"/>
      <c r="I24" s="27"/>
      <c r="J24" s="27"/>
      <c r="K24" s="27"/>
      <c r="L24" s="27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s="24" customFormat="1" x14ac:dyDescent="0.3">
      <c r="A25" s="52"/>
      <c r="B25" s="27"/>
      <c r="C25" s="33"/>
      <c r="D25" s="27"/>
      <c r="E25" s="27"/>
      <c r="F25" s="27"/>
      <c r="G25" s="27"/>
      <c r="H25" s="27"/>
      <c r="I25" s="27"/>
      <c r="J25" s="27"/>
      <c r="K25" s="27"/>
      <c r="L25" s="27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s="24" customFormat="1" x14ac:dyDescent="0.3">
      <c r="A26" s="52"/>
      <c r="B26" s="27"/>
      <c r="C26" s="33"/>
      <c r="D26" s="27"/>
      <c r="E26" s="27"/>
      <c r="F26" s="27"/>
      <c r="G26" s="27"/>
      <c r="H26" s="27"/>
      <c r="I26" s="27"/>
      <c r="J26" s="27"/>
      <c r="K26" s="27"/>
      <c r="L26" s="27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s="24" customFormat="1" x14ac:dyDescent="0.3">
      <c r="A27" s="52"/>
      <c r="B27" s="27"/>
      <c r="C27" s="33"/>
      <c r="D27" s="27"/>
      <c r="E27" s="27"/>
      <c r="F27" s="27"/>
      <c r="G27" s="27"/>
      <c r="H27" s="27"/>
      <c r="I27" s="27"/>
      <c r="J27" s="27"/>
      <c r="K27" s="27"/>
      <c r="L27" s="27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s="24" customFormat="1" x14ac:dyDescent="0.3">
      <c r="A28" s="52"/>
      <c r="B28" s="27"/>
      <c r="C28" s="33"/>
      <c r="D28" s="27"/>
      <c r="E28" s="27"/>
      <c r="F28" s="27"/>
      <c r="G28" s="27"/>
      <c r="H28" s="27"/>
      <c r="I28" s="27"/>
      <c r="J28" s="27"/>
      <c r="K28" s="27"/>
      <c r="L28" s="27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s="24" customFormat="1" x14ac:dyDescent="0.3">
      <c r="A29" s="52"/>
      <c r="B29" s="27"/>
      <c r="C29" s="33"/>
      <c r="D29" s="27"/>
      <c r="E29" s="27"/>
      <c r="F29" s="27"/>
      <c r="G29" s="27"/>
      <c r="H29" s="27"/>
      <c r="I29" s="27"/>
      <c r="J29" s="27"/>
      <c r="K29" s="27"/>
      <c r="L29" s="27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s="24" customFormat="1" x14ac:dyDescent="0.3">
      <c r="A30" s="52"/>
      <c r="B30" s="27"/>
      <c r="C30" s="33"/>
      <c r="D30" s="27"/>
      <c r="E30" s="27"/>
      <c r="F30" s="27"/>
      <c r="G30" s="27"/>
      <c r="H30" s="27"/>
      <c r="I30" s="27"/>
      <c r="J30" s="27"/>
      <c r="K30" s="27"/>
      <c r="L30" s="27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s="24" customFormat="1" x14ac:dyDescent="0.3">
      <c r="A31" s="52"/>
      <c r="B31" s="27"/>
      <c r="C31" s="33"/>
      <c r="D31" s="27"/>
      <c r="E31" s="27"/>
      <c r="F31" s="27"/>
      <c r="G31" s="27"/>
      <c r="H31" s="27"/>
      <c r="I31" s="27"/>
      <c r="J31" s="27"/>
      <c r="K31" s="27"/>
      <c r="L31" s="27"/>
      <c r="O31" s="22"/>
      <c r="P31" s="22"/>
      <c r="Q31" s="22"/>
      <c r="R31" s="22"/>
      <c r="S31" s="22"/>
      <c r="T31" s="22"/>
      <c r="U31" s="22"/>
      <c r="V31" s="22"/>
      <c r="W31" s="22"/>
      <c r="X31" s="22"/>
    </row>
  </sheetData>
  <phoneticPr fontId="2" type="noConversion"/>
  <hyperlinks>
    <hyperlink ref="C1" r:id="rId1" xr:uid="{9AF168BA-16E1-4212-8E20-233716C52E82}"/>
    <hyperlink ref="D1" r:id="rId2" xr:uid="{B2CC0BED-7ED3-48E3-8D0A-BD8C37C1F0F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E0AC-E30E-436C-8488-55C647309CC6}">
  <dimension ref="A1:Y42"/>
  <sheetViews>
    <sheetView workbookViewId="0">
      <pane xSplit="1" topLeftCell="B1" activePane="topRight" state="frozen"/>
      <selection pane="topRight" activeCell="G21" sqref="G21"/>
    </sheetView>
  </sheetViews>
  <sheetFormatPr defaultRowHeight="16.2" x14ac:dyDescent="0.3"/>
  <cols>
    <col min="1" max="1" width="26.6640625" style="52" customWidth="1"/>
    <col min="2" max="2" width="17.5546875" style="37" customWidth="1"/>
    <col min="3" max="3" width="14.44140625" style="24" customWidth="1"/>
    <col min="4" max="4" width="20.5546875" style="36" customWidth="1"/>
    <col min="5" max="5" width="18.5546875" style="24" customWidth="1"/>
    <col min="6" max="6" width="12.21875" style="24" bestFit="1" customWidth="1"/>
    <col min="7" max="7" width="11.88671875" style="24" customWidth="1"/>
    <col min="8" max="9" width="13.6640625" style="24" customWidth="1"/>
    <col min="10" max="10" width="12.77734375" style="24" customWidth="1"/>
    <col min="11" max="11" width="12.109375" style="24" customWidth="1"/>
    <col min="12" max="12" width="15" style="24" customWidth="1"/>
    <col min="13" max="13" width="12.21875" style="24" bestFit="1" customWidth="1"/>
    <col min="14" max="14" width="12.77734375" style="24" customWidth="1"/>
    <col min="15" max="15" width="15.6640625" style="24" customWidth="1"/>
    <col min="16" max="16" width="12.109375" style="22" customWidth="1"/>
    <col min="17" max="17" width="11.77734375" style="22" customWidth="1"/>
    <col min="18" max="18" width="13.33203125" style="22" bestFit="1" customWidth="1"/>
    <col min="19" max="19" width="11.77734375" style="22" customWidth="1"/>
    <col min="20" max="20" width="13" style="22" customWidth="1"/>
    <col min="21" max="21" width="12.33203125" style="22" customWidth="1"/>
    <col min="22" max="22" width="11.44140625" style="22" customWidth="1"/>
    <col min="23" max="16384" width="8.88671875" style="22"/>
  </cols>
  <sheetData>
    <row r="1" spans="1:23" s="24" customFormat="1" x14ac:dyDescent="0.3">
      <c r="A1" s="73">
        <v>2019</v>
      </c>
      <c r="B1" s="74" t="s">
        <v>73</v>
      </c>
      <c r="C1" s="24" t="s">
        <v>69</v>
      </c>
      <c r="D1" s="32" t="s">
        <v>0</v>
      </c>
      <c r="E1" s="23" t="s">
        <v>14</v>
      </c>
      <c r="F1" s="24" t="s">
        <v>85</v>
      </c>
      <c r="G1" s="24" t="s">
        <v>95</v>
      </c>
      <c r="H1" s="24" t="s">
        <v>96</v>
      </c>
      <c r="I1" s="24" t="s">
        <v>97</v>
      </c>
      <c r="J1" s="24" t="s">
        <v>98</v>
      </c>
      <c r="K1" s="24" t="s">
        <v>99</v>
      </c>
      <c r="L1" s="24" t="s">
        <v>100</v>
      </c>
      <c r="M1" s="24" t="s">
        <v>101</v>
      </c>
      <c r="N1" s="24" t="s">
        <v>102</v>
      </c>
      <c r="O1" s="24" t="s">
        <v>110</v>
      </c>
      <c r="P1" s="24" t="s">
        <v>103</v>
      </c>
      <c r="Q1" s="24" t="s">
        <v>109</v>
      </c>
      <c r="R1" s="24" t="s">
        <v>104</v>
      </c>
      <c r="S1" s="24" t="s">
        <v>105</v>
      </c>
      <c r="T1" s="24" t="s">
        <v>106</v>
      </c>
      <c r="U1" s="24" t="s">
        <v>107</v>
      </c>
      <c r="V1" s="24" t="s">
        <v>108</v>
      </c>
    </row>
    <row r="2" spans="1:23" s="43" customFormat="1" ht="16.8" thickBot="1" x14ac:dyDescent="0.35">
      <c r="A2" s="50" t="s">
        <v>90</v>
      </c>
      <c r="B2" s="44"/>
      <c r="C2" s="46" t="s">
        <v>80</v>
      </c>
      <c r="D2" s="45" t="s">
        <v>15</v>
      </c>
      <c r="E2" s="43" t="s">
        <v>16</v>
      </c>
      <c r="F2" s="46" t="s">
        <v>86</v>
      </c>
      <c r="G2" s="46"/>
      <c r="H2" s="46"/>
      <c r="I2" s="46"/>
      <c r="J2" s="46"/>
      <c r="K2" s="46"/>
      <c r="L2" s="46"/>
      <c r="M2" s="46"/>
      <c r="N2" s="46"/>
      <c r="O2" s="46"/>
    </row>
    <row r="3" spans="1:23" s="40" customFormat="1" x14ac:dyDescent="0.3">
      <c r="A3" s="51" t="s">
        <v>91</v>
      </c>
      <c r="B3" s="41"/>
      <c r="C3" s="48">
        <v>0</v>
      </c>
      <c r="D3" s="42">
        <v>0</v>
      </c>
      <c r="E3" s="48">
        <v>0</v>
      </c>
      <c r="F3" s="48">
        <v>409</v>
      </c>
      <c r="G3" s="48">
        <v>0</v>
      </c>
      <c r="H3" s="48">
        <v>0</v>
      </c>
      <c r="I3" s="48">
        <v>737</v>
      </c>
      <c r="J3" s="48">
        <v>0</v>
      </c>
      <c r="K3" s="48">
        <v>0</v>
      </c>
      <c r="L3" s="48">
        <v>0</v>
      </c>
      <c r="M3" s="48">
        <v>0</v>
      </c>
      <c r="N3" s="68">
        <v>0</v>
      </c>
      <c r="O3" s="68">
        <v>0</v>
      </c>
      <c r="P3" s="69">
        <v>0</v>
      </c>
      <c r="Q3" s="40">
        <v>0</v>
      </c>
      <c r="R3" s="69">
        <v>0</v>
      </c>
      <c r="S3" s="69">
        <v>0</v>
      </c>
      <c r="T3" s="69">
        <v>0</v>
      </c>
      <c r="U3" s="69">
        <v>0</v>
      </c>
      <c r="V3" s="40">
        <v>0</v>
      </c>
      <c r="W3" s="69"/>
    </row>
    <row r="4" spans="1:23" s="40" customFormat="1" x14ac:dyDescent="0.3">
      <c r="A4" s="51" t="s">
        <v>75</v>
      </c>
      <c r="B4" s="41" t="s">
        <v>35</v>
      </c>
      <c r="C4" s="48">
        <v>845748</v>
      </c>
      <c r="D4" s="42">
        <f>1088310</f>
        <v>1088310</v>
      </c>
      <c r="E4" s="48">
        <v>5382516</v>
      </c>
      <c r="F4" s="48">
        <v>1368573</v>
      </c>
      <c r="G4" s="48">
        <v>1194180</v>
      </c>
      <c r="H4" s="48">
        <v>1705894</v>
      </c>
      <c r="I4" s="48">
        <v>723735</v>
      </c>
      <c r="J4" s="48">
        <v>1085406</v>
      </c>
      <c r="K4" s="48">
        <v>1537730</v>
      </c>
      <c r="L4" s="48">
        <v>2547138</v>
      </c>
      <c r="M4" s="48">
        <v>1535498</v>
      </c>
      <c r="N4" s="68">
        <v>3309937</v>
      </c>
      <c r="O4" s="68">
        <v>1663024</v>
      </c>
      <c r="P4" s="69">
        <v>335031</v>
      </c>
      <c r="Q4" s="69">
        <v>31578</v>
      </c>
      <c r="R4" s="69">
        <v>111744</v>
      </c>
      <c r="S4" s="69">
        <v>34067</v>
      </c>
      <c r="T4" s="69">
        <v>1014532</v>
      </c>
      <c r="U4" s="69">
        <v>0</v>
      </c>
      <c r="V4" s="69">
        <v>11400</v>
      </c>
      <c r="W4" s="69"/>
    </row>
    <row r="5" spans="1:23" s="59" customFormat="1" x14ac:dyDescent="0.3">
      <c r="A5" s="60" t="s">
        <v>40</v>
      </c>
      <c r="B5" s="61" t="s">
        <v>37</v>
      </c>
      <c r="C5" s="58"/>
      <c r="D5" s="57">
        <v>144715</v>
      </c>
      <c r="E5" s="58"/>
      <c r="F5" s="58"/>
      <c r="G5" s="58"/>
      <c r="H5" s="58"/>
      <c r="I5" s="58"/>
      <c r="J5" s="58"/>
      <c r="K5" s="58"/>
      <c r="L5" s="58"/>
      <c r="M5" s="58"/>
      <c r="N5" s="70"/>
      <c r="O5" s="70"/>
      <c r="P5" s="71"/>
      <c r="Q5" s="71"/>
      <c r="R5" s="71"/>
      <c r="S5" s="71"/>
      <c r="T5" s="71"/>
      <c r="U5" s="71"/>
      <c r="V5" s="71"/>
      <c r="W5" s="71"/>
    </row>
    <row r="6" spans="1:23" x14ac:dyDescent="0.3">
      <c r="A6" s="49" t="s">
        <v>39</v>
      </c>
      <c r="B6" s="38" t="s">
        <v>38</v>
      </c>
      <c r="C6" s="26">
        <v>42000</v>
      </c>
      <c r="D6" s="33">
        <v>180420</v>
      </c>
      <c r="E6" s="26">
        <v>224116</v>
      </c>
      <c r="F6" s="26">
        <v>15138</v>
      </c>
      <c r="G6" s="26">
        <v>35257</v>
      </c>
      <c r="H6" s="26">
        <v>40122</v>
      </c>
      <c r="I6" s="26">
        <v>10938</v>
      </c>
      <c r="J6" s="26">
        <v>15816</v>
      </c>
      <c r="K6" s="26">
        <v>39386</v>
      </c>
      <c r="L6" s="26">
        <v>65925</v>
      </c>
      <c r="M6" s="26">
        <v>21708</v>
      </c>
      <c r="N6" s="31">
        <v>68988</v>
      </c>
      <c r="O6" s="31">
        <v>24106</v>
      </c>
      <c r="P6" s="25">
        <v>4826</v>
      </c>
      <c r="Q6" s="69">
        <v>3974</v>
      </c>
      <c r="R6" s="25">
        <v>2674</v>
      </c>
      <c r="S6" s="25">
        <v>11155</v>
      </c>
      <c r="T6" s="25">
        <v>11904</v>
      </c>
      <c r="U6" s="25">
        <v>0</v>
      </c>
      <c r="V6" s="69">
        <v>145</v>
      </c>
      <c r="W6" s="25"/>
    </row>
    <row r="7" spans="1:23" x14ac:dyDescent="0.3">
      <c r="A7" s="49" t="s">
        <v>94</v>
      </c>
      <c r="B7" s="38"/>
      <c r="C7" s="26">
        <v>0</v>
      </c>
      <c r="D7" s="33">
        <v>0</v>
      </c>
      <c r="E7" s="26">
        <v>0</v>
      </c>
      <c r="F7" s="26">
        <v>1841</v>
      </c>
      <c r="G7" s="26">
        <v>0</v>
      </c>
      <c r="H7" s="26">
        <v>0</v>
      </c>
      <c r="I7" s="26">
        <v>315</v>
      </c>
      <c r="J7" s="26">
        <v>0</v>
      </c>
      <c r="K7" s="26">
        <v>2168</v>
      </c>
      <c r="L7" s="26">
        <v>0</v>
      </c>
      <c r="M7" s="26">
        <v>0</v>
      </c>
      <c r="N7" s="31">
        <v>0</v>
      </c>
      <c r="O7" s="31">
        <v>0</v>
      </c>
      <c r="P7" s="25">
        <v>0</v>
      </c>
      <c r="Q7" s="25">
        <v>87</v>
      </c>
      <c r="R7" s="25">
        <v>1150</v>
      </c>
      <c r="S7" s="25">
        <v>171</v>
      </c>
      <c r="T7" s="25">
        <v>6907</v>
      </c>
      <c r="U7" s="25">
        <v>0</v>
      </c>
      <c r="V7" s="25">
        <v>60</v>
      </c>
      <c r="W7" s="25"/>
    </row>
    <row r="8" spans="1:23" x14ac:dyDescent="0.3">
      <c r="A8" s="49" t="s">
        <v>47</v>
      </c>
      <c r="B8" s="37" t="s">
        <v>2</v>
      </c>
      <c r="C8" s="26">
        <v>1209664</v>
      </c>
      <c r="D8" s="33">
        <v>1195537</v>
      </c>
      <c r="E8" s="26">
        <f>7741726</f>
        <v>7741726</v>
      </c>
      <c r="F8" s="26">
        <v>1762890</v>
      </c>
      <c r="G8" s="26">
        <v>1291048</v>
      </c>
      <c r="H8" s="26">
        <v>2602582</v>
      </c>
      <c r="I8" s="26">
        <v>1295549</v>
      </c>
      <c r="J8" s="26">
        <v>1339907</v>
      </c>
      <c r="K8" s="26">
        <v>2032547</v>
      </c>
      <c r="L8" s="26">
        <v>3241421</v>
      </c>
      <c r="M8" s="26">
        <v>1586394</v>
      </c>
      <c r="N8" s="31">
        <v>3935900</v>
      </c>
      <c r="O8" s="31">
        <v>2585167</v>
      </c>
      <c r="P8" s="25">
        <v>582342</v>
      </c>
      <c r="Q8" s="25">
        <v>71173</v>
      </c>
      <c r="R8" s="25">
        <v>294390</v>
      </c>
      <c r="S8" s="25">
        <v>89161</v>
      </c>
      <c r="T8" s="25">
        <v>1052730</v>
      </c>
      <c r="U8" s="25">
        <v>3583</v>
      </c>
      <c r="V8" s="25">
        <v>48570</v>
      </c>
      <c r="W8" s="25"/>
    </row>
    <row r="9" spans="1:23" s="59" customFormat="1" x14ac:dyDescent="0.3">
      <c r="A9" s="60" t="s">
        <v>42</v>
      </c>
      <c r="B9" s="61" t="s">
        <v>41</v>
      </c>
      <c r="C9" s="58">
        <v>2942583</v>
      </c>
      <c r="D9" s="62">
        <v>4288748</v>
      </c>
      <c r="E9" s="58">
        <v>23377587</v>
      </c>
      <c r="F9" s="58"/>
      <c r="G9" s="58"/>
      <c r="H9" s="58"/>
      <c r="I9" s="58"/>
      <c r="J9" s="58"/>
      <c r="K9" s="58"/>
      <c r="L9" s="58"/>
      <c r="M9" s="58"/>
      <c r="N9" s="70"/>
      <c r="O9" s="70"/>
      <c r="P9" s="71"/>
      <c r="Q9" s="71"/>
      <c r="R9" s="71"/>
      <c r="S9" s="71"/>
      <c r="T9" s="71"/>
      <c r="U9" s="71"/>
      <c r="V9" s="71"/>
      <c r="W9" s="71"/>
    </row>
    <row r="10" spans="1:23" s="59" customFormat="1" x14ac:dyDescent="0.3">
      <c r="A10" s="60" t="s">
        <v>78</v>
      </c>
      <c r="B10" s="61" t="s">
        <v>77</v>
      </c>
      <c r="C10" s="58"/>
      <c r="D10" s="62">
        <v>34968</v>
      </c>
      <c r="E10" s="58">
        <f>248016+544-467991-7938</f>
        <v>-227369</v>
      </c>
      <c r="F10" s="58"/>
      <c r="G10" s="58"/>
      <c r="H10" s="58"/>
      <c r="I10" s="58"/>
      <c r="J10" s="58"/>
      <c r="K10" s="58"/>
      <c r="L10" s="58"/>
      <c r="M10" s="58"/>
      <c r="N10" s="70"/>
      <c r="O10" s="70"/>
      <c r="P10" s="71"/>
      <c r="Q10" s="71"/>
      <c r="R10" s="71"/>
      <c r="S10" s="71"/>
      <c r="T10" s="71"/>
      <c r="U10" s="71"/>
      <c r="V10" s="71"/>
      <c r="W10" s="71"/>
    </row>
    <row r="11" spans="1:23" s="59" customFormat="1" x14ac:dyDescent="0.3">
      <c r="A11" s="60" t="s">
        <v>36</v>
      </c>
      <c r="B11" s="61" t="s">
        <v>31</v>
      </c>
      <c r="C11" s="58">
        <v>149856</v>
      </c>
      <c r="D11" s="67">
        <v>218021</v>
      </c>
      <c r="E11" s="58">
        <v>1197630</v>
      </c>
      <c r="F11" s="58">
        <v>654978</v>
      </c>
      <c r="G11" s="58"/>
      <c r="H11" s="58"/>
      <c r="I11" s="58"/>
      <c r="J11" s="58"/>
      <c r="K11" s="58"/>
      <c r="L11" s="58"/>
      <c r="M11" s="58"/>
      <c r="N11" s="70"/>
      <c r="O11" s="70"/>
      <c r="P11" s="71"/>
      <c r="Q11" s="71"/>
      <c r="R11" s="71"/>
      <c r="S11" s="71"/>
      <c r="T11" s="71"/>
      <c r="U11" s="71"/>
      <c r="V11" s="71"/>
      <c r="W11" s="71"/>
    </row>
    <row r="12" spans="1:23" s="28" customFormat="1" x14ac:dyDescent="0.3">
      <c r="A12" s="53" t="s">
        <v>48</v>
      </c>
      <c r="B12" s="39" t="s">
        <v>12</v>
      </c>
      <c r="C12" s="29">
        <v>6226661</v>
      </c>
      <c r="D12" s="34">
        <v>7467764</v>
      </c>
      <c r="E12" s="29">
        <v>41843076</v>
      </c>
      <c r="F12" s="29">
        <v>8339236</v>
      </c>
      <c r="G12" s="29">
        <v>7772502</v>
      </c>
      <c r="H12" s="29">
        <v>12336679</v>
      </c>
      <c r="I12" s="29">
        <v>5299256</v>
      </c>
      <c r="J12" s="29">
        <v>6875054</v>
      </c>
      <c r="K12" s="29">
        <v>9833305</v>
      </c>
      <c r="L12" s="29">
        <v>18692441</v>
      </c>
      <c r="M12" s="29">
        <v>9073777</v>
      </c>
      <c r="N12" s="72">
        <v>23022786</v>
      </c>
      <c r="O12" s="72">
        <v>12923849</v>
      </c>
      <c r="P12" s="30">
        <v>2106802</v>
      </c>
      <c r="Q12" s="30">
        <v>127373</v>
      </c>
      <c r="R12" s="30">
        <v>966579</v>
      </c>
      <c r="S12" s="30">
        <v>233454</v>
      </c>
      <c r="T12" s="30">
        <v>3961672</v>
      </c>
      <c r="U12" s="30">
        <v>0</v>
      </c>
      <c r="V12" s="30">
        <v>72425</v>
      </c>
      <c r="W12" s="30"/>
    </row>
    <row r="13" spans="1:23" s="28" customFormat="1" x14ac:dyDescent="0.3">
      <c r="A13" s="53" t="s">
        <v>49</v>
      </c>
      <c r="B13" s="39" t="s">
        <v>3</v>
      </c>
      <c r="C13" s="29">
        <v>423433</v>
      </c>
      <c r="D13" s="35">
        <f>769640</f>
        <v>769640</v>
      </c>
      <c r="E13" s="29">
        <v>2261668</v>
      </c>
      <c r="F13" s="29">
        <v>337946</v>
      </c>
      <c r="G13" s="29">
        <v>472922</v>
      </c>
      <c r="H13" s="29">
        <v>464223</v>
      </c>
      <c r="I13" s="29">
        <v>234185</v>
      </c>
      <c r="J13" s="29">
        <v>404585</v>
      </c>
      <c r="K13" s="29">
        <v>400459</v>
      </c>
      <c r="L13" s="29">
        <v>717155</v>
      </c>
      <c r="M13" s="29">
        <v>805639</v>
      </c>
      <c r="N13" s="72">
        <v>1888472</v>
      </c>
      <c r="O13" s="72">
        <v>546492</v>
      </c>
      <c r="P13" s="30">
        <v>204191</v>
      </c>
      <c r="Q13" s="30">
        <v>94536</v>
      </c>
      <c r="R13" s="30">
        <v>255668</v>
      </c>
      <c r="S13" s="30">
        <v>96019</v>
      </c>
      <c r="T13" s="30">
        <v>1043026</v>
      </c>
      <c r="U13" s="30">
        <v>0</v>
      </c>
      <c r="V13" s="30">
        <v>4332</v>
      </c>
      <c r="W13" s="30"/>
    </row>
    <row r="14" spans="1:23" x14ac:dyDescent="0.3">
      <c r="A14" s="52" t="s">
        <v>74</v>
      </c>
      <c r="B14" s="37" t="s">
        <v>1</v>
      </c>
      <c r="C14" s="26">
        <v>2023010</v>
      </c>
      <c r="D14" s="33">
        <f>3490003</f>
        <v>3490003</v>
      </c>
      <c r="E14" s="26">
        <v>11029907</v>
      </c>
      <c r="F14" s="26">
        <v>1932041</v>
      </c>
      <c r="G14" s="26">
        <v>2929907</v>
      </c>
      <c r="H14" s="26">
        <v>4120534</v>
      </c>
      <c r="I14" s="26">
        <v>2148453</v>
      </c>
      <c r="J14" s="26">
        <v>1925618</v>
      </c>
      <c r="K14" s="26">
        <v>3231917</v>
      </c>
      <c r="L14" s="26">
        <v>4422098</v>
      </c>
      <c r="M14" s="26">
        <v>3188045</v>
      </c>
      <c r="N14" s="31">
        <v>5548421</v>
      </c>
      <c r="O14" s="31">
        <v>3110052</v>
      </c>
      <c r="P14" s="25">
        <v>653871</v>
      </c>
      <c r="Q14" s="25">
        <v>131971</v>
      </c>
      <c r="R14" s="25">
        <v>904020</v>
      </c>
      <c r="S14" s="25">
        <v>265171</v>
      </c>
      <c r="T14" s="25">
        <v>2551341</v>
      </c>
      <c r="U14" s="25">
        <v>0</v>
      </c>
      <c r="V14" s="25">
        <v>40275</v>
      </c>
      <c r="W14" s="25"/>
    </row>
    <row r="15" spans="1:23" s="28" customFormat="1" x14ac:dyDescent="0.3">
      <c r="A15" s="53" t="s">
        <v>51</v>
      </c>
      <c r="B15" s="39" t="s">
        <v>33</v>
      </c>
      <c r="C15" s="29">
        <v>238569</v>
      </c>
      <c r="D15" s="34">
        <v>564965</v>
      </c>
      <c r="E15" s="29">
        <v>1347127</v>
      </c>
      <c r="F15" s="29">
        <v>353929</v>
      </c>
      <c r="G15" s="29">
        <v>547966</v>
      </c>
      <c r="H15" s="29">
        <v>555733</v>
      </c>
      <c r="I15" s="29">
        <v>684537</v>
      </c>
      <c r="J15" s="29">
        <v>287665</v>
      </c>
      <c r="K15" s="29">
        <v>586449</v>
      </c>
      <c r="L15" s="29">
        <v>406913</v>
      </c>
      <c r="M15" s="29">
        <v>636474</v>
      </c>
      <c r="N15" s="72">
        <v>538028</v>
      </c>
      <c r="O15" s="72">
        <v>536063</v>
      </c>
      <c r="P15" s="30">
        <v>88226</v>
      </c>
      <c r="Q15" s="30">
        <v>39126</v>
      </c>
      <c r="R15" s="30">
        <v>324805</v>
      </c>
      <c r="S15" s="30">
        <v>83606</v>
      </c>
      <c r="T15" s="30">
        <v>889620</v>
      </c>
      <c r="U15" s="30">
        <v>0</v>
      </c>
      <c r="V15" s="30">
        <v>7117</v>
      </c>
      <c r="W15" s="30"/>
    </row>
    <row r="16" spans="1:23" s="28" customFormat="1" x14ac:dyDescent="0.3">
      <c r="A16" s="53" t="s">
        <v>76</v>
      </c>
      <c r="B16" s="39" t="s">
        <v>34</v>
      </c>
      <c r="C16" s="29">
        <v>56785</v>
      </c>
      <c r="D16" s="34">
        <v>74624</v>
      </c>
      <c r="E16" s="28">
        <v>0</v>
      </c>
      <c r="F16" s="29">
        <v>11327</v>
      </c>
      <c r="G16" s="29">
        <v>17316</v>
      </c>
      <c r="H16" s="29">
        <v>46078</v>
      </c>
      <c r="I16" s="29">
        <v>6410</v>
      </c>
      <c r="J16" s="29">
        <v>24477</v>
      </c>
      <c r="K16" s="29">
        <v>0</v>
      </c>
      <c r="L16" s="29">
        <v>35611</v>
      </c>
      <c r="M16" s="29">
        <v>23024</v>
      </c>
      <c r="N16" s="72">
        <v>42475</v>
      </c>
      <c r="O16" s="72">
        <v>14632</v>
      </c>
      <c r="P16" s="30">
        <v>17987</v>
      </c>
      <c r="Q16" s="30">
        <v>0</v>
      </c>
      <c r="R16" s="30">
        <v>5408</v>
      </c>
      <c r="S16" s="30">
        <v>0</v>
      </c>
      <c r="T16" s="30">
        <v>19575</v>
      </c>
      <c r="U16" s="30">
        <v>0</v>
      </c>
      <c r="V16" s="30">
        <v>2634</v>
      </c>
      <c r="W16" s="30"/>
    </row>
    <row r="17" spans="1:25" s="59" customFormat="1" x14ac:dyDescent="0.3">
      <c r="A17" s="55" t="s">
        <v>46</v>
      </c>
      <c r="B17" s="56" t="s">
        <v>43</v>
      </c>
      <c r="C17" s="58">
        <v>580246</v>
      </c>
      <c r="D17" s="57">
        <v>1508631</v>
      </c>
      <c r="E17" s="58">
        <v>5271095</v>
      </c>
      <c r="F17" s="58"/>
      <c r="G17" s="58"/>
      <c r="H17" s="58"/>
      <c r="I17" s="58"/>
      <c r="J17" s="58"/>
      <c r="K17" s="58"/>
      <c r="L17" s="58"/>
      <c r="M17" s="58"/>
      <c r="N17" s="70"/>
      <c r="O17" s="70"/>
      <c r="P17" s="71"/>
      <c r="Q17" s="71"/>
      <c r="R17" s="71"/>
      <c r="S17" s="71"/>
      <c r="T17" s="71"/>
      <c r="U17" s="71"/>
      <c r="V17" s="71"/>
      <c r="W17" s="71"/>
    </row>
    <row r="18" spans="1:25" s="59" customFormat="1" x14ac:dyDescent="0.3">
      <c r="A18" s="55" t="s">
        <v>50</v>
      </c>
      <c r="B18" s="56" t="s">
        <v>32</v>
      </c>
      <c r="C18" s="57">
        <f>C12+C13-C14-C11</f>
        <v>4477228</v>
      </c>
      <c r="D18" s="57">
        <f>D12+D13-D14-D11</f>
        <v>4529380</v>
      </c>
      <c r="E18" s="57">
        <f>E12+E13-E14-E11</f>
        <v>31877207</v>
      </c>
      <c r="F18" s="57">
        <f>F12+F13-F14-F11</f>
        <v>6090163</v>
      </c>
      <c r="G18" s="58"/>
      <c r="H18" s="58"/>
      <c r="I18" s="58"/>
      <c r="J18" s="58"/>
      <c r="K18" s="58"/>
      <c r="L18" s="58"/>
      <c r="M18" s="58"/>
      <c r="N18" s="70"/>
      <c r="O18" s="70"/>
      <c r="P18" s="71"/>
      <c r="Q18" s="71"/>
      <c r="R18" s="71"/>
      <c r="S18" s="71"/>
      <c r="T18" s="71"/>
      <c r="U18" s="71"/>
      <c r="V18" s="71"/>
      <c r="W18" s="71"/>
    </row>
    <row r="19" spans="1:25" s="59" customFormat="1" x14ac:dyDescent="0.3">
      <c r="A19" s="60" t="s">
        <v>45</v>
      </c>
      <c r="B19" s="61" t="s">
        <v>44</v>
      </c>
      <c r="C19" s="62">
        <f>C9-C17</f>
        <v>2362337</v>
      </c>
      <c r="D19" s="62">
        <f>D9-D17</f>
        <v>2780117</v>
      </c>
      <c r="E19" s="62">
        <f>E9-E17</f>
        <v>18106492</v>
      </c>
      <c r="F19" s="62">
        <f>F9-F17</f>
        <v>0</v>
      </c>
      <c r="G19" s="58"/>
      <c r="H19" s="58"/>
      <c r="I19" s="58"/>
      <c r="J19" s="58"/>
      <c r="K19" s="58"/>
      <c r="L19" s="58"/>
      <c r="M19" s="58"/>
      <c r="N19" s="70"/>
      <c r="O19" s="70"/>
      <c r="P19" s="71"/>
      <c r="Q19" s="71"/>
      <c r="R19" s="71"/>
      <c r="S19" s="71"/>
      <c r="T19" s="71"/>
      <c r="U19" s="71"/>
      <c r="V19" s="71"/>
      <c r="W19" s="71"/>
    </row>
    <row r="20" spans="1:25" s="59" customFormat="1" x14ac:dyDescent="0.3">
      <c r="A20" s="60" t="s">
        <v>88</v>
      </c>
      <c r="B20" s="61"/>
      <c r="C20" s="62">
        <v>321</v>
      </c>
      <c r="D20" s="62">
        <v>0</v>
      </c>
      <c r="E20" s="62"/>
      <c r="F20" s="62">
        <v>433</v>
      </c>
      <c r="G20" s="58"/>
      <c r="H20" s="58"/>
      <c r="I20" s="58"/>
      <c r="J20" s="58"/>
      <c r="K20" s="58"/>
      <c r="L20" s="58"/>
      <c r="M20" s="58"/>
      <c r="N20" s="70"/>
      <c r="O20" s="70"/>
      <c r="P20" s="71"/>
      <c r="Q20" s="71"/>
      <c r="R20" s="71"/>
      <c r="S20" s="71"/>
      <c r="T20" s="71"/>
      <c r="U20" s="71"/>
      <c r="V20" s="71"/>
      <c r="W20" s="71"/>
    </row>
    <row r="21" spans="1:25" s="59" customFormat="1" x14ac:dyDescent="0.3">
      <c r="A21" s="60" t="s">
        <v>87</v>
      </c>
      <c r="B21" s="61"/>
      <c r="C21" s="62">
        <v>5200892</v>
      </c>
      <c r="D21" s="62">
        <v>5508352</v>
      </c>
      <c r="E21" s="62"/>
      <c r="F21" s="62">
        <v>6764949</v>
      </c>
      <c r="G21" s="58"/>
      <c r="H21" s="58"/>
      <c r="I21" s="58"/>
      <c r="J21" s="58"/>
      <c r="K21" s="58"/>
      <c r="L21" s="58"/>
      <c r="M21" s="58"/>
      <c r="N21" s="70"/>
      <c r="O21" s="70"/>
      <c r="P21" s="71"/>
      <c r="Q21" s="71"/>
      <c r="R21" s="71"/>
      <c r="S21" s="71"/>
      <c r="T21" s="71"/>
      <c r="U21" s="71"/>
      <c r="V21" s="71"/>
      <c r="W21" s="71"/>
    </row>
    <row r="22" spans="1:25" s="59" customFormat="1" hidden="1" x14ac:dyDescent="0.3">
      <c r="A22" s="55" t="s">
        <v>79</v>
      </c>
      <c r="B22" s="56"/>
      <c r="C22" s="57">
        <v>0</v>
      </c>
      <c r="D22" s="57">
        <v>-104084</v>
      </c>
      <c r="E22" s="57">
        <v>2743245</v>
      </c>
      <c r="F22" s="57">
        <v>0</v>
      </c>
      <c r="G22" s="58"/>
      <c r="H22" s="58"/>
      <c r="I22" s="58"/>
      <c r="J22" s="58"/>
      <c r="K22" s="58"/>
      <c r="L22" s="58"/>
      <c r="M22" s="58"/>
      <c r="N22" s="70"/>
      <c r="O22" s="70"/>
      <c r="P22" s="71"/>
      <c r="Q22" s="71"/>
      <c r="R22" s="71"/>
      <c r="S22" s="71"/>
      <c r="T22" s="71"/>
      <c r="U22" s="71"/>
      <c r="V22" s="71"/>
      <c r="W22" s="71"/>
    </row>
    <row r="23" spans="1:25" s="18" customFormat="1" x14ac:dyDescent="0.3">
      <c r="A23" s="54" t="s">
        <v>53</v>
      </c>
      <c r="B23" s="21" t="s">
        <v>13</v>
      </c>
      <c r="C23" s="19">
        <f>427989</f>
        <v>427989</v>
      </c>
      <c r="D23" s="20">
        <v>339383</v>
      </c>
      <c r="E23" s="19">
        <v>3228069</v>
      </c>
      <c r="F23" s="19">
        <v>309097</v>
      </c>
      <c r="G23" s="19">
        <v>319848</v>
      </c>
      <c r="H23" s="19">
        <v>382617</v>
      </c>
      <c r="I23" s="19">
        <v>236632</v>
      </c>
      <c r="J23" s="19">
        <v>390683</v>
      </c>
      <c r="K23" s="19">
        <v>433263</v>
      </c>
      <c r="L23" s="19">
        <v>701324</v>
      </c>
      <c r="M23" s="19">
        <v>436718</v>
      </c>
      <c r="N23" s="19">
        <v>978938</v>
      </c>
      <c r="O23" s="19">
        <v>483836</v>
      </c>
      <c r="P23" s="19">
        <v>108409</v>
      </c>
      <c r="Q23" s="19">
        <v>853</v>
      </c>
      <c r="R23" s="19">
        <v>16545</v>
      </c>
      <c r="S23" s="19">
        <v>181</v>
      </c>
      <c r="T23" s="19">
        <v>31080</v>
      </c>
      <c r="U23" s="19">
        <v>798</v>
      </c>
      <c r="V23" s="19">
        <v>1679</v>
      </c>
      <c r="W23" s="19"/>
      <c r="X23" s="19"/>
      <c r="Y23" s="19"/>
    </row>
    <row r="24" spans="1:25" s="18" customFormat="1" x14ac:dyDescent="0.3">
      <c r="A24" s="54" t="s">
        <v>52</v>
      </c>
      <c r="B24" s="21" t="s">
        <v>4</v>
      </c>
      <c r="C24" s="20">
        <f>C27-C23</f>
        <v>411862</v>
      </c>
      <c r="D24" s="20">
        <f>D27-D23</f>
        <v>-110383</v>
      </c>
      <c r="E24" s="20">
        <f>E27-E23</f>
        <v>2067179</v>
      </c>
      <c r="F24" s="20">
        <f>F27-F23</f>
        <v>53091</v>
      </c>
      <c r="G24" s="20">
        <f>G27-G23</f>
        <v>318433</v>
      </c>
      <c r="H24" s="20">
        <f>H27-H23</f>
        <v>65918</v>
      </c>
      <c r="I24" s="20">
        <f t="shared" ref="I24:R24" si="0">I27-I23</f>
        <v>29863</v>
      </c>
      <c r="J24" s="20">
        <f t="shared" si="0"/>
        <v>273507</v>
      </c>
      <c r="K24" s="20">
        <f t="shared" si="0"/>
        <v>254158</v>
      </c>
      <c r="L24" s="20">
        <f t="shared" si="0"/>
        <v>1168246</v>
      </c>
      <c r="M24" s="20">
        <f t="shared" si="0"/>
        <v>315702</v>
      </c>
      <c r="N24" s="20">
        <f t="shared" si="0"/>
        <v>1511577</v>
      </c>
      <c r="O24" s="20">
        <f t="shared" si="0"/>
        <v>645483</v>
      </c>
      <c r="P24" s="20">
        <f t="shared" si="0"/>
        <v>-99299</v>
      </c>
      <c r="Q24" s="20">
        <f t="shared" ref="Q24" si="1">Q27-Q23</f>
        <v>-56816</v>
      </c>
      <c r="R24" s="20">
        <f t="shared" si="0"/>
        <v>136393</v>
      </c>
      <c r="S24" s="20">
        <f>S27-S23</f>
        <v>132</v>
      </c>
      <c r="T24" s="20">
        <f t="shared" ref="T24" si="2">T27-T23</f>
        <v>366306</v>
      </c>
      <c r="U24" s="20">
        <f t="shared" ref="U24" si="3">U27-U23</f>
        <v>-3334</v>
      </c>
      <c r="V24" s="20">
        <f t="shared" ref="V24" si="4">V27-V23</f>
        <v>-14010</v>
      </c>
      <c r="W24" s="20"/>
      <c r="X24" s="20"/>
      <c r="Y24" s="20"/>
    </row>
    <row r="25" spans="1:25" s="18" customFormat="1" x14ac:dyDescent="0.3">
      <c r="A25" s="54" t="s">
        <v>92</v>
      </c>
      <c r="B25" s="21" t="s">
        <v>81</v>
      </c>
      <c r="C25" s="20">
        <v>-6199</v>
      </c>
      <c r="D25" s="20">
        <v>2812</v>
      </c>
      <c r="E25" s="20">
        <v>-271722</v>
      </c>
      <c r="F25" s="20">
        <v>770</v>
      </c>
      <c r="G25" s="20">
        <v>-9819</v>
      </c>
      <c r="H25" s="20">
        <v>2307</v>
      </c>
      <c r="I25" s="20">
        <v>-22456</v>
      </c>
      <c r="J25" s="20">
        <v>-565</v>
      </c>
      <c r="K25" s="20">
        <v>13930</v>
      </c>
      <c r="L25" s="20">
        <v>21323</v>
      </c>
      <c r="M25" s="20">
        <v>2725</v>
      </c>
      <c r="N25" s="20">
        <v>4481</v>
      </c>
      <c r="O25" s="20">
        <v>21643</v>
      </c>
      <c r="P25" s="20">
        <v>3491</v>
      </c>
      <c r="Q25" s="20">
        <v>0</v>
      </c>
      <c r="R25" s="20">
        <v>2057</v>
      </c>
      <c r="S25" s="20">
        <v>0</v>
      </c>
      <c r="T25" s="20">
        <v>2895</v>
      </c>
      <c r="U25" s="20">
        <v>0</v>
      </c>
      <c r="V25" s="20">
        <v>121</v>
      </c>
      <c r="W25" s="20"/>
      <c r="X25" s="20"/>
      <c r="Y25" s="20"/>
    </row>
    <row r="26" spans="1:25" s="18" customFormat="1" x14ac:dyDescent="0.3">
      <c r="A26" s="54" t="s">
        <v>93</v>
      </c>
      <c r="B26" s="21"/>
      <c r="C26" s="20">
        <v>833652</v>
      </c>
      <c r="D26" s="20">
        <v>231812</v>
      </c>
      <c r="E26" s="20">
        <v>5023526</v>
      </c>
      <c r="F26" s="20">
        <v>362958</v>
      </c>
      <c r="G26" s="20">
        <v>628462</v>
      </c>
      <c r="H26" s="20">
        <v>450842</v>
      </c>
      <c r="I26" s="20">
        <v>244039</v>
      </c>
      <c r="J26" s="20">
        <v>663625</v>
      </c>
      <c r="K26" s="20">
        <v>701351</v>
      </c>
      <c r="L26" s="20">
        <v>1890893</v>
      </c>
      <c r="M26" s="20">
        <v>755145</v>
      </c>
      <c r="N26" s="20">
        <v>2494996</v>
      </c>
      <c r="O26" s="20">
        <v>1150962</v>
      </c>
      <c r="P26" s="20">
        <v>12601</v>
      </c>
      <c r="Q26" s="20">
        <v>-55963</v>
      </c>
      <c r="R26" s="20">
        <v>154995</v>
      </c>
      <c r="S26" s="20">
        <v>313</v>
      </c>
      <c r="T26" s="20">
        <v>400281</v>
      </c>
      <c r="U26" s="20">
        <v>-2536</v>
      </c>
      <c r="V26" s="20">
        <v>-12210</v>
      </c>
      <c r="W26" s="20"/>
      <c r="X26" s="20"/>
      <c r="Y26" s="20"/>
    </row>
    <row r="27" spans="1:25" s="18" customFormat="1" x14ac:dyDescent="0.3">
      <c r="A27" s="54" t="s">
        <v>82</v>
      </c>
      <c r="B27" s="21" t="s">
        <v>81</v>
      </c>
      <c r="C27" s="20">
        <f>C26-C25</f>
        <v>839851</v>
      </c>
      <c r="D27" s="20">
        <f t="shared" ref="D27:E27" si="5">D26-D25</f>
        <v>229000</v>
      </c>
      <c r="E27" s="20">
        <f t="shared" si="5"/>
        <v>5295248</v>
      </c>
      <c r="F27" s="20">
        <f>F26-F25</f>
        <v>362188</v>
      </c>
      <c r="G27" s="20">
        <f>G26-G25</f>
        <v>638281</v>
      </c>
      <c r="H27" s="20">
        <f>H26-H25</f>
        <v>448535</v>
      </c>
      <c r="I27" s="20">
        <f t="shared" ref="I27:R27" si="6">I26-I25</f>
        <v>266495</v>
      </c>
      <c r="J27" s="20">
        <f t="shared" si="6"/>
        <v>664190</v>
      </c>
      <c r="K27" s="20">
        <f t="shared" si="6"/>
        <v>687421</v>
      </c>
      <c r="L27" s="20">
        <f t="shared" si="6"/>
        <v>1869570</v>
      </c>
      <c r="M27" s="20">
        <f t="shared" si="6"/>
        <v>752420</v>
      </c>
      <c r="N27" s="20">
        <f t="shared" si="6"/>
        <v>2490515</v>
      </c>
      <c r="O27" s="20">
        <f t="shared" si="6"/>
        <v>1129319</v>
      </c>
      <c r="P27" s="20">
        <f t="shared" si="6"/>
        <v>9110</v>
      </c>
      <c r="Q27" s="20">
        <f t="shared" ref="Q27" si="7">Q26-Q25</f>
        <v>-55963</v>
      </c>
      <c r="R27" s="20">
        <f t="shared" si="6"/>
        <v>152938</v>
      </c>
      <c r="S27" s="20">
        <f t="shared" ref="S27" si="8">S26-S25</f>
        <v>313</v>
      </c>
      <c r="T27" s="20">
        <f t="shared" ref="T27" si="9">T26-T25</f>
        <v>397386</v>
      </c>
      <c r="U27" s="20">
        <f t="shared" ref="U27" si="10">U26-U25</f>
        <v>-2536</v>
      </c>
      <c r="V27" s="20">
        <f t="shared" ref="V27" si="11">V26-V25</f>
        <v>-12331</v>
      </c>
      <c r="W27" s="20"/>
      <c r="X27" s="20"/>
      <c r="Y27" s="20"/>
    </row>
    <row r="28" spans="1:25" x14ac:dyDescent="0.3">
      <c r="C28" s="27"/>
      <c r="D28" s="33"/>
      <c r="E28" s="27"/>
      <c r="F28" s="27"/>
      <c r="G28" s="27"/>
      <c r="H28" s="27"/>
      <c r="I28" s="27"/>
      <c r="J28" s="27"/>
      <c r="K28" s="27"/>
      <c r="L28" s="27"/>
      <c r="M28" s="27"/>
    </row>
    <row r="29" spans="1:25" x14ac:dyDescent="0.3">
      <c r="C29" s="27"/>
      <c r="D29" s="33"/>
      <c r="E29" s="27"/>
      <c r="F29" s="27"/>
      <c r="G29" s="27"/>
      <c r="H29" s="27"/>
      <c r="I29" s="27"/>
      <c r="J29" s="27"/>
      <c r="K29" s="27"/>
      <c r="L29" s="27"/>
      <c r="M29" s="27"/>
    </row>
    <row r="30" spans="1:25" x14ac:dyDescent="0.3">
      <c r="C30" s="27"/>
      <c r="D30" s="33"/>
      <c r="E30" s="27"/>
      <c r="F30" s="27"/>
      <c r="G30" s="27"/>
      <c r="H30" s="27"/>
      <c r="I30" s="27"/>
      <c r="J30" s="27"/>
      <c r="K30" s="27"/>
      <c r="L30" s="27"/>
      <c r="M30" s="27"/>
    </row>
    <row r="31" spans="1:25" x14ac:dyDescent="0.3">
      <c r="C31" s="33"/>
      <c r="D31" s="33"/>
      <c r="E31" s="27"/>
      <c r="F31" s="27"/>
      <c r="G31" s="33"/>
      <c r="H31" s="27"/>
      <c r="I31" s="33"/>
      <c r="J31" s="27"/>
      <c r="K31" s="33"/>
      <c r="L31" s="27"/>
      <c r="M31" s="33"/>
      <c r="N31" s="27"/>
      <c r="O31" s="33"/>
      <c r="P31" s="27"/>
      <c r="Q31" s="27"/>
      <c r="R31" s="33"/>
      <c r="S31" s="27"/>
      <c r="T31" s="33"/>
      <c r="U31" s="27"/>
      <c r="V31" s="33"/>
    </row>
    <row r="32" spans="1:25" x14ac:dyDescent="0.3">
      <c r="C32" s="27"/>
      <c r="D32" s="33"/>
      <c r="E32" s="27"/>
      <c r="F32" s="27"/>
      <c r="G32" s="27"/>
      <c r="H32" s="27"/>
      <c r="I32" s="27"/>
      <c r="J32" s="27"/>
      <c r="K32" s="27"/>
      <c r="L32" s="27"/>
      <c r="M32" s="27"/>
    </row>
    <row r="33" spans="3:13" x14ac:dyDescent="0.3">
      <c r="C33" s="27"/>
      <c r="D33" s="33"/>
      <c r="E33" s="27"/>
      <c r="F33" s="27"/>
      <c r="G33" s="27"/>
      <c r="H33" s="27"/>
      <c r="I33" s="27"/>
      <c r="J33" s="27"/>
      <c r="K33" s="27"/>
      <c r="L33" s="27"/>
      <c r="M33" s="27"/>
    </row>
    <row r="34" spans="3:13" x14ac:dyDescent="0.3">
      <c r="C34" s="27"/>
      <c r="D34" s="33"/>
      <c r="E34" s="27"/>
      <c r="F34" s="27"/>
      <c r="G34" s="27"/>
      <c r="H34" s="27"/>
      <c r="I34" s="27"/>
      <c r="J34" s="27"/>
      <c r="K34" s="27"/>
      <c r="L34" s="27"/>
      <c r="M34" s="27"/>
    </row>
    <row r="35" spans="3:13" x14ac:dyDescent="0.3">
      <c r="C35" s="27"/>
      <c r="D35" s="33"/>
      <c r="E35" s="27"/>
      <c r="F35" s="27"/>
      <c r="G35" s="27"/>
      <c r="H35" s="27"/>
      <c r="I35" s="27"/>
      <c r="J35" s="27"/>
      <c r="K35" s="27"/>
      <c r="L35" s="27"/>
      <c r="M35" s="27"/>
    </row>
    <row r="36" spans="3:13" x14ac:dyDescent="0.3">
      <c r="C36" s="27"/>
      <c r="D36" s="33"/>
      <c r="E36" s="27"/>
      <c r="F36" s="27"/>
      <c r="G36" s="27"/>
      <c r="H36" s="27"/>
      <c r="I36" s="27"/>
      <c r="J36" s="27"/>
      <c r="K36" s="27"/>
      <c r="L36" s="27"/>
      <c r="M36" s="27"/>
    </row>
    <row r="37" spans="3:13" x14ac:dyDescent="0.3">
      <c r="C37" s="27"/>
      <c r="D37" s="33"/>
      <c r="E37" s="27"/>
      <c r="F37" s="27"/>
      <c r="G37" s="27"/>
      <c r="H37" s="27"/>
      <c r="I37" s="27"/>
      <c r="J37" s="27"/>
      <c r="K37" s="27"/>
      <c r="L37" s="27"/>
      <c r="M37" s="27"/>
    </row>
    <row r="38" spans="3:13" x14ac:dyDescent="0.3">
      <c r="C38" s="27"/>
      <c r="D38" s="33"/>
      <c r="E38" s="27"/>
      <c r="F38" s="27"/>
      <c r="G38" s="27"/>
      <c r="H38" s="27"/>
      <c r="I38" s="27"/>
      <c r="J38" s="27"/>
      <c r="K38" s="27"/>
      <c r="L38" s="27"/>
      <c r="M38" s="27"/>
    </row>
    <row r="39" spans="3:13" x14ac:dyDescent="0.3">
      <c r="C39" s="27"/>
      <c r="D39" s="33"/>
      <c r="E39" s="27"/>
      <c r="F39" s="27"/>
      <c r="G39" s="27"/>
      <c r="H39" s="27"/>
      <c r="I39" s="27"/>
      <c r="J39" s="27"/>
      <c r="K39" s="27"/>
      <c r="L39" s="27"/>
      <c r="M39" s="27"/>
    </row>
    <row r="40" spans="3:13" x14ac:dyDescent="0.3">
      <c r="C40" s="27"/>
      <c r="D40" s="33"/>
      <c r="E40" s="27"/>
      <c r="F40" s="27"/>
      <c r="G40" s="27"/>
      <c r="H40" s="27"/>
      <c r="I40" s="27"/>
      <c r="J40" s="27"/>
      <c r="K40" s="27"/>
      <c r="L40" s="27"/>
      <c r="M40" s="27"/>
    </row>
    <row r="41" spans="3:13" x14ac:dyDescent="0.3">
      <c r="C41" s="27"/>
      <c r="D41" s="33"/>
      <c r="E41" s="27"/>
      <c r="F41" s="27"/>
      <c r="G41" s="27"/>
      <c r="H41" s="27"/>
      <c r="I41" s="27"/>
      <c r="J41" s="27"/>
      <c r="K41" s="27"/>
      <c r="L41" s="27"/>
      <c r="M41" s="27"/>
    </row>
    <row r="42" spans="3:13" x14ac:dyDescent="0.3">
      <c r="C42" s="27"/>
      <c r="D42" s="33"/>
      <c r="E42" s="27"/>
      <c r="F42" s="27"/>
      <c r="G42" s="27"/>
      <c r="H42" s="27"/>
      <c r="I42" s="27"/>
      <c r="J42" s="27"/>
      <c r="K42" s="27"/>
      <c r="L42" s="27"/>
      <c r="M42" s="27"/>
    </row>
  </sheetData>
  <phoneticPr fontId="2" type="noConversion"/>
  <hyperlinks>
    <hyperlink ref="D1" r:id="rId1" xr:uid="{6C6D28E6-F7A0-4B10-94EC-5DB9EECE62B1}"/>
    <hyperlink ref="E1" r:id="rId2" xr:uid="{A100D4F1-E205-447A-98AA-19651D6CE06C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F62D-E1A5-49DB-9A1B-66556C7A3B7C}">
  <dimension ref="A1:P25"/>
  <sheetViews>
    <sheetView tabSelected="1" workbookViewId="0">
      <pane xSplit="1" topLeftCell="B1" activePane="topRight" state="frozen"/>
      <selection pane="topRight"/>
    </sheetView>
  </sheetViews>
  <sheetFormatPr defaultRowHeight="16.2" x14ac:dyDescent="0.3"/>
  <cols>
    <col min="1" max="1" width="23.6640625" customWidth="1"/>
    <col min="2" max="2" width="20.6640625" style="3" customWidth="1"/>
    <col min="3" max="3" width="17.109375" customWidth="1"/>
    <col min="4" max="4" width="15.109375" customWidth="1"/>
    <col min="5" max="5" width="14.77734375" customWidth="1"/>
    <col min="7" max="7" width="20.88671875" bestFit="1" customWidth="1"/>
  </cols>
  <sheetData>
    <row r="1" spans="1:16" s="6" customFormat="1" x14ac:dyDescent="0.3">
      <c r="A1" s="58"/>
      <c r="B1" s="10"/>
      <c r="C1" s="6" t="s">
        <v>0</v>
      </c>
      <c r="D1" s="6" t="s">
        <v>14</v>
      </c>
      <c r="E1" s="6" t="s">
        <v>69</v>
      </c>
    </row>
    <row r="2" spans="1:16" s="6" customFormat="1" ht="118.8" customHeight="1" x14ac:dyDescent="0.3">
      <c r="A2" s="6" t="s">
        <v>89</v>
      </c>
      <c r="B2" s="10"/>
      <c r="C2" s="12" t="s">
        <v>71</v>
      </c>
      <c r="D2" s="12" t="s">
        <v>70</v>
      </c>
      <c r="E2" s="6" t="s">
        <v>84</v>
      </c>
    </row>
    <row r="3" spans="1:16" s="1" customFormat="1" x14ac:dyDescent="0.3">
      <c r="B3" s="2"/>
      <c r="C3" s="47" t="s">
        <v>15</v>
      </c>
      <c r="D3" s="1" t="s">
        <v>16</v>
      </c>
      <c r="E3" s="1" t="s">
        <v>80</v>
      </c>
    </row>
    <row r="4" spans="1:16" x14ac:dyDescent="0.3">
      <c r="A4" t="s">
        <v>66</v>
      </c>
      <c r="C4" s="15"/>
      <c r="D4" s="15">
        <v>0.33429999999999999</v>
      </c>
      <c r="E4" s="17">
        <f>41.15%</f>
        <v>0.41149999999999998</v>
      </c>
      <c r="F4" s="15"/>
      <c r="G4" s="15"/>
      <c r="H4" s="15"/>
      <c r="I4" s="15"/>
      <c r="J4" s="15"/>
      <c r="K4" s="14"/>
      <c r="L4" s="14"/>
      <c r="M4" s="14"/>
      <c r="N4" s="14"/>
      <c r="O4" s="14"/>
      <c r="P4" s="14"/>
    </row>
    <row r="5" spans="1:16" x14ac:dyDescent="0.3">
      <c r="A5" t="s">
        <v>65</v>
      </c>
      <c r="C5" s="16">
        <v>0.47689999999999999</v>
      </c>
      <c r="D5" s="7">
        <v>0.1087</v>
      </c>
      <c r="E5" s="17">
        <f>12.23%</f>
        <v>0.12230000000000001</v>
      </c>
      <c r="F5" s="15"/>
      <c r="G5" s="15"/>
      <c r="H5" s="15"/>
      <c r="I5" s="15"/>
      <c r="J5" s="15"/>
      <c r="K5" s="14"/>
      <c r="L5" s="14"/>
      <c r="M5" s="14"/>
      <c r="N5" s="14"/>
      <c r="O5" s="14"/>
      <c r="P5" s="14"/>
    </row>
    <row r="6" spans="1:16" x14ac:dyDescent="0.3">
      <c r="A6" t="s">
        <v>61</v>
      </c>
      <c r="B6" s="3" t="s">
        <v>23</v>
      </c>
      <c r="C6" s="15"/>
      <c r="D6" s="15">
        <f>13.49%</f>
        <v>0.13489999999999999</v>
      </c>
      <c r="E6" s="16">
        <f>7.51%</f>
        <v>7.51E-2</v>
      </c>
      <c r="F6" s="15"/>
      <c r="G6" s="15"/>
      <c r="H6" s="15"/>
      <c r="I6" s="15"/>
      <c r="J6" s="15"/>
      <c r="K6" s="14"/>
      <c r="L6" s="14"/>
      <c r="M6" s="14"/>
      <c r="N6" s="14"/>
      <c r="O6" s="14"/>
      <c r="P6" s="14"/>
    </row>
    <row r="7" spans="1:16" x14ac:dyDescent="0.3">
      <c r="A7" t="s">
        <v>22</v>
      </c>
      <c r="B7" s="3" t="s">
        <v>25</v>
      </c>
      <c r="C7" s="16">
        <v>6.0699999999999997E-2</v>
      </c>
      <c r="D7" s="15">
        <f>2.4%</f>
        <v>2.4E-2</v>
      </c>
      <c r="E7" s="15">
        <f>19763/E25</f>
        <v>3.173932224670654E-3</v>
      </c>
      <c r="F7" s="15"/>
      <c r="G7" s="63"/>
      <c r="H7" s="15"/>
      <c r="I7" s="15"/>
      <c r="J7" s="15"/>
      <c r="K7" s="14"/>
      <c r="L7" s="14"/>
      <c r="M7" s="14"/>
      <c r="N7" s="14"/>
      <c r="O7" s="14"/>
      <c r="P7" s="14"/>
    </row>
    <row r="8" spans="1:16" x14ac:dyDescent="0.3">
      <c r="A8" s="13" t="s">
        <v>67</v>
      </c>
      <c r="C8" s="15"/>
      <c r="D8" s="15">
        <f>2.46%</f>
        <v>2.46E-2</v>
      </c>
      <c r="E8" s="15"/>
      <c r="F8" s="15"/>
      <c r="G8" s="15"/>
      <c r="H8" s="15"/>
      <c r="I8" s="15"/>
      <c r="J8" s="15"/>
      <c r="K8" s="14"/>
      <c r="L8" s="14"/>
      <c r="M8" s="14"/>
      <c r="N8" s="14"/>
      <c r="O8" s="14"/>
      <c r="P8" s="14"/>
    </row>
    <row r="9" spans="1:16" x14ac:dyDescent="0.3">
      <c r="A9" t="s">
        <v>17</v>
      </c>
      <c r="B9" s="3" t="s">
        <v>5</v>
      </c>
      <c r="C9" s="16">
        <v>0.23419999999999999</v>
      </c>
      <c r="D9" s="15">
        <f>4.53%</f>
        <v>4.53E-2</v>
      </c>
      <c r="E9" s="16">
        <f>14.01%+11.44%</f>
        <v>0.2545</v>
      </c>
      <c r="F9" s="15"/>
      <c r="G9" s="15"/>
      <c r="H9" s="15"/>
      <c r="I9" s="15"/>
      <c r="J9" s="15"/>
      <c r="K9" s="14"/>
      <c r="L9" s="14"/>
      <c r="M9" s="14"/>
      <c r="N9" s="14"/>
      <c r="O9" s="14"/>
      <c r="P9" s="14"/>
    </row>
    <row r="10" spans="1:16" x14ac:dyDescent="0.3">
      <c r="A10" t="s">
        <v>63</v>
      </c>
      <c r="C10" s="15"/>
      <c r="D10" s="15"/>
      <c r="E10" s="15"/>
      <c r="F10" s="15"/>
      <c r="G10" s="15"/>
      <c r="H10" s="15"/>
      <c r="I10" s="15"/>
      <c r="J10" s="15"/>
      <c r="K10" s="14"/>
      <c r="L10" s="14"/>
      <c r="M10" s="14"/>
      <c r="N10" s="14"/>
      <c r="O10" s="14"/>
      <c r="P10" s="14"/>
    </row>
    <row r="11" spans="1:16" x14ac:dyDescent="0.3">
      <c r="A11" t="s">
        <v>62</v>
      </c>
      <c r="C11" s="15"/>
      <c r="D11" s="15">
        <f>7.29 %</f>
        <v>7.2900000000000006E-2</v>
      </c>
      <c r="E11" s="15"/>
      <c r="F11" s="15"/>
      <c r="G11" s="15"/>
      <c r="H11" s="15"/>
      <c r="I11" s="15"/>
      <c r="J11" s="15"/>
      <c r="K11" s="14"/>
      <c r="L11" s="14"/>
      <c r="M11" s="14"/>
      <c r="N11" s="14"/>
      <c r="O11" s="14"/>
      <c r="P11" s="14"/>
    </row>
    <row r="12" spans="1:16" x14ac:dyDescent="0.3">
      <c r="A12" t="s">
        <v>56</v>
      </c>
      <c r="B12" s="3" t="s">
        <v>57</v>
      </c>
      <c r="C12" s="15"/>
      <c r="D12" s="16">
        <f>6.7 %</f>
        <v>6.7000000000000004E-2</v>
      </c>
      <c r="E12" s="16">
        <f>3.76%</f>
        <v>3.7599999999999995E-2</v>
      </c>
      <c r="F12" s="15"/>
      <c r="G12" s="15"/>
      <c r="H12" s="15"/>
      <c r="I12" s="15"/>
      <c r="J12" s="15"/>
      <c r="K12" s="14"/>
      <c r="L12" s="14"/>
      <c r="M12" s="14"/>
      <c r="N12" s="14"/>
      <c r="O12" s="14"/>
      <c r="P12" s="14"/>
    </row>
    <row r="13" spans="1:16" x14ac:dyDescent="0.3">
      <c r="A13" t="s">
        <v>26</v>
      </c>
      <c r="B13" s="3" t="s">
        <v>6</v>
      </c>
      <c r="C13" s="16">
        <v>3.6400000000000002E-2</v>
      </c>
      <c r="D13" s="15">
        <f>2.44%</f>
        <v>2.4399999999999998E-2</v>
      </c>
      <c r="E13" s="16">
        <f>2.24%</f>
        <v>2.2400000000000003E-2</v>
      </c>
      <c r="F13" s="15"/>
      <c r="G13" s="15"/>
      <c r="H13" s="15"/>
      <c r="I13" s="15"/>
      <c r="J13" s="15"/>
      <c r="K13" s="14"/>
      <c r="L13" s="14"/>
      <c r="M13" s="14"/>
      <c r="N13" s="14"/>
      <c r="O13" s="14"/>
      <c r="P13" s="14"/>
    </row>
    <row r="14" spans="1:16" x14ac:dyDescent="0.3">
      <c r="A14" t="s">
        <v>29</v>
      </c>
      <c r="B14" s="3" t="s">
        <v>10</v>
      </c>
      <c r="C14" s="16">
        <v>1.55E-2</v>
      </c>
      <c r="D14" s="15"/>
      <c r="E14" s="15">
        <f>33147/E25</f>
        <v>5.3233988489175821E-3</v>
      </c>
      <c r="F14" s="15"/>
      <c r="G14" s="15"/>
      <c r="H14" s="15"/>
      <c r="I14" s="15"/>
      <c r="J14" s="15"/>
      <c r="K14" s="14"/>
      <c r="L14" s="14"/>
      <c r="M14" s="14"/>
      <c r="N14" s="14"/>
      <c r="O14" s="14"/>
      <c r="P14" s="14"/>
    </row>
    <row r="15" spans="1:16" x14ac:dyDescent="0.3">
      <c r="A15" t="s">
        <v>27</v>
      </c>
      <c r="B15" s="3" t="s">
        <v>7</v>
      </c>
      <c r="C15" s="16">
        <v>5.2900000000000003E-2</v>
      </c>
      <c r="D15" s="15">
        <f>1.44 %</f>
        <v>1.44E-2</v>
      </c>
      <c r="E15" s="15">
        <f>(62578+45819)/E25</f>
        <v>1.7408527620180383E-2</v>
      </c>
      <c r="F15" s="15"/>
      <c r="G15" s="15"/>
      <c r="H15" s="15"/>
      <c r="I15" s="15"/>
      <c r="J15" s="15"/>
      <c r="K15" s="14"/>
      <c r="L15" s="14"/>
      <c r="M15" s="14"/>
      <c r="N15" s="14"/>
      <c r="O15" s="14"/>
      <c r="P15" s="14"/>
    </row>
    <row r="16" spans="1:16" x14ac:dyDescent="0.3">
      <c r="A16" t="s">
        <v>28</v>
      </c>
      <c r="B16" s="3" t="s">
        <v>9</v>
      </c>
      <c r="C16" s="16">
        <v>3.1699999999999999E-2</v>
      </c>
      <c r="D16" s="16">
        <f>4.75 %</f>
        <v>4.7500000000000001E-2</v>
      </c>
      <c r="E16" s="15">
        <f>174006/E25</f>
        <v>2.7945314511260529E-2</v>
      </c>
      <c r="F16" s="15"/>
      <c r="G16" s="15"/>
      <c r="H16" s="15"/>
      <c r="I16" s="15"/>
      <c r="J16" s="15"/>
      <c r="K16" s="14"/>
      <c r="L16" s="14"/>
      <c r="M16" s="14"/>
      <c r="N16" s="14"/>
      <c r="O16" s="14"/>
      <c r="P16" s="14"/>
    </row>
    <row r="17" spans="1:16" x14ac:dyDescent="0.3">
      <c r="A17" t="s">
        <v>58</v>
      </c>
      <c r="C17" s="15"/>
      <c r="D17" s="15"/>
      <c r="E17" s="15"/>
      <c r="F17" s="15"/>
      <c r="G17" s="15"/>
      <c r="H17" s="15"/>
      <c r="I17" s="15"/>
      <c r="J17" s="15"/>
      <c r="K17" s="14"/>
      <c r="L17" s="14"/>
      <c r="M17" s="14"/>
      <c r="N17" s="14"/>
      <c r="O17" s="14"/>
      <c r="P17" s="14"/>
    </row>
    <row r="18" spans="1:16" x14ac:dyDescent="0.3">
      <c r="A18" t="s">
        <v>59</v>
      </c>
      <c r="C18" s="15"/>
      <c r="D18" s="15"/>
      <c r="E18" s="15"/>
      <c r="F18" s="15"/>
      <c r="G18" s="15"/>
      <c r="H18" s="15"/>
      <c r="I18" s="15"/>
      <c r="J18" s="15"/>
      <c r="K18" s="14"/>
      <c r="L18" s="14"/>
      <c r="M18" s="14"/>
      <c r="N18" s="14"/>
      <c r="O18" s="14"/>
      <c r="P18" s="14"/>
    </row>
    <row r="19" spans="1:16" x14ac:dyDescent="0.3">
      <c r="A19" t="s">
        <v>60</v>
      </c>
      <c r="C19" s="15"/>
      <c r="D19" s="15">
        <f>0.53 %</f>
        <v>5.3E-3</v>
      </c>
      <c r="E19" s="15">
        <f>13534/E25</f>
        <v>2.1735565819305082E-3</v>
      </c>
      <c r="F19" s="15"/>
      <c r="G19" s="15"/>
      <c r="H19" s="15"/>
      <c r="I19" s="15"/>
      <c r="J19" s="15"/>
      <c r="K19" s="14"/>
      <c r="L19" s="14"/>
      <c r="M19" s="14"/>
      <c r="N19" s="14"/>
      <c r="O19" s="14"/>
      <c r="P19" s="14"/>
    </row>
    <row r="20" spans="1:16" x14ac:dyDescent="0.3">
      <c r="A20" t="s">
        <v>30</v>
      </c>
      <c r="B20" s="3" t="s">
        <v>11</v>
      </c>
      <c r="C20" s="15"/>
      <c r="D20" s="15">
        <f>1.91 %</f>
        <v>1.9099999999999999E-2</v>
      </c>
      <c r="E20" s="16">
        <f>2.07%</f>
        <v>2.07E-2</v>
      </c>
      <c r="F20" s="15"/>
      <c r="G20" s="15"/>
      <c r="H20" s="15"/>
      <c r="I20" s="15"/>
      <c r="J20" s="15"/>
      <c r="K20" s="14"/>
      <c r="L20" s="14"/>
      <c r="M20" s="14"/>
      <c r="N20" s="14"/>
      <c r="O20" s="14"/>
      <c r="P20" s="14"/>
    </row>
    <row r="21" spans="1:16" x14ac:dyDescent="0.3">
      <c r="A21" t="s">
        <v>64</v>
      </c>
      <c r="C21" s="15"/>
      <c r="D21" s="15"/>
      <c r="E21" s="15"/>
      <c r="F21" s="15"/>
      <c r="G21" s="15"/>
      <c r="H21" s="15"/>
      <c r="I21" s="15"/>
      <c r="J21" s="15"/>
      <c r="K21" s="14"/>
      <c r="L21" s="14"/>
      <c r="M21" s="14"/>
      <c r="N21" s="14"/>
      <c r="O21" s="14"/>
      <c r="P21" s="14"/>
    </row>
    <row r="22" spans="1:16" x14ac:dyDescent="0.3">
      <c r="A22" t="s">
        <v>68</v>
      </c>
      <c r="C22" s="15"/>
      <c r="D22" s="15">
        <f>7.75%</f>
        <v>7.7499999999999999E-2</v>
      </c>
      <c r="E22" s="15"/>
      <c r="F22" s="15"/>
      <c r="G22" s="15"/>
      <c r="H22" s="15"/>
      <c r="I22" s="15"/>
      <c r="J22" s="15"/>
      <c r="K22" s="14"/>
      <c r="L22" s="14"/>
      <c r="M22" s="14"/>
      <c r="N22" s="14"/>
      <c r="O22" s="14"/>
      <c r="P22" s="14"/>
    </row>
    <row r="23" spans="1:16" s="5" customFormat="1" ht="16.8" thickBot="1" x14ac:dyDescent="0.35">
      <c r="A23" s="5" t="s">
        <v>72</v>
      </c>
      <c r="B23" s="4"/>
      <c r="C23" s="66">
        <v>9.1700000000000004E-2</v>
      </c>
      <c r="D23" s="64"/>
      <c r="E23" s="64"/>
      <c r="F23" s="64"/>
      <c r="G23" s="64"/>
      <c r="H23" s="64"/>
      <c r="I23" s="64"/>
      <c r="J23" s="64"/>
      <c r="K23" s="65"/>
      <c r="L23" s="65"/>
      <c r="M23" s="65"/>
      <c r="N23" s="65"/>
      <c r="O23" s="65"/>
      <c r="P23" s="65"/>
    </row>
    <row r="24" spans="1:16" x14ac:dyDescent="0.3">
      <c r="A24" t="s">
        <v>55</v>
      </c>
      <c r="C24" s="15">
        <f>SUM(C4:C23)</f>
        <v>0.99999999999999978</v>
      </c>
      <c r="D24" s="15">
        <f>SUM(D4:D23)</f>
        <v>0.99989999999999979</v>
      </c>
      <c r="E24" s="15">
        <f>SUM(E4:E23)</f>
        <v>1.0001247297869595</v>
      </c>
      <c r="F24" s="15"/>
      <c r="G24" s="15"/>
      <c r="H24" s="15"/>
      <c r="I24" s="15"/>
      <c r="J24" s="15"/>
      <c r="K24" s="14"/>
      <c r="L24" s="14"/>
      <c r="M24" s="14"/>
      <c r="N24" s="14"/>
      <c r="O24" s="14"/>
      <c r="P24" s="14"/>
    </row>
    <row r="25" spans="1:16" x14ac:dyDescent="0.3">
      <c r="A25" t="s">
        <v>83</v>
      </c>
      <c r="E25" s="8">
        <v>6226661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B745-8C50-4245-9CB7-45F55A71DB82}">
  <dimension ref="G7:I16"/>
  <sheetViews>
    <sheetView workbookViewId="0">
      <selection activeCell="H8" sqref="H8:I16"/>
    </sheetView>
  </sheetViews>
  <sheetFormatPr defaultRowHeight="16.2" x14ac:dyDescent="0.3"/>
  <cols>
    <col min="1" max="1" width="8.88671875" customWidth="1"/>
    <col min="8" max="8" width="18.21875" customWidth="1"/>
    <col min="9" max="9" width="20.6640625" customWidth="1"/>
  </cols>
  <sheetData>
    <row r="7" spans="7:9" x14ac:dyDescent="0.3">
      <c r="G7" t="s">
        <v>18</v>
      </c>
      <c r="H7" t="s">
        <v>19</v>
      </c>
      <c r="I7" t="s">
        <v>20</v>
      </c>
    </row>
    <row r="8" spans="7:9" x14ac:dyDescent="0.3">
      <c r="H8" t="s">
        <v>17</v>
      </c>
      <c r="I8" s="3" t="s">
        <v>5</v>
      </c>
    </row>
    <row r="9" spans="7:9" x14ac:dyDescent="0.3">
      <c r="H9" t="s">
        <v>21</v>
      </c>
      <c r="I9" s="3" t="s">
        <v>8</v>
      </c>
    </row>
    <row r="10" spans="7:9" x14ac:dyDescent="0.3">
      <c r="H10" t="s">
        <v>24</v>
      </c>
      <c r="I10" s="3" t="s">
        <v>23</v>
      </c>
    </row>
    <row r="11" spans="7:9" x14ac:dyDescent="0.3">
      <c r="H11" t="s">
        <v>22</v>
      </c>
      <c r="I11" s="3" t="s">
        <v>25</v>
      </c>
    </row>
    <row r="12" spans="7:9" x14ac:dyDescent="0.3">
      <c r="H12" t="s">
        <v>26</v>
      </c>
      <c r="I12" s="3" t="s">
        <v>6</v>
      </c>
    </row>
    <row r="13" spans="7:9" x14ac:dyDescent="0.3">
      <c r="H13" t="s">
        <v>27</v>
      </c>
      <c r="I13" s="3" t="s">
        <v>7</v>
      </c>
    </row>
    <row r="14" spans="7:9" x14ac:dyDescent="0.3">
      <c r="H14" t="s">
        <v>28</v>
      </c>
      <c r="I14" s="3" t="s">
        <v>9</v>
      </c>
    </row>
    <row r="15" spans="7:9" x14ac:dyDescent="0.3">
      <c r="H15" t="s">
        <v>29</v>
      </c>
      <c r="I15" s="3" t="s">
        <v>10</v>
      </c>
    </row>
    <row r="16" spans="7:9" x14ac:dyDescent="0.3">
      <c r="H16" t="s">
        <v>30</v>
      </c>
      <c r="I16" s="3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1B6D-11A8-4DED-994D-B474F206CF84}">
  <sheetPr>
    <tabColor theme="1"/>
  </sheetPr>
  <dimension ref="A1:N23"/>
  <sheetViews>
    <sheetView workbookViewId="0">
      <selection activeCell="C11" sqref="C11"/>
    </sheetView>
  </sheetViews>
  <sheetFormatPr defaultRowHeight="16.2" x14ac:dyDescent="0.3"/>
  <cols>
    <col min="1" max="1" width="23.6640625" customWidth="1"/>
    <col min="2" max="2" width="20.6640625" style="3" customWidth="1"/>
    <col min="3" max="3" width="17.109375" customWidth="1"/>
    <col min="4" max="4" width="15.109375" customWidth="1"/>
  </cols>
  <sheetData>
    <row r="1" spans="1:14" s="6" customFormat="1" x14ac:dyDescent="0.3">
      <c r="B1" s="10"/>
      <c r="C1" s="6" t="s">
        <v>0</v>
      </c>
      <c r="D1" s="6" t="s">
        <v>14</v>
      </c>
    </row>
    <row r="2" spans="1:14" s="6" customFormat="1" ht="25.2" customHeight="1" x14ac:dyDescent="0.3">
      <c r="B2" s="10"/>
      <c r="D2" s="12" t="s">
        <v>70</v>
      </c>
    </row>
    <row r="3" spans="1:14" s="1" customFormat="1" x14ac:dyDescent="0.3">
      <c r="B3" s="2"/>
      <c r="C3" s="1" t="s">
        <v>54</v>
      </c>
      <c r="D3" s="1" t="s">
        <v>16</v>
      </c>
    </row>
    <row r="4" spans="1:14" x14ac:dyDescent="0.3">
      <c r="A4" t="s">
        <v>66</v>
      </c>
      <c r="C4" s="9">
        <f>345403259+13241978+286488055+42452150</f>
        <v>687585442</v>
      </c>
      <c r="D4" s="9">
        <f>820806</f>
        <v>820806</v>
      </c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3">
      <c r="A5" t="s">
        <v>65</v>
      </c>
      <c r="C5" s="9">
        <f>135799610+19597215+32441211</f>
        <v>187838036</v>
      </c>
      <c r="D5" s="9">
        <f>2163771</f>
        <v>2163771</v>
      </c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3">
      <c r="A6" t="s">
        <v>61</v>
      </c>
      <c r="B6" s="3" t="s">
        <v>23</v>
      </c>
      <c r="C6" s="9">
        <f>229231067</f>
        <v>229231067</v>
      </c>
      <c r="D6" s="9">
        <f>82214</f>
        <v>82214</v>
      </c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3">
      <c r="A7" t="s">
        <v>22</v>
      </c>
      <c r="B7" s="3" t="s">
        <v>25</v>
      </c>
      <c r="C7" s="9">
        <f>14719515</f>
        <v>14719515</v>
      </c>
      <c r="D7" s="9">
        <f>12168</f>
        <v>12168</v>
      </c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3">
      <c r="A8" s="13" t="s">
        <v>67</v>
      </c>
      <c r="C8" s="9">
        <f>1865094+0</f>
        <v>1865094</v>
      </c>
      <c r="D8" s="9">
        <f>42251</f>
        <v>42251</v>
      </c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3">
      <c r="A9" t="s">
        <v>17</v>
      </c>
      <c r="B9" s="3" t="s">
        <v>5</v>
      </c>
      <c r="C9" s="9">
        <f>46372588-43766+368218751</f>
        <v>414547573</v>
      </c>
      <c r="D9" s="9">
        <f>1050279</f>
        <v>1050279</v>
      </c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3">
      <c r="A10" t="s">
        <v>63</v>
      </c>
      <c r="C10" s="9">
        <f>222932467</f>
        <v>222932467</v>
      </c>
      <c r="D10" s="9">
        <f>0</f>
        <v>0</v>
      </c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3">
      <c r="A11" t="s">
        <v>62</v>
      </c>
      <c r="C11" s="9">
        <f>206595681+338261838</f>
        <v>544857519</v>
      </c>
      <c r="D11" s="9">
        <f>2500276</f>
        <v>2500276</v>
      </c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3">
      <c r="A12" t="s">
        <v>56</v>
      </c>
      <c r="B12" s="3" t="s">
        <v>57</v>
      </c>
      <c r="C12" s="9">
        <f>162568298+36660255</f>
        <v>199228553</v>
      </c>
      <c r="D12" s="9">
        <f>832889</f>
        <v>832889</v>
      </c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3">
      <c r="A13" t="s">
        <v>26</v>
      </c>
      <c r="B13" s="3" t="s">
        <v>6</v>
      </c>
      <c r="C13" s="9">
        <f>4315289+187101891</f>
        <v>191417180</v>
      </c>
      <c r="D13" s="9">
        <f>526277</f>
        <v>526277</v>
      </c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3">
      <c r="A14" t="s">
        <v>29</v>
      </c>
      <c r="B14" s="3" t="s">
        <v>10</v>
      </c>
      <c r="C14" s="9">
        <f>103346922</f>
        <v>103346922</v>
      </c>
      <c r="D14" s="9">
        <f>0</f>
        <v>0</v>
      </c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3">
      <c r="A15" t="s">
        <v>27</v>
      </c>
      <c r="B15" s="3" t="s">
        <v>7</v>
      </c>
      <c r="C15" s="9">
        <f>210352515+109965625</f>
        <v>320318140</v>
      </c>
      <c r="D15" s="9">
        <f>568843</f>
        <v>568843</v>
      </c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3">
      <c r="A16" t="s">
        <v>28</v>
      </c>
      <c r="B16" s="3" t="s">
        <v>9</v>
      </c>
      <c r="C16" s="9">
        <f>142360333</f>
        <v>142360333</v>
      </c>
      <c r="D16" s="9">
        <f>0</f>
        <v>0</v>
      </c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3">
      <c r="A17" t="s">
        <v>58</v>
      </c>
      <c r="C17" s="9">
        <f>175255155</f>
        <v>175255155</v>
      </c>
      <c r="D17" s="9">
        <f>1738184</f>
        <v>1738184</v>
      </c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3">
      <c r="A18" t="s">
        <v>59</v>
      </c>
      <c r="C18" s="9">
        <f>7220868</f>
        <v>7220868</v>
      </c>
      <c r="D18" s="9">
        <f>0</f>
        <v>0</v>
      </c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3">
      <c r="A19" t="s">
        <v>60</v>
      </c>
      <c r="C19" s="9">
        <f>28866660</f>
        <v>28866660</v>
      </c>
      <c r="D19" s="9">
        <f>181235</f>
        <v>181235</v>
      </c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3">
      <c r="A20" t="s">
        <v>30</v>
      </c>
      <c r="B20" s="3" t="s">
        <v>11</v>
      </c>
      <c r="C20" s="9">
        <f>18411923</f>
        <v>18411923</v>
      </c>
      <c r="D20" s="9">
        <f>551618</f>
        <v>551618</v>
      </c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3">
      <c r="A21" t="s">
        <v>64</v>
      </c>
      <c r="C21" s="9">
        <f>657</f>
        <v>657</v>
      </c>
      <c r="D21" s="9">
        <f>-40904</f>
        <v>-40904</v>
      </c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3">
      <c r="A22" t="s">
        <v>68</v>
      </c>
      <c r="C22" s="9"/>
      <c r="D22" s="9">
        <f>1920656</f>
        <v>1920656</v>
      </c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3">
      <c r="A23" t="s">
        <v>55</v>
      </c>
      <c r="C23" s="11">
        <f>SUM(C4:C21)</f>
        <v>3490003104</v>
      </c>
      <c r="D23" s="9">
        <f>SUM(D4:D22)</f>
        <v>12950563</v>
      </c>
      <c r="E23" s="9"/>
      <c r="F23" s="9"/>
      <c r="G23" s="9"/>
      <c r="H23" s="9"/>
      <c r="I23" s="9"/>
      <c r="J23" s="9"/>
      <c r="K23" s="9"/>
      <c r="L23" s="9"/>
      <c r="M23" s="9"/>
      <c r="N23" s="9"/>
    </row>
  </sheetData>
  <phoneticPr fontId="2" type="noConversion"/>
  <pageMargins left="0.7" right="0.7" top="0.75" bottom="0.75" header="0.3" footer="0.3"/>
  <ignoredErrors>
    <ignoredError sqref="D15 D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final_variables</vt:lpstr>
      <vt:lpstr>variables</vt:lpstr>
      <vt:lpstr>業務比重</vt:lpstr>
      <vt:lpstr>中英對譯</vt:lpstr>
      <vt:lpstr>(分險種)再保保費支出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2021-05-01T07:54:39Z</dcterms:created>
  <dcterms:modified xsi:type="dcterms:W3CDTF">2021-05-04T03:59:49Z</dcterms:modified>
</cp:coreProperties>
</file>