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zeng/Library/CloudStorage/GoogleDrive-wz192@georgetown.edu/My Drive/GU/Res/WB/HRH/Dta/"/>
    </mc:Choice>
  </mc:AlternateContent>
  <xr:revisionPtr revIDLastSave="0" documentId="13_ncr:1_{A619D014-2DF0-4E41-9D4F-A98228D9C44E}" xr6:coauthVersionLast="47" xr6:coauthVersionMax="47" xr10:uidLastSave="{00000000-0000-0000-0000-000000000000}"/>
  <bookViews>
    <workbookView xWindow="0" yWindow="2520" windowWidth="25600" windowHeight="15880" activeTab="5" xr2:uid="{C5BD966C-35AE-464F-A066-AD508CA90EA2}"/>
  </bookViews>
  <sheets>
    <sheet name="Sheet1" sheetId="1" r:id="rId1"/>
    <sheet name="Sheet2" sheetId="2" r:id="rId2"/>
    <sheet name="Fig1" sheetId="5" r:id="rId3"/>
    <sheet name="Fig2" sheetId="4" r:id="rId4"/>
    <sheet name="Fig3-4" sheetId="7" r:id="rId5"/>
    <sheet name="Economic cos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1" l="1"/>
  <c r="O16" i="1"/>
  <c r="P16" i="1"/>
  <c r="Q16" i="1"/>
  <c r="R16" i="1"/>
  <c r="N17" i="1"/>
  <c r="O17" i="1"/>
  <c r="P17" i="1"/>
  <c r="Q17" i="1"/>
  <c r="R17" i="1"/>
  <c r="N18" i="1"/>
  <c r="O18" i="1"/>
  <c r="P18" i="1"/>
  <c r="Q18" i="1"/>
  <c r="R18" i="1"/>
  <c r="O15" i="1"/>
  <c r="P15" i="1"/>
  <c r="Q15" i="1"/>
  <c r="R15" i="1"/>
  <c r="N15" i="1"/>
  <c r="C27" i="2"/>
  <c r="C26" i="2"/>
  <c r="G6" i="7"/>
  <c r="D6" i="7"/>
  <c r="G5" i="7"/>
  <c r="D5" i="7"/>
  <c r="G4" i="7"/>
  <c r="D4" i="7"/>
  <c r="G3" i="7"/>
  <c r="D3" i="7"/>
  <c r="G2" i="7"/>
  <c r="D2" i="7"/>
  <c r="B30" i="6"/>
  <c r="B29" i="6"/>
  <c r="B28" i="6"/>
  <c r="G23" i="6"/>
  <c r="F23" i="6"/>
  <c r="E23" i="6"/>
  <c r="D23" i="6"/>
  <c r="D30" i="6"/>
  <c r="C23" i="6"/>
  <c r="G22" i="6"/>
  <c r="F22" i="6"/>
  <c r="F29" i="6"/>
  <c r="E22" i="6"/>
  <c r="D22" i="6"/>
  <c r="D24" i="6"/>
  <c r="C22" i="6"/>
  <c r="G21" i="6"/>
  <c r="F21" i="6"/>
  <c r="F24" i="6"/>
  <c r="F28" i="6"/>
  <c r="E21" i="6"/>
  <c r="D21" i="6"/>
  <c r="D28" i="6"/>
  <c r="C21" i="6"/>
  <c r="E9" i="4"/>
  <c r="E8" i="4"/>
  <c r="E7" i="4"/>
  <c r="E6" i="4"/>
  <c r="E5" i="4"/>
  <c r="J36" i="1"/>
  <c r="K36" i="1"/>
  <c r="L36" i="1"/>
  <c r="M36" i="1"/>
  <c r="I36" i="1"/>
  <c r="J37" i="1"/>
  <c r="K37" i="1"/>
  <c r="L37" i="1"/>
  <c r="M37" i="1"/>
  <c r="I37" i="1"/>
  <c r="L35" i="1"/>
  <c r="M35" i="1"/>
  <c r="J35" i="1"/>
  <c r="K35" i="1"/>
  <c r="I35" i="1"/>
  <c r="D73" i="1"/>
  <c r="F73" i="1"/>
  <c r="E73" i="1"/>
  <c r="C73" i="1"/>
  <c r="B73" i="1"/>
  <c r="C30" i="6"/>
  <c r="G28" i="6"/>
  <c r="E30" i="6"/>
  <c r="C29" i="6"/>
  <c r="F30" i="6"/>
  <c r="C24" i="6"/>
  <c r="C28" i="6"/>
  <c r="G24" i="6"/>
  <c r="G30" i="6"/>
  <c r="D29" i="6"/>
  <c r="E24" i="6"/>
  <c r="E29" i="6"/>
  <c r="B14" i="2"/>
  <c r="E28" i="6"/>
  <c r="G29" i="6"/>
  <c r="C26" i="1"/>
  <c r="D26" i="1"/>
  <c r="E26" i="1"/>
  <c r="F26" i="1"/>
  <c r="G26" i="1"/>
  <c r="B26" i="1"/>
  <c r="G71" i="1"/>
  <c r="G70" i="1"/>
  <c r="G13" i="1"/>
  <c r="C71" i="1"/>
  <c r="D71" i="1"/>
  <c r="E71" i="1"/>
  <c r="F71" i="1"/>
  <c r="B71" i="1"/>
  <c r="C70" i="1"/>
  <c r="D70" i="1"/>
  <c r="E70" i="1"/>
  <c r="F70" i="1"/>
  <c r="B70" i="1"/>
  <c r="B30" i="2"/>
  <c r="B29" i="2"/>
  <c r="D63" i="1"/>
  <c r="B6" i="2"/>
  <c r="B5" i="2"/>
  <c r="E45" i="1"/>
  <c r="F13" i="1"/>
  <c r="E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2" authorId="0" shapeId="0" xr:uid="{FC6A42B7-1C4E-F841-9A34-7C8BD9188F4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https://globaldatalab.org/areadata/hhsize/SWZ/</t>
        </r>
      </text>
    </comment>
    <comment ref="G12" authorId="0" shapeId="0" xr:uid="{4B3509EA-179E-724C-9F0A-D9600CC054F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https://population.un.org/Household/index.html#/countries/76</t>
        </r>
      </text>
    </comment>
    <comment ref="D24" authorId="0" shapeId="0" xr:uid="{C5B108F9-BCBD-6A4F-B536-F46EFFF45C6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https://journals.plos.org/plosntds/article/file?id=10.1371/journal.pntd.0006037&amp;type=printable</t>
        </r>
      </text>
    </comment>
    <comment ref="E45" authorId="0" shapeId="0" xr:uid="{49B57C2F-5DE2-E142-90EF-A6345996F1F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for all HCWs</t>
        </r>
      </text>
    </comment>
    <comment ref="F45" authorId="0" shapeId="0" xr:uid="{DDA1E82F-9562-574E-9C20-F3AB345063D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for all HCWs</t>
        </r>
      </text>
    </comment>
    <comment ref="E51" authorId="0" shapeId="0" xr:uid="{4FD603B3-F70B-9A44-BC42-B1D83B2184B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all HCWs</t>
        </r>
      </text>
    </comment>
    <comment ref="F51" authorId="0" shapeId="0" xr:uid="{69011DEA-D043-294E-97DC-7552CA832F6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all HCWs</t>
        </r>
      </text>
    </comment>
    <comment ref="E57" authorId="0" shapeId="0" xr:uid="{272FF7D5-A3EE-B847-B53A-5896585F079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for all HCWs</t>
        </r>
      </text>
    </comment>
    <comment ref="F57" authorId="0" shapeId="0" xr:uid="{919F3241-1671-6048-BCCB-2380FF76157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for all HCWs</t>
        </r>
      </text>
    </comment>
  </commentList>
</comments>
</file>

<file path=xl/sharedStrings.xml><?xml version="1.0" encoding="utf-8"?>
<sst xmlns="http://schemas.openxmlformats.org/spreadsheetml/2006/main" count="185" uniqueCount="133">
  <si>
    <t>Kenya</t>
  </si>
  <si>
    <t>Eswatini</t>
  </si>
  <si>
    <t>SA-Western Cape</t>
  </si>
  <si>
    <t>SA-KwaZulu</t>
  </si>
  <si>
    <t>Colombia</t>
  </si>
  <si>
    <t xml:space="preserve">General information </t>
  </si>
  <si>
    <t>Number of outpatient visits (per person)</t>
  </si>
  <si>
    <t>Mild-moderate covid-19 cases (home-based)</t>
  </si>
  <si>
    <t>Mild-moderate covid-19 cases (facility-based)</t>
  </si>
  <si>
    <t>Severe covid-19 cases</t>
  </si>
  <si>
    <t>Critical cases</t>
  </si>
  <si>
    <t>Other cost information</t>
  </si>
  <si>
    <t>Treatment costs per case</t>
  </si>
  <si>
    <t>Travel cost per round trip for seeking care</t>
  </si>
  <si>
    <t>Meal cost per day</t>
  </si>
  <si>
    <t xml:space="preserve">Doctors </t>
  </si>
  <si>
    <t>Education costs per person</t>
  </si>
  <si>
    <t>Nurses</t>
  </si>
  <si>
    <t>Population size</t>
  </si>
  <si>
    <t xml:space="preserve">Assumptions applied to all countries </t>
  </si>
  <si>
    <t>Items</t>
  </si>
  <si>
    <t>Exposure rate to HCWs</t>
  </si>
  <si>
    <t>Odds ratio of COVId-19 infection due to exposure to HCWs</t>
  </si>
  <si>
    <t>HCWs COVID-19 infection rate</t>
  </si>
  <si>
    <t>General population COVID-19 infection rate</t>
  </si>
  <si>
    <t>Total number of HCWs</t>
  </si>
  <si>
    <t>Population atrribution risk</t>
  </si>
  <si>
    <t>Other parameters or intermediate parameters</t>
  </si>
  <si>
    <t>GDP per capita in 2020</t>
  </si>
  <si>
    <t>Under 5 mortality rate in 2019</t>
  </si>
  <si>
    <t>Maternal mortality rate in 2019</t>
  </si>
  <si>
    <t>Birth rate (per 1000 population) in 2019</t>
  </si>
  <si>
    <t>GDP per capita in 2019</t>
  </si>
  <si>
    <t>GDP per capita growth rate in 2019</t>
  </si>
  <si>
    <t>Household size</t>
  </si>
  <si>
    <t>Total health expenditure (USD in million) in 2020</t>
  </si>
  <si>
    <t>SA total pop</t>
  </si>
  <si>
    <t>Share of COVID-19 cases</t>
  </si>
  <si>
    <t xml:space="preserve">Severe </t>
  </si>
  <si>
    <t>Value</t>
  </si>
  <si>
    <t>Number of round trip per CIVID-19 cases</t>
  </si>
  <si>
    <t>Share of Mid-moderate covid-19 cases</t>
  </si>
  <si>
    <t>Home care</t>
  </si>
  <si>
    <t>Facility-based care</t>
  </si>
  <si>
    <t>Duration of being absent from the work</t>
  </si>
  <si>
    <t>Diceased COVID-19 HCWs (years)</t>
  </si>
  <si>
    <t>Percentage of inpatients as HCW's close contact</t>
  </si>
  <si>
    <t xml:space="preserve">Age at deaths </t>
  </si>
  <si>
    <t>Pregnant women</t>
  </si>
  <si>
    <t>children under 5</t>
  </si>
  <si>
    <t>Average deaths of COVID-19 cases among HCWs</t>
  </si>
  <si>
    <t>Average deaths of COVID-19 cases among general population</t>
  </si>
  <si>
    <t>Number of admissions (per 1000 population)</t>
  </si>
  <si>
    <t>Infection number by professionals</t>
  </si>
  <si>
    <t xml:space="preserve">Others </t>
  </si>
  <si>
    <t>clinical officers</t>
  </si>
  <si>
    <t>lab staff</t>
  </si>
  <si>
    <t>Income by professionals</t>
  </si>
  <si>
    <t>Death by professionals</t>
  </si>
  <si>
    <t>Life expectancy for HCWs at age of death</t>
  </si>
  <si>
    <t>Life expectancy for general population at age of death</t>
  </si>
  <si>
    <t>Mid-moderate (home)</t>
  </si>
  <si>
    <t>Mid-moderate (facility)</t>
  </si>
  <si>
    <t>Other HCWs</t>
  </si>
  <si>
    <t>Survived COVID-19 HCWs (years)</t>
  </si>
  <si>
    <t>Death composition</t>
  </si>
  <si>
    <t>mid-moderate</t>
  </si>
  <si>
    <t>Crtical</t>
  </si>
  <si>
    <t>Critical</t>
  </si>
  <si>
    <t>COVID-infection in general population</t>
  </si>
  <si>
    <t>COVID-19 in general population</t>
  </si>
  <si>
    <t>Elasticity</t>
  </si>
  <si>
    <t>Under 5 elasticity</t>
  </si>
  <si>
    <t>Maternal elasticity</t>
  </si>
  <si>
    <t>HCW hospitalization rate</t>
  </si>
  <si>
    <t>General population hospitalization rate</t>
  </si>
  <si>
    <t>Life expectacy for children under five</t>
  </si>
  <si>
    <t>Life expectancy for pregnant women</t>
  </si>
  <si>
    <t>COVID-death in general populaiton</t>
  </si>
  <si>
    <t>GHE_2019</t>
  </si>
  <si>
    <t>CHE_2019 (millions)</t>
  </si>
  <si>
    <t>GHE_Ins_2019</t>
  </si>
  <si>
    <t>GHEE_share_CHE</t>
  </si>
  <si>
    <t>COVID-case fatality rate</t>
  </si>
  <si>
    <t>Secondary infection</t>
  </si>
  <si>
    <t>Secondary deaths</t>
  </si>
  <si>
    <t>Reference infection/hospitalization rate</t>
  </si>
  <si>
    <t>Brazil</t>
  </si>
  <si>
    <t>Length of stay (calculating meals costs)</t>
  </si>
  <si>
    <t>GDP per capital per day</t>
  </si>
  <si>
    <t>Average absenteeism days</t>
  </si>
  <si>
    <t>...1</t>
  </si>
  <si>
    <t>...2</t>
  </si>
  <si>
    <t>...3</t>
  </si>
  <si>
    <t>...4</t>
  </si>
  <si>
    <t>...5</t>
  </si>
  <si>
    <t>Inpatient share</t>
  </si>
  <si>
    <t>Family member</t>
  </si>
  <si>
    <t>Calculated</t>
  </si>
  <si>
    <t>Exposure</t>
  </si>
  <si>
    <t xml:space="preserve">COVID-19 mortality among all populations </t>
  </si>
  <si>
    <t xml:space="preserve">COVID-19 mortality among HCWs </t>
  </si>
  <si>
    <t>Raio</t>
  </si>
  <si>
    <t>SA-WC</t>
  </si>
  <si>
    <t>SA-KZ</t>
  </si>
  <si>
    <t xml:space="preserve">COVID-19 Infection rate among all populations </t>
  </si>
  <si>
    <t xml:space="preserve">COVID-19 infection rate among HCWs </t>
  </si>
  <si>
    <t>Cost of infections to HCWs</t>
  </si>
  <si>
    <t>Cost of secondary infections</t>
  </si>
  <si>
    <t>Cost of maternal and child deaths</t>
  </si>
  <si>
    <t>Total</t>
  </si>
  <si>
    <t>HCW: direct medical cost</t>
  </si>
  <si>
    <t>HCW: direct non-medical cost</t>
  </si>
  <si>
    <t>HCW: Income loss</t>
  </si>
  <si>
    <t>HCW: Indirector cost</t>
  </si>
  <si>
    <t>HCW: Total cost</t>
  </si>
  <si>
    <t>Secondary infection: direct medical cost</t>
  </si>
  <si>
    <t>Secondary infection: direct non-medical cost</t>
  </si>
  <si>
    <t>Secondary infection: Income loss</t>
  </si>
  <si>
    <t>Secondary infection: Indirector cost</t>
  </si>
  <si>
    <t>Secondary infection: Total cost</t>
  </si>
  <si>
    <t>Economic loss due to maternal deaths</t>
  </si>
  <si>
    <t>Economic loss due to deaths of children under 5</t>
  </si>
  <si>
    <t>Total economic loss of maternal and child deaths</t>
  </si>
  <si>
    <t>Total cost</t>
  </si>
  <si>
    <t>Sites</t>
  </si>
  <si>
    <t xml:space="preserve"> Number of infections among HCWs (1)</t>
  </si>
  <si>
    <t>Number of secondary infections (2)</t>
  </si>
  <si>
    <t>Ratio (3) = (2)/(1)</t>
  </si>
  <si>
    <t>Deaths of HCW from COVID-19 (4)</t>
  </si>
  <si>
    <t>Deaths of secondary infection (5)</t>
  </si>
  <si>
    <t>Ratio (6) = (5)/(4)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</si>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</sst>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%"/>
    <numFmt numFmtId="167" formatCode="0.00000"/>
    <numFmt numFmtId="168" formatCode="0.000%"/>
    <numFmt numFmtId="169" formatCode="_(* #,##0.0_);_(* \(#,##0.0\);_(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Times New Roman"/>
      <family val="1"/>
    </font>
    <font>
      <sz val="11"/>
      <color rgb="FFFFFFFF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Times New Roman"/>
      <family val="1"/>
    </font>
    <font>
      <sz val="10"/>
      <color rgb="FF000000"/>
      <name val="Times New Roman"/>
      <family val="1"/>
    </font>
    <font>
      <sz val="12"/>
      <color theme="1"/>
      <name val="Monaco"/>
      <family val="2"/>
    </font>
    <font>
      <sz val="9"/>
      <color theme="1"/>
      <name val="Monaco"/>
      <family val="2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/>
      <bottom style="medium">
        <color theme="9" tint="-0.24994659260841701"/>
      </bottom>
      <diagonal/>
    </border>
    <border>
      <left/>
      <right/>
      <top style="medium">
        <color rgb="FF548235"/>
      </top>
      <bottom/>
      <diagonal/>
    </border>
    <border>
      <left/>
      <right/>
      <top/>
      <bottom style="medium">
        <color rgb="FF548235"/>
      </bottom>
      <diagonal/>
    </border>
    <border>
      <left/>
      <right/>
      <top style="medium">
        <color rgb="FF548235"/>
      </top>
      <bottom style="medium">
        <color rgb="FF548235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165" fontId="0" fillId="0" borderId="0" xfId="1" applyNumberFormat="1" applyFont="1"/>
    <xf numFmtId="0" fontId="0" fillId="0" borderId="0" xfId="0" applyAlignment="1">
      <alignment horizontal="left" indent="1"/>
    </xf>
    <xf numFmtId="165" fontId="0" fillId="0" borderId="0" xfId="1" applyNumberFormat="1" applyFont="1" applyBorder="1"/>
    <xf numFmtId="166" fontId="0" fillId="0" borderId="0" xfId="2" applyNumberFormat="1" applyFont="1" applyBorder="1"/>
    <xf numFmtId="10" fontId="0" fillId="0" borderId="0" xfId="0" applyNumberFormat="1"/>
    <xf numFmtId="164" fontId="0" fillId="0" borderId="0" xfId="0" applyNumberFormat="1"/>
    <xf numFmtId="3" fontId="0" fillId="0" borderId="0" xfId="0" applyNumberFormat="1"/>
    <xf numFmtId="0" fontId="2" fillId="0" borderId="0" xfId="0" applyFont="1" applyAlignment="1">
      <alignment horizontal="left"/>
    </xf>
    <xf numFmtId="43" fontId="0" fillId="0" borderId="0" xfId="1" applyFont="1" applyBorder="1"/>
    <xf numFmtId="0" fontId="0" fillId="0" borderId="1" xfId="0" applyBorder="1" applyAlignment="1">
      <alignment horizontal="right"/>
    </xf>
    <xf numFmtId="9" fontId="0" fillId="0" borderId="0" xfId="0" applyNumberFormat="1"/>
    <xf numFmtId="0" fontId="0" fillId="0" borderId="0" xfId="0" applyAlignment="1">
      <alignment horizontal="left"/>
    </xf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left"/>
    </xf>
    <xf numFmtId="1" fontId="0" fillId="0" borderId="0" xfId="0" applyNumberFormat="1"/>
    <xf numFmtId="166" fontId="0" fillId="0" borderId="0" xfId="0" applyNumberFormat="1"/>
    <xf numFmtId="2" fontId="0" fillId="0" borderId="0" xfId="0" applyNumberFormat="1"/>
    <xf numFmtId="10" fontId="0" fillId="0" borderId="0" xfId="2" applyNumberFormat="1" applyFont="1" applyBorder="1"/>
    <xf numFmtId="10" fontId="0" fillId="0" borderId="0" xfId="2" applyNumberFormat="1" applyFont="1"/>
    <xf numFmtId="165" fontId="5" fillId="0" borderId="0" xfId="1" applyNumberFormat="1" applyFont="1" applyBorder="1" applyAlignment="1">
      <alignment horizontal="right"/>
    </xf>
    <xf numFmtId="0" fontId="0" fillId="0" borderId="3" xfId="0" applyBorder="1" applyAlignment="1">
      <alignment horizontal="left" indent="1"/>
    </xf>
    <xf numFmtId="167" fontId="0" fillId="0" borderId="0" xfId="0" applyNumberFormat="1"/>
    <xf numFmtId="167" fontId="0" fillId="0" borderId="3" xfId="0" applyNumberFormat="1" applyBorder="1"/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43" fontId="0" fillId="0" borderId="0" xfId="0" applyNumberFormat="1"/>
    <xf numFmtId="43" fontId="5" fillId="0" borderId="0" xfId="1" applyFont="1" applyBorder="1" applyAlignment="1">
      <alignment horizontal="right"/>
    </xf>
    <xf numFmtId="0" fontId="6" fillId="0" borderId="0" xfId="0" applyFont="1"/>
    <xf numFmtId="0" fontId="7" fillId="0" borderId="0" xfId="0" applyFont="1"/>
    <xf numFmtId="168" fontId="0" fillId="0" borderId="0" xfId="2" applyNumberFormat="1" applyFont="1"/>
    <xf numFmtId="0" fontId="0" fillId="2" borderId="0" xfId="0" applyFill="1"/>
    <xf numFmtId="166" fontId="0" fillId="0" borderId="0" xfId="2" applyNumberFormat="1" applyFont="1"/>
    <xf numFmtId="169" fontId="0" fillId="0" borderId="0" xfId="1" applyNumberFormat="1" applyFont="1"/>
    <xf numFmtId="165" fontId="5" fillId="0" borderId="0" xfId="1" applyNumberFormat="1" applyFont="1"/>
    <xf numFmtId="0" fontId="8" fillId="0" borderId="0" xfId="0" applyFont="1" applyAlignment="1">
      <alignment vertical="center"/>
    </xf>
    <xf numFmtId="168" fontId="9" fillId="0" borderId="0" xfId="0" applyNumberFormat="1" applyFont="1" applyAlignment="1">
      <alignment horizontal="right" vertical="center"/>
    </xf>
    <xf numFmtId="10" fontId="9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2" fontId="8" fillId="0" borderId="0" xfId="0" applyNumberFormat="1" applyFont="1" applyAlignment="1">
      <alignment horizontal="right" vertical="center"/>
    </xf>
    <xf numFmtId="0" fontId="8" fillId="0" borderId="5" xfId="0" applyFont="1" applyBorder="1" applyAlignment="1">
      <alignment vertical="center"/>
    </xf>
    <xf numFmtId="10" fontId="9" fillId="0" borderId="5" xfId="0" applyNumberFormat="1" applyFont="1" applyBorder="1" applyAlignment="1">
      <alignment horizontal="right" vertical="center"/>
    </xf>
    <xf numFmtId="2" fontId="8" fillId="0" borderId="3" xfId="0" applyNumberFormat="1" applyFont="1" applyBorder="1" applyAlignment="1">
      <alignment horizontal="right" vertical="center"/>
    </xf>
    <xf numFmtId="10" fontId="8" fillId="0" borderId="0" xfId="0" applyNumberFormat="1" applyFont="1" applyAlignment="1">
      <alignment horizontal="right" vertical="center"/>
    </xf>
    <xf numFmtId="10" fontId="8" fillId="0" borderId="5" xfId="0" applyNumberFormat="1" applyFont="1" applyBorder="1" applyAlignment="1">
      <alignment horizontal="right" vertical="center"/>
    </xf>
    <xf numFmtId="2" fontId="8" fillId="0" borderId="5" xfId="0" applyNumberFormat="1" applyFont="1" applyBorder="1" applyAlignment="1">
      <alignment horizontal="right" vertical="center"/>
    </xf>
    <xf numFmtId="0" fontId="10" fillId="0" borderId="0" xfId="0" applyFont="1"/>
    <xf numFmtId="0" fontId="11" fillId="0" borderId="0" xfId="0" applyFont="1"/>
    <xf numFmtId="0" fontId="8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vertical="center" wrapText="1"/>
    </xf>
    <xf numFmtId="3" fontId="8" fillId="0" borderId="0" xfId="0" applyNumberFormat="1" applyFont="1" applyAlignment="1">
      <alignment horizontal="right" vertical="center"/>
    </xf>
    <xf numFmtId="43" fontId="8" fillId="0" borderId="0" xfId="0" applyNumberFormat="1" applyFont="1" applyAlignment="1">
      <alignment horizontal="right" vertical="center"/>
    </xf>
    <xf numFmtId="0" fontId="8" fillId="0" borderId="3" xfId="0" applyFont="1" applyBorder="1" applyAlignment="1">
      <alignment vertical="center"/>
    </xf>
    <xf numFmtId="3" fontId="8" fillId="0" borderId="3" xfId="0" applyNumberFormat="1" applyFont="1" applyBorder="1" applyAlignment="1">
      <alignment horizontal="right" vertical="center"/>
    </xf>
    <xf numFmtId="165" fontId="5" fillId="0" borderId="3" xfId="1" applyNumberFormat="1" applyFont="1" applyBorder="1" applyAlignment="1">
      <alignment horizontal="right"/>
    </xf>
    <xf numFmtId="43" fontId="8" fillId="0" borderId="3" xfId="0" applyNumberFormat="1" applyFont="1" applyBorder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0" fontId="0" fillId="3" borderId="0" xfId="0" applyFill="1" applyAlignment="1">
      <alignment horizontal="left"/>
    </xf>
    <xf numFmtId="2" fontId="0" fillId="3" borderId="0" xfId="0" applyNumberFormat="1" applyFill="1"/>
    <xf numFmtId="0" fontId="0" fillId="3" borderId="0" xfId="0" applyFill="1"/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4" xfId="0" applyFont="1" applyBorder="1" applyAlignment="1">
      <alignment horizontal="right" vertical="center" wrapText="1"/>
    </xf>
    <xf numFmtId="0" fontId="8" fillId="0" borderId="5" xfId="0" applyFont="1" applyBorder="1" applyAlignment="1">
      <alignment horizontal="right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left" indent="1"/>
    </xf>
    <xf numFmtId="165" fontId="12" fillId="0" borderId="0" xfId="1" applyNumberFormat="1" applyFont="1" applyBorder="1"/>
    <xf numFmtId="10" fontId="12" fillId="0" borderId="0" xfId="2" applyNumberFormat="1" applyFont="1" applyFill="1" applyBorder="1"/>
    <xf numFmtId="9" fontId="12" fillId="0" borderId="0" xfId="0" applyNumberFormat="1" applyFont="1"/>
    <xf numFmtId="0" fontId="12" fillId="0" borderId="0" xfId="0" applyFont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'Fig1'!$C$3:$C$4</c:f>
              <c:strCache>
                <c:ptCount val="2"/>
                <c:pt idx="0">
                  <c:v>COVID-19 Infection rate among all populations 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  <a:alpha val="58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'Fig1'!$B$5:$B$9</c:f>
              <c:strCache>
                <c:ptCount val="5"/>
                <c:pt idx="0">
                  <c:v>Kenya</c:v>
                </c:pt>
                <c:pt idx="1">
                  <c:v>Eswatini</c:v>
                </c:pt>
                <c:pt idx="2">
                  <c:v>Colombia</c:v>
                </c:pt>
                <c:pt idx="3">
                  <c:v>SA-WC</c:v>
                </c:pt>
                <c:pt idx="4">
                  <c:v>SA-KZ</c:v>
                </c:pt>
              </c:strCache>
            </c:strRef>
          </c:cat>
          <c:val>
            <c:numRef>
              <c:f>'Fig1'!$C$5:$C$9</c:f>
              <c:numCache>
                <c:formatCode>0.00%</c:formatCode>
                <c:ptCount val="5"/>
                <c:pt idx="0">
                  <c:v>2E-3</c:v>
                </c:pt>
                <c:pt idx="1">
                  <c:v>1.5599999999999999E-2</c:v>
                </c:pt>
                <c:pt idx="2">
                  <c:v>4.4699999999999997E-2</c:v>
                </c:pt>
                <c:pt idx="3">
                  <c:v>4.2299999999999997E-2</c:v>
                </c:pt>
                <c:pt idx="4">
                  <c:v>2.9600000000000001E-2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D-8A46-994C-7C575CDBBBDA}"/>
            </c:ext>
          </c:extLst>
        </c:ser>
        <c:ser>
          <c:idx val="1"/>
          <c:order val="1"/>
          <c:tx>
            <c:strRef>
              <c:f>'Fig1'!$D$3:$D$4</c:f>
              <c:strCache>
                <c:ptCount val="2"/>
                <c:pt idx="0">
                  <c:v>COVID-19 infection rate among HCWs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'Fig1'!$B$5:$B$9</c:f>
              <c:strCache>
                <c:ptCount val="5"/>
                <c:pt idx="0">
                  <c:v>Kenya</c:v>
                </c:pt>
                <c:pt idx="1">
                  <c:v>Eswatini</c:v>
                </c:pt>
                <c:pt idx="2">
                  <c:v>Colombia</c:v>
                </c:pt>
                <c:pt idx="3">
                  <c:v>SA-WC</c:v>
                </c:pt>
                <c:pt idx="4">
                  <c:v>SA-KZ</c:v>
                </c:pt>
              </c:strCache>
            </c:strRef>
          </c:cat>
          <c:val>
            <c:numRef>
              <c:f>'Fig1'!$D$5:$D$9</c:f>
              <c:numCache>
                <c:formatCode>0.00%</c:formatCode>
                <c:ptCount val="5"/>
                <c:pt idx="0">
                  <c:v>1.9199999999999998E-2</c:v>
                </c:pt>
                <c:pt idx="1">
                  <c:v>6.0100000000000001E-2</c:v>
                </c:pt>
                <c:pt idx="2">
                  <c:v>5.0200000000000002E-2</c:v>
                </c:pt>
                <c:pt idx="3">
                  <c:v>0.2863</c:v>
                </c:pt>
                <c:pt idx="4">
                  <c:v>0.23669999999999999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D-8A46-994C-7C575CDBB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73667200"/>
        <c:axId val="1073668848"/>
      </c:barChart>
      <c:catAx>
        <c:axId val="107366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668848"/>
        <c:crosses val="autoZero"/>
        <c:auto val="1"/>
        <c:lblAlgn val="ctr"/>
        <c:lblOffset val="100"/>
        <c:noMultiLvlLbl val="0"/>
      </c:catAx>
      <c:valAx>
        <c:axId val="1073668848"/>
        <c:scaling>
          <c:orientation val="minMax"/>
          <c:max val="0.30000000000000004"/>
        </c:scaling>
        <c:delete val="0"/>
        <c:axPos val="l"/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accent6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66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'Fig2'!$C$3:$C$4</c:f>
              <c:strCache>
                <c:ptCount val="2"/>
                <c:pt idx="0">
                  <c:v>COVID-19 mortality among all populations 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  <a:alpha val="58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4163568773234216E-2"/>
                  <c:y val="-1.01137800252845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3DC-D045-99F1-8B54C6E9D6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'Fig2'!$B$5:$B$9</c:f>
              <c:strCache>
                <c:ptCount val="5"/>
                <c:pt idx="0">
                  <c:v>Kenya</c:v>
                </c:pt>
                <c:pt idx="1">
                  <c:v>Eswatini</c:v>
                </c:pt>
                <c:pt idx="2">
                  <c:v>Colombia</c:v>
                </c:pt>
                <c:pt idx="3">
                  <c:v>SA-WC</c:v>
                </c:pt>
                <c:pt idx="4">
                  <c:v>SA-KZ</c:v>
                </c:pt>
              </c:strCache>
            </c:strRef>
          </c:cat>
          <c:val>
            <c:numRef>
              <c:f>'Fig2'!$C$5:$C$9</c:f>
              <c:numCache>
                <c:formatCode>0.00%</c:formatCode>
                <c:ptCount val="5"/>
                <c:pt idx="0" formatCode="0.000%">
                  <c:v>4.0000000000000003E-5</c:v>
                </c:pt>
                <c:pt idx="1">
                  <c:v>5.8E-4</c:v>
                </c:pt>
                <c:pt idx="2">
                  <c:v>1.1999999999999999E-3</c:v>
                </c:pt>
                <c:pt idx="3">
                  <c:v>1.6999999999999999E-3</c:v>
                </c:pt>
                <c:pt idx="4">
                  <c:v>9.1E-4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DC-D045-99F1-8B54C6E9D6B7}"/>
            </c:ext>
          </c:extLst>
        </c:ser>
        <c:ser>
          <c:idx val="1"/>
          <c:order val="1"/>
          <c:tx>
            <c:strRef>
              <c:f>'Fig2'!$D$3:$D$4</c:f>
              <c:strCache>
                <c:ptCount val="2"/>
                <c:pt idx="0">
                  <c:v>COVID-19 mortality among HCWs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'Fig2'!$B$5:$B$9</c:f>
              <c:strCache>
                <c:ptCount val="5"/>
                <c:pt idx="0">
                  <c:v>Kenya</c:v>
                </c:pt>
                <c:pt idx="1">
                  <c:v>Eswatini</c:v>
                </c:pt>
                <c:pt idx="2">
                  <c:v>Colombia</c:v>
                </c:pt>
                <c:pt idx="3">
                  <c:v>SA-WC</c:v>
                </c:pt>
                <c:pt idx="4">
                  <c:v>SA-KZ</c:v>
                </c:pt>
              </c:strCache>
            </c:strRef>
          </c:cat>
          <c:val>
            <c:numRef>
              <c:f>'Fig2'!$D$5:$D$9</c:f>
              <c:numCache>
                <c:formatCode>0.00%</c:formatCode>
                <c:ptCount val="5"/>
                <c:pt idx="0">
                  <c:v>1.9000000000000001E-4</c:v>
                </c:pt>
                <c:pt idx="1">
                  <c:v>1.2899999999999999E-3</c:v>
                </c:pt>
                <c:pt idx="2">
                  <c:v>2.3000000000000001E-4</c:v>
                </c:pt>
                <c:pt idx="3">
                  <c:v>3.0599999999999998E-3</c:v>
                </c:pt>
                <c:pt idx="4">
                  <c:v>5.6100000000000004E-3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DC-D045-99F1-8B54C6E9D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73667200"/>
        <c:axId val="1073668848"/>
      </c:barChart>
      <c:catAx>
        <c:axId val="107366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668848"/>
        <c:crosses val="autoZero"/>
        <c:auto val="1"/>
        <c:lblAlgn val="ctr"/>
        <c:lblOffset val="100"/>
        <c:noMultiLvlLbl val="0"/>
      </c:catAx>
      <c:valAx>
        <c:axId val="1073668848"/>
        <c:scaling>
          <c:orientation val="minMax"/>
          <c:max val="6.0000000000000019E-3"/>
        </c:scaling>
        <c:delete val="0"/>
        <c:axPos val="l"/>
        <c:numFmt formatCode="0.00%" sourceLinked="0"/>
        <c:majorTickMark val="in"/>
        <c:minorTickMark val="none"/>
        <c:tickLblPos val="nextTo"/>
        <c:spPr>
          <a:noFill/>
          <a:ln>
            <a:solidFill>
              <a:schemeClr val="accent6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66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'Fig3-4'!$B$1</c:f>
              <c:strCache>
                <c:ptCount val="1"/>
                <c:pt idx="0">
                  <c:v> Number of infections among HCWs (1)</c:v>
                </c:pt>
              </c:strCache>
            </c:strRef>
          </c:tx>
          <c:spPr>
            <a:solidFill>
              <a:schemeClr val="accent5">
                <a:lumMod val="75000"/>
                <a:alpha val="47058"/>
              </a:schemeClr>
            </a:solidFill>
            <a:ln>
              <a:solidFill>
                <a:schemeClr val="tx1"/>
              </a:solidFill>
            </a:ln>
          </c:spPr>
          <c:invertIfNegative val="0"/>
          <c:dLbls>
            <c:dLbl>
              <c:idx val="2"/>
              <c:layout>
                <c:manualLayout>
                  <c:x val="-4.5023696682464455E-2"/>
                  <c:y val="-1.0582010582010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56-5343-851D-2E66B42566D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'Fig3-4'!$A$2:$A$6</c:f>
              <c:strCache>
                <c:ptCount val="5"/>
                <c:pt idx="0">
                  <c:v>Kenya</c:v>
                </c:pt>
                <c:pt idx="1">
                  <c:v>Eswatini</c:v>
                </c:pt>
                <c:pt idx="2">
                  <c:v>Colombia</c:v>
                </c:pt>
                <c:pt idx="3">
                  <c:v>SA-WC</c:v>
                </c:pt>
                <c:pt idx="4">
                  <c:v>SA-KZ</c:v>
                </c:pt>
              </c:strCache>
            </c:strRef>
          </c:cat>
          <c:val>
            <c:numRef>
              <c:f>'Fig3-4'!$B$2:$B$6</c:f>
              <c:numCache>
                <c:formatCode>General</c:formatCode>
                <c:ptCount val="5"/>
                <c:pt idx="0" formatCode="#,##0">
                  <c:v>3367</c:v>
                </c:pt>
                <c:pt idx="1">
                  <c:v>454</c:v>
                </c:pt>
                <c:pt idx="2" formatCode="#,##0">
                  <c:v>41946</c:v>
                </c:pt>
                <c:pt idx="3" formatCode="#,##0">
                  <c:v>10003</c:v>
                </c:pt>
                <c:pt idx="4" formatCode="#,##0">
                  <c:v>15913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56-5343-851D-2E66B42566D0}"/>
            </c:ext>
          </c:extLst>
        </c:ser>
        <c:ser>
          <c:idx val="1"/>
          <c:order val="1"/>
          <c:tx>
            <c:strRef>
              <c:f>'Fig3-4'!$C$1</c:f>
              <c:strCache>
                <c:ptCount val="1"/>
                <c:pt idx="0">
                  <c:v>Number of secondary infections (2)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  <a:alpha val="72000"/>
              </a:schemeClr>
            </a:solidFill>
            <a:ln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'Fig3-4'!$A$2:$A$6</c:f>
              <c:strCache>
                <c:ptCount val="5"/>
                <c:pt idx="0">
                  <c:v>Kenya</c:v>
                </c:pt>
                <c:pt idx="1">
                  <c:v>Eswatini</c:v>
                </c:pt>
                <c:pt idx="2">
                  <c:v>Colombia</c:v>
                </c:pt>
                <c:pt idx="3">
                  <c:v>SA-WC</c:v>
                </c:pt>
                <c:pt idx="4">
                  <c:v>SA-KZ</c:v>
                </c:pt>
              </c:strCache>
            </c:strRef>
          </c:cat>
          <c:val>
            <c:numRef>
              <c:f>'Fig3-4'!$C$2:$C$6</c:f>
              <c:numCache>
                <c:formatCode>_(* #,##0_);_(* \(#,##0\);_(* "-"??_);_(@_)</c:formatCode>
                <c:ptCount val="5"/>
                <c:pt idx="0">
                  <c:v>9939</c:v>
                </c:pt>
                <c:pt idx="1">
                  <c:v>2607</c:v>
                </c:pt>
                <c:pt idx="2">
                  <c:v>43786</c:v>
                </c:pt>
                <c:pt idx="3">
                  <c:v>41162</c:v>
                </c:pt>
                <c:pt idx="4">
                  <c:v>69331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56-5343-851D-2E66B4256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53513904"/>
        <c:axId val="1253515552"/>
      </c:barChart>
      <c:catAx>
        <c:axId val="125351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253515552"/>
        <c:crosses val="autoZero"/>
        <c:auto val="1"/>
        <c:lblAlgn val="ctr"/>
        <c:lblOffset val="100"/>
        <c:noMultiLvlLbl val="0"/>
      </c:catAx>
      <c:valAx>
        <c:axId val="1253515552"/>
        <c:scaling>
          <c:orientation val="minMax"/>
        </c:scaling>
        <c:delete val="0"/>
        <c:axPos val="l"/>
        <c:numFmt formatCode="#,##0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12535139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'Fig3-4'!$E$1</c:f>
              <c:strCache>
                <c:ptCount val="1"/>
                <c:pt idx="0">
                  <c:v>Deaths of HCW from COVID-19 (4)</c:v>
                </c:pt>
              </c:strCache>
            </c:strRef>
          </c:tx>
          <c:spPr>
            <a:solidFill>
              <a:srgbClr val="9DBFDE"/>
            </a:solidFill>
            <a:ln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'Fig3-4'!$A$2:$A$6</c:f>
              <c:strCache>
                <c:ptCount val="5"/>
                <c:pt idx="0">
                  <c:v>Kenya</c:v>
                </c:pt>
                <c:pt idx="1">
                  <c:v>Eswatini</c:v>
                </c:pt>
                <c:pt idx="2">
                  <c:v>Colombia</c:v>
                </c:pt>
                <c:pt idx="3">
                  <c:v>SA-WC</c:v>
                </c:pt>
                <c:pt idx="4">
                  <c:v>SA-KZ</c:v>
                </c:pt>
              </c:strCache>
            </c:strRef>
          </c:cat>
          <c:val>
            <c:numRef>
              <c:f>'Fig3-4'!$E$2:$E$6</c:f>
              <c:numCache>
                <c:formatCode>General</c:formatCode>
                <c:ptCount val="5"/>
                <c:pt idx="0">
                  <c:v>33</c:v>
                </c:pt>
                <c:pt idx="1">
                  <c:v>10</c:v>
                </c:pt>
                <c:pt idx="2">
                  <c:v>196</c:v>
                </c:pt>
                <c:pt idx="3">
                  <c:v>108</c:v>
                </c:pt>
                <c:pt idx="4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A-764D-B284-4FF3A899120C}"/>
            </c:ext>
          </c:extLst>
        </c:ser>
        <c:ser>
          <c:idx val="1"/>
          <c:order val="1"/>
          <c:tx>
            <c:strRef>
              <c:f>'Fig3-4'!$F$1</c:f>
              <c:strCache>
                <c:ptCount val="1"/>
                <c:pt idx="0">
                  <c:v>Deaths of secondary infection (5)</c:v>
                </c:pt>
              </c:strCache>
            </c:strRef>
          </c:tx>
          <c:spPr>
            <a:solidFill>
              <a:srgbClr val="FAD9C4"/>
            </a:solidFill>
            <a:ln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'Fig3-4'!$A$2:$A$6</c:f>
              <c:strCache>
                <c:ptCount val="5"/>
                <c:pt idx="0">
                  <c:v>Kenya</c:v>
                </c:pt>
                <c:pt idx="1">
                  <c:v>Eswatini</c:v>
                </c:pt>
                <c:pt idx="2">
                  <c:v>Colombia</c:v>
                </c:pt>
                <c:pt idx="3">
                  <c:v>SA-WC</c:v>
                </c:pt>
                <c:pt idx="4">
                  <c:v>SA-KZ</c:v>
                </c:pt>
              </c:strCache>
            </c:strRef>
          </c:cat>
          <c:val>
            <c:numRef>
              <c:f>'Fig3-4'!$F$2:$F$6</c:f>
              <c:numCache>
                <c:formatCode>#,##0</c:formatCode>
                <c:ptCount val="5"/>
                <c:pt idx="0">
                  <c:v>174.62302900433312</c:v>
                </c:pt>
                <c:pt idx="1">
                  <c:v>94.866934607864437</c:v>
                </c:pt>
                <c:pt idx="2">
                  <c:v>1176.6860858412251</c:v>
                </c:pt>
                <c:pt idx="3">
                  <c:v>1648.4724302751242</c:v>
                </c:pt>
                <c:pt idx="4">
                  <c:v>2140.8429251850225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8A-764D-B284-4FF3A8991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53513904"/>
        <c:axId val="1253515552"/>
      </c:barChart>
      <c:catAx>
        <c:axId val="125351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253515552"/>
        <c:crosses val="autoZero"/>
        <c:auto val="1"/>
        <c:lblAlgn val="ctr"/>
        <c:lblOffset val="100"/>
        <c:noMultiLvlLbl val="0"/>
      </c:catAx>
      <c:valAx>
        <c:axId val="125351555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12535139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'Economic costs'!$B$28</c:f>
              <c:strCache>
                <c:ptCount val="1"/>
                <c:pt idx="0">
                  <c:v>Cost of infections to HCWs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'Economic costs'!$C$27:$G$27</c:f>
              <c:strCache>
                <c:ptCount val="5"/>
                <c:pt idx="0">
                  <c:v>Kenya</c:v>
                </c:pt>
                <c:pt idx="1">
                  <c:v>Eswatini</c:v>
                </c:pt>
                <c:pt idx="2">
                  <c:v>Colombia</c:v>
                </c:pt>
                <c:pt idx="3">
                  <c:v>SA-WC</c:v>
                </c:pt>
                <c:pt idx="4">
                  <c:v>SA-KZ</c:v>
                </c:pt>
              </c:strCache>
            </c:strRef>
          </c:cat>
          <c:val>
            <c:numRef>
              <c:f>'Economic costs'!$C$28:$G$28</c:f>
              <c:numCache>
                <c:formatCode>0.0%</c:formatCode>
                <c:ptCount val="5"/>
                <c:pt idx="0">
                  <c:v>4.6097550103887122E-2</c:v>
                </c:pt>
                <c:pt idx="1">
                  <c:v>0.12371451813348942</c:v>
                </c:pt>
                <c:pt idx="2">
                  <c:v>0.30409355575931341</c:v>
                </c:pt>
                <c:pt idx="3">
                  <c:v>0.26285088780906146</c:v>
                </c:pt>
                <c:pt idx="4">
                  <c:v>0.30014295411037156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B-4F42-8CA9-A5E7B6905FE3}"/>
            </c:ext>
          </c:extLst>
        </c:ser>
        <c:ser>
          <c:idx val="1"/>
          <c:order val="1"/>
          <c:tx>
            <c:strRef>
              <c:f>'Economic costs'!$B$29</c:f>
              <c:strCache>
                <c:ptCount val="1"/>
                <c:pt idx="0">
                  <c:v>Cost of secondary infections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'Economic costs'!$C$27:$G$27</c:f>
              <c:strCache>
                <c:ptCount val="5"/>
                <c:pt idx="0">
                  <c:v>Kenya</c:v>
                </c:pt>
                <c:pt idx="1">
                  <c:v>Eswatini</c:v>
                </c:pt>
                <c:pt idx="2">
                  <c:v>Colombia</c:v>
                </c:pt>
                <c:pt idx="3">
                  <c:v>SA-WC</c:v>
                </c:pt>
                <c:pt idx="4">
                  <c:v>SA-KZ</c:v>
                </c:pt>
              </c:strCache>
            </c:strRef>
          </c:cat>
          <c:val>
            <c:numRef>
              <c:f>'Economic costs'!$C$29:$G$29</c:f>
              <c:numCache>
                <c:formatCode>0.0%</c:formatCode>
                <c:ptCount val="5"/>
                <c:pt idx="0">
                  <c:v>0.13204206040350527</c:v>
                </c:pt>
                <c:pt idx="1">
                  <c:v>0.61400078686930371</c:v>
                </c:pt>
                <c:pt idx="2">
                  <c:v>0.57361137361998338</c:v>
                </c:pt>
                <c:pt idx="3">
                  <c:v>0.69987449635437893</c:v>
                </c:pt>
                <c:pt idx="4">
                  <c:v>0.63305636495064266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CB-4F42-8CA9-A5E7B6905FE3}"/>
            </c:ext>
          </c:extLst>
        </c:ser>
        <c:ser>
          <c:idx val="2"/>
          <c:order val="2"/>
          <c:tx>
            <c:strRef>
              <c:f>'Economic costs'!$B$30</c:f>
              <c:strCache>
                <c:ptCount val="1"/>
                <c:pt idx="0">
                  <c:v>Cost of maternal and child deaths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'Economic costs'!$C$27:$G$27</c:f>
              <c:strCache>
                <c:ptCount val="5"/>
                <c:pt idx="0">
                  <c:v>Kenya</c:v>
                </c:pt>
                <c:pt idx="1">
                  <c:v>Eswatini</c:v>
                </c:pt>
                <c:pt idx="2">
                  <c:v>Colombia</c:v>
                </c:pt>
                <c:pt idx="3">
                  <c:v>SA-WC</c:v>
                </c:pt>
                <c:pt idx="4">
                  <c:v>SA-KZ</c:v>
                </c:pt>
              </c:strCache>
            </c:strRef>
          </c:cat>
          <c:val>
            <c:numRef>
              <c:f>'Economic costs'!$C$30:$G$30</c:f>
              <c:numCache>
                <c:formatCode>0.0%</c:formatCode>
                <c:ptCount val="5"/>
                <c:pt idx="0">
                  <c:v>0.82186038949260765</c:v>
                </c:pt>
                <c:pt idx="1">
                  <c:v>0.2622846949972068</c:v>
                </c:pt>
                <c:pt idx="2">
                  <c:v>0.12229507062070331</c:v>
                </c:pt>
                <c:pt idx="3">
                  <c:v>3.7274615836559472E-2</c:v>
                </c:pt>
                <c:pt idx="4">
                  <c:v>6.680068093898571E-2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CB-4F42-8CA9-A5E7B6905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5994192"/>
        <c:axId val="1975995840"/>
      </c:barChart>
      <c:catAx>
        <c:axId val="197599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995840"/>
        <c:crosses val="autoZero"/>
        <c:auto val="1"/>
        <c:lblAlgn val="ctr"/>
        <c:lblOffset val="100"/>
        <c:noMultiLvlLbl val="0"/>
      </c:catAx>
      <c:valAx>
        <c:axId val="1975995840"/>
        <c:scaling>
          <c:orientation val="minMax"/>
        </c:scaling>
        <c:delete val="0"/>
        <c:axPos val="l"/>
        <c:numFmt formatCode="0%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99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6350</xdr:rowOff>
    </xdr:from>
    <xdr:to>
      <xdr:col>13</xdr:col>
      <xdr:colOff>342900</xdr:colOff>
      <xdr:row>20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204D3-FEE2-9D48-A6E5-A6C5622D9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6350</xdr:rowOff>
    </xdr:from>
    <xdr:to>
      <xdr:col>13</xdr:col>
      <xdr:colOff>342900</xdr:colOff>
      <xdr:row>20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D71F62-44F3-5544-BA74-3AE798722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0</xdr:row>
      <xdr:rowOff>0</xdr:rowOff>
    </xdr:from>
    <xdr:to>
      <xdr:col>14</xdr:col>
      <xdr:colOff>711200</xdr:colOff>
      <xdr:row>16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8BE2D1-F8A5-8443-AA3F-3EB2FD9B4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16</xdr:row>
      <xdr:rowOff>190500</xdr:rowOff>
    </xdr:from>
    <xdr:to>
      <xdr:col>14</xdr:col>
      <xdr:colOff>812800</xdr:colOff>
      <xdr:row>36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CDE801-AE85-D14F-9A94-54848D825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9</xdr:row>
      <xdr:rowOff>171450</xdr:rowOff>
    </xdr:from>
    <xdr:to>
      <xdr:col>14</xdr:col>
      <xdr:colOff>647700</xdr:colOff>
      <xdr:row>30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6BC2C9-2FAB-5641-831B-FA09A0B26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AF37-B86A-BA44-A1CA-2B6849B76813}">
  <dimension ref="A1:R78"/>
  <sheetViews>
    <sheetView workbookViewId="0">
      <selection activeCell="P22" sqref="P22"/>
    </sheetView>
  </sheetViews>
  <sheetFormatPr baseColWidth="10" defaultRowHeight="16" x14ac:dyDescent="0.2"/>
  <cols>
    <col min="1" max="1" width="51.1640625" customWidth="1"/>
    <col min="2" max="2" width="12.33203125" customWidth="1"/>
    <col min="4" max="4" width="11.83203125" customWidth="1"/>
    <col min="5" max="5" width="11.1640625" customWidth="1"/>
    <col min="6" max="6" width="13.83203125" customWidth="1"/>
    <col min="7" max="7" width="12.1640625" hidden="1" customWidth="1"/>
    <col min="8" max="8" width="12.83203125" hidden="1" customWidth="1"/>
    <col min="9" max="13" width="0" hidden="1" customWidth="1"/>
  </cols>
  <sheetData>
    <row r="1" spans="1:18" x14ac:dyDescent="0.2">
      <c r="A1" s="11"/>
      <c r="B1" s="11" t="s">
        <v>0</v>
      </c>
      <c r="C1" s="11" t="s">
        <v>1</v>
      </c>
      <c r="D1" s="11" t="s">
        <v>4</v>
      </c>
      <c r="E1" s="11" t="s">
        <v>2</v>
      </c>
      <c r="F1" s="11" t="s">
        <v>3</v>
      </c>
      <c r="G1" s="25" t="s">
        <v>87</v>
      </c>
      <c r="H1" s="2">
        <v>58558267</v>
      </c>
      <c r="I1" t="s">
        <v>36</v>
      </c>
    </row>
    <row r="2" spans="1:18" x14ac:dyDescent="0.2">
      <c r="A2" s="1" t="s">
        <v>5</v>
      </c>
    </row>
    <row r="3" spans="1:18" x14ac:dyDescent="0.2">
      <c r="A3" s="3" t="s">
        <v>18</v>
      </c>
      <c r="B3" s="4">
        <v>52573973</v>
      </c>
      <c r="C3" s="4">
        <v>1148130</v>
      </c>
      <c r="D3" s="4">
        <v>50339443</v>
      </c>
      <c r="E3" s="4">
        <v>7005741</v>
      </c>
      <c r="F3" s="4">
        <v>11531628</v>
      </c>
      <c r="G3" s="8">
        <v>211049527</v>
      </c>
    </row>
    <row r="4" spans="1:18" x14ac:dyDescent="0.2">
      <c r="A4" s="3" t="s">
        <v>32</v>
      </c>
      <c r="B4" s="4">
        <v>1817</v>
      </c>
      <c r="C4" s="4">
        <v>3895</v>
      </c>
      <c r="D4" s="4">
        <v>6429</v>
      </c>
      <c r="E4" s="4">
        <v>6001</v>
      </c>
      <c r="F4" s="4">
        <v>6001</v>
      </c>
      <c r="G4" s="26">
        <v>8717</v>
      </c>
    </row>
    <row r="5" spans="1:18" x14ac:dyDescent="0.2">
      <c r="A5" s="3" t="s">
        <v>33</v>
      </c>
      <c r="B5" s="5">
        <v>0.03</v>
      </c>
      <c r="C5" s="5">
        <v>0.03</v>
      </c>
      <c r="D5" s="5">
        <v>1.8700000000000001E-2</v>
      </c>
      <c r="E5" s="5">
        <v>-1.18E-2</v>
      </c>
      <c r="F5" s="5">
        <v>-1.18E-2</v>
      </c>
      <c r="G5" s="6">
        <v>3.8E-3</v>
      </c>
    </row>
    <row r="6" spans="1:18" x14ac:dyDescent="0.2">
      <c r="A6" s="3" t="s">
        <v>28</v>
      </c>
      <c r="B6" s="4">
        <v>1870</v>
      </c>
      <c r="C6" s="4">
        <v>3941</v>
      </c>
      <c r="D6" s="4">
        <v>6549</v>
      </c>
      <c r="E6" s="4">
        <v>5931</v>
      </c>
      <c r="F6" s="4">
        <v>5931</v>
      </c>
      <c r="G6" s="26">
        <v>8750.2999999999993</v>
      </c>
      <c r="H6" s="27"/>
      <c r="I6" s="27"/>
      <c r="J6" s="27"/>
      <c r="K6" s="27"/>
      <c r="L6" s="27"/>
    </row>
    <row r="7" spans="1:18" x14ac:dyDescent="0.2">
      <c r="A7" s="3" t="s">
        <v>29</v>
      </c>
      <c r="B7" s="6">
        <v>4.3200000000000002E-2</v>
      </c>
      <c r="C7" s="6">
        <v>4.9399999999999999E-2</v>
      </c>
      <c r="D7" s="6">
        <v>1.3800000000000002E-2</v>
      </c>
      <c r="E7" s="6">
        <v>2.3300000000000001E-2</v>
      </c>
      <c r="F7" s="6">
        <v>4.0300000000000002E-2</v>
      </c>
      <c r="G7" s="6">
        <v>1.3899999999999999E-2</v>
      </c>
    </row>
    <row r="8" spans="1:18" x14ac:dyDescent="0.2">
      <c r="A8" s="3" t="s">
        <v>30</v>
      </c>
      <c r="B8" s="6">
        <v>3.4199999999999999E-3</v>
      </c>
      <c r="C8" s="6">
        <v>4.3699999999999998E-3</v>
      </c>
      <c r="D8" s="6">
        <v>8.3000000000000001E-4</v>
      </c>
      <c r="E8" s="6">
        <v>6.8300000000000001E-4</v>
      </c>
      <c r="F8" s="6">
        <v>7.6900000000000004E-4</v>
      </c>
      <c r="G8" s="6">
        <v>5.9999999999999995E-4</v>
      </c>
    </row>
    <row r="9" spans="1:18" x14ac:dyDescent="0.2">
      <c r="A9" s="3" t="s">
        <v>31</v>
      </c>
      <c r="B9" s="18">
        <v>28.75</v>
      </c>
      <c r="C9" s="18">
        <v>26.341999999999999</v>
      </c>
      <c r="D9" s="18">
        <v>14.882</v>
      </c>
      <c r="E9" s="18">
        <v>20.51</v>
      </c>
      <c r="F9" s="18">
        <v>20.51</v>
      </c>
      <c r="G9" s="18">
        <v>13.923999999999999</v>
      </c>
    </row>
    <row r="10" spans="1:18" x14ac:dyDescent="0.2">
      <c r="A10" s="3" t="s">
        <v>52</v>
      </c>
      <c r="B10" s="7">
        <v>35</v>
      </c>
      <c r="C10" s="7">
        <v>64.458799606067657</v>
      </c>
      <c r="D10" s="7">
        <v>34.4</v>
      </c>
      <c r="E10" s="7">
        <v>69.7</v>
      </c>
      <c r="F10" s="7">
        <v>69.7</v>
      </c>
      <c r="G10" s="7">
        <v>40.94</v>
      </c>
    </row>
    <row r="11" spans="1:18" x14ac:dyDescent="0.2">
      <c r="A11" s="3" t="s">
        <v>6</v>
      </c>
      <c r="B11" s="7">
        <v>2.5</v>
      </c>
      <c r="C11" s="7">
        <v>2.9505345873971107</v>
      </c>
      <c r="D11" s="7">
        <v>2.6</v>
      </c>
      <c r="E11" s="7">
        <v>0.21</v>
      </c>
      <c r="F11" s="7">
        <v>0.21</v>
      </c>
      <c r="G11" s="7">
        <v>1.32</v>
      </c>
    </row>
    <row r="12" spans="1:18" x14ac:dyDescent="0.2">
      <c r="A12" s="3" t="s">
        <v>34</v>
      </c>
      <c r="B12">
        <v>3.9</v>
      </c>
      <c r="C12">
        <v>5.84</v>
      </c>
      <c r="D12">
        <v>4.3099999999999996</v>
      </c>
      <c r="E12">
        <v>4.32</v>
      </c>
      <c r="F12">
        <v>6.14</v>
      </c>
      <c r="G12" s="7">
        <v>3.3</v>
      </c>
    </row>
    <row r="13" spans="1:18" x14ac:dyDescent="0.2">
      <c r="A13" s="3" t="s">
        <v>35</v>
      </c>
      <c r="B13">
        <v>5575</v>
      </c>
      <c r="C13">
        <v>323</v>
      </c>
      <c r="D13" s="8">
        <v>28040</v>
      </c>
      <c r="E13" s="8">
        <f>33706*E3/H1</f>
        <v>4032.4879516328583</v>
      </c>
      <c r="F13" s="8">
        <f>33706*F3/H1</f>
        <v>6637.5778055043875</v>
      </c>
      <c r="G13" s="8">
        <f>177711*(1+3.6%)^2</f>
        <v>190736.50545600001</v>
      </c>
    </row>
    <row r="14" spans="1:18" x14ac:dyDescent="0.2">
      <c r="A14" s="9" t="s">
        <v>12</v>
      </c>
    </row>
    <row r="15" spans="1:18" x14ac:dyDescent="0.2">
      <c r="A15" s="67" t="s">
        <v>7</v>
      </c>
      <c r="B15" s="68">
        <v>227</v>
      </c>
      <c r="C15" s="68">
        <v>297.94865839417264</v>
      </c>
      <c r="D15" s="68">
        <v>282.83436482151757</v>
      </c>
      <c r="E15" s="68">
        <v>307.67489120476171</v>
      </c>
      <c r="F15" s="68">
        <v>307.67489120476171</v>
      </c>
      <c r="G15" s="4">
        <v>48.713387492057272</v>
      </c>
      <c r="N15" s="27">
        <f>B15*20%</f>
        <v>45.400000000000006</v>
      </c>
      <c r="O15" s="27">
        <f t="shared" ref="O15:R15" si="0">C15*20%</f>
        <v>59.589731678834532</v>
      </c>
      <c r="P15" s="27">
        <f t="shared" si="0"/>
        <v>56.566872964303514</v>
      </c>
      <c r="Q15" s="27">
        <f t="shared" si="0"/>
        <v>61.534978240952341</v>
      </c>
      <c r="R15" s="27">
        <f t="shared" si="0"/>
        <v>61.534978240952341</v>
      </c>
    </row>
    <row r="16" spans="1:18" x14ac:dyDescent="0.2">
      <c r="A16" s="67" t="s">
        <v>8</v>
      </c>
      <c r="B16" s="68">
        <v>843.51</v>
      </c>
      <c r="C16" s="68">
        <v>2866.3710059171599</v>
      </c>
      <c r="D16" s="68">
        <v>2441.4201183431956</v>
      </c>
      <c r="E16" s="68">
        <v>3139.832100591716</v>
      </c>
      <c r="F16" s="68">
        <v>3139.832100591716</v>
      </c>
      <c r="G16" s="4">
        <v>181.59428473370463</v>
      </c>
      <c r="N16" s="27">
        <f t="shared" ref="N16:N18" si="1">B16*20%</f>
        <v>168.702</v>
      </c>
      <c r="O16" s="27">
        <f t="shared" ref="O16:O18" si="2">C16*20%</f>
        <v>573.27420118343196</v>
      </c>
      <c r="P16" s="27">
        <f t="shared" ref="P16:P18" si="3">D16*20%</f>
        <v>488.28402366863912</v>
      </c>
      <c r="Q16" s="27">
        <f t="shared" ref="Q16:Q18" si="4">E16*20%</f>
        <v>627.96642011834319</v>
      </c>
      <c r="R16" s="27">
        <f t="shared" ref="R16:R18" si="5">F16*20%</f>
        <v>627.96642011834319</v>
      </c>
    </row>
    <row r="17" spans="1:18" x14ac:dyDescent="0.2">
      <c r="A17" s="67" t="s">
        <v>9</v>
      </c>
      <c r="B17" s="68">
        <v>1429.96</v>
      </c>
      <c r="C17" s="68">
        <v>4844.1670000000004</v>
      </c>
      <c r="D17" s="68">
        <v>4126</v>
      </c>
      <c r="E17" s="68">
        <v>5306.3162499999999</v>
      </c>
      <c r="F17" s="68">
        <v>5306.3162499999999</v>
      </c>
      <c r="G17" s="4">
        <v>306.89434119996082</v>
      </c>
      <c r="N17" s="27">
        <f t="shared" si="1"/>
        <v>285.99200000000002</v>
      </c>
      <c r="O17" s="27">
        <f t="shared" si="2"/>
        <v>968.8334000000001</v>
      </c>
      <c r="P17" s="27">
        <f t="shared" si="3"/>
        <v>825.2</v>
      </c>
      <c r="Q17" s="27">
        <f t="shared" si="4"/>
        <v>1061.26325</v>
      </c>
      <c r="R17" s="27">
        <f t="shared" si="5"/>
        <v>1061.26325</v>
      </c>
    </row>
    <row r="18" spans="1:18" x14ac:dyDescent="0.2">
      <c r="A18" s="67" t="s">
        <v>10</v>
      </c>
      <c r="B18" s="68">
        <v>6753.43</v>
      </c>
      <c r="C18" s="68">
        <v>7511.29</v>
      </c>
      <c r="D18" s="68">
        <v>8022</v>
      </c>
      <c r="E18" s="68">
        <v>10521.412</v>
      </c>
      <c r="F18" s="68">
        <v>10521.412</v>
      </c>
      <c r="G18" s="4">
        <v>2149.5500000000002</v>
      </c>
      <c r="N18" s="27">
        <f t="shared" si="1"/>
        <v>1350.6860000000001</v>
      </c>
      <c r="O18" s="27">
        <f t="shared" si="2"/>
        <v>1502.258</v>
      </c>
      <c r="P18" s="27">
        <f t="shared" si="3"/>
        <v>1604.4</v>
      </c>
      <c r="Q18" s="27">
        <f t="shared" si="4"/>
        <v>2104.2824000000001</v>
      </c>
      <c r="R18" s="27">
        <f t="shared" si="5"/>
        <v>2104.2824000000001</v>
      </c>
    </row>
    <row r="19" spans="1:18" x14ac:dyDescent="0.2">
      <c r="A19" s="9" t="s">
        <v>88</v>
      </c>
    </row>
    <row r="20" spans="1:18" x14ac:dyDescent="0.2">
      <c r="A20" s="3" t="s">
        <v>8</v>
      </c>
      <c r="B20" s="7">
        <v>1</v>
      </c>
      <c r="C20" s="7">
        <v>1</v>
      </c>
      <c r="D20" s="7">
        <v>1</v>
      </c>
      <c r="E20" s="7">
        <v>1</v>
      </c>
      <c r="F20" s="7">
        <v>1</v>
      </c>
      <c r="G20" s="26">
        <v>1</v>
      </c>
    </row>
    <row r="21" spans="1:18" x14ac:dyDescent="0.2">
      <c r="A21" s="3" t="s">
        <v>9</v>
      </c>
      <c r="B21" s="7">
        <v>7</v>
      </c>
      <c r="C21" s="7">
        <v>21.25</v>
      </c>
      <c r="D21" s="7">
        <v>10</v>
      </c>
      <c r="E21" s="7">
        <v>21.25</v>
      </c>
      <c r="F21" s="7">
        <v>21.25</v>
      </c>
      <c r="G21" s="26">
        <v>6.9</v>
      </c>
    </row>
    <row r="22" spans="1:18" x14ac:dyDescent="0.2">
      <c r="A22" s="3" t="s">
        <v>10</v>
      </c>
      <c r="B22" s="7">
        <v>10.3</v>
      </c>
      <c r="C22" s="7">
        <v>8.8000000000000007</v>
      </c>
      <c r="D22" s="7">
        <v>14</v>
      </c>
      <c r="E22" s="7">
        <v>8.8000000000000007</v>
      </c>
      <c r="F22" s="7">
        <v>8.8000000000000007</v>
      </c>
      <c r="G22" s="7">
        <v>10.3</v>
      </c>
    </row>
    <row r="23" spans="1:18" x14ac:dyDescent="0.2">
      <c r="A23" s="9" t="s">
        <v>11</v>
      </c>
    </row>
    <row r="24" spans="1:18" x14ac:dyDescent="0.2">
      <c r="A24" s="3" t="s">
        <v>13</v>
      </c>
      <c r="B24" s="18">
        <v>14.17</v>
      </c>
      <c r="C24" s="18">
        <v>10</v>
      </c>
      <c r="D24" s="18">
        <v>20.298889040993</v>
      </c>
      <c r="E24" s="18">
        <v>5.0196567417189994</v>
      </c>
      <c r="F24" s="18">
        <v>5.0196567417189994</v>
      </c>
      <c r="G24" s="18">
        <v>3.1366739510615931</v>
      </c>
    </row>
    <row r="25" spans="1:18" x14ac:dyDescent="0.2">
      <c r="A25" s="3" t="s">
        <v>14</v>
      </c>
      <c r="B25" s="18">
        <v>3.18</v>
      </c>
      <c r="C25" s="18">
        <v>5</v>
      </c>
      <c r="D25" s="18">
        <v>11.940522965289999</v>
      </c>
      <c r="E25" s="18">
        <v>5</v>
      </c>
      <c r="F25" s="18">
        <v>5</v>
      </c>
      <c r="G25" s="18">
        <v>9.56</v>
      </c>
    </row>
    <row r="26" spans="1:18" x14ac:dyDescent="0.2">
      <c r="A26" s="3" t="s">
        <v>89</v>
      </c>
      <c r="B26" s="18">
        <f>B6/260</f>
        <v>7.1923076923076925</v>
      </c>
      <c r="C26" s="18">
        <f t="shared" ref="C26:G26" si="6">C6/260</f>
        <v>15.157692307692308</v>
      </c>
      <c r="D26" s="18">
        <f t="shared" si="6"/>
        <v>25.188461538461539</v>
      </c>
      <c r="E26" s="18">
        <f t="shared" si="6"/>
        <v>22.811538461538461</v>
      </c>
      <c r="F26" s="18">
        <f t="shared" si="6"/>
        <v>22.811538461538461</v>
      </c>
      <c r="G26" s="18">
        <f t="shared" si="6"/>
        <v>33.654999999999994</v>
      </c>
    </row>
    <row r="27" spans="1:18" x14ac:dyDescent="0.2">
      <c r="A27" s="9" t="s">
        <v>16</v>
      </c>
      <c r="G27" s="18"/>
    </row>
    <row r="28" spans="1:18" x14ac:dyDescent="0.2">
      <c r="A28" s="3" t="s">
        <v>15</v>
      </c>
      <c r="B28" s="4">
        <v>48326.11</v>
      </c>
      <c r="C28" s="4">
        <v>9800</v>
      </c>
      <c r="D28" s="4">
        <v>65800</v>
      </c>
      <c r="E28" s="4">
        <v>9800</v>
      </c>
      <c r="F28" s="4">
        <v>9800</v>
      </c>
      <c r="G28" s="26">
        <v>85566</v>
      </c>
    </row>
    <row r="29" spans="1:18" x14ac:dyDescent="0.2">
      <c r="A29" s="3" t="s">
        <v>17</v>
      </c>
      <c r="B29" s="4">
        <v>13484.28</v>
      </c>
      <c r="C29" s="4">
        <v>10479</v>
      </c>
      <c r="D29" s="4">
        <v>16500</v>
      </c>
      <c r="E29" s="4">
        <v>9800</v>
      </c>
      <c r="F29" s="4">
        <v>9800</v>
      </c>
      <c r="G29" s="26">
        <v>71305</v>
      </c>
    </row>
    <row r="30" spans="1:18" x14ac:dyDescent="0.2">
      <c r="A30" s="3" t="s">
        <v>55</v>
      </c>
      <c r="B30" s="4">
        <v>13484.28</v>
      </c>
      <c r="C30" s="4">
        <v>10479</v>
      </c>
      <c r="D30" s="4">
        <v>16500</v>
      </c>
      <c r="E30" s="4">
        <v>9800</v>
      </c>
      <c r="F30" s="4">
        <v>9800</v>
      </c>
      <c r="G30" s="26">
        <v>57044</v>
      </c>
    </row>
    <row r="31" spans="1:18" x14ac:dyDescent="0.2">
      <c r="A31" s="3" t="s">
        <v>56</v>
      </c>
      <c r="B31" s="4">
        <v>13484.28</v>
      </c>
      <c r="C31" s="4">
        <v>10479</v>
      </c>
      <c r="D31" s="4">
        <v>16500</v>
      </c>
      <c r="E31" s="4">
        <v>9800</v>
      </c>
      <c r="F31" s="4">
        <v>9800</v>
      </c>
      <c r="G31" s="26">
        <v>57044</v>
      </c>
    </row>
    <row r="32" spans="1:18" x14ac:dyDescent="0.2">
      <c r="A32" s="3" t="s">
        <v>54</v>
      </c>
      <c r="B32" s="4">
        <v>13484.28</v>
      </c>
      <c r="C32" s="4">
        <v>9800</v>
      </c>
      <c r="D32" s="4">
        <v>16500</v>
      </c>
      <c r="E32" s="4">
        <v>9800</v>
      </c>
      <c r="F32" s="4">
        <v>9800</v>
      </c>
      <c r="G32" s="26">
        <v>57044</v>
      </c>
    </row>
    <row r="33" spans="1:13" x14ac:dyDescent="0.2">
      <c r="A33" s="9" t="s">
        <v>27</v>
      </c>
    </row>
    <row r="34" spans="1:13" x14ac:dyDescent="0.2">
      <c r="A34" s="3" t="s">
        <v>25</v>
      </c>
      <c r="B34" s="4">
        <v>176662</v>
      </c>
      <c r="C34" s="4">
        <v>7726</v>
      </c>
      <c r="D34" s="4">
        <v>838651</v>
      </c>
      <c r="E34" s="4">
        <v>35317</v>
      </c>
      <c r="F34" s="4">
        <v>68862</v>
      </c>
      <c r="G34" s="26">
        <v>2997662</v>
      </c>
      <c r="H34" s="32" t="s">
        <v>99</v>
      </c>
    </row>
    <row r="35" spans="1:13" x14ac:dyDescent="0.2">
      <c r="A35" s="3" t="s">
        <v>21</v>
      </c>
      <c r="B35" s="6">
        <v>1.67E-2</v>
      </c>
      <c r="C35" s="6">
        <v>4.5499999999999999E-2</v>
      </c>
      <c r="D35" s="6">
        <v>6.2E-2</v>
      </c>
      <c r="E35" s="6">
        <v>3.0669999999999999E-2</v>
      </c>
      <c r="F35" s="6">
        <v>4.4600000000000001E-2</v>
      </c>
      <c r="G35" s="6">
        <v>4.0899999999999999E-2</v>
      </c>
      <c r="H35" s="32" t="s">
        <v>98</v>
      </c>
      <c r="I35" s="20">
        <f>(B10/1000*B3*20%+B34*(B12-1))/B3</f>
        <v>1.6744741946742355E-2</v>
      </c>
      <c r="J35" s="20">
        <f>(C10/1000*C3*20%+C34*(C12-1))/C3</f>
        <v>4.5461103114057544E-2</v>
      </c>
      <c r="K35" s="20">
        <f>(D10/1000*D3*20%+D34*(D12-1))/D3</f>
        <v>6.202432907014882E-2</v>
      </c>
      <c r="L35" s="20">
        <f>(E10/1000*E3*20%+E34*(E12-1))/E3</f>
        <v>3.0676622150319292E-2</v>
      </c>
      <c r="M35" s="20">
        <f>(F10/1000*F3*20%+F34*(F12-1))/F3</f>
        <v>4.4633903757561377E-2</v>
      </c>
    </row>
    <row r="36" spans="1:13" x14ac:dyDescent="0.2">
      <c r="A36" s="3" t="s">
        <v>22</v>
      </c>
      <c r="B36" s="10">
        <v>7.21</v>
      </c>
      <c r="C36" s="10">
        <v>4.63</v>
      </c>
      <c r="D36" s="10">
        <v>1.32</v>
      </c>
      <c r="E36" s="10">
        <v>6.25</v>
      </c>
      <c r="F36" s="10">
        <v>6.71</v>
      </c>
      <c r="G36" s="26">
        <v>0.25</v>
      </c>
      <c r="H36" s="32" t="s">
        <v>96</v>
      </c>
      <c r="I36" s="20">
        <f>B10/1000*0.2</f>
        <v>7.000000000000001E-3</v>
      </c>
      <c r="J36" s="20">
        <f t="shared" ref="J36:M36" si="7">C10/1000*0.2</f>
        <v>1.2891759921213532E-2</v>
      </c>
      <c r="K36" s="20">
        <f t="shared" si="7"/>
        <v>6.8800000000000007E-3</v>
      </c>
      <c r="L36" s="20">
        <f t="shared" si="7"/>
        <v>1.3940000000000001E-2</v>
      </c>
      <c r="M36" s="20">
        <f t="shared" si="7"/>
        <v>1.3940000000000001E-2</v>
      </c>
    </row>
    <row r="37" spans="1:13" x14ac:dyDescent="0.2">
      <c r="A37" s="3" t="s">
        <v>26</v>
      </c>
      <c r="B37" s="6">
        <v>9.4200000000000006E-2</v>
      </c>
      <c r="C37" s="6">
        <v>0.14199999999999999</v>
      </c>
      <c r="D37" s="6">
        <v>1.9400000000000001E-2</v>
      </c>
      <c r="E37" s="6">
        <v>0.13900000000000001</v>
      </c>
      <c r="F37" s="6">
        <v>0.20300000000000001</v>
      </c>
      <c r="G37" s="6">
        <v>-3.1600000000000003E-2</v>
      </c>
      <c r="H37" s="32" t="s">
        <v>97</v>
      </c>
      <c r="I37" s="20">
        <f>B34*(B12-1)/B3</f>
        <v>9.7447419467423541E-3</v>
      </c>
      <c r="J37" s="20">
        <f t="shared" ref="J37:M37" si="8">C34*(C12-1)/C3</f>
        <v>3.2569343192844012E-2</v>
      </c>
      <c r="K37" s="20">
        <f t="shared" si="8"/>
        <v>5.5144329070148823E-2</v>
      </c>
      <c r="L37" s="20">
        <f t="shared" si="8"/>
        <v>1.6736622150319291E-2</v>
      </c>
      <c r="M37" s="20">
        <f t="shared" si="8"/>
        <v>3.0693903757561376E-2</v>
      </c>
    </row>
    <row r="38" spans="1:13" x14ac:dyDescent="0.2">
      <c r="A38" s="3" t="s">
        <v>23</v>
      </c>
      <c r="B38" s="6">
        <v>1.9199999999999998E-2</v>
      </c>
      <c r="C38" s="6">
        <v>6.0100000000000001E-2</v>
      </c>
      <c r="D38" s="6">
        <v>0.05</v>
      </c>
      <c r="E38" s="6">
        <v>0.28320000000000001</v>
      </c>
      <c r="F38" s="6">
        <v>0.2311</v>
      </c>
      <c r="G38" s="6">
        <v>6.0000000000000001E-3</v>
      </c>
    </row>
    <row r="39" spans="1:13" x14ac:dyDescent="0.2">
      <c r="A39" s="3" t="s">
        <v>24</v>
      </c>
      <c r="B39" s="6">
        <v>2.0100000000000001E-3</v>
      </c>
      <c r="C39" s="6">
        <v>1.562E-2</v>
      </c>
      <c r="D39" s="6">
        <v>4.4699999999999997E-2</v>
      </c>
      <c r="E39" s="6">
        <v>4.2349999999999999E-2</v>
      </c>
      <c r="F39" s="6">
        <v>2.9590000000000002E-2</v>
      </c>
      <c r="G39" s="6">
        <v>5.0599999999999999E-2</v>
      </c>
    </row>
    <row r="40" spans="1:13" x14ac:dyDescent="0.2">
      <c r="A40" s="3" t="s">
        <v>50</v>
      </c>
      <c r="B40" s="10">
        <v>50.79</v>
      </c>
      <c r="C40" s="10">
        <v>52</v>
      </c>
      <c r="D40" s="10">
        <v>54.24</v>
      </c>
      <c r="E40" s="10">
        <v>56</v>
      </c>
      <c r="F40" s="10">
        <v>56</v>
      </c>
      <c r="G40" s="10">
        <v>54.69</v>
      </c>
    </row>
    <row r="41" spans="1:13" x14ac:dyDescent="0.2">
      <c r="A41" s="3" t="s">
        <v>51</v>
      </c>
      <c r="B41" s="10">
        <v>55</v>
      </c>
      <c r="C41" s="10">
        <v>59</v>
      </c>
      <c r="D41" s="10">
        <v>54.24</v>
      </c>
      <c r="E41" s="10">
        <v>63</v>
      </c>
      <c r="F41" s="10">
        <v>63</v>
      </c>
      <c r="G41" s="10">
        <v>60</v>
      </c>
    </row>
    <row r="42" spans="1:13" x14ac:dyDescent="0.2">
      <c r="A42" s="3" t="s">
        <v>59</v>
      </c>
      <c r="B42" s="10">
        <v>26.418369970000008</v>
      </c>
      <c r="C42" s="10">
        <v>20.824880559999997</v>
      </c>
      <c r="D42" s="10">
        <v>31.090793139999988</v>
      </c>
      <c r="E42" s="10">
        <v>24.015892109999996</v>
      </c>
      <c r="F42" s="10">
        <v>24.015892109999996</v>
      </c>
      <c r="G42" s="6">
        <v>0.2802</v>
      </c>
    </row>
    <row r="43" spans="1:13" x14ac:dyDescent="0.2">
      <c r="A43" s="3" t="s">
        <v>60</v>
      </c>
      <c r="B43" s="10">
        <v>23.612187720000009</v>
      </c>
      <c r="C43" s="10">
        <v>16.200972589999992</v>
      </c>
      <c r="D43" s="10">
        <v>31.090793139999988</v>
      </c>
      <c r="E43" s="10">
        <v>18.622106619999997</v>
      </c>
      <c r="F43" s="10">
        <v>18.622106619999997</v>
      </c>
      <c r="G43" s="6">
        <v>0.24399999999999999</v>
      </c>
    </row>
    <row r="44" spans="1:13" x14ac:dyDescent="0.2">
      <c r="A44" s="9" t="s">
        <v>53</v>
      </c>
    </row>
    <row r="45" spans="1:13" x14ac:dyDescent="0.2">
      <c r="A45" s="3" t="s">
        <v>15</v>
      </c>
      <c r="B45" s="2">
        <v>455</v>
      </c>
      <c r="C45" s="2">
        <v>56</v>
      </c>
      <c r="D45" s="2">
        <v>9700</v>
      </c>
      <c r="E45" s="35">
        <f>531+4563+4909</f>
        <v>10003</v>
      </c>
      <c r="F45" s="35">
        <v>15913</v>
      </c>
      <c r="G45">
        <v>1320</v>
      </c>
    </row>
    <row r="46" spans="1:13" x14ac:dyDescent="0.2">
      <c r="A46" s="3" t="s">
        <v>17</v>
      </c>
      <c r="B46">
        <v>685</v>
      </c>
      <c r="C46">
        <v>271</v>
      </c>
      <c r="D46">
        <v>19208</v>
      </c>
      <c r="E46">
        <v>0</v>
      </c>
      <c r="F46">
        <v>0</v>
      </c>
      <c r="G46">
        <v>14400</v>
      </c>
    </row>
    <row r="47" spans="1:13" x14ac:dyDescent="0.2">
      <c r="A47" s="3" t="s">
        <v>55</v>
      </c>
      <c r="B47">
        <v>96</v>
      </c>
      <c r="C47">
        <v>0</v>
      </c>
      <c r="D47">
        <v>0</v>
      </c>
      <c r="E47" s="16">
        <v>0</v>
      </c>
      <c r="F47" s="16">
        <v>0</v>
      </c>
      <c r="G47">
        <v>0</v>
      </c>
    </row>
    <row r="48" spans="1:13" x14ac:dyDescent="0.2">
      <c r="A48" s="3" t="s">
        <v>56</v>
      </c>
      <c r="B48">
        <v>281</v>
      </c>
      <c r="C48">
        <v>0</v>
      </c>
      <c r="D48">
        <v>0</v>
      </c>
      <c r="E48" s="16">
        <v>0</v>
      </c>
      <c r="F48" s="16">
        <v>0</v>
      </c>
      <c r="G48">
        <v>0</v>
      </c>
    </row>
    <row r="49" spans="1:14" x14ac:dyDescent="0.2">
      <c r="A49" s="3" t="s">
        <v>54</v>
      </c>
      <c r="B49">
        <v>1850</v>
      </c>
      <c r="C49">
        <v>127</v>
      </c>
      <c r="D49">
        <v>13038</v>
      </c>
      <c r="E49">
        <v>0</v>
      </c>
      <c r="F49">
        <v>0</v>
      </c>
      <c r="G49">
        <v>753</v>
      </c>
    </row>
    <row r="50" spans="1:14" x14ac:dyDescent="0.2">
      <c r="A50" s="1" t="s">
        <v>58</v>
      </c>
    </row>
    <row r="51" spans="1:14" x14ac:dyDescent="0.2">
      <c r="A51" s="3" t="s">
        <v>15</v>
      </c>
      <c r="B51">
        <v>10</v>
      </c>
      <c r="C51">
        <v>4</v>
      </c>
      <c r="D51">
        <v>91</v>
      </c>
      <c r="E51">
        <v>108</v>
      </c>
      <c r="F51">
        <v>386</v>
      </c>
      <c r="G51">
        <v>154</v>
      </c>
    </row>
    <row r="52" spans="1:14" x14ac:dyDescent="0.2">
      <c r="A52" s="3" t="s">
        <v>17</v>
      </c>
      <c r="B52">
        <v>5</v>
      </c>
      <c r="C52">
        <v>2</v>
      </c>
      <c r="D52">
        <v>67</v>
      </c>
      <c r="E52">
        <v>0</v>
      </c>
      <c r="F52">
        <v>0</v>
      </c>
      <c r="G52">
        <v>1139</v>
      </c>
    </row>
    <row r="53" spans="1:14" x14ac:dyDescent="0.2">
      <c r="A53" s="3" t="s">
        <v>55</v>
      </c>
      <c r="B53">
        <v>0</v>
      </c>
      <c r="C53">
        <v>0</v>
      </c>
      <c r="D53">
        <v>0</v>
      </c>
      <c r="E53" s="16">
        <v>0</v>
      </c>
      <c r="F53" s="16">
        <v>0</v>
      </c>
      <c r="G53">
        <v>0</v>
      </c>
    </row>
    <row r="54" spans="1:14" x14ac:dyDescent="0.2">
      <c r="A54" s="3" t="s">
        <v>56</v>
      </c>
      <c r="B54">
        <v>2</v>
      </c>
      <c r="C54">
        <v>0</v>
      </c>
      <c r="D54">
        <v>0</v>
      </c>
      <c r="E54" s="16">
        <v>0</v>
      </c>
      <c r="F54" s="16">
        <v>0</v>
      </c>
      <c r="G54">
        <v>0</v>
      </c>
    </row>
    <row r="55" spans="1:14" x14ac:dyDescent="0.2">
      <c r="A55" s="3" t="s">
        <v>54</v>
      </c>
      <c r="B55">
        <v>16</v>
      </c>
      <c r="C55">
        <v>4</v>
      </c>
      <c r="D55">
        <v>38</v>
      </c>
      <c r="E55">
        <v>0</v>
      </c>
      <c r="F55">
        <v>0</v>
      </c>
      <c r="G55">
        <v>105</v>
      </c>
    </row>
    <row r="56" spans="1:14" x14ac:dyDescent="0.2">
      <c r="A56" s="9" t="s">
        <v>57</v>
      </c>
    </row>
    <row r="57" spans="1:14" x14ac:dyDescent="0.2">
      <c r="A57" s="3" t="s">
        <v>15</v>
      </c>
      <c r="B57" s="16">
        <v>1447.5248628527243</v>
      </c>
      <c r="C57" s="16">
        <v>7714.9445273804649</v>
      </c>
      <c r="D57">
        <v>1900</v>
      </c>
      <c r="E57">
        <v>7715</v>
      </c>
      <c r="F57">
        <v>7715</v>
      </c>
      <c r="G57">
        <v>1779.5</v>
      </c>
    </row>
    <row r="58" spans="1:14" x14ac:dyDescent="0.2">
      <c r="A58" s="3" t="s">
        <v>17</v>
      </c>
      <c r="B58" s="16">
        <v>308.80532654410786</v>
      </c>
      <c r="C58" s="16">
        <v>1065.9523682161866</v>
      </c>
      <c r="D58">
        <v>916.9</v>
      </c>
      <c r="E58">
        <v>0</v>
      </c>
      <c r="F58">
        <v>0</v>
      </c>
      <c r="G58">
        <v>284.72000000000003</v>
      </c>
    </row>
    <row r="59" spans="1:14" x14ac:dyDescent="0.2">
      <c r="A59" s="3" t="s">
        <v>55</v>
      </c>
      <c r="B59" s="16">
        <v>406.73322266285459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</row>
    <row r="60" spans="1:14" x14ac:dyDescent="0.2">
      <c r="A60" s="3" t="s">
        <v>56</v>
      </c>
      <c r="B60" s="16">
        <v>241.28428955099355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</row>
    <row r="61" spans="1:14" x14ac:dyDescent="0.2">
      <c r="A61" s="3" t="s">
        <v>54</v>
      </c>
      <c r="B61" s="16">
        <v>386.12331782118736</v>
      </c>
      <c r="C61" s="16">
        <v>525.33633585155155</v>
      </c>
      <c r="D61">
        <v>916.9</v>
      </c>
      <c r="E61">
        <v>0</v>
      </c>
      <c r="F61">
        <v>0</v>
      </c>
      <c r="G61">
        <v>368.27</v>
      </c>
    </row>
    <row r="62" spans="1:14" x14ac:dyDescent="0.2">
      <c r="A62" s="9" t="s">
        <v>70</v>
      </c>
    </row>
    <row r="63" spans="1:14" x14ac:dyDescent="0.2">
      <c r="A63" s="3" t="s">
        <v>69</v>
      </c>
      <c r="B63" s="8">
        <v>105467</v>
      </c>
      <c r="C63" s="8">
        <v>18412</v>
      </c>
      <c r="D63" s="8">
        <f>2082521+108660+60511</f>
        <v>2251692</v>
      </c>
      <c r="E63" s="8">
        <v>296666</v>
      </c>
      <c r="F63" s="8">
        <v>341175</v>
      </c>
      <c r="G63">
        <v>10681795</v>
      </c>
    </row>
    <row r="64" spans="1:14" x14ac:dyDescent="0.2">
      <c r="A64" s="3" t="s">
        <v>78</v>
      </c>
      <c r="B64" s="8">
        <v>1853</v>
      </c>
      <c r="C64" s="8">
        <v>670</v>
      </c>
      <c r="D64" s="8">
        <v>60511</v>
      </c>
      <c r="E64" s="8">
        <v>11881</v>
      </c>
      <c r="F64" s="8">
        <v>10535</v>
      </c>
      <c r="G64">
        <v>255018</v>
      </c>
      <c r="H64" s="31"/>
      <c r="I64" s="31"/>
      <c r="J64" s="31"/>
      <c r="K64" s="31"/>
      <c r="L64" s="31"/>
      <c r="M64" s="30"/>
      <c r="N64" s="30"/>
    </row>
    <row r="65" spans="1:11" x14ac:dyDescent="0.2">
      <c r="A65" s="13" t="s">
        <v>76</v>
      </c>
      <c r="B65" s="18">
        <v>67.316999999999993</v>
      </c>
      <c r="C65" s="18">
        <v>58.97590185</v>
      </c>
      <c r="D65" s="18">
        <v>79.219297209999993</v>
      </c>
      <c r="E65" s="18">
        <v>66.13124114</v>
      </c>
      <c r="F65" s="18">
        <v>66.13124114</v>
      </c>
      <c r="G65">
        <v>75.846817020000003</v>
      </c>
      <c r="J65" s="29"/>
      <c r="K65" s="29"/>
    </row>
    <row r="66" spans="1:11" x14ac:dyDescent="0.2">
      <c r="A66" s="13" t="s">
        <v>77</v>
      </c>
      <c r="B66" s="18">
        <v>47.47051252</v>
      </c>
      <c r="C66" s="18">
        <v>33.294642080000003</v>
      </c>
      <c r="D66" s="18">
        <v>58.257809770000001</v>
      </c>
      <c r="E66" s="18">
        <v>41.023615640000003</v>
      </c>
      <c r="F66" s="18">
        <v>41.023615640000003</v>
      </c>
      <c r="G66">
        <v>54.33632764</v>
      </c>
      <c r="J66" s="29" t="s">
        <v>91</v>
      </c>
      <c r="K66" s="30"/>
    </row>
    <row r="67" spans="1:11" x14ac:dyDescent="0.2">
      <c r="A67" s="13" t="s">
        <v>80</v>
      </c>
      <c r="B67" s="2">
        <v>4385.2808905100001</v>
      </c>
      <c r="C67" s="2">
        <v>303.16961689999999</v>
      </c>
      <c r="D67" s="2">
        <v>24934.62153343</v>
      </c>
      <c r="E67" s="2">
        <v>32013.127325689999</v>
      </c>
      <c r="F67" s="2">
        <v>32013.127325689999</v>
      </c>
      <c r="G67" s="8">
        <v>177711</v>
      </c>
      <c r="J67" s="29" t="s">
        <v>92</v>
      </c>
      <c r="K67" s="30"/>
    </row>
    <row r="68" spans="1:11" x14ac:dyDescent="0.2">
      <c r="A68" s="13" t="s">
        <v>79</v>
      </c>
      <c r="B68" s="2">
        <v>1472.8096154899999</v>
      </c>
      <c r="C68" s="2">
        <v>197.61197931000001</v>
      </c>
      <c r="D68" s="2">
        <v>617.11175680999997</v>
      </c>
      <c r="E68" s="2">
        <v>15429.37769546</v>
      </c>
      <c r="F68" s="2">
        <v>15429.37769546</v>
      </c>
      <c r="G68" s="8">
        <v>180107</v>
      </c>
      <c r="J68" s="29" t="s">
        <v>93</v>
      </c>
      <c r="K68" s="30"/>
    </row>
    <row r="69" spans="1:11" x14ac:dyDescent="0.2">
      <c r="A69" s="13" t="s">
        <v>81</v>
      </c>
      <c r="B69" s="34">
        <v>2078.2835257800002</v>
      </c>
      <c r="C69" s="34">
        <v>197.61197931000001</v>
      </c>
      <c r="D69" s="34">
        <v>19331.428322749998</v>
      </c>
      <c r="E69" s="34">
        <v>15429.37769546</v>
      </c>
      <c r="F69" s="34">
        <v>15429.37769546</v>
      </c>
      <c r="G69">
        <v>73620</v>
      </c>
      <c r="J69" s="29" t="s">
        <v>94</v>
      </c>
      <c r="K69" s="30"/>
    </row>
    <row r="70" spans="1:11" x14ac:dyDescent="0.2">
      <c r="A70" s="13" t="s">
        <v>82</v>
      </c>
      <c r="B70" s="20">
        <f>B69/B67</f>
        <v>0.47392255540061873</v>
      </c>
      <c r="C70" s="20">
        <f t="shared" ref="C70:F70" si="9">C69/C67</f>
        <v>0.65181986681462867</v>
      </c>
      <c r="D70" s="20">
        <f t="shared" si="9"/>
        <v>0.77528460966741497</v>
      </c>
      <c r="E70" s="20">
        <f t="shared" si="9"/>
        <v>0.48197033480943868</v>
      </c>
      <c r="F70" s="20">
        <f t="shared" si="9"/>
        <v>0.48197033480943868</v>
      </c>
      <c r="G70" s="20">
        <f>G69/G68</f>
        <v>0.4087570166623174</v>
      </c>
      <c r="J70" s="29" t="s">
        <v>95</v>
      </c>
      <c r="K70" s="30"/>
    </row>
    <row r="71" spans="1:11" x14ac:dyDescent="0.2">
      <c r="A71" s="13" t="s">
        <v>83</v>
      </c>
      <c r="B71" s="31">
        <f>B64/B63</f>
        <v>1.7569476708354272E-2</v>
      </c>
      <c r="C71" s="31">
        <f t="shared" ref="C71:F71" si="10">C64/C63</f>
        <v>3.6389311318705195E-2</v>
      </c>
      <c r="D71" s="31">
        <f t="shared" si="10"/>
        <v>2.6873568853999569E-2</v>
      </c>
      <c r="E71" s="31">
        <f t="shared" si="10"/>
        <v>4.0048404603156409E-2</v>
      </c>
      <c r="F71" s="31">
        <f t="shared" si="10"/>
        <v>3.0878581373195574E-2</v>
      </c>
      <c r="G71">
        <f>G64/G63</f>
        <v>2.387407734374232E-2</v>
      </c>
    </row>
    <row r="72" spans="1:11" x14ac:dyDescent="0.2">
      <c r="A72" s="13" t="s">
        <v>84</v>
      </c>
      <c r="B72" s="21">
        <v>9939</v>
      </c>
      <c r="C72" s="21">
        <v>2607</v>
      </c>
      <c r="D72" s="21">
        <v>43786</v>
      </c>
      <c r="E72" s="21">
        <v>41162</v>
      </c>
      <c r="F72" s="21">
        <v>69331</v>
      </c>
      <c r="G72">
        <v>-337505</v>
      </c>
    </row>
    <row r="73" spans="1:11" x14ac:dyDescent="0.2">
      <c r="A73" s="13" t="s">
        <v>85</v>
      </c>
      <c r="B73" s="21">
        <f>B72*B71</f>
        <v>174.62302900433312</v>
      </c>
      <c r="C73" s="21">
        <f>C72*C71</f>
        <v>94.866934607864437</v>
      </c>
      <c r="D73" s="21">
        <f>D72*D71</f>
        <v>1176.6860858412251</v>
      </c>
      <c r="E73" s="21">
        <f>E72*E71</f>
        <v>1648.4724302751242</v>
      </c>
      <c r="F73" s="21">
        <f>F72*F71</f>
        <v>2140.8429251850225</v>
      </c>
      <c r="G73">
        <v>-8057.6</v>
      </c>
    </row>
    <row r="74" spans="1:11" x14ac:dyDescent="0.2">
      <c r="A74" s="9" t="s">
        <v>90</v>
      </c>
      <c r="B74" s="21"/>
      <c r="C74" s="21"/>
      <c r="D74" s="21"/>
      <c r="E74" s="21"/>
      <c r="F74" s="21"/>
    </row>
    <row r="75" spans="1:11" x14ac:dyDescent="0.2">
      <c r="A75" s="3" t="s">
        <v>8</v>
      </c>
      <c r="B75" s="28">
        <v>16.440000000000001</v>
      </c>
      <c r="C75" s="28">
        <v>16.440000000000001</v>
      </c>
      <c r="D75" s="28">
        <v>16.440000000000001</v>
      </c>
      <c r="E75" s="28">
        <v>16.440000000000001</v>
      </c>
      <c r="F75" s="28">
        <v>16.440000000000001</v>
      </c>
      <c r="G75">
        <v>16.440000000000001</v>
      </c>
    </row>
    <row r="76" spans="1:11" x14ac:dyDescent="0.2">
      <c r="A76" s="3" t="s">
        <v>9</v>
      </c>
      <c r="B76" s="28">
        <v>16.440000000000001</v>
      </c>
      <c r="C76" s="28">
        <v>16.440000000000001</v>
      </c>
      <c r="D76" s="28">
        <v>16.440000000000001</v>
      </c>
      <c r="E76" s="28">
        <v>16.440000000000001</v>
      </c>
      <c r="F76" s="28">
        <v>16.440000000000001</v>
      </c>
      <c r="G76">
        <v>16.440000000000001</v>
      </c>
    </row>
    <row r="77" spans="1:11" x14ac:dyDescent="0.2">
      <c r="A77" s="3" t="s">
        <v>10</v>
      </c>
      <c r="B77" s="28">
        <v>16.440000000000001</v>
      </c>
      <c r="C77" s="28">
        <v>16.440000000000001</v>
      </c>
      <c r="D77" s="28">
        <v>16.440000000000001</v>
      </c>
      <c r="E77" s="28">
        <v>16.440000000000001</v>
      </c>
      <c r="F77" s="28">
        <v>16.440000000000001</v>
      </c>
      <c r="G77">
        <v>16.440000000000001</v>
      </c>
    </row>
    <row r="78" spans="1:11" s="60" customFormat="1" x14ac:dyDescent="0.2">
      <c r="A78" s="58" t="s">
        <v>77</v>
      </c>
      <c r="B78" s="59">
        <v>52.115000000000002</v>
      </c>
      <c r="C78" s="59">
        <v>37.534487640000002</v>
      </c>
      <c r="D78" s="59">
        <v>63.12268916</v>
      </c>
      <c r="E78" s="59">
        <v>45.336972439999997</v>
      </c>
      <c r="F78" s="59">
        <v>45.336972439999997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6C407-BA31-BD40-8171-384BC99B8265}">
  <dimension ref="A1:C30"/>
  <sheetViews>
    <sheetView workbookViewId="0">
      <selection activeCell="B14" sqref="B14"/>
    </sheetView>
  </sheetViews>
  <sheetFormatPr baseColWidth="10" defaultRowHeight="16" x14ac:dyDescent="0.2"/>
  <cols>
    <col min="1" max="1" width="35.5" customWidth="1"/>
  </cols>
  <sheetData>
    <row r="1" spans="1:3" x14ac:dyDescent="0.2">
      <c r="A1" s="1" t="s">
        <v>19</v>
      </c>
    </row>
    <row r="2" spans="1:3" ht="17" thickBot="1" x14ac:dyDescent="0.25"/>
    <row r="3" spans="1:3" ht="17" thickBot="1" x14ac:dyDescent="0.25">
      <c r="A3" s="15" t="s">
        <v>20</v>
      </c>
      <c r="B3" s="14" t="s">
        <v>39</v>
      </c>
      <c r="C3" t="s">
        <v>132</v>
      </c>
    </row>
    <row r="4" spans="1:3" x14ac:dyDescent="0.2">
      <c r="A4" t="s">
        <v>37</v>
      </c>
    </row>
    <row r="5" spans="1:3" x14ac:dyDescent="0.2">
      <c r="A5" s="3" t="s">
        <v>61</v>
      </c>
      <c r="B5" s="17">
        <f>81%*80%</f>
        <v>0.64800000000000013</v>
      </c>
    </row>
    <row r="6" spans="1:3" x14ac:dyDescent="0.2">
      <c r="A6" s="3" t="s">
        <v>62</v>
      </c>
      <c r="B6" s="17">
        <f>81%*20%</f>
        <v>0.16200000000000003</v>
      </c>
    </row>
    <row r="7" spans="1:3" x14ac:dyDescent="0.2">
      <c r="A7" s="3" t="s">
        <v>38</v>
      </c>
      <c r="B7" s="17">
        <v>0.14000000000000001</v>
      </c>
    </row>
    <row r="8" spans="1:3" x14ac:dyDescent="0.2">
      <c r="A8" s="3" t="s">
        <v>68</v>
      </c>
      <c r="B8" s="17">
        <v>0.05</v>
      </c>
    </row>
    <row r="9" spans="1:3" x14ac:dyDescent="0.2">
      <c r="A9" s="13" t="s">
        <v>41</v>
      </c>
    </row>
    <row r="10" spans="1:3" x14ac:dyDescent="0.2">
      <c r="A10" s="3" t="s">
        <v>42</v>
      </c>
      <c r="B10" s="12">
        <v>0.8</v>
      </c>
    </row>
    <row r="11" spans="1:3" x14ac:dyDescent="0.2">
      <c r="A11" s="3" t="s">
        <v>43</v>
      </c>
      <c r="B11" s="12">
        <v>0.2</v>
      </c>
    </row>
    <row r="12" spans="1:3" x14ac:dyDescent="0.2">
      <c r="A12" s="13" t="s">
        <v>40</v>
      </c>
      <c r="B12" s="7">
        <v>1</v>
      </c>
    </row>
    <row r="13" spans="1:3" x14ac:dyDescent="0.2">
      <c r="A13" s="13" t="s">
        <v>44</v>
      </c>
    </row>
    <row r="14" spans="1:3" x14ac:dyDescent="0.2">
      <c r="A14" s="3" t="s">
        <v>64</v>
      </c>
      <c r="B14" s="18">
        <f>16.44/260</f>
        <v>6.3230769230769229E-2</v>
      </c>
    </row>
    <row r="15" spans="1:3" x14ac:dyDescent="0.2">
      <c r="A15" s="3" t="s">
        <v>45</v>
      </c>
      <c r="B15">
        <v>0.5</v>
      </c>
    </row>
    <row r="16" spans="1:3" x14ac:dyDescent="0.2">
      <c r="A16" s="67" t="s">
        <v>63</v>
      </c>
      <c r="B16" s="70">
        <v>0.1</v>
      </c>
      <c r="C16" s="20">
        <v>0.02</v>
      </c>
    </row>
    <row r="17" spans="1:3" x14ac:dyDescent="0.2">
      <c r="A17" s="71" t="s">
        <v>46</v>
      </c>
      <c r="B17" s="70">
        <v>0.2</v>
      </c>
      <c r="C17" s="20">
        <v>0.04</v>
      </c>
    </row>
    <row r="18" spans="1:3" x14ac:dyDescent="0.2">
      <c r="A18" s="13" t="s">
        <v>47</v>
      </c>
    </row>
    <row r="19" spans="1:3" x14ac:dyDescent="0.2">
      <c r="A19" s="3" t="s">
        <v>48</v>
      </c>
      <c r="B19">
        <v>22.5</v>
      </c>
    </row>
    <row r="20" spans="1:3" x14ac:dyDescent="0.2">
      <c r="A20" s="3" t="s">
        <v>49</v>
      </c>
      <c r="B20">
        <v>2.5</v>
      </c>
    </row>
    <row r="21" spans="1:3" x14ac:dyDescent="0.2">
      <c r="A21" s="13" t="s">
        <v>65</v>
      </c>
    </row>
    <row r="22" spans="1:3" x14ac:dyDescent="0.2">
      <c r="A22" s="3" t="s">
        <v>66</v>
      </c>
      <c r="B22" s="19">
        <v>8.5106382978723406E-3</v>
      </c>
    </row>
    <row r="23" spans="1:3" x14ac:dyDescent="0.2">
      <c r="A23" s="3" t="s">
        <v>38</v>
      </c>
      <c r="B23" s="19">
        <v>1.7021276595744681E-2</v>
      </c>
    </row>
    <row r="24" spans="1:3" x14ac:dyDescent="0.2">
      <c r="A24" s="3" t="s">
        <v>67</v>
      </c>
      <c r="B24" s="19">
        <v>0.97446808510638294</v>
      </c>
    </row>
    <row r="25" spans="1:3" x14ac:dyDescent="0.2">
      <c r="A25" s="13" t="s">
        <v>71</v>
      </c>
    </row>
    <row r="26" spans="1:3" x14ac:dyDescent="0.2">
      <c r="A26" s="67" t="s">
        <v>72</v>
      </c>
      <c r="B26" s="69">
        <v>-0.23100000000000001</v>
      </c>
      <c r="C26" s="69">
        <f>-B26/3.08</f>
        <v>7.4999999999999997E-2</v>
      </c>
    </row>
    <row r="27" spans="1:3" x14ac:dyDescent="0.2">
      <c r="A27" s="67" t="s">
        <v>73</v>
      </c>
      <c r="B27" s="69">
        <v>-0.47399999999999998</v>
      </c>
      <c r="C27" s="69">
        <f>-B27/4.858</f>
        <v>9.7571016879374237E-2</v>
      </c>
    </row>
    <row r="28" spans="1:3" x14ac:dyDescent="0.2">
      <c r="A28" s="13" t="s">
        <v>86</v>
      </c>
    </row>
    <row r="29" spans="1:3" x14ac:dyDescent="0.2">
      <c r="A29" s="3" t="s">
        <v>74</v>
      </c>
      <c r="B29" s="23">
        <f>243/158445</f>
        <v>1.5336552115876171E-3</v>
      </c>
    </row>
    <row r="30" spans="1:3" ht="17" thickBot="1" x14ac:dyDescent="0.25">
      <c r="A30" s="22" t="s">
        <v>75</v>
      </c>
      <c r="B30" s="24">
        <f>(6346-243)/(5463300-158445)</f>
        <v>1.1504555732437551E-3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6FA52-3D56-404C-810E-41D5814F8E6D}">
  <dimension ref="B2:E9"/>
  <sheetViews>
    <sheetView topLeftCell="A3" workbookViewId="0">
      <selection activeCell="I36" sqref="I36"/>
    </sheetView>
  </sheetViews>
  <sheetFormatPr baseColWidth="10" defaultRowHeight="16" x14ac:dyDescent="0.2"/>
  <sheetData>
    <row r="2" spans="2:5" ht="17" thickBot="1" x14ac:dyDescent="0.25"/>
    <row r="3" spans="2:5" ht="79" customHeight="1" x14ac:dyDescent="0.2">
      <c r="B3" s="61"/>
      <c r="C3" s="63" t="s">
        <v>105</v>
      </c>
      <c r="D3" s="63" t="s">
        <v>106</v>
      </c>
      <c r="E3" s="65" t="s">
        <v>102</v>
      </c>
    </row>
    <row r="4" spans="2:5" ht="17" thickBot="1" x14ac:dyDescent="0.25">
      <c r="B4" s="62"/>
      <c r="C4" s="64"/>
      <c r="D4" s="64"/>
      <c r="E4" s="66"/>
    </row>
    <row r="5" spans="2:5" x14ac:dyDescent="0.2">
      <c r="B5" s="36" t="s">
        <v>0</v>
      </c>
      <c r="C5" s="44">
        <v>2E-3</v>
      </c>
      <c r="D5" s="44">
        <v>1.9199999999999998E-2</v>
      </c>
      <c r="E5" s="39">
        <v>9.59</v>
      </c>
    </row>
    <row r="6" spans="2:5" x14ac:dyDescent="0.2">
      <c r="B6" s="36" t="s">
        <v>1</v>
      </c>
      <c r="C6" s="44">
        <v>1.5599999999999999E-2</v>
      </c>
      <c r="D6" s="44">
        <v>6.0100000000000001E-2</v>
      </c>
      <c r="E6" s="39">
        <v>3.85</v>
      </c>
    </row>
    <row r="7" spans="2:5" x14ac:dyDescent="0.2">
      <c r="B7" s="36" t="s">
        <v>4</v>
      </c>
      <c r="C7" s="44">
        <v>4.4699999999999997E-2</v>
      </c>
      <c r="D7" s="44">
        <v>5.0200000000000002E-2</v>
      </c>
      <c r="E7" s="39">
        <v>1.1200000000000001</v>
      </c>
    </row>
    <row r="8" spans="2:5" x14ac:dyDescent="0.2">
      <c r="B8" s="36" t="s">
        <v>103</v>
      </c>
      <c r="C8" s="44">
        <v>4.2299999999999997E-2</v>
      </c>
      <c r="D8" s="44">
        <v>0.2863</v>
      </c>
      <c r="E8" s="39">
        <v>6.76</v>
      </c>
    </row>
    <row r="9" spans="2:5" ht="17" thickBot="1" x14ac:dyDescent="0.25">
      <c r="B9" s="41" t="s">
        <v>104</v>
      </c>
      <c r="C9" s="45">
        <v>2.9600000000000001E-2</v>
      </c>
      <c r="D9" s="45">
        <v>0.23669999999999999</v>
      </c>
      <c r="E9" s="46">
        <v>8</v>
      </c>
    </row>
  </sheetData>
  <mergeCells count="4">
    <mergeCell ref="B3:B4"/>
    <mergeCell ref="C3:C4"/>
    <mergeCell ref="D3:D4"/>
    <mergeCell ref="E3:E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21070-D7D9-D747-BFD4-D3C91CAD2B78}">
  <dimension ref="B2:E9"/>
  <sheetViews>
    <sheetView workbookViewId="0">
      <selection activeCell="P9" sqref="P9"/>
    </sheetView>
  </sheetViews>
  <sheetFormatPr baseColWidth="10" defaultRowHeight="16" x14ac:dyDescent="0.2"/>
  <cols>
    <col min="5" max="5" width="13.1640625" customWidth="1"/>
  </cols>
  <sheetData>
    <row r="2" spans="2:5" ht="17" thickBot="1" x14ac:dyDescent="0.25"/>
    <row r="3" spans="2:5" ht="79" customHeight="1" x14ac:dyDescent="0.2">
      <c r="B3" s="61"/>
      <c r="C3" s="63" t="s">
        <v>100</v>
      </c>
      <c r="D3" s="63" t="s">
        <v>101</v>
      </c>
      <c r="E3" s="65" t="s">
        <v>102</v>
      </c>
    </row>
    <row r="4" spans="2:5" ht="17" thickBot="1" x14ac:dyDescent="0.25">
      <c r="B4" s="62"/>
      <c r="C4" s="64"/>
      <c r="D4" s="64"/>
      <c r="E4" s="66"/>
    </row>
    <row r="5" spans="2:5" x14ac:dyDescent="0.2">
      <c r="B5" s="36" t="s">
        <v>0</v>
      </c>
      <c r="C5" s="37">
        <v>4.0000000000000003E-5</v>
      </c>
      <c r="D5" s="38">
        <v>1.9000000000000001E-4</v>
      </c>
      <c r="E5" s="39">
        <f>D5/C5</f>
        <v>4.75</v>
      </c>
    </row>
    <row r="6" spans="2:5" x14ac:dyDescent="0.2">
      <c r="B6" s="36" t="s">
        <v>1</v>
      </c>
      <c r="C6" s="38">
        <v>5.8E-4</v>
      </c>
      <c r="D6" s="38">
        <v>1.2899999999999999E-3</v>
      </c>
      <c r="E6" s="40">
        <f>D6/C6</f>
        <v>2.2241379310344827</v>
      </c>
    </row>
    <row r="7" spans="2:5" x14ac:dyDescent="0.2">
      <c r="B7" s="36" t="s">
        <v>4</v>
      </c>
      <c r="C7" s="38">
        <v>1.1999999999999999E-3</v>
      </c>
      <c r="D7" s="38">
        <v>2.3000000000000001E-4</v>
      </c>
      <c r="E7" s="40">
        <f t="shared" ref="E7:E9" si="0">D7/C7</f>
        <v>0.19166666666666668</v>
      </c>
    </row>
    <row r="8" spans="2:5" x14ac:dyDescent="0.2">
      <c r="B8" s="36" t="s">
        <v>103</v>
      </c>
      <c r="C8" s="38">
        <v>1.6999999999999999E-3</v>
      </c>
      <c r="D8" s="38">
        <v>3.0599999999999998E-3</v>
      </c>
      <c r="E8" s="40">
        <f t="shared" si="0"/>
        <v>1.8</v>
      </c>
    </row>
    <row r="9" spans="2:5" ht="17" thickBot="1" x14ac:dyDescent="0.25">
      <c r="B9" s="41" t="s">
        <v>104</v>
      </c>
      <c r="C9" s="42">
        <v>9.1E-4</v>
      </c>
      <c r="D9" s="42">
        <v>5.6100000000000004E-3</v>
      </c>
      <c r="E9" s="43">
        <f t="shared" si="0"/>
        <v>6.1648351648351651</v>
      </c>
    </row>
  </sheetData>
  <mergeCells count="4">
    <mergeCell ref="B3:B4"/>
    <mergeCell ref="C3:C4"/>
    <mergeCell ref="D3:D4"/>
    <mergeCell ref="E3:E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14C8E-0BDF-0D45-BE4B-CB43964D3C5D}">
  <dimension ref="A1:G6"/>
  <sheetViews>
    <sheetView workbookViewId="0">
      <selection activeCell="F27" sqref="F27"/>
    </sheetView>
  </sheetViews>
  <sheetFormatPr baseColWidth="10" defaultRowHeight="16" x14ac:dyDescent="0.2"/>
  <sheetData>
    <row r="1" spans="1:7" ht="69" thickBot="1" x14ac:dyDescent="0.25">
      <c r="A1" s="49" t="s">
        <v>125</v>
      </c>
      <c r="B1" s="50" t="s">
        <v>126</v>
      </c>
      <c r="C1" s="50" t="s">
        <v>127</v>
      </c>
      <c r="D1" s="50" t="s">
        <v>128</v>
      </c>
      <c r="E1" s="50" t="s">
        <v>129</v>
      </c>
      <c r="F1" s="50" t="s">
        <v>130</v>
      </c>
      <c r="G1" s="50" t="s">
        <v>131</v>
      </c>
    </row>
    <row r="2" spans="1:7" x14ac:dyDescent="0.2">
      <c r="A2" s="36" t="s">
        <v>0</v>
      </c>
      <c r="B2" s="51">
        <v>3367</v>
      </c>
      <c r="C2" s="21">
        <v>9939</v>
      </c>
      <c r="D2" s="52">
        <f>B2/C2</f>
        <v>0.33876647550055339</v>
      </c>
      <c r="E2" s="39">
        <v>33</v>
      </c>
      <c r="F2" s="51">
        <v>174.62302900433312</v>
      </c>
      <c r="G2" s="52">
        <f>E2/F2</f>
        <v>0.18897851095677154</v>
      </c>
    </row>
    <row r="3" spans="1:7" x14ac:dyDescent="0.2">
      <c r="A3" s="36" t="s">
        <v>1</v>
      </c>
      <c r="B3" s="39">
        <v>454</v>
      </c>
      <c r="C3" s="21">
        <v>2607</v>
      </c>
      <c r="D3" s="52">
        <f t="shared" ref="D3:D6" si="0">B3/C3</f>
        <v>0.17414652857690832</v>
      </c>
      <c r="E3" s="39">
        <v>10</v>
      </c>
      <c r="F3" s="51">
        <v>94.866934607864437</v>
      </c>
      <c r="G3" s="52">
        <f t="shared" ref="G3:G6" si="1">E3/F3</f>
        <v>0.10541080558084148</v>
      </c>
    </row>
    <row r="4" spans="1:7" x14ac:dyDescent="0.2">
      <c r="A4" s="36" t="s">
        <v>4</v>
      </c>
      <c r="B4" s="51">
        <v>41946</v>
      </c>
      <c r="C4" s="21">
        <v>43786</v>
      </c>
      <c r="D4" s="52">
        <f t="shared" si="0"/>
        <v>0.95797743571004434</v>
      </c>
      <c r="E4" s="39">
        <v>196</v>
      </c>
      <c r="F4" s="51">
        <v>1176.6860858412251</v>
      </c>
      <c r="G4" s="52">
        <f t="shared" si="1"/>
        <v>0.16656948897281942</v>
      </c>
    </row>
    <row r="5" spans="1:7" x14ac:dyDescent="0.2">
      <c r="A5" s="36" t="s">
        <v>103</v>
      </c>
      <c r="B5" s="51">
        <v>10003</v>
      </c>
      <c r="C5" s="21">
        <v>41162</v>
      </c>
      <c r="D5" s="52">
        <f t="shared" si="0"/>
        <v>0.24301540255575532</v>
      </c>
      <c r="E5" s="39">
        <v>108</v>
      </c>
      <c r="F5" s="51">
        <v>1648.4724302751242</v>
      </c>
      <c r="G5" s="52">
        <f t="shared" si="1"/>
        <v>6.551519941523995E-2</v>
      </c>
    </row>
    <row r="6" spans="1:7" ht="17" thickBot="1" x14ac:dyDescent="0.25">
      <c r="A6" s="53" t="s">
        <v>104</v>
      </c>
      <c r="B6" s="54">
        <v>15913</v>
      </c>
      <c r="C6" s="55">
        <v>69331</v>
      </c>
      <c r="D6" s="56">
        <f t="shared" si="0"/>
        <v>0.22952214737995991</v>
      </c>
      <c r="E6" s="57">
        <v>386</v>
      </c>
      <c r="F6" s="54">
        <v>2140.8429251850225</v>
      </c>
      <c r="G6" s="56">
        <f t="shared" si="1"/>
        <v>0.18030281225169284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B5B1-7562-8C44-A4B5-94FF0760A989}">
  <dimension ref="B2:G30"/>
  <sheetViews>
    <sheetView tabSelected="1" workbookViewId="0">
      <selection activeCell="B30" sqref="B30"/>
    </sheetView>
  </sheetViews>
  <sheetFormatPr baseColWidth="10" defaultRowHeight="16" x14ac:dyDescent="0.2"/>
  <cols>
    <col min="2" max="2" width="17.33203125" customWidth="1"/>
    <col min="3" max="3" width="15" bestFit="1" customWidth="1"/>
    <col min="4" max="4" width="12.83203125" customWidth="1"/>
    <col min="5" max="5" width="12.33203125" customWidth="1"/>
    <col min="6" max="6" width="13.33203125" customWidth="1"/>
    <col min="7" max="7" width="12.83203125" customWidth="1"/>
  </cols>
  <sheetData>
    <row r="2" spans="2:7" x14ac:dyDescent="0.2">
      <c r="B2" s="47"/>
    </row>
    <row r="3" spans="2:7" x14ac:dyDescent="0.2">
      <c r="B3" s="47"/>
    </row>
    <row r="4" spans="2:7" x14ac:dyDescent="0.2">
      <c r="B4" s="48"/>
      <c r="C4" s="1" t="s">
        <v>0</v>
      </c>
      <c r="D4" s="1" t="s">
        <v>1</v>
      </c>
      <c r="E4" s="1" t="s">
        <v>4</v>
      </c>
      <c r="F4" s="1" t="s">
        <v>103</v>
      </c>
      <c r="G4" s="1" t="s">
        <v>104</v>
      </c>
    </row>
    <row r="5" spans="2:7" x14ac:dyDescent="0.2">
      <c r="B5" s="48" t="s">
        <v>111</v>
      </c>
      <c r="C5" s="2">
        <v>2793475.7680000002</v>
      </c>
      <c r="D5" s="2">
        <v>793983.21109999996</v>
      </c>
      <c r="E5" s="2">
        <v>65637291.353500001</v>
      </c>
      <c r="F5" s="2">
        <v>19989254.9395</v>
      </c>
      <c r="G5" s="2">
        <v>32222813.3972</v>
      </c>
    </row>
    <row r="6" spans="2:7" x14ac:dyDescent="0.2">
      <c r="B6" s="48" t="s">
        <v>112</v>
      </c>
      <c r="C6" s="2">
        <v>34874.14</v>
      </c>
      <c r="D6" s="2">
        <v>9931.92</v>
      </c>
      <c r="E6" s="2">
        <v>1439346.1828000001</v>
      </c>
      <c r="F6" s="2">
        <v>198700.55480000001</v>
      </c>
      <c r="G6" s="2">
        <v>320306.63059999997</v>
      </c>
    </row>
    <row r="7" spans="2:7" x14ac:dyDescent="0.2">
      <c r="B7" s="48" t="s">
        <v>113</v>
      </c>
      <c r="C7" s="2">
        <v>1263885.4349</v>
      </c>
      <c r="D7" s="2">
        <v>588572.69940000004</v>
      </c>
      <c r="E7" s="2">
        <v>35866368.8935</v>
      </c>
      <c r="F7" s="2">
        <v>57669386.536399998</v>
      </c>
      <c r="G7" s="2">
        <v>91741772.263600007</v>
      </c>
    </row>
    <row r="8" spans="2:7" x14ac:dyDescent="0.2">
      <c r="B8" s="48" t="s">
        <v>114</v>
      </c>
      <c r="C8" s="2">
        <v>1125819.8217</v>
      </c>
      <c r="D8" s="2">
        <v>610333.23910000001</v>
      </c>
      <c r="E8" s="2">
        <v>25951028.989999998</v>
      </c>
      <c r="F8" s="2">
        <v>10963614.322799999</v>
      </c>
      <c r="G8" s="2">
        <v>39184769.709200002</v>
      </c>
    </row>
    <row r="9" spans="2:7" x14ac:dyDescent="0.2">
      <c r="B9" s="48" t="s">
        <v>115</v>
      </c>
      <c r="C9" s="2">
        <v>5218055.1645999998</v>
      </c>
      <c r="D9" s="2">
        <v>2002821.0697000001</v>
      </c>
      <c r="E9" s="2">
        <v>128894035.4197</v>
      </c>
      <c r="F9" s="2">
        <v>88820956.353400007</v>
      </c>
      <c r="G9" s="2">
        <v>163469662.00060001</v>
      </c>
    </row>
    <row r="10" spans="2:7" x14ac:dyDescent="0.2">
      <c r="B10" s="48" t="s">
        <v>116</v>
      </c>
      <c r="C10" s="2">
        <v>8165725.2988999998</v>
      </c>
      <c r="D10" s="2">
        <v>4461045.6665000003</v>
      </c>
      <c r="E10" s="2">
        <v>68197268.163200006</v>
      </c>
      <c r="F10" s="2">
        <v>81375881.353599995</v>
      </c>
      <c r="G10" s="2">
        <v>137066473.5923</v>
      </c>
    </row>
    <row r="11" spans="2:7" x14ac:dyDescent="0.2">
      <c r="B11" s="48" t="s">
        <v>117</v>
      </c>
      <c r="C11" s="2">
        <v>101942.0503</v>
      </c>
      <c r="D11" s="2">
        <v>55803.130400000002</v>
      </c>
      <c r="E11" s="2">
        <v>1495483.3689999999</v>
      </c>
      <c r="F11" s="2">
        <v>808906.22580000001</v>
      </c>
      <c r="G11" s="2">
        <v>1362491.2196</v>
      </c>
    </row>
    <row r="12" spans="2:7" x14ac:dyDescent="0.2">
      <c r="B12" s="48" t="s">
        <v>118</v>
      </c>
      <c r="C12" s="2">
        <v>1154517.9602000001</v>
      </c>
      <c r="D12" s="2">
        <v>626007.93629999994</v>
      </c>
      <c r="E12" s="2">
        <v>17644290.2916</v>
      </c>
      <c r="F12" s="2">
        <v>14818318.759500001</v>
      </c>
      <c r="G12" s="2">
        <v>25197840.5997</v>
      </c>
    </row>
    <row r="13" spans="2:7" x14ac:dyDescent="0.2">
      <c r="B13" s="48" t="s">
        <v>119</v>
      </c>
      <c r="C13" s="2">
        <v>5524438.8317</v>
      </c>
      <c r="D13" s="2">
        <v>4797235.4347000001</v>
      </c>
      <c r="E13" s="2">
        <v>155795649.7714</v>
      </c>
      <c r="F13" s="2">
        <v>139494181.57870001</v>
      </c>
      <c r="G13" s="2">
        <v>181160598.6857</v>
      </c>
    </row>
    <row r="14" spans="2:7" x14ac:dyDescent="0.2">
      <c r="B14" s="48" t="s">
        <v>120</v>
      </c>
      <c r="C14" s="2">
        <v>14946624.1412</v>
      </c>
      <c r="D14" s="2">
        <v>9940092.1678999998</v>
      </c>
      <c r="E14" s="2">
        <v>243132691.5952</v>
      </c>
      <c r="F14" s="2">
        <v>236497287.91749999</v>
      </c>
      <c r="G14" s="2">
        <v>344787404.09729999</v>
      </c>
    </row>
    <row r="15" spans="2:7" x14ac:dyDescent="0.2">
      <c r="B15" s="48" t="s">
        <v>122</v>
      </c>
      <c r="C15" s="2">
        <v>81031951.836400002</v>
      </c>
      <c r="D15" s="2">
        <v>3699208.9553999999</v>
      </c>
      <c r="E15" s="2">
        <v>46466211.927299999</v>
      </c>
      <c r="F15" s="2">
        <v>11974801.198999999</v>
      </c>
      <c r="G15" s="2">
        <v>35194540.945600003</v>
      </c>
    </row>
    <row r="16" spans="2:7" x14ac:dyDescent="0.2">
      <c r="B16" s="48" t="s">
        <v>121</v>
      </c>
      <c r="C16" s="2">
        <v>11999301.2412</v>
      </c>
      <c r="D16" s="2">
        <v>546932.25210000004</v>
      </c>
      <c r="E16" s="2">
        <v>5370155.0909000002</v>
      </c>
      <c r="F16" s="2">
        <v>620807.8702</v>
      </c>
      <c r="G16" s="2">
        <v>1187738.1816</v>
      </c>
    </row>
    <row r="17" spans="2:7" x14ac:dyDescent="0.2">
      <c r="B17" s="48" t="s">
        <v>123</v>
      </c>
      <c r="C17" s="2">
        <v>93031253.077600002</v>
      </c>
      <c r="D17" s="2">
        <v>4246141.2073999997</v>
      </c>
      <c r="E17" s="2">
        <v>51836367.018299997</v>
      </c>
      <c r="F17" s="2">
        <v>12595609.0691</v>
      </c>
      <c r="G17" s="2">
        <v>36382279.1272</v>
      </c>
    </row>
    <row r="18" spans="2:7" x14ac:dyDescent="0.2">
      <c r="B18" s="48" t="s">
        <v>124</v>
      </c>
      <c r="C18" s="2">
        <v>113195932.38339999</v>
      </c>
      <c r="D18" s="2">
        <v>16189054.445</v>
      </c>
      <c r="E18" s="2">
        <v>423863094.03320003</v>
      </c>
      <c r="F18" s="2">
        <v>337913853.33999997</v>
      </c>
      <c r="G18" s="2">
        <v>544639345.22510004</v>
      </c>
    </row>
    <row r="19" spans="2:7" x14ac:dyDescent="0.2">
      <c r="B19" s="48"/>
    </row>
    <row r="20" spans="2:7" x14ac:dyDescent="0.2">
      <c r="B20" s="48"/>
      <c r="C20" s="1" t="s">
        <v>0</v>
      </c>
      <c r="D20" s="1" t="s">
        <v>1</v>
      </c>
      <c r="E20" s="1" t="s">
        <v>4</v>
      </c>
      <c r="F20" s="1" t="s">
        <v>103</v>
      </c>
      <c r="G20" s="1" t="s">
        <v>104</v>
      </c>
    </row>
    <row r="21" spans="2:7" x14ac:dyDescent="0.2">
      <c r="B21" s="48" t="s">
        <v>107</v>
      </c>
      <c r="C21" s="2">
        <f>C9</f>
        <v>5218055.1645999998</v>
      </c>
      <c r="D21" s="2">
        <f t="shared" ref="D21:G21" si="0">D9</f>
        <v>2002821.0697000001</v>
      </c>
      <c r="E21" s="2">
        <f t="shared" si="0"/>
        <v>128894035.4197</v>
      </c>
      <c r="F21" s="2">
        <f t="shared" si="0"/>
        <v>88820956.353400007</v>
      </c>
      <c r="G21" s="2">
        <f t="shared" si="0"/>
        <v>163469662.00060001</v>
      </c>
    </row>
    <row r="22" spans="2:7" x14ac:dyDescent="0.2">
      <c r="B22" s="48" t="s">
        <v>108</v>
      </c>
      <c r="C22" s="2">
        <f>C14</f>
        <v>14946624.1412</v>
      </c>
      <c r="D22" s="2">
        <f t="shared" ref="D22:G22" si="1">D14</f>
        <v>9940092.1678999998</v>
      </c>
      <c r="E22" s="2">
        <f t="shared" si="1"/>
        <v>243132691.5952</v>
      </c>
      <c r="F22" s="2">
        <f t="shared" si="1"/>
        <v>236497287.91749999</v>
      </c>
      <c r="G22" s="2">
        <f t="shared" si="1"/>
        <v>344787404.09729999</v>
      </c>
    </row>
    <row r="23" spans="2:7" x14ac:dyDescent="0.2">
      <c r="B23" s="48" t="s">
        <v>109</v>
      </c>
      <c r="C23" s="2">
        <f>C17</f>
        <v>93031253.077600002</v>
      </c>
      <c r="D23" s="2">
        <f t="shared" ref="D23:G23" si="2">D17</f>
        <v>4246141.2073999997</v>
      </c>
      <c r="E23" s="2">
        <f t="shared" si="2"/>
        <v>51836367.018299997</v>
      </c>
      <c r="F23" s="2">
        <f t="shared" si="2"/>
        <v>12595609.0691</v>
      </c>
      <c r="G23" s="2">
        <f t="shared" si="2"/>
        <v>36382279.1272</v>
      </c>
    </row>
    <row r="24" spans="2:7" x14ac:dyDescent="0.2">
      <c r="B24" s="48" t="s">
        <v>110</v>
      </c>
      <c r="C24" s="2">
        <f>SUM(C21:C23)</f>
        <v>113195932.38339999</v>
      </c>
      <c r="D24" s="2">
        <f t="shared" ref="D24:G24" si="3">SUM(D21:D23)</f>
        <v>16189054.445</v>
      </c>
      <c r="E24" s="2">
        <f t="shared" si="3"/>
        <v>423863094.03319997</v>
      </c>
      <c r="F24" s="2">
        <f t="shared" si="3"/>
        <v>337913853.34000003</v>
      </c>
      <c r="G24" s="2">
        <f t="shared" si="3"/>
        <v>544639345.22510004</v>
      </c>
    </row>
    <row r="27" spans="2:7" x14ac:dyDescent="0.2">
      <c r="C27" s="1" t="s">
        <v>0</v>
      </c>
      <c r="D27" s="1" t="s">
        <v>1</v>
      </c>
      <c r="E27" s="1" t="s">
        <v>4</v>
      </c>
      <c r="F27" s="1" t="s">
        <v>103</v>
      </c>
      <c r="G27" s="1" t="s">
        <v>104</v>
      </c>
    </row>
    <row r="28" spans="2:7" x14ac:dyDescent="0.2">
      <c r="B28" t="str">
        <f t="shared" ref="B28:B30" si="4">B21</f>
        <v>Cost of infections to HCWs</v>
      </c>
      <c r="C28" s="33">
        <f>C21/C$24</f>
        <v>4.6097550103887122E-2</v>
      </c>
      <c r="D28" s="33">
        <f t="shared" ref="D28:G28" si="5">D21/D$24</f>
        <v>0.12371451813348942</v>
      </c>
      <c r="E28" s="33">
        <f t="shared" si="5"/>
        <v>0.30409355575931341</v>
      </c>
      <c r="F28" s="33">
        <f t="shared" si="5"/>
        <v>0.26285088780906146</v>
      </c>
      <c r="G28" s="33">
        <f t="shared" si="5"/>
        <v>0.30014295411037156</v>
      </c>
    </row>
    <row r="29" spans="2:7" x14ac:dyDescent="0.2">
      <c r="B29" t="str">
        <f t="shared" si="4"/>
        <v>Cost of secondary infections</v>
      </c>
      <c r="C29" s="33">
        <f t="shared" ref="C29:G30" si="6">C22/C$24</f>
        <v>0.13204206040350527</v>
      </c>
      <c r="D29" s="33">
        <f t="shared" si="6"/>
        <v>0.61400078686930371</v>
      </c>
      <c r="E29" s="33">
        <f t="shared" si="6"/>
        <v>0.57361137361998338</v>
      </c>
      <c r="F29" s="33">
        <f t="shared" si="6"/>
        <v>0.69987449635437893</v>
      </c>
      <c r="G29" s="33">
        <f t="shared" si="6"/>
        <v>0.63305636495064266</v>
      </c>
    </row>
    <row r="30" spans="2:7" x14ac:dyDescent="0.2">
      <c r="B30" t="str">
        <f t="shared" si="4"/>
        <v>Cost of maternal and child deaths</v>
      </c>
      <c r="C30" s="33">
        <f t="shared" si="6"/>
        <v>0.82186038949260765</v>
      </c>
      <c r="D30" s="33">
        <f t="shared" si="6"/>
        <v>0.2622846949972068</v>
      </c>
      <c r="E30" s="33">
        <f t="shared" si="6"/>
        <v>0.12229507062070331</v>
      </c>
      <c r="F30" s="33">
        <f t="shared" si="6"/>
        <v>3.7274615836559472E-2</v>
      </c>
      <c r="G30" s="33">
        <f t="shared" si="6"/>
        <v>6.680068093898571E-2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Fig1</vt:lpstr>
      <vt:lpstr>Fig2</vt:lpstr>
      <vt:lpstr>Fig3-4</vt:lpstr>
      <vt:lpstr>Economic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2021-12-28T03:55:04Z</dcterms:created>
  <dcterms:modified xsi:type="dcterms:W3CDTF">2023-02-13T04:23:47Z</dcterms:modified>
</cp:coreProperties>
</file>