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周记/"/>
    </mc:Choice>
  </mc:AlternateContent>
  <bookViews>
    <workbookView xWindow="3000" yWindow="460" windowWidth="24340" windowHeight="17220" tabRatio="500" activeTab="3"/>
  </bookViews>
  <sheets>
    <sheet name="交割单" sheetId="3" r:id="rId1"/>
    <sheet name="收盘价" sheetId="4" r:id="rId2"/>
    <sheet name="基准盈亏线" sheetId="5" r:id="rId3"/>
    <sheet name="个股盈亏统计" sheetId="6" r:id="rId4"/>
    <sheet name="瑞鹤仙博客统计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3" l="1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D19" i="6"/>
  <c r="E19" i="6"/>
  <c r="F19" i="6"/>
  <c r="G19" i="6"/>
  <c r="H19" i="6"/>
  <c r="I19" i="6"/>
  <c r="J19" i="6"/>
  <c r="K19" i="6"/>
  <c r="L19" i="6"/>
  <c r="M19" i="6"/>
  <c r="C19" i="6"/>
  <c r="D21" i="6"/>
  <c r="E21" i="6"/>
  <c r="F21" i="6"/>
  <c r="G21" i="6"/>
  <c r="H21" i="6"/>
  <c r="I21" i="6"/>
  <c r="J21" i="6"/>
  <c r="K21" i="6"/>
  <c r="L21" i="6"/>
  <c r="M21" i="6"/>
  <c r="C21" i="6"/>
  <c r="B20" i="6"/>
  <c r="AE13" i="6"/>
  <c r="AH13" i="6"/>
  <c r="AE12" i="6"/>
  <c r="AH12" i="6"/>
  <c r="AE11" i="6"/>
  <c r="AH11" i="6"/>
  <c r="AB13" i="6"/>
  <c r="AB12" i="6"/>
  <c r="AB11" i="6"/>
  <c r="Y13" i="6"/>
  <c r="Y12" i="6"/>
  <c r="Y11" i="6"/>
  <c r="V13" i="6"/>
  <c r="V12" i="6"/>
  <c r="V11" i="6"/>
  <c r="S13" i="6"/>
  <c r="S12" i="6"/>
  <c r="S11" i="6"/>
  <c r="P13" i="6"/>
  <c r="P12" i="6"/>
  <c r="P11" i="6"/>
  <c r="M13" i="6"/>
  <c r="M12" i="6"/>
  <c r="M11" i="6"/>
  <c r="J13" i="6"/>
  <c r="J12" i="6"/>
  <c r="J11" i="6"/>
  <c r="G13" i="6"/>
  <c r="G12" i="6"/>
  <c r="G11" i="6"/>
  <c r="D12" i="6"/>
  <c r="D13" i="6"/>
  <c r="D11" i="6"/>
</calcChain>
</file>

<file path=xl/sharedStrings.xml><?xml version="1.0" encoding="utf-8"?>
<sst xmlns="http://schemas.openxmlformats.org/spreadsheetml/2006/main" count="182" uniqueCount="79">
  <si>
    <t>002176</t>
    <phoneticPr fontId="1" type="noConversion"/>
  </si>
  <si>
    <t>002401</t>
    <phoneticPr fontId="1" type="noConversion"/>
  </si>
  <si>
    <t>中海科技</t>
    <rPh sb="0" eb="1">
      <t>zhong hai ke ji</t>
    </rPh>
    <phoneticPr fontId="1" type="noConversion"/>
  </si>
  <si>
    <t>成交日期</t>
  </si>
  <si>
    <t>成交时间</t>
  </si>
  <si>
    <t>证券代码</t>
  </si>
  <si>
    <t>证券名称</t>
  </si>
  <si>
    <t>委托类别</t>
  </si>
  <si>
    <t>成交价格</t>
  </si>
  <si>
    <t>成交数量</t>
  </si>
  <si>
    <t>成交金额</t>
  </si>
  <si>
    <t>发生金额</t>
  </si>
  <si>
    <t>江特电机</t>
  </si>
  <si>
    <t>买入</t>
  </si>
  <si>
    <t>中海科技</t>
  </si>
  <si>
    <t>贵州百灵</t>
  </si>
  <si>
    <t>卖出</t>
  </si>
  <si>
    <t>天齐锂业</t>
  </si>
  <si>
    <t>中恒集团</t>
  </si>
  <si>
    <t>江中药业</t>
  </si>
  <si>
    <t>多氟多</t>
  </si>
  <si>
    <t>康耐特</t>
  </si>
  <si>
    <t>和佳股份</t>
  </si>
  <si>
    <t>万达信息</t>
  </si>
  <si>
    <t>利君股份</t>
  </si>
  <si>
    <t>大富科技</t>
  </si>
  <si>
    <t>002401</t>
    <phoneticPr fontId="1" type="noConversion"/>
  </si>
  <si>
    <t>002176</t>
    <phoneticPr fontId="1" type="noConversion"/>
  </si>
  <si>
    <t>002424</t>
    <phoneticPr fontId="1" type="noConversion"/>
  </si>
  <si>
    <t>002466</t>
    <phoneticPr fontId="1" type="noConversion"/>
  </si>
  <si>
    <t>002466</t>
    <phoneticPr fontId="1" type="noConversion"/>
  </si>
  <si>
    <t>002424</t>
    <phoneticPr fontId="1" type="noConversion"/>
  </si>
  <si>
    <t>002176</t>
    <phoneticPr fontId="1" type="noConversion"/>
  </si>
  <si>
    <t>002407</t>
    <phoneticPr fontId="1" type="noConversion"/>
  </si>
  <si>
    <t>002407</t>
    <phoneticPr fontId="1" type="noConversion"/>
  </si>
  <si>
    <t>002407</t>
    <phoneticPr fontId="1" type="noConversion"/>
  </si>
  <si>
    <t>002407</t>
    <phoneticPr fontId="1" type="noConversion"/>
  </si>
  <si>
    <t>002651</t>
    <phoneticPr fontId="1" type="noConversion"/>
  </si>
  <si>
    <t>002651</t>
    <phoneticPr fontId="1" type="noConversion"/>
  </si>
  <si>
    <t>上证指数</t>
  </si>
  <si>
    <t>21,94</t>
    <phoneticPr fontId="1" type="noConversion"/>
  </si>
  <si>
    <t>总买入</t>
    <rPh sb="0" eb="1">
      <t>zong mai ru</t>
    </rPh>
    <phoneticPr fontId="1" type="noConversion"/>
  </si>
  <si>
    <t>总卖出</t>
    <rPh sb="0" eb="1">
      <t>zong mai chu</t>
    </rPh>
    <phoneticPr fontId="1" type="noConversion"/>
  </si>
  <si>
    <t>净盈亏</t>
    <phoneticPr fontId="1" type="noConversion"/>
  </si>
  <si>
    <t>江特电机</t>
    <rPh sb="0" eb="1">
      <t>jiagn te dian ji</t>
    </rPh>
    <phoneticPr fontId="1" type="noConversion"/>
  </si>
  <si>
    <t>天齐锂业</t>
    <rPh sb="0" eb="1">
      <t>tian qi li ye</t>
    </rPh>
    <phoneticPr fontId="1" type="noConversion"/>
  </si>
  <si>
    <t>中恒集团</t>
    <rPh sb="0" eb="1">
      <t>zhong heng ji tuan</t>
    </rPh>
    <phoneticPr fontId="1" type="noConversion"/>
  </si>
  <si>
    <t>江中药业</t>
    <rPh sb="0" eb="1">
      <t>jiang zhong yao ye</t>
    </rPh>
    <phoneticPr fontId="1" type="noConversion"/>
  </si>
  <si>
    <t>多氟多</t>
    <rPh sb="0" eb="1">
      <t>duo fu duo</t>
    </rPh>
    <phoneticPr fontId="1" type="noConversion"/>
  </si>
  <si>
    <t>康耐特</t>
    <rPh sb="0" eb="1">
      <t>kang nai te</t>
    </rPh>
    <phoneticPr fontId="1" type="noConversion"/>
  </si>
  <si>
    <t>和佳股份</t>
    <rPh sb="0" eb="1">
      <t>he jia gu fen</t>
    </rPh>
    <phoneticPr fontId="1" type="noConversion"/>
  </si>
  <si>
    <t>万达信息</t>
    <rPh sb="0" eb="1">
      <t>wan da xin xi</t>
    </rPh>
    <phoneticPr fontId="1" type="noConversion"/>
  </si>
  <si>
    <t>利君股份</t>
    <rPh sb="0" eb="1">
      <t>li jun gu fen</t>
    </rPh>
    <phoneticPr fontId="1" type="noConversion"/>
  </si>
  <si>
    <t>大富科技</t>
    <rPh sb="0" eb="1">
      <t>da fu ke ji</t>
    </rPh>
    <phoneticPr fontId="1" type="noConversion"/>
  </si>
  <si>
    <t>净盈亏</t>
    <rPh sb="0" eb="1">
      <t>jing ying kui</t>
    </rPh>
    <phoneticPr fontId="1" type="noConversion"/>
  </si>
  <si>
    <t>total</t>
    <phoneticPr fontId="1" type="noConversion"/>
  </si>
  <si>
    <t>占比</t>
    <rPh sb="0" eb="1">
      <t>zhan</t>
    </rPh>
    <rPh sb="1" eb="2">
      <t>bi</t>
    </rPh>
    <phoneticPr fontId="1" type="noConversion"/>
  </si>
  <si>
    <t>盈亏点</t>
    <rPh sb="0" eb="1">
      <t>ying kui</t>
    </rPh>
    <rPh sb="2" eb="3">
      <t>dian</t>
    </rPh>
    <phoneticPr fontId="1" type="noConversion"/>
  </si>
  <si>
    <t>标题</t>
    <rPh sb="0" eb="1">
      <t>biao ti</t>
    </rPh>
    <phoneticPr fontId="1" type="noConversion"/>
  </si>
  <si>
    <t>发表日期</t>
    <rPh sb="0" eb="1">
      <t>fa biao ri qi</t>
    </rPh>
    <phoneticPr fontId="1" type="noConversion"/>
  </si>
  <si>
    <t>浏览数</t>
    <rPh sb="0" eb="1">
      <t>liu lan</t>
    </rPh>
    <rPh sb="2" eb="3">
      <t>shu</t>
    </rPh>
    <phoneticPr fontId="1" type="noConversion"/>
  </si>
  <si>
    <t>回复数</t>
    <rPh sb="0" eb="1">
      <t>hui fu shu</t>
    </rPh>
    <phoneticPr fontId="1" type="noConversion"/>
  </si>
  <si>
    <t>昨天大成</t>
    <phoneticPr fontId="1" type="noConversion"/>
  </si>
  <si>
    <t>大家说说</t>
    <rPh sb="0" eb="1">
      <t>da jia shuo shuo</t>
    </rPh>
    <phoneticPr fontId="1" type="noConversion"/>
  </si>
  <si>
    <t>明天707</t>
    <rPh sb="0" eb="1">
      <t>ming tian</t>
    </rPh>
    <phoneticPr fontId="1" type="noConversion"/>
  </si>
  <si>
    <t>对未来</t>
    <rPh sb="0" eb="1">
      <t>dui wei lai</t>
    </rPh>
    <phoneticPr fontId="1" type="noConversion"/>
  </si>
  <si>
    <t>泽熙已经</t>
    <rPh sb="0" eb="1">
      <t>ze xi</t>
    </rPh>
    <rPh sb="2" eb="3">
      <t>yi jing</t>
    </rPh>
    <phoneticPr fontId="1" type="noConversion"/>
  </si>
  <si>
    <t>以证监会</t>
    <rPh sb="0" eb="1">
      <t>yi</t>
    </rPh>
    <rPh sb="1" eb="2">
      <t>zheng jian hui</t>
    </rPh>
    <phoneticPr fontId="1" type="noConversion"/>
  </si>
  <si>
    <t>沪港通</t>
    <rPh sb="0" eb="1">
      <t>hu gang tong</t>
    </rPh>
    <phoneticPr fontId="1" type="noConversion"/>
  </si>
  <si>
    <t>致30万</t>
    <rPh sb="0" eb="1">
      <t>zhi</t>
    </rPh>
    <rPh sb="3" eb="4">
      <t>wan</t>
    </rPh>
    <phoneticPr fontId="1" type="noConversion"/>
  </si>
  <si>
    <t>我2012</t>
    <rPh sb="0" eb="1">
      <t>wo</t>
    </rPh>
    <phoneticPr fontId="1" type="noConversion"/>
  </si>
  <si>
    <t>回馈淘股</t>
    <phoneticPr fontId="1" type="noConversion"/>
  </si>
  <si>
    <t>聊聊操作</t>
    <rPh sb="0" eb="1">
      <t>liao liao cao zuo</t>
    </rPh>
    <phoneticPr fontId="1" type="noConversion"/>
  </si>
  <si>
    <t>先谈成飞</t>
    <rPh sb="2" eb="3">
      <t>cheng fei</t>
    </rPh>
    <phoneticPr fontId="1" type="noConversion"/>
  </si>
  <si>
    <t>杂谈</t>
    <rPh sb="0" eb="1">
      <t>za tan</t>
    </rPh>
    <phoneticPr fontId="1" type="noConversion"/>
  </si>
  <si>
    <t>预告贴</t>
    <rPh sb="0" eb="1">
      <t>yu gao tie</t>
    </rPh>
    <phoneticPr fontId="1" type="noConversion"/>
  </si>
  <si>
    <t>工欲善</t>
    <rPh sb="0" eb="1">
      <t>gong</t>
    </rPh>
    <rPh sb="1" eb="2">
      <t>yu</t>
    </rPh>
    <rPh sb="2" eb="3">
      <t>shan</t>
    </rPh>
    <phoneticPr fontId="1" type="noConversion"/>
  </si>
  <si>
    <t>市场低迷</t>
    <rPh sb="0" eb="1">
      <t>shi chang di mi</t>
    </rPh>
    <phoneticPr fontId="1" type="noConversion"/>
  </si>
  <si>
    <t>关于股指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</si>
</sst>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8" formatCode="0_ "/>
    <numFmt numFmtId="180" formatCode="0.00_);[Red]\(0.00\)"/>
    <numFmt numFmtId="181" formatCode="m/d;@"/>
    <numFmt numFmtId="182" formatCode="yyyy/m/d;@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9"/>
      <name val="DengXian"/>
      <family val="3"/>
      <charset val="134"/>
      <scheme val="minor"/>
    </font>
    <font>
      <b/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76" fontId="0" fillId="0" borderId="0" xfId="0" applyNumberFormat="1"/>
    <xf numFmtId="58" fontId="0" fillId="0" borderId="0" xfId="0" applyNumberFormat="1"/>
    <xf numFmtId="49" fontId="0" fillId="0" borderId="0" xfId="0" applyNumberFormat="1"/>
    <xf numFmtId="180" fontId="0" fillId="0" borderId="0" xfId="0" applyNumberFormat="1"/>
    <xf numFmtId="180" fontId="0" fillId="0" borderId="0" xfId="0" applyNumberFormat="1" applyAlignment="1">
      <alignment horizontal="right"/>
    </xf>
    <xf numFmtId="180" fontId="0" fillId="0" borderId="0" xfId="0" applyNumberFormat="1" applyAlignment="1">
      <alignment horizontal="center"/>
    </xf>
    <xf numFmtId="18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0" fontId="4" fillId="0" borderId="0" xfId="0" applyFont="1"/>
    <xf numFmtId="178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5" xfId="0" applyBorder="1"/>
    <xf numFmtId="176" fontId="0" fillId="0" borderId="1" xfId="0" applyNumberFormat="1" applyBorder="1"/>
    <xf numFmtId="0" fontId="0" fillId="0" borderId="6" xfId="0" applyBorder="1"/>
    <xf numFmtId="0" fontId="0" fillId="0" borderId="6" xfId="0" applyBorder="1" applyAlignment="1"/>
    <xf numFmtId="0" fontId="0" fillId="0" borderId="5" xfId="0" applyBorder="1" applyAlignment="1"/>
    <xf numFmtId="178" fontId="0" fillId="0" borderId="2" xfId="0" applyNumberFormat="1" applyBorder="1" applyAlignment="1"/>
    <xf numFmtId="178" fontId="0" fillId="0" borderId="3" xfId="0" applyNumberFormat="1" applyBorder="1" applyAlignment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10" fontId="7" fillId="0" borderId="2" xfId="0" applyNumberFormat="1" applyFont="1" applyBorder="1"/>
    <xf numFmtId="10" fontId="8" fillId="0" borderId="2" xfId="0" applyNumberFormat="1" applyFont="1" applyBorder="1"/>
    <xf numFmtId="10" fontId="7" fillId="0" borderId="3" xfId="0" applyNumberFormat="1" applyFont="1" applyBorder="1"/>
    <xf numFmtId="10" fontId="7" fillId="0" borderId="6" xfId="0" applyNumberFormat="1" applyFont="1" applyBorder="1"/>
    <xf numFmtId="10" fontId="8" fillId="0" borderId="6" xfId="0" applyNumberFormat="1" applyFont="1" applyBorder="1"/>
    <xf numFmtId="10" fontId="7" fillId="0" borderId="5" xfId="0" applyNumberFormat="1" applyFont="1" applyBorder="1"/>
    <xf numFmtId="178" fontId="0" fillId="0" borderId="2" xfId="0" applyNumberFormat="1" applyBorder="1"/>
    <xf numFmtId="178" fontId="5" fillId="0" borderId="2" xfId="0" applyNumberFormat="1" applyFont="1" applyBorder="1"/>
    <xf numFmtId="178" fontId="6" fillId="0" borderId="2" xfId="0" applyNumberFormat="1" applyFont="1" applyBorder="1"/>
    <xf numFmtId="178" fontId="5" fillId="0" borderId="3" xfId="0" applyNumberFormat="1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182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基准盈亏线!$B$1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基准盈亏线!$B$2:$B$27</c:f>
              <c:numCache>
                <c:formatCode>0.00%</c:formatCode>
                <c:ptCount val="26"/>
                <c:pt idx="0">
                  <c:v>0.0</c:v>
                </c:pt>
                <c:pt idx="1">
                  <c:v>-0.00649048840925289</c:v>
                </c:pt>
                <c:pt idx="2">
                  <c:v>-0.00224966928761397</c:v>
                </c:pt>
                <c:pt idx="3">
                  <c:v>-0.0281373673368921</c:v>
                </c:pt>
                <c:pt idx="4">
                  <c:v>-0.0198977473054848</c:v>
                </c:pt>
                <c:pt idx="5">
                  <c:v>-0.0173840581503758</c:v>
                </c:pt>
                <c:pt idx="6">
                  <c:v>-0.0266522555822326</c:v>
                </c:pt>
                <c:pt idx="7">
                  <c:v>-0.0934602828862871</c:v>
                </c:pt>
                <c:pt idx="8">
                  <c:v>-0.0958117098311648</c:v>
                </c:pt>
                <c:pt idx="9">
                  <c:v>-0.075424425688033</c:v>
                </c:pt>
                <c:pt idx="10">
                  <c:v>-0.140560327164619</c:v>
                </c:pt>
                <c:pt idx="11">
                  <c:v>-0.123671306265797</c:v>
                </c:pt>
                <c:pt idx="12">
                  <c:v>-0.170345068466402</c:v>
                </c:pt>
                <c:pt idx="13">
                  <c:v>-0.168650940983309</c:v>
                </c:pt>
                <c:pt idx="14">
                  <c:v>-0.188798957121523</c:v>
                </c:pt>
                <c:pt idx="15">
                  <c:v>-0.172834005758933</c:v>
                </c:pt>
                <c:pt idx="16">
                  <c:v>-0.202173213534319</c:v>
                </c:pt>
                <c:pt idx="17">
                  <c:v>-0.198633697185713</c:v>
                </c:pt>
                <c:pt idx="18">
                  <c:v>-0.172809253896356</c:v>
                </c:pt>
                <c:pt idx="19">
                  <c:v>-0.181348646485648</c:v>
                </c:pt>
                <c:pt idx="20">
                  <c:v>-0.207808387581166</c:v>
                </c:pt>
                <c:pt idx="21">
                  <c:v>-0.197885640894477</c:v>
                </c:pt>
                <c:pt idx="22">
                  <c:v>-0.191848936632482</c:v>
                </c:pt>
                <c:pt idx="23">
                  <c:v>-0.243750842250879</c:v>
                </c:pt>
                <c:pt idx="24">
                  <c:v>-0.247664386745103</c:v>
                </c:pt>
                <c:pt idx="25">
                  <c:v>-0.269638540300158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基准盈亏线!$C$1</c:f>
              <c:strCache>
                <c:ptCount val="1"/>
                <c:pt idx="0">
                  <c:v>江特电机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基准盈亏线!$C$2:$C$27</c:f>
              <c:numCache>
                <c:formatCode>0.00%</c:formatCode>
                <c:ptCount val="26"/>
                <c:pt idx="2">
                  <c:v>0.0</c:v>
                </c:pt>
                <c:pt idx="3">
                  <c:v>-0.0513966480446926</c:v>
                </c:pt>
                <c:pt idx="4">
                  <c:v>0.00502793296089385</c:v>
                </c:pt>
                <c:pt idx="5">
                  <c:v>-0.012290502793296</c:v>
                </c:pt>
                <c:pt idx="6">
                  <c:v>-0.0167597765363127</c:v>
                </c:pt>
                <c:pt idx="7">
                  <c:v>-0.115083798882681</c:v>
                </c:pt>
                <c:pt idx="8">
                  <c:v>-0.162011173184357</c:v>
                </c:pt>
                <c:pt idx="9">
                  <c:v>-0.122346368715084</c:v>
                </c:pt>
                <c:pt idx="10">
                  <c:v>-0.210055865921788</c:v>
                </c:pt>
                <c:pt idx="11">
                  <c:v>-0.210055865921788</c:v>
                </c:pt>
                <c:pt idx="12">
                  <c:v>-0.210055865921788</c:v>
                </c:pt>
                <c:pt idx="13">
                  <c:v>-0.210055865921788</c:v>
                </c:pt>
                <c:pt idx="14">
                  <c:v>-0.210055865921788</c:v>
                </c:pt>
                <c:pt idx="15">
                  <c:v>-0.210055865921788</c:v>
                </c:pt>
                <c:pt idx="16">
                  <c:v>-0.2</c:v>
                </c:pt>
                <c:pt idx="17">
                  <c:v>-0.181005586592179</c:v>
                </c:pt>
                <c:pt idx="18">
                  <c:v>-0.149162011173184</c:v>
                </c:pt>
                <c:pt idx="19">
                  <c:v>-0.167597765363128</c:v>
                </c:pt>
                <c:pt idx="20">
                  <c:v>-0.24413407821229</c:v>
                </c:pt>
                <c:pt idx="21">
                  <c:v>-0.258100558659218</c:v>
                </c:pt>
                <c:pt idx="22">
                  <c:v>-0.271508379888268</c:v>
                </c:pt>
                <c:pt idx="23">
                  <c:v>-0.34413407821229</c:v>
                </c:pt>
                <c:pt idx="24">
                  <c:v>-0.37877094972067</c:v>
                </c:pt>
                <c:pt idx="25">
                  <c:v>-0.425139664804469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基准盈亏线!$D$1</c:f>
              <c:strCache>
                <c:ptCount val="1"/>
                <c:pt idx="0">
                  <c:v>中海科技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基准盈亏线!$D$2:$D$27</c:f>
              <c:numCache>
                <c:formatCode>General</c:formatCode>
                <c:ptCount val="26"/>
                <c:pt idx="4" formatCode="0.00%">
                  <c:v>0.0</c:v>
                </c:pt>
                <c:pt idx="5" formatCode="0.00%">
                  <c:v>-0.0168034388432981</c:v>
                </c:pt>
                <c:pt idx="6" formatCode="0.00%">
                  <c:v>0.0121141070730754</c:v>
                </c:pt>
                <c:pt idx="7" formatCode="0.00%">
                  <c:v>-0.0293083235638921</c:v>
                </c:pt>
                <c:pt idx="8" formatCode="0.00%">
                  <c:v>0.0676045330207112</c:v>
                </c:pt>
                <c:pt idx="9" formatCode="0.00%">
                  <c:v>0.0965220789370847</c:v>
                </c:pt>
                <c:pt idx="10" formatCode="0.00%">
                  <c:v>-0.0132864400156311</c:v>
                </c:pt>
                <c:pt idx="11" formatCode="0.00%">
                  <c:v>-0.11137162954279</c:v>
                </c:pt>
                <c:pt idx="12" formatCode="0.00%">
                  <c:v>-0.200078155529504</c:v>
                </c:pt>
                <c:pt idx="13" formatCode="0.00%">
                  <c:v>-0.280187573270809</c:v>
                </c:pt>
                <c:pt idx="14" formatCode="0.00%">
                  <c:v>-0.277842907385697</c:v>
                </c:pt>
                <c:pt idx="15" formatCode="0.00%">
                  <c:v>-0.261821023837436</c:v>
                </c:pt>
                <c:pt idx="16" formatCode="0.00%">
                  <c:v>-0.335677999218445</c:v>
                </c:pt>
                <c:pt idx="17" formatCode="0.00%">
                  <c:v>-0.326690113325518</c:v>
                </c:pt>
                <c:pt idx="18" formatCode="0.00%">
                  <c:v>-0.259476357952325</c:v>
                </c:pt>
                <c:pt idx="19" formatCode="0.00%">
                  <c:v>-0.264165689722548</c:v>
                </c:pt>
                <c:pt idx="20" formatCode="0.00%">
                  <c:v>-0.337631887456038</c:v>
                </c:pt>
                <c:pt idx="21" formatCode="0.00%">
                  <c:v>-0.309495896834701</c:v>
                </c:pt>
                <c:pt idx="22" formatCode="0.00%">
                  <c:v>-0.302071121531848</c:v>
                </c:pt>
                <c:pt idx="23" formatCode="0.00%">
                  <c:v>-0.372020320437671</c:v>
                </c:pt>
                <c:pt idx="24" formatCode="0.00%">
                  <c:v>-0.390386869871043</c:v>
                </c:pt>
                <c:pt idx="25" formatCode="0.00%">
                  <c:v>-0.436498632278234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基准盈亏线!$E$1</c:f>
              <c:strCache>
                <c:ptCount val="1"/>
                <c:pt idx="0">
                  <c:v>贵州百灵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基准盈亏线!$E$2:$E$27</c:f>
              <c:numCache>
                <c:formatCode>0.00_);[Red]\(0.00\)</c:formatCode>
                <c:ptCount val="26"/>
                <c:pt idx="5" formatCode="0.00%">
                  <c:v>0.0</c:v>
                </c:pt>
                <c:pt idx="6" formatCode="0.00%">
                  <c:v>-0.0161042944785275</c:v>
                </c:pt>
                <c:pt idx="7" formatCode="0.00%">
                  <c:v>-0.114647239263804</c:v>
                </c:pt>
                <c:pt idx="8" formatCode="0.00%">
                  <c:v>-0.121165644171779</c:v>
                </c:pt>
                <c:pt idx="9" formatCode="0.00%">
                  <c:v>-0.112346625766871</c:v>
                </c:pt>
                <c:pt idx="10" formatCode="0.00%">
                  <c:v>-0.195168711656442</c:v>
                </c:pt>
                <c:pt idx="11" formatCode="0.00%">
                  <c:v>-0.19861963190184</c:v>
                </c:pt>
                <c:pt idx="12" formatCode="0.00%">
                  <c:v>-0.278757668711656</c:v>
                </c:pt>
                <c:pt idx="13" formatCode="0.00%">
                  <c:v>-0.275306748466258</c:v>
                </c:pt>
                <c:pt idx="14" formatCode="0.00%">
                  <c:v>-0.314800613496932</c:v>
                </c:pt>
                <c:pt idx="15" formatCode="0.00%">
                  <c:v>-0.286042944785276</c:v>
                </c:pt>
                <c:pt idx="16" formatCode="0.00%">
                  <c:v>-0.320552147239264</c:v>
                </c:pt>
                <c:pt idx="17" formatCode="0.00%">
                  <c:v>-0.305981595092024</c:v>
                </c:pt>
                <c:pt idx="18" formatCode="0.00%">
                  <c:v>-0.28489263803681</c:v>
                </c:pt>
                <c:pt idx="19" formatCode="0.00%">
                  <c:v>-0.256134969325153</c:v>
                </c:pt>
                <c:pt idx="20" formatCode="0.00%">
                  <c:v>-0.294478527607362</c:v>
                </c:pt>
                <c:pt idx="21" formatCode="0.00%">
                  <c:v>-0.284509202453988</c:v>
                </c:pt>
                <c:pt idx="22" formatCode="0.00%">
                  <c:v>-0.279907975460123</c:v>
                </c:pt>
                <c:pt idx="23" formatCode="0.00%">
                  <c:v>-0.351993865030675</c:v>
                </c:pt>
                <c:pt idx="24" formatCode="0.00%">
                  <c:v>-0.368865030674846</c:v>
                </c:pt>
                <c:pt idx="25" formatCode="0.00%">
                  <c:v>-0.403374233128834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基准盈亏线!$F$1</c:f>
              <c:strCache>
                <c:ptCount val="1"/>
                <c:pt idx="0">
                  <c:v>天齐锂业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基准盈亏线!$F$2:$F$27</c:f>
              <c:numCache>
                <c:formatCode>0.00%</c:formatCode>
                <c:ptCount val="26"/>
                <c:pt idx="13">
                  <c:v>0.0</c:v>
                </c:pt>
                <c:pt idx="14">
                  <c:v>-0.0037837837837838</c:v>
                </c:pt>
                <c:pt idx="15">
                  <c:v>0.0958558558558558</c:v>
                </c:pt>
                <c:pt idx="16">
                  <c:v>0.118198198198198</c:v>
                </c:pt>
                <c:pt idx="17">
                  <c:v>0.103423423423423</c:v>
                </c:pt>
                <c:pt idx="18">
                  <c:v>0.164594594594595</c:v>
                </c:pt>
                <c:pt idx="19">
                  <c:v>0.196396396396396</c:v>
                </c:pt>
                <c:pt idx="20">
                  <c:v>0.0767567567567567</c:v>
                </c:pt>
                <c:pt idx="21">
                  <c:v>0.0810810810810811</c:v>
                </c:pt>
                <c:pt idx="22">
                  <c:v>0.114324324324324</c:v>
                </c:pt>
                <c:pt idx="23">
                  <c:v>0.0790990990990991</c:v>
                </c:pt>
                <c:pt idx="24">
                  <c:v>0.054054054054054</c:v>
                </c:pt>
                <c:pt idx="25">
                  <c:v>-0.0243243243243243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基准盈亏线!$G$1</c:f>
              <c:strCache>
                <c:ptCount val="1"/>
                <c:pt idx="0">
                  <c:v>中恒集团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基准盈亏线!$G$2:$G$27</c:f>
              <c:numCache>
                <c:formatCode>0.00_);[Red]\(0.00\)</c:formatCode>
                <c:ptCount val="26"/>
                <c:pt idx="15" formatCode="0.00%">
                  <c:v>0.0</c:v>
                </c:pt>
                <c:pt idx="16" formatCode="0.00%">
                  <c:v>0.0184842883548983</c:v>
                </c:pt>
                <c:pt idx="17" formatCode="0.00%">
                  <c:v>0.0147874306839187</c:v>
                </c:pt>
                <c:pt idx="18" formatCode="0.00%">
                  <c:v>0.0480591497227356</c:v>
                </c:pt>
                <c:pt idx="19" formatCode="0.00%">
                  <c:v>0.0166358595194085</c:v>
                </c:pt>
                <c:pt idx="20" formatCode="0.00%">
                  <c:v>-0.044362292051756</c:v>
                </c:pt>
                <c:pt idx="21" formatCode="0.00%">
                  <c:v>-0.022181146025878</c:v>
                </c:pt>
                <c:pt idx="22" formatCode="0.00%">
                  <c:v>-0.022181146025878</c:v>
                </c:pt>
                <c:pt idx="23" formatCode="0.00%">
                  <c:v>0.0757855822550832</c:v>
                </c:pt>
                <c:pt idx="24" formatCode="0.00%">
                  <c:v>-0.022181146025878</c:v>
                </c:pt>
                <c:pt idx="25" formatCode="0.00%">
                  <c:v>-0.101663585951941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基准盈亏线!$H$1</c:f>
              <c:strCache>
                <c:ptCount val="1"/>
                <c:pt idx="0">
                  <c:v>江中药业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基准盈亏线!$H$2:$H$27</c:f>
              <c:numCache>
                <c:formatCode>0.00_);[Red]\(0.00\)</c:formatCode>
                <c:ptCount val="26"/>
                <c:pt idx="16" formatCode="0.00%">
                  <c:v>0.0</c:v>
                </c:pt>
                <c:pt idx="17" formatCode="0.00%">
                  <c:v>0.0157872870793518</c:v>
                </c:pt>
                <c:pt idx="18" formatCode="0.00%">
                  <c:v>0.0643955130868301</c:v>
                </c:pt>
                <c:pt idx="19" formatCode="0.00%">
                  <c:v>0.0461154964686331</c:v>
                </c:pt>
                <c:pt idx="20" formatCode="0.00%">
                  <c:v>-0.00747818861653509</c:v>
                </c:pt>
                <c:pt idx="21" formatCode="0.00%">
                  <c:v>-0.00830909846281675</c:v>
                </c:pt>
                <c:pt idx="22" formatCode="0.00%">
                  <c:v>0.00332363938512664</c:v>
                </c:pt>
                <c:pt idx="23" formatCode="0.00%">
                  <c:v>-0.0789364353967594</c:v>
                </c:pt>
                <c:pt idx="24" formatCode="0.00%">
                  <c:v>-0.036144578313253</c:v>
                </c:pt>
                <c:pt idx="25" formatCode="0.00%">
                  <c:v>-0.0855837141670128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基准盈亏线!$I$1</c:f>
              <c:strCache>
                <c:ptCount val="1"/>
                <c:pt idx="0">
                  <c:v>多氟多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基准盈亏线!$I$2:$I$27</c:f>
              <c:numCache>
                <c:formatCode>0.00_);[Red]\(0.00\)</c:formatCode>
                <c:ptCount val="26"/>
                <c:pt idx="17" formatCode="0.00%">
                  <c:v>0.0</c:v>
                </c:pt>
                <c:pt idx="18" formatCode="0.00%">
                  <c:v>0.00936799050006588</c:v>
                </c:pt>
                <c:pt idx="19" formatCode="0.00%">
                  <c:v>-0.0176804327747724</c:v>
                </c:pt>
                <c:pt idx="20" formatCode="0.00%">
                  <c:v>-0.100145137880987</c:v>
                </c:pt>
                <c:pt idx="21" formatCode="0.00%">
                  <c:v>-0.0316664467607864</c:v>
                </c:pt>
                <c:pt idx="22" formatCode="0.00%">
                  <c:v>-0.0552843383032064</c:v>
                </c:pt>
                <c:pt idx="23" formatCode="0.00%">
                  <c:v>-0.149755904472886</c:v>
                </c:pt>
                <c:pt idx="24" formatCode="0.00%">
                  <c:v>-0.134450455205172</c:v>
                </c:pt>
                <c:pt idx="25" formatCode="0.00%">
                  <c:v>-0.221005409684655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基准盈亏线!$J$1</c:f>
              <c:strCache>
                <c:ptCount val="1"/>
                <c:pt idx="0">
                  <c:v>康耐特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基准盈亏线!$J$2:$J$27</c:f>
              <c:numCache>
                <c:formatCode>0.00_);[Red]\(0.00\)</c:formatCode>
                <c:ptCount val="26"/>
                <c:pt idx="18" formatCode="0.00%">
                  <c:v>0.0</c:v>
                </c:pt>
                <c:pt idx="19" formatCode="0.00%">
                  <c:v>-0.0103567318757192</c:v>
                </c:pt>
                <c:pt idx="20" formatCode="0.00%">
                  <c:v>-0.107019562715765</c:v>
                </c:pt>
                <c:pt idx="21" formatCode="0.00%">
                  <c:v>-0.0851553509781357</c:v>
                </c:pt>
                <c:pt idx="22" formatCode="0.00%">
                  <c:v>-0.0199462984273111</c:v>
                </c:pt>
                <c:pt idx="23" formatCode="0.00%">
                  <c:v>-0.0955120828538551</c:v>
                </c:pt>
                <c:pt idx="24" formatCode="0.00%">
                  <c:v>-0.0859225163022632</c:v>
                </c:pt>
                <c:pt idx="25" formatCode="0.00%">
                  <c:v>-0.177215189873418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基准盈亏线!$K$1</c:f>
              <c:strCache>
                <c:ptCount val="1"/>
                <c:pt idx="0">
                  <c:v>和佳股份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基准盈亏线!$K$2:$K$27</c:f>
              <c:numCache>
                <c:formatCode>0.00_);[Red]\(0.00\)</c:formatCode>
                <c:ptCount val="26"/>
                <c:pt idx="19" formatCode="0.00%">
                  <c:v>0.0</c:v>
                </c:pt>
                <c:pt idx="20" formatCode="0.00%">
                  <c:v>-0.0467692307692307</c:v>
                </c:pt>
                <c:pt idx="21" formatCode="0.00%">
                  <c:v>-0.0338461538461539</c:v>
                </c:pt>
                <c:pt idx="22" formatCode="0.00%">
                  <c:v>-0.0307692307692308</c:v>
                </c:pt>
                <c:pt idx="23" formatCode="0.00%">
                  <c:v>-0.127384615384615</c:v>
                </c:pt>
                <c:pt idx="24" formatCode="0.00%">
                  <c:v>-0.142769230769231</c:v>
                </c:pt>
                <c:pt idx="25" formatCode="0.00%">
                  <c:v>-0.201230769230769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基准盈亏线!$L$1</c:f>
              <c:strCache>
                <c:ptCount val="1"/>
                <c:pt idx="0">
                  <c:v>万达信息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基准盈亏线!$L$2:$L$27</c:f>
              <c:numCache>
                <c:formatCode>0.00_);[Red]\(0.00\)</c:formatCode>
                <c:ptCount val="26"/>
                <c:pt idx="20" formatCode="0.00%">
                  <c:v>0.0</c:v>
                </c:pt>
                <c:pt idx="21" formatCode="0.00%">
                  <c:v>0.0926236378876781</c:v>
                </c:pt>
                <c:pt idx="22" formatCode="0.00%">
                  <c:v>0.0846605196982397</c:v>
                </c:pt>
                <c:pt idx="23" formatCode="0.00%">
                  <c:v>-0.0188600167644593</c:v>
                </c:pt>
                <c:pt idx="24" formatCode="0.00%">
                  <c:v>0.0792120704107293</c:v>
                </c:pt>
                <c:pt idx="25" formatCode="0.00%">
                  <c:v>-0.0213746856663872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基准盈亏线!$M$1</c:f>
              <c:strCache>
                <c:ptCount val="1"/>
                <c:pt idx="0">
                  <c:v>利君股份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基准盈亏线!$M$2:$M$27</c:f>
              <c:numCache>
                <c:formatCode>0.00_);[Red]\(0.00\)</c:formatCode>
                <c:ptCount val="26"/>
                <c:pt idx="20" formatCode="0.00%">
                  <c:v>0.0</c:v>
                </c:pt>
                <c:pt idx="21" formatCode="0.00%">
                  <c:v>0.0127659574468084</c:v>
                </c:pt>
                <c:pt idx="22" formatCode="0.00%">
                  <c:v>0.0180851063829787</c:v>
                </c:pt>
                <c:pt idx="23" formatCode="0.00%">
                  <c:v>-0.0840425531914894</c:v>
                </c:pt>
                <c:pt idx="24" formatCode="0.00%">
                  <c:v>-0.102127659574468</c:v>
                </c:pt>
                <c:pt idx="25" formatCode="0.00%">
                  <c:v>-0.175531914893617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基准盈亏线!$N$1</c:f>
              <c:strCache>
                <c:ptCount val="1"/>
                <c:pt idx="0">
                  <c:v>大富科技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基准盈亏线!$A$2:$A$27</c:f>
              <c:numCache>
                <c:formatCode>m/d;@</c:formatCode>
                <c:ptCount val="26"/>
                <c:pt idx="0">
                  <c:v>42727.0</c:v>
                </c:pt>
                <c:pt idx="1">
                  <c:v>42728.0</c:v>
                </c:pt>
                <c:pt idx="2">
                  <c:v>42729.0</c:v>
                </c:pt>
                <c:pt idx="3">
                  <c:v>42732.0</c:v>
                </c:pt>
                <c:pt idx="4">
                  <c:v>42733.0</c:v>
                </c:pt>
                <c:pt idx="5">
                  <c:v>42734.0</c:v>
                </c:pt>
                <c:pt idx="6">
                  <c:v>42735.0</c:v>
                </c:pt>
                <c:pt idx="7">
                  <c:v>42739.0</c:v>
                </c:pt>
                <c:pt idx="8">
                  <c:v>42740.0</c:v>
                </c:pt>
                <c:pt idx="9">
                  <c:v>42741.0</c:v>
                </c:pt>
                <c:pt idx="10">
                  <c:v>42742.0</c:v>
                </c:pt>
                <c:pt idx="11">
                  <c:v>42743.0</c:v>
                </c:pt>
                <c:pt idx="12">
                  <c:v>42746.0</c:v>
                </c:pt>
                <c:pt idx="13">
                  <c:v>42747.0</c:v>
                </c:pt>
                <c:pt idx="14">
                  <c:v>42748.0</c:v>
                </c:pt>
                <c:pt idx="15">
                  <c:v>42749.0</c:v>
                </c:pt>
                <c:pt idx="16">
                  <c:v>42750.0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42760.0</c:v>
                </c:pt>
                <c:pt idx="23">
                  <c:v>42761.0</c:v>
                </c:pt>
                <c:pt idx="24">
                  <c:v>42762.0</c:v>
                </c:pt>
                <c:pt idx="25">
                  <c:v>42763.0</c:v>
                </c:pt>
              </c:numCache>
            </c:numRef>
          </c:cat>
          <c:val>
            <c:numRef>
              <c:f>基准盈亏线!$N$2:$N$27</c:f>
              <c:numCache>
                <c:formatCode>0.00_);[Red]\(0.00\)</c:formatCode>
                <c:ptCount val="26"/>
                <c:pt idx="22" formatCode="0.00%">
                  <c:v>0.0</c:v>
                </c:pt>
                <c:pt idx="23" formatCode="0.00%">
                  <c:v>-0.1</c:v>
                </c:pt>
                <c:pt idx="24" formatCode="0.00%">
                  <c:v>-0.138</c:v>
                </c:pt>
                <c:pt idx="25" formatCode="0.00%">
                  <c:v>-0.1775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927936"/>
        <c:axId val="-2049252736"/>
      </c:lineChart>
      <c:dateAx>
        <c:axId val="-2070927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252736"/>
        <c:crosses val="autoZero"/>
        <c:auto val="1"/>
        <c:lblOffset val="100"/>
        <c:baseTimeUnit val="days"/>
      </c:dateAx>
      <c:valAx>
        <c:axId val="-2049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09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rhx</a:t>
            </a:r>
            <a:r>
              <a:rPr lang="zh-CN" altLang="en-US"/>
              <a:t>博客统计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瑞鹤仙博客统计!$C$1</c:f>
              <c:strCache>
                <c:ptCount val="1"/>
                <c:pt idx="0">
                  <c:v>浏览数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瑞鹤仙博客统计!$B$2:$B$18</c:f>
              <c:numCache>
                <c:formatCode>yyyy/m/d;@</c:formatCode>
                <c:ptCount val="17"/>
                <c:pt idx="0">
                  <c:v>40652.0</c:v>
                </c:pt>
                <c:pt idx="1">
                  <c:v>40693.0</c:v>
                </c:pt>
                <c:pt idx="2">
                  <c:v>40710.0</c:v>
                </c:pt>
                <c:pt idx="3">
                  <c:v>40902.0</c:v>
                </c:pt>
                <c:pt idx="4">
                  <c:v>41223.0</c:v>
                </c:pt>
                <c:pt idx="5">
                  <c:v>41586.0</c:v>
                </c:pt>
                <c:pt idx="6">
                  <c:v>41739.0</c:v>
                </c:pt>
                <c:pt idx="7">
                  <c:v>41804.0</c:v>
                </c:pt>
                <c:pt idx="8">
                  <c:v>41825.0</c:v>
                </c:pt>
                <c:pt idx="9">
                  <c:v>41882.0</c:v>
                </c:pt>
                <c:pt idx="10">
                  <c:v>41961.0</c:v>
                </c:pt>
                <c:pt idx="11">
                  <c:v>41986.0</c:v>
                </c:pt>
                <c:pt idx="12">
                  <c:v>42040.0</c:v>
                </c:pt>
                <c:pt idx="13">
                  <c:v>42084.0</c:v>
                </c:pt>
                <c:pt idx="14">
                  <c:v>42126.0</c:v>
                </c:pt>
                <c:pt idx="15">
                  <c:v>42216.0</c:v>
                </c:pt>
                <c:pt idx="16">
                  <c:v>42246.0</c:v>
                </c:pt>
              </c:numCache>
            </c:numRef>
          </c:cat>
          <c:val>
            <c:numRef>
              <c:f>瑞鹤仙博客统计!$C$2:$C$18</c:f>
              <c:numCache>
                <c:formatCode>General</c:formatCode>
                <c:ptCount val="17"/>
                <c:pt idx="0">
                  <c:v>39961.0</c:v>
                </c:pt>
                <c:pt idx="1">
                  <c:v>30825.0</c:v>
                </c:pt>
                <c:pt idx="2">
                  <c:v>34844.0</c:v>
                </c:pt>
                <c:pt idx="3">
                  <c:v>29022.0</c:v>
                </c:pt>
                <c:pt idx="4">
                  <c:v>51409.0</c:v>
                </c:pt>
                <c:pt idx="5">
                  <c:v>25916.0</c:v>
                </c:pt>
                <c:pt idx="6">
                  <c:v>49657.0</c:v>
                </c:pt>
                <c:pt idx="7">
                  <c:v>145035.0</c:v>
                </c:pt>
                <c:pt idx="8">
                  <c:v>200514.0</c:v>
                </c:pt>
                <c:pt idx="9">
                  <c:v>331035.0</c:v>
                </c:pt>
                <c:pt idx="10">
                  <c:v>151735.0</c:v>
                </c:pt>
                <c:pt idx="11">
                  <c:v>404128.0</c:v>
                </c:pt>
                <c:pt idx="12">
                  <c:v>456127.0</c:v>
                </c:pt>
                <c:pt idx="13">
                  <c:v>274267.0</c:v>
                </c:pt>
                <c:pt idx="14">
                  <c:v>299144.0</c:v>
                </c:pt>
                <c:pt idx="15">
                  <c:v>399027.0</c:v>
                </c:pt>
                <c:pt idx="16">
                  <c:v>416508.0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27120"/>
        <c:axId val="-2052717744"/>
      </c:lineChart>
      <c:lineChart>
        <c:grouping val="standard"/>
        <c:varyColors val="0"/>
        <c:ser>
          <c:idx val="1"/>
          <c:order val="1"/>
          <c:tx>
            <c:strRef>
              <c:f>瑞鹤仙博客统计!$D$1</c:f>
              <c:strCache>
                <c:ptCount val="1"/>
                <c:pt idx="0">
                  <c:v>回复数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瑞鹤仙博客统计!$B$2:$B$18</c:f>
              <c:numCache>
                <c:formatCode>yyyy/m/d;@</c:formatCode>
                <c:ptCount val="17"/>
                <c:pt idx="0">
                  <c:v>40652.0</c:v>
                </c:pt>
                <c:pt idx="1">
                  <c:v>40693.0</c:v>
                </c:pt>
                <c:pt idx="2">
                  <c:v>40710.0</c:v>
                </c:pt>
                <c:pt idx="3">
                  <c:v>40902.0</c:v>
                </c:pt>
                <c:pt idx="4">
                  <c:v>41223.0</c:v>
                </c:pt>
                <c:pt idx="5">
                  <c:v>41586.0</c:v>
                </c:pt>
                <c:pt idx="6">
                  <c:v>41739.0</c:v>
                </c:pt>
                <c:pt idx="7">
                  <c:v>41804.0</c:v>
                </c:pt>
                <c:pt idx="8">
                  <c:v>41825.0</c:v>
                </c:pt>
                <c:pt idx="9">
                  <c:v>41882.0</c:v>
                </c:pt>
                <c:pt idx="10">
                  <c:v>41961.0</c:v>
                </c:pt>
                <c:pt idx="11">
                  <c:v>41986.0</c:v>
                </c:pt>
                <c:pt idx="12">
                  <c:v>42040.0</c:v>
                </c:pt>
                <c:pt idx="13">
                  <c:v>42084.0</c:v>
                </c:pt>
                <c:pt idx="14">
                  <c:v>42126.0</c:v>
                </c:pt>
                <c:pt idx="15">
                  <c:v>42216.0</c:v>
                </c:pt>
                <c:pt idx="16">
                  <c:v>42246.0</c:v>
                </c:pt>
              </c:numCache>
            </c:numRef>
          </c:cat>
          <c:val>
            <c:numRef>
              <c:f>瑞鹤仙博客统计!$D$2:$D$18</c:f>
              <c:numCache>
                <c:formatCode>General</c:formatCode>
                <c:ptCount val="17"/>
                <c:pt idx="0">
                  <c:v>34.0</c:v>
                </c:pt>
                <c:pt idx="1">
                  <c:v>48.0</c:v>
                </c:pt>
                <c:pt idx="2">
                  <c:v>52.0</c:v>
                </c:pt>
                <c:pt idx="3">
                  <c:v>33.0</c:v>
                </c:pt>
                <c:pt idx="4">
                  <c:v>77.0</c:v>
                </c:pt>
                <c:pt idx="5">
                  <c:v>43.0</c:v>
                </c:pt>
                <c:pt idx="6">
                  <c:v>138.0</c:v>
                </c:pt>
                <c:pt idx="7">
                  <c:v>214.0</c:v>
                </c:pt>
                <c:pt idx="8">
                  <c:v>316.0</c:v>
                </c:pt>
                <c:pt idx="9">
                  <c:v>736.0</c:v>
                </c:pt>
                <c:pt idx="10">
                  <c:v>336.0</c:v>
                </c:pt>
                <c:pt idx="11">
                  <c:v>1187.0</c:v>
                </c:pt>
                <c:pt idx="12">
                  <c:v>1243.0</c:v>
                </c:pt>
                <c:pt idx="13">
                  <c:v>800.0</c:v>
                </c:pt>
                <c:pt idx="14">
                  <c:v>780.0</c:v>
                </c:pt>
                <c:pt idx="15">
                  <c:v>1458.0</c:v>
                </c:pt>
                <c:pt idx="16">
                  <c:v>2040.0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954816"/>
        <c:axId val="-2053044016"/>
      </c:lineChart>
      <c:dateAx>
        <c:axId val="-2050927120"/>
        <c:scaling>
          <c:orientation val="minMax"/>
          <c:max val="42307.0"/>
          <c:min val="40632.0"/>
        </c:scaling>
        <c:delete val="0"/>
        <c:axPos val="b"/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2717744"/>
        <c:crosses val="autoZero"/>
        <c:auto val="0"/>
        <c:lblOffset val="100"/>
        <c:baseTimeUnit val="days"/>
      </c:dateAx>
      <c:valAx>
        <c:axId val="-2052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0927120"/>
        <c:crosses val="autoZero"/>
        <c:crossBetween val="between"/>
      </c:valAx>
      <c:valAx>
        <c:axId val="-2053044016"/>
        <c:scaling>
          <c:orientation val="minMax"/>
          <c:max val="225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954816"/>
        <c:crosses val="max"/>
        <c:crossBetween val="between"/>
      </c:valAx>
      <c:dateAx>
        <c:axId val="-2033954816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-2053044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165100</xdr:rowOff>
    </xdr:from>
    <xdr:to>
      <xdr:col>32</xdr:col>
      <xdr:colOff>673100</xdr:colOff>
      <xdr:row>40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152400</xdr:rowOff>
    </xdr:from>
    <xdr:to>
      <xdr:col>16</xdr:col>
      <xdr:colOff>190500</xdr:colOff>
      <xdr:row>35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L31" sqref="L31"/>
    </sheetView>
  </sheetViews>
  <sheetFormatPr baseColWidth="10" defaultRowHeight="16" x14ac:dyDescent="0.2"/>
  <cols>
    <col min="1" max="2" width="10.83203125" style="43"/>
    <col min="3" max="3" width="13.5" style="3" customWidth="1"/>
    <col min="9" max="9" width="12.5" customWidth="1"/>
  </cols>
  <sheetData>
    <row r="1" spans="1:9" x14ac:dyDescent="0.2">
      <c r="A1" s="43" t="s">
        <v>3</v>
      </c>
      <c r="B1" s="43" t="s">
        <v>4</v>
      </c>
      <c r="C1" s="3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s="43">
        <v>20151225</v>
      </c>
      <c r="B2" s="44">
        <v>0.419375</v>
      </c>
      <c r="C2" s="3" t="s">
        <v>0</v>
      </c>
      <c r="D2" t="s">
        <v>12</v>
      </c>
      <c r="E2" t="s">
        <v>13</v>
      </c>
      <c r="F2" s="1">
        <v>18.309999999999999</v>
      </c>
      <c r="G2">
        <v>1000</v>
      </c>
      <c r="H2">
        <v>18310</v>
      </c>
      <c r="I2">
        <v>-18364.93</v>
      </c>
    </row>
    <row r="3" spans="1:9" x14ac:dyDescent="0.2">
      <c r="A3" s="43">
        <v>20151228</v>
      </c>
      <c r="B3" s="44">
        <v>0.39711805555555557</v>
      </c>
      <c r="C3" s="3" t="s">
        <v>0</v>
      </c>
      <c r="D3" t="s">
        <v>12</v>
      </c>
      <c r="E3" t="s">
        <v>13</v>
      </c>
      <c r="F3" s="1">
        <v>18</v>
      </c>
      <c r="G3">
        <v>2000</v>
      </c>
      <c r="H3">
        <v>36000</v>
      </c>
      <c r="I3">
        <v>-36019.440000000002</v>
      </c>
    </row>
    <row r="4" spans="1:9" x14ac:dyDescent="0.2">
      <c r="A4" s="43">
        <v>20151229</v>
      </c>
      <c r="B4" s="44">
        <v>0.41155092592592596</v>
      </c>
      <c r="C4" s="3" t="s">
        <v>26</v>
      </c>
      <c r="D4" t="s">
        <v>14</v>
      </c>
      <c r="E4" t="s">
        <v>13</v>
      </c>
      <c r="F4" s="1">
        <v>24.1</v>
      </c>
      <c r="G4">
        <v>700</v>
      </c>
      <c r="H4">
        <v>16870</v>
      </c>
      <c r="I4">
        <v>-16879.11</v>
      </c>
    </row>
    <row r="5" spans="1:9" x14ac:dyDescent="0.2">
      <c r="A5" s="43">
        <v>20151230</v>
      </c>
      <c r="B5" s="44">
        <v>0.58365740740740735</v>
      </c>
      <c r="C5" s="3" t="s">
        <v>27</v>
      </c>
      <c r="D5" t="s">
        <v>12</v>
      </c>
      <c r="E5" t="s">
        <v>13</v>
      </c>
      <c r="F5" s="1">
        <v>17.670000000000002</v>
      </c>
      <c r="G5">
        <v>500</v>
      </c>
      <c r="H5">
        <v>8835</v>
      </c>
      <c r="I5">
        <v>-8840</v>
      </c>
    </row>
    <row r="6" spans="1:9" x14ac:dyDescent="0.2">
      <c r="A6" s="43">
        <v>20151230</v>
      </c>
      <c r="B6" s="44">
        <v>0.58533564814814809</v>
      </c>
      <c r="C6" s="3" t="s">
        <v>28</v>
      </c>
      <c r="D6" t="s">
        <v>15</v>
      </c>
      <c r="E6" t="s">
        <v>13</v>
      </c>
      <c r="F6" s="1">
        <v>25.99</v>
      </c>
      <c r="G6">
        <v>800</v>
      </c>
      <c r="H6">
        <v>20792</v>
      </c>
      <c r="I6">
        <v>-20803.23</v>
      </c>
    </row>
    <row r="7" spans="1:9" x14ac:dyDescent="0.2">
      <c r="A7" s="43">
        <v>20151231</v>
      </c>
      <c r="B7" s="44">
        <v>0.54170138888888886</v>
      </c>
      <c r="C7" s="3" t="s">
        <v>0</v>
      </c>
      <c r="D7" t="s">
        <v>12</v>
      </c>
      <c r="E7" t="s">
        <v>13</v>
      </c>
      <c r="F7" s="1">
        <v>17.739999999999998</v>
      </c>
      <c r="G7">
        <v>1100</v>
      </c>
      <c r="H7">
        <v>19514</v>
      </c>
      <c r="I7">
        <v>-19524.54</v>
      </c>
    </row>
    <row r="8" spans="1:9" x14ac:dyDescent="0.2">
      <c r="A8" s="43">
        <v>20160112</v>
      </c>
      <c r="B8" s="44">
        <v>0.39989583333333334</v>
      </c>
      <c r="C8" s="3" t="s">
        <v>26</v>
      </c>
      <c r="D8" t="s">
        <v>14</v>
      </c>
      <c r="E8" t="s">
        <v>16</v>
      </c>
      <c r="F8" s="1">
        <v>18.72</v>
      </c>
      <c r="G8">
        <v>100</v>
      </c>
      <c r="H8">
        <v>1872</v>
      </c>
      <c r="I8">
        <v>1865.13</v>
      </c>
    </row>
    <row r="9" spans="1:9" x14ac:dyDescent="0.2">
      <c r="A9" s="43">
        <v>20160112</v>
      </c>
      <c r="B9" s="44">
        <v>0.40399305555555554</v>
      </c>
      <c r="C9" s="3" t="s">
        <v>1</v>
      </c>
      <c r="D9" t="s">
        <v>14</v>
      </c>
      <c r="E9" t="s">
        <v>16</v>
      </c>
      <c r="F9" s="1">
        <v>18.600000000000001</v>
      </c>
      <c r="G9">
        <v>600</v>
      </c>
      <c r="H9">
        <v>11160</v>
      </c>
      <c r="I9">
        <v>11142.81</v>
      </c>
    </row>
    <row r="10" spans="1:9" x14ac:dyDescent="0.2">
      <c r="A10" s="43">
        <v>20160112</v>
      </c>
      <c r="B10" s="44">
        <v>0.45476851851851857</v>
      </c>
      <c r="C10" s="3" t="s">
        <v>29</v>
      </c>
      <c r="D10" t="s">
        <v>17</v>
      </c>
      <c r="E10" t="s">
        <v>13</v>
      </c>
      <c r="F10" s="1">
        <v>110.48</v>
      </c>
      <c r="G10">
        <v>100</v>
      </c>
      <c r="H10">
        <v>11048</v>
      </c>
      <c r="I10">
        <v>-11053.97</v>
      </c>
    </row>
    <row r="11" spans="1:9" x14ac:dyDescent="0.2">
      <c r="A11" s="43">
        <v>20160114</v>
      </c>
      <c r="B11" s="44">
        <v>0.39583333333333331</v>
      </c>
      <c r="C11" s="3" t="s">
        <v>30</v>
      </c>
      <c r="D11" t="s">
        <v>17</v>
      </c>
      <c r="E11" t="s">
        <v>16</v>
      </c>
      <c r="F11" s="1">
        <v>105.21</v>
      </c>
      <c r="G11">
        <v>100</v>
      </c>
      <c r="H11">
        <v>10521</v>
      </c>
      <c r="I11">
        <v>10504.8</v>
      </c>
    </row>
    <row r="12" spans="1:9" x14ac:dyDescent="0.2">
      <c r="A12" s="43">
        <v>20160114</v>
      </c>
      <c r="B12" s="44">
        <v>0.4718518518518518</v>
      </c>
      <c r="C12" s="3" t="s">
        <v>31</v>
      </c>
      <c r="D12" t="s">
        <v>15</v>
      </c>
      <c r="E12" t="s">
        <v>13</v>
      </c>
      <c r="F12" s="1">
        <v>17.86</v>
      </c>
      <c r="G12">
        <v>200</v>
      </c>
      <c r="H12">
        <v>3572</v>
      </c>
      <c r="I12">
        <v>-3577</v>
      </c>
    </row>
    <row r="13" spans="1:9" x14ac:dyDescent="0.2">
      <c r="A13" s="43">
        <v>20160114</v>
      </c>
      <c r="B13" s="44">
        <v>0.47266203703703707</v>
      </c>
      <c r="C13" s="3">
        <v>600252</v>
      </c>
      <c r="D13" t="s">
        <v>18</v>
      </c>
      <c r="E13" t="s">
        <v>13</v>
      </c>
      <c r="F13" s="1">
        <v>5.05</v>
      </c>
      <c r="G13">
        <v>1000</v>
      </c>
      <c r="H13">
        <v>5050</v>
      </c>
      <c r="I13">
        <v>-5055.1000000000004</v>
      </c>
    </row>
    <row r="14" spans="1:9" x14ac:dyDescent="0.2">
      <c r="A14" s="43">
        <v>20160115</v>
      </c>
      <c r="B14" s="44">
        <v>0.41631944444444446</v>
      </c>
      <c r="C14" s="3" t="s">
        <v>32</v>
      </c>
      <c r="D14" t="s">
        <v>12</v>
      </c>
      <c r="E14" t="s">
        <v>16</v>
      </c>
      <c r="F14" s="1">
        <v>14.5</v>
      </c>
      <c r="G14">
        <v>500</v>
      </c>
      <c r="H14">
        <v>7250</v>
      </c>
      <c r="I14">
        <v>7237.75</v>
      </c>
    </row>
    <row r="15" spans="1:9" x14ac:dyDescent="0.2">
      <c r="A15" s="43">
        <v>20160115</v>
      </c>
      <c r="B15" s="44">
        <v>0.54799768518518521</v>
      </c>
      <c r="C15" s="3">
        <v>600750</v>
      </c>
      <c r="D15" t="s">
        <v>19</v>
      </c>
      <c r="E15" t="s">
        <v>13</v>
      </c>
      <c r="F15" s="1">
        <v>24.5</v>
      </c>
      <c r="G15">
        <v>200</v>
      </c>
      <c r="H15">
        <v>4900</v>
      </c>
      <c r="I15">
        <v>-4905.1000000000004</v>
      </c>
    </row>
    <row r="16" spans="1:9" x14ac:dyDescent="0.2">
      <c r="A16" s="43">
        <v>20160118</v>
      </c>
      <c r="B16" s="44">
        <v>0.39583333333333331</v>
      </c>
      <c r="C16" s="3" t="s">
        <v>27</v>
      </c>
      <c r="D16" t="s">
        <v>12</v>
      </c>
      <c r="E16" t="s">
        <v>16</v>
      </c>
      <c r="F16" s="1">
        <v>13.8</v>
      </c>
      <c r="G16">
        <v>1200</v>
      </c>
      <c r="H16">
        <v>16560</v>
      </c>
      <c r="I16">
        <v>16534.5</v>
      </c>
    </row>
    <row r="17" spans="1:9" x14ac:dyDescent="0.2">
      <c r="A17" s="43">
        <v>20160118</v>
      </c>
      <c r="B17" s="44">
        <v>0.39583333333333331</v>
      </c>
      <c r="C17" s="3" t="s">
        <v>0</v>
      </c>
      <c r="D17" t="s">
        <v>12</v>
      </c>
      <c r="E17" t="s">
        <v>16</v>
      </c>
      <c r="F17" s="1">
        <v>13.78</v>
      </c>
      <c r="G17">
        <v>1200</v>
      </c>
      <c r="H17">
        <v>16536</v>
      </c>
      <c r="I17">
        <v>16510.53</v>
      </c>
    </row>
    <row r="18" spans="1:9" x14ac:dyDescent="0.2">
      <c r="A18" s="43">
        <v>20160118</v>
      </c>
      <c r="B18" s="44">
        <v>0.39658564814814817</v>
      </c>
      <c r="C18" s="3" t="s">
        <v>32</v>
      </c>
      <c r="D18" t="s">
        <v>12</v>
      </c>
      <c r="E18" t="s">
        <v>16</v>
      </c>
      <c r="F18" s="1">
        <v>14</v>
      </c>
      <c r="G18">
        <v>800</v>
      </c>
      <c r="H18">
        <v>11200</v>
      </c>
      <c r="I18">
        <v>11182.75</v>
      </c>
    </row>
    <row r="19" spans="1:9" x14ac:dyDescent="0.2">
      <c r="A19" s="43">
        <v>20160118</v>
      </c>
      <c r="B19" s="44">
        <v>0.55292824074074076</v>
      </c>
      <c r="C19" s="3">
        <v>600750</v>
      </c>
      <c r="D19" t="s">
        <v>19</v>
      </c>
      <c r="E19" t="s">
        <v>16</v>
      </c>
      <c r="F19" s="1">
        <v>24.6</v>
      </c>
      <c r="G19">
        <v>200</v>
      </c>
      <c r="H19">
        <v>4920</v>
      </c>
      <c r="I19">
        <v>4909.9799999999996</v>
      </c>
    </row>
    <row r="20" spans="1:9" x14ac:dyDescent="0.2">
      <c r="A20" s="43">
        <v>20160118</v>
      </c>
      <c r="B20" s="44">
        <v>0.40038194444444447</v>
      </c>
      <c r="C20" s="3">
        <v>600252</v>
      </c>
      <c r="D20" t="s">
        <v>18</v>
      </c>
      <c r="E20" t="s">
        <v>16</v>
      </c>
      <c r="F20" s="1">
        <v>5.42</v>
      </c>
      <c r="G20">
        <v>1000</v>
      </c>
      <c r="H20">
        <v>5420</v>
      </c>
      <c r="I20">
        <v>5409.47</v>
      </c>
    </row>
    <row r="21" spans="1:9" x14ac:dyDescent="0.2">
      <c r="A21" s="43">
        <v>20160118</v>
      </c>
      <c r="B21" s="44">
        <v>0.40826388888888893</v>
      </c>
      <c r="C21" s="3" t="s">
        <v>33</v>
      </c>
      <c r="D21" t="s">
        <v>20</v>
      </c>
      <c r="E21" t="s">
        <v>13</v>
      </c>
      <c r="F21" s="1">
        <v>73.900000000000006</v>
      </c>
      <c r="G21">
        <v>200</v>
      </c>
      <c r="H21">
        <v>14780</v>
      </c>
      <c r="I21">
        <v>-14787.98</v>
      </c>
    </row>
    <row r="22" spans="1:9" x14ac:dyDescent="0.2">
      <c r="A22" s="43">
        <v>20160118</v>
      </c>
      <c r="B22" s="44">
        <v>0.61952546296296296</v>
      </c>
      <c r="C22" s="3" t="s">
        <v>32</v>
      </c>
      <c r="D22" t="s">
        <v>12</v>
      </c>
      <c r="E22" t="s">
        <v>16</v>
      </c>
      <c r="F22" s="1">
        <v>14.69</v>
      </c>
      <c r="G22">
        <v>900</v>
      </c>
      <c r="H22">
        <v>13221</v>
      </c>
      <c r="I22">
        <v>13200.64</v>
      </c>
    </row>
    <row r="23" spans="1:9" x14ac:dyDescent="0.2">
      <c r="A23" s="43">
        <v>20160119</v>
      </c>
      <c r="B23" s="44">
        <v>0.46295138888888893</v>
      </c>
      <c r="C23" s="3" t="s">
        <v>34</v>
      </c>
      <c r="D23" t="s">
        <v>20</v>
      </c>
      <c r="E23" t="s">
        <v>16</v>
      </c>
      <c r="F23" s="1">
        <v>74.510000000000005</v>
      </c>
      <c r="G23">
        <v>200</v>
      </c>
      <c r="H23">
        <v>14902</v>
      </c>
      <c r="I23">
        <v>14879.05</v>
      </c>
    </row>
    <row r="24" spans="1:9" x14ac:dyDescent="0.2">
      <c r="A24" s="43">
        <v>20160119</v>
      </c>
      <c r="B24" s="44">
        <v>0.61452546296296295</v>
      </c>
      <c r="C24" s="3" t="s">
        <v>35</v>
      </c>
      <c r="D24" t="s">
        <v>20</v>
      </c>
      <c r="E24" t="s">
        <v>13</v>
      </c>
      <c r="F24" s="1">
        <v>76.849999999999994</v>
      </c>
      <c r="G24">
        <v>400</v>
      </c>
      <c r="H24">
        <v>30740</v>
      </c>
      <c r="I24">
        <v>-30756.6</v>
      </c>
    </row>
    <row r="25" spans="1:9" x14ac:dyDescent="0.2">
      <c r="A25" s="43">
        <v>20160119</v>
      </c>
      <c r="B25" s="44">
        <v>0.61571759259259262</v>
      </c>
      <c r="C25" s="3">
        <v>300061</v>
      </c>
      <c r="D25" t="s">
        <v>21</v>
      </c>
      <c r="E25" t="s">
        <v>13</v>
      </c>
      <c r="F25" s="1">
        <v>25.65</v>
      </c>
      <c r="G25">
        <v>1700</v>
      </c>
      <c r="H25">
        <v>43605</v>
      </c>
      <c r="I25">
        <v>-43628.55</v>
      </c>
    </row>
    <row r="26" spans="1:9" x14ac:dyDescent="0.2">
      <c r="A26" s="43">
        <v>20160120</v>
      </c>
      <c r="B26" s="44">
        <v>0.4017592592592592</v>
      </c>
      <c r="C26" s="3" t="s">
        <v>36</v>
      </c>
      <c r="D26" t="s">
        <v>20</v>
      </c>
      <c r="E26" t="s">
        <v>16</v>
      </c>
      <c r="F26" s="1">
        <v>75.64</v>
      </c>
      <c r="G26">
        <v>400</v>
      </c>
      <c r="H26">
        <v>30256</v>
      </c>
      <c r="I26">
        <v>30209.4</v>
      </c>
    </row>
    <row r="27" spans="1:9" x14ac:dyDescent="0.2">
      <c r="A27" s="43">
        <v>20160120</v>
      </c>
      <c r="B27" s="44">
        <v>0.40511574074074069</v>
      </c>
      <c r="C27" s="3">
        <v>300273</v>
      </c>
      <c r="D27" t="s">
        <v>22</v>
      </c>
      <c r="E27" t="s">
        <v>13</v>
      </c>
      <c r="F27" s="1">
        <v>16.57</v>
      </c>
      <c r="G27">
        <v>1800</v>
      </c>
      <c r="H27">
        <v>29826</v>
      </c>
      <c r="I27">
        <v>-29842.11</v>
      </c>
    </row>
    <row r="28" spans="1:9" x14ac:dyDescent="0.2">
      <c r="A28" s="43">
        <v>20160121</v>
      </c>
      <c r="B28" s="44">
        <v>0.4725462962962963</v>
      </c>
      <c r="C28" s="3">
        <v>300061</v>
      </c>
      <c r="D28" t="s">
        <v>21</v>
      </c>
      <c r="E28" t="s">
        <v>16</v>
      </c>
      <c r="F28" s="1">
        <v>25.8</v>
      </c>
      <c r="G28">
        <v>1200</v>
      </c>
      <c r="H28">
        <v>30964</v>
      </c>
      <c r="I28">
        <v>30916.32</v>
      </c>
    </row>
    <row r="29" spans="1:9" x14ac:dyDescent="0.2">
      <c r="A29" s="43">
        <v>20160121</v>
      </c>
      <c r="B29" s="44">
        <v>0.4729976851851852</v>
      </c>
      <c r="C29" s="3">
        <v>300061</v>
      </c>
      <c r="D29" t="s">
        <v>21</v>
      </c>
      <c r="E29" t="s">
        <v>16</v>
      </c>
      <c r="F29" s="1">
        <v>25.81</v>
      </c>
      <c r="G29">
        <v>500</v>
      </c>
      <c r="H29">
        <v>12905</v>
      </c>
      <c r="I29">
        <v>12885.12</v>
      </c>
    </row>
    <row r="30" spans="1:9" x14ac:dyDescent="0.2">
      <c r="A30" s="43">
        <v>20160121</v>
      </c>
      <c r="B30" s="44">
        <v>0.4745138888888889</v>
      </c>
      <c r="C30" s="3">
        <v>300168</v>
      </c>
      <c r="D30" t="s">
        <v>23</v>
      </c>
      <c r="E30" t="s">
        <v>13</v>
      </c>
      <c r="F30" s="1">
        <v>26.22</v>
      </c>
      <c r="G30">
        <v>800</v>
      </c>
      <c r="H30">
        <v>20976</v>
      </c>
      <c r="I30">
        <v>-20987.33</v>
      </c>
    </row>
    <row r="31" spans="1:9" x14ac:dyDescent="0.2">
      <c r="A31" s="43">
        <v>20160121</v>
      </c>
      <c r="B31" s="44">
        <v>0.54548611111111112</v>
      </c>
      <c r="C31" s="3" t="s">
        <v>37</v>
      </c>
      <c r="D31" t="s">
        <v>24</v>
      </c>
      <c r="E31" t="s">
        <v>13</v>
      </c>
      <c r="F31" s="1">
        <v>9.91</v>
      </c>
      <c r="G31">
        <v>2000</v>
      </c>
      <c r="H31">
        <v>19820</v>
      </c>
      <c r="I31">
        <v>-19830.7</v>
      </c>
    </row>
    <row r="32" spans="1:9" x14ac:dyDescent="0.2">
      <c r="A32" s="43">
        <v>20160125</v>
      </c>
      <c r="B32" s="44">
        <v>0.40219907407407413</v>
      </c>
      <c r="C32" s="3">
        <v>300168</v>
      </c>
      <c r="D32" t="s">
        <v>23</v>
      </c>
      <c r="E32" t="s">
        <v>16</v>
      </c>
      <c r="F32" s="1">
        <v>25.65</v>
      </c>
      <c r="G32">
        <v>800</v>
      </c>
      <c r="H32">
        <v>20520</v>
      </c>
      <c r="I32">
        <v>20488.400000000001</v>
      </c>
    </row>
    <row r="33" spans="1:9" x14ac:dyDescent="0.2">
      <c r="A33" s="43">
        <v>20160125</v>
      </c>
      <c r="B33" s="44">
        <v>0.40354166666666669</v>
      </c>
      <c r="C33" s="3">
        <v>300134</v>
      </c>
      <c r="D33" t="s">
        <v>25</v>
      </c>
      <c r="E33" t="s">
        <v>13</v>
      </c>
      <c r="F33" s="1">
        <v>19.940000000000001</v>
      </c>
      <c r="G33">
        <v>1000</v>
      </c>
      <c r="H33">
        <v>19944</v>
      </c>
      <c r="I33">
        <v>-19954.77</v>
      </c>
    </row>
    <row r="34" spans="1:9" x14ac:dyDescent="0.2">
      <c r="A34" s="43">
        <v>20160127</v>
      </c>
      <c r="B34" s="44">
        <v>0.41234953703703708</v>
      </c>
      <c r="C34" s="3" t="s">
        <v>38</v>
      </c>
      <c r="D34" t="s">
        <v>24</v>
      </c>
      <c r="E34" t="s">
        <v>16</v>
      </c>
      <c r="F34" s="1">
        <v>8.32</v>
      </c>
      <c r="G34">
        <v>2000</v>
      </c>
      <c r="H34">
        <v>16648</v>
      </c>
      <c r="I34">
        <v>16622.37</v>
      </c>
    </row>
    <row r="35" spans="1:9" x14ac:dyDescent="0.2">
      <c r="A35" s="43">
        <v>20160127</v>
      </c>
      <c r="B35" s="44">
        <v>0.41289351851851852</v>
      </c>
      <c r="C35" s="3">
        <v>300273</v>
      </c>
      <c r="D35" t="s">
        <v>22</v>
      </c>
      <c r="E35" t="s">
        <v>16</v>
      </c>
      <c r="F35" s="1">
        <v>14.05</v>
      </c>
      <c r="G35">
        <v>1800</v>
      </c>
      <c r="H35">
        <v>25290</v>
      </c>
      <c r="I35">
        <v>25251.05</v>
      </c>
    </row>
    <row r="36" spans="1:9" x14ac:dyDescent="0.2">
      <c r="A36" s="43">
        <v>20160127</v>
      </c>
      <c r="B36" s="44">
        <v>0.41432870370370373</v>
      </c>
      <c r="C36" s="3">
        <v>300134</v>
      </c>
      <c r="D36" t="s">
        <v>25</v>
      </c>
      <c r="E36" t="s">
        <v>16</v>
      </c>
      <c r="F36" s="1">
        <v>17.04</v>
      </c>
      <c r="G36">
        <v>1000</v>
      </c>
      <c r="H36">
        <v>17040</v>
      </c>
      <c r="I36">
        <v>17013.759999999998</v>
      </c>
    </row>
    <row r="37" spans="1:9" x14ac:dyDescent="0.2">
      <c r="A37" s="43" t="str">
        <f>"20160129"</f>
        <v>20160129</v>
      </c>
      <c r="B37" s="43" t="str">
        <f>"10:09:42"</f>
        <v>10:09:42</v>
      </c>
      <c r="C37" t="str">
        <f>"300168"</f>
        <v>300168</v>
      </c>
      <c r="D37" t="str">
        <f>"万达信息"</f>
        <v>万达信息</v>
      </c>
      <c r="E37" t="str">
        <f t="shared" ref="E37:E43" si="0">"买入"</f>
        <v>买入</v>
      </c>
      <c r="F37">
        <v>24.83</v>
      </c>
      <c r="G37">
        <v>600</v>
      </c>
      <c r="H37">
        <v>14898</v>
      </c>
      <c r="I37">
        <v>-14906.04</v>
      </c>
    </row>
    <row r="38" spans="1:9" x14ac:dyDescent="0.2">
      <c r="A38" s="43" t="str">
        <f>"20160129"</f>
        <v>20160129</v>
      </c>
      <c r="B38" s="43" t="str">
        <f>"10:16:18"</f>
        <v>10:16:18</v>
      </c>
      <c r="C38" t="str">
        <f>"000423"</f>
        <v>000423</v>
      </c>
      <c r="D38" t="str">
        <f>"东阿阿胶"</f>
        <v>东阿阿胶</v>
      </c>
      <c r="E38" t="str">
        <f t="shared" si="0"/>
        <v>买入</v>
      </c>
      <c r="F38">
        <v>44.88</v>
      </c>
      <c r="G38">
        <v>200</v>
      </c>
      <c r="H38">
        <v>8976</v>
      </c>
      <c r="I38">
        <v>-8981</v>
      </c>
    </row>
    <row r="39" spans="1:9" x14ac:dyDescent="0.2">
      <c r="A39" s="43" t="str">
        <f>"20160129"</f>
        <v>20160129</v>
      </c>
      <c r="B39" s="43" t="str">
        <f>"10:35:28"</f>
        <v>10:35:28</v>
      </c>
      <c r="C39" t="str">
        <f>"600196"</f>
        <v>600196</v>
      </c>
      <c r="D39" t="str">
        <f>"复星医药"</f>
        <v>复星医药</v>
      </c>
      <c r="E39" t="str">
        <f t="shared" si="0"/>
        <v>买入</v>
      </c>
      <c r="F39">
        <v>17.989999999999998</v>
      </c>
      <c r="G39">
        <v>200</v>
      </c>
      <c r="H39">
        <v>3598</v>
      </c>
      <c r="I39">
        <v>-3603.07</v>
      </c>
    </row>
    <row r="40" spans="1:9" x14ac:dyDescent="0.2">
      <c r="A40" s="43" t="str">
        <f>"20160129"</f>
        <v>20160129</v>
      </c>
      <c r="B40" s="43" t="str">
        <f>"10:37:30"</f>
        <v>10:37:30</v>
      </c>
      <c r="C40" t="str">
        <f>"600572"</f>
        <v>600572</v>
      </c>
      <c r="D40" t="str">
        <f>"康恩贝"</f>
        <v>康恩贝</v>
      </c>
      <c r="E40" t="str">
        <f t="shared" si="0"/>
        <v>买入</v>
      </c>
      <c r="F40">
        <v>9.39</v>
      </c>
      <c r="G40">
        <v>300</v>
      </c>
      <c r="H40">
        <v>2817</v>
      </c>
      <c r="I40">
        <v>-2822.06</v>
      </c>
    </row>
    <row r="41" spans="1:9" x14ac:dyDescent="0.2">
      <c r="A41" s="43" t="str">
        <f>"20160201"</f>
        <v>20160201</v>
      </c>
      <c r="B41" s="43" t="str">
        <f>"09:35:54"</f>
        <v>09:35:54</v>
      </c>
      <c r="C41" t="str">
        <f>"300155"</f>
        <v>300155</v>
      </c>
      <c r="D41" t="str">
        <f>"安居宝"</f>
        <v>安居宝</v>
      </c>
      <c r="E41" t="str">
        <f t="shared" si="0"/>
        <v>买入</v>
      </c>
      <c r="F41">
        <v>11.4</v>
      </c>
      <c r="G41">
        <v>1000</v>
      </c>
      <c r="H41">
        <v>11400</v>
      </c>
      <c r="I41">
        <v>-11406.16</v>
      </c>
    </row>
    <row r="42" spans="1:9" x14ac:dyDescent="0.2">
      <c r="A42" s="43" t="str">
        <f>"20160201"</f>
        <v>20160201</v>
      </c>
      <c r="B42" s="43" t="str">
        <f>"09:40:46"</f>
        <v>09:40:46</v>
      </c>
      <c r="C42" t="str">
        <f>"603077"</f>
        <v>603077</v>
      </c>
      <c r="D42" t="str">
        <f>"和邦生物"</f>
        <v>和邦生物</v>
      </c>
      <c r="E42" t="str">
        <f t="shared" si="0"/>
        <v>买入</v>
      </c>
      <c r="F42">
        <v>5.25</v>
      </c>
      <c r="G42">
        <v>1000</v>
      </c>
      <c r="H42">
        <v>5250</v>
      </c>
      <c r="I42">
        <v>-5255.11</v>
      </c>
    </row>
    <row r="43" spans="1:9" x14ac:dyDescent="0.2">
      <c r="A43" s="43" t="str">
        <f>"20160201"</f>
        <v>20160201</v>
      </c>
      <c r="B43" s="43" t="str">
        <f>"09:46:34"</f>
        <v>09:46:34</v>
      </c>
      <c r="C43" t="str">
        <f>"300307"</f>
        <v>300307</v>
      </c>
      <c r="D43" t="str">
        <f>"慈星股份"</f>
        <v>慈星股份</v>
      </c>
      <c r="E43" t="str">
        <f t="shared" si="0"/>
        <v>买入</v>
      </c>
      <c r="F43">
        <v>11.04</v>
      </c>
      <c r="G43">
        <v>800</v>
      </c>
      <c r="H43">
        <v>8832</v>
      </c>
      <c r="I43">
        <v>-8837</v>
      </c>
    </row>
    <row r="44" spans="1:9" x14ac:dyDescent="0.2">
      <c r="A44" s="43" t="str">
        <f>"20160203"</f>
        <v>20160203</v>
      </c>
      <c r="B44" s="43" t="str">
        <f>"13:03:10"</f>
        <v>13:03:10</v>
      </c>
      <c r="C44" t="str">
        <f>"600196"</f>
        <v>600196</v>
      </c>
      <c r="D44" t="str">
        <f>"复星医药"</f>
        <v>复星医药</v>
      </c>
      <c r="E44" t="str">
        <f>"卖出"</f>
        <v>卖出</v>
      </c>
      <c r="F44">
        <v>17.989999999999998</v>
      </c>
      <c r="G44">
        <v>200</v>
      </c>
      <c r="H44">
        <v>3598</v>
      </c>
      <c r="I44">
        <v>3589.33</v>
      </c>
    </row>
    <row r="45" spans="1:9" x14ac:dyDescent="0.2">
      <c r="A45" s="43" t="str">
        <f>"20160203"</f>
        <v>20160203</v>
      </c>
      <c r="B45" s="43" t="str">
        <f>"13:20:32"</f>
        <v>13:20:32</v>
      </c>
      <c r="C45" t="str">
        <f>"300049"</f>
        <v>300049</v>
      </c>
      <c r="D45" t="str">
        <f>"福瑞股份"</f>
        <v>福瑞股份</v>
      </c>
      <c r="E45" t="str">
        <f>"买入"</f>
        <v>买入</v>
      </c>
      <c r="F45">
        <v>21.09</v>
      </c>
      <c r="G45">
        <v>500</v>
      </c>
      <c r="H45">
        <v>10545</v>
      </c>
      <c r="I45">
        <v>-10550.69</v>
      </c>
    </row>
    <row r="46" spans="1:9" x14ac:dyDescent="0.2">
      <c r="A46" s="43" t="str">
        <f t="shared" ref="A46:A51" si="1">"20160204"</f>
        <v>20160204</v>
      </c>
      <c r="B46" s="43" t="str">
        <f>"11:17:55"</f>
        <v>11:17:55</v>
      </c>
      <c r="C46" t="str">
        <f>"300155"</f>
        <v>300155</v>
      </c>
      <c r="D46" t="str">
        <f>"安居宝"</f>
        <v>安居宝</v>
      </c>
      <c r="E46" t="str">
        <f>"卖出"</f>
        <v>卖出</v>
      </c>
      <c r="F46">
        <v>15.74</v>
      </c>
      <c r="G46">
        <v>1000</v>
      </c>
      <c r="H46">
        <v>15740</v>
      </c>
      <c r="I46">
        <v>15715.76</v>
      </c>
    </row>
    <row r="47" spans="1:9" x14ac:dyDescent="0.2">
      <c r="A47" s="43" t="str">
        <f t="shared" si="1"/>
        <v>20160204</v>
      </c>
      <c r="B47" s="43" t="str">
        <f>"11:22:51"</f>
        <v>11:22:51</v>
      </c>
      <c r="C47" t="str">
        <f>"300049"</f>
        <v>300049</v>
      </c>
      <c r="D47" t="str">
        <f>"福瑞股份"</f>
        <v>福瑞股份</v>
      </c>
      <c r="E47" t="str">
        <f>"买入"</f>
        <v>买入</v>
      </c>
      <c r="F47">
        <v>21.53</v>
      </c>
      <c r="G47">
        <v>300</v>
      </c>
      <c r="H47">
        <v>6459</v>
      </c>
      <c r="I47">
        <v>-6464</v>
      </c>
    </row>
    <row r="48" spans="1:9" x14ac:dyDescent="0.2">
      <c r="A48" s="43" t="str">
        <f t="shared" si="1"/>
        <v>20160204</v>
      </c>
      <c r="B48" s="43" t="str">
        <f>"11:29:31"</f>
        <v>11:29:31</v>
      </c>
      <c r="C48" t="str">
        <f>"300168"</f>
        <v>300168</v>
      </c>
      <c r="D48" t="str">
        <f>"万达信息"</f>
        <v>万达信息</v>
      </c>
      <c r="E48" t="str">
        <f>"卖出"</f>
        <v>卖出</v>
      </c>
      <c r="F48">
        <v>29.32</v>
      </c>
      <c r="G48">
        <v>600</v>
      </c>
      <c r="H48">
        <v>17592</v>
      </c>
      <c r="I48">
        <v>17564.91</v>
      </c>
    </row>
    <row r="49" spans="1:9" x14ac:dyDescent="0.2">
      <c r="A49" s="43" t="str">
        <f t="shared" si="1"/>
        <v>20160204</v>
      </c>
      <c r="B49" s="43" t="str">
        <f>"13:01:16"</f>
        <v>13:01:16</v>
      </c>
      <c r="C49" t="str">
        <f>"300363"</f>
        <v>300363</v>
      </c>
      <c r="D49" t="str">
        <f>"博腾股份"</f>
        <v>博腾股份</v>
      </c>
      <c r="E49" t="str">
        <f>"买入"</f>
        <v>买入</v>
      </c>
      <c r="F49">
        <v>18.48</v>
      </c>
      <c r="G49">
        <v>1200</v>
      </c>
      <c r="H49">
        <v>22176</v>
      </c>
      <c r="I49">
        <v>-22187.98</v>
      </c>
    </row>
    <row r="50" spans="1:9" x14ac:dyDescent="0.2">
      <c r="A50" s="43" t="str">
        <f t="shared" si="1"/>
        <v>20160204</v>
      </c>
      <c r="B50" s="43" t="str">
        <f>"13:04:31"</f>
        <v>13:04:31</v>
      </c>
      <c r="C50" t="str">
        <f>"300307"</f>
        <v>300307</v>
      </c>
      <c r="D50" t="str">
        <f>"慈星股份"</f>
        <v>慈星股份</v>
      </c>
      <c r="E50" t="str">
        <f>"卖出"</f>
        <v>卖出</v>
      </c>
      <c r="F50">
        <v>11.500999999999999</v>
      </c>
      <c r="G50">
        <v>800</v>
      </c>
      <c r="H50">
        <v>9201</v>
      </c>
      <c r="I50">
        <v>9186.7999999999993</v>
      </c>
    </row>
    <row r="51" spans="1:9" x14ac:dyDescent="0.2">
      <c r="A51" s="43" t="str">
        <f t="shared" si="1"/>
        <v>20160204</v>
      </c>
      <c r="B51" s="43" t="str">
        <f>"13:13:51"</f>
        <v>13:13:51</v>
      </c>
      <c r="C51" t="str">
        <f>"002424"</f>
        <v>002424</v>
      </c>
      <c r="D51" t="str">
        <f>"贵州百灵"</f>
        <v>贵州百灵</v>
      </c>
      <c r="E51" t="str">
        <f t="shared" ref="E51:E57" si="2">"买入"</f>
        <v>买入</v>
      </c>
      <c r="F51">
        <v>16.55</v>
      </c>
      <c r="G51">
        <v>400</v>
      </c>
      <c r="H51">
        <v>6620</v>
      </c>
      <c r="I51">
        <v>-6625</v>
      </c>
    </row>
    <row r="52" spans="1:9" x14ac:dyDescent="0.2">
      <c r="A52" s="43" t="str">
        <f t="shared" ref="A52:A57" si="3">"20160215"</f>
        <v>20160215</v>
      </c>
      <c r="B52" s="43" t="str">
        <f>"09:30:12"</f>
        <v>09:30:12</v>
      </c>
      <c r="C52" t="str">
        <f>"300363"</f>
        <v>300363</v>
      </c>
      <c r="D52" t="str">
        <f>"博腾股份"</f>
        <v>博腾股份</v>
      </c>
      <c r="E52" t="str">
        <f t="shared" si="2"/>
        <v>买入</v>
      </c>
      <c r="F52">
        <v>17.649999999999999</v>
      </c>
      <c r="G52">
        <v>500</v>
      </c>
      <c r="H52">
        <v>8825</v>
      </c>
      <c r="I52">
        <v>-8830</v>
      </c>
    </row>
    <row r="53" spans="1:9" x14ac:dyDescent="0.2">
      <c r="A53" s="43" t="str">
        <f t="shared" si="3"/>
        <v>20160215</v>
      </c>
      <c r="B53" s="43" t="str">
        <f>"10:05:56"</f>
        <v>10:05:56</v>
      </c>
      <c r="C53" t="str">
        <f>"603077"</f>
        <v>603077</v>
      </c>
      <c r="D53" t="str">
        <f>"和邦生物"</f>
        <v>和邦生物</v>
      </c>
      <c r="E53" t="str">
        <f t="shared" si="2"/>
        <v>买入</v>
      </c>
      <c r="F53">
        <v>4.9329999999999998</v>
      </c>
      <c r="G53">
        <v>300</v>
      </c>
      <c r="H53">
        <v>1480.01</v>
      </c>
      <c r="I53">
        <v>-1485.04</v>
      </c>
    </row>
    <row r="54" spans="1:9" x14ac:dyDescent="0.2">
      <c r="A54" s="43" t="str">
        <f t="shared" si="3"/>
        <v>20160215</v>
      </c>
      <c r="B54" s="43" t="str">
        <f>"10:28:39"</f>
        <v>10:28:39</v>
      </c>
      <c r="C54" t="str">
        <f>"300134"</f>
        <v>300134</v>
      </c>
      <c r="D54" t="str">
        <f>"大富科技"</f>
        <v>大富科技</v>
      </c>
      <c r="E54" t="str">
        <f t="shared" si="2"/>
        <v>买入</v>
      </c>
      <c r="F54">
        <v>17.878</v>
      </c>
      <c r="G54">
        <v>500</v>
      </c>
      <c r="H54">
        <v>8939</v>
      </c>
      <c r="I54">
        <v>-8944</v>
      </c>
    </row>
    <row r="55" spans="1:9" x14ac:dyDescent="0.2">
      <c r="A55" s="43" t="str">
        <f t="shared" si="3"/>
        <v>20160215</v>
      </c>
      <c r="B55" s="43" t="str">
        <f>"10:30:55"</f>
        <v>10:30:55</v>
      </c>
      <c r="C55" t="str">
        <f>"300134"</f>
        <v>300134</v>
      </c>
      <c r="D55" t="str">
        <f>"大富科技"</f>
        <v>大富科技</v>
      </c>
      <c r="E55" t="str">
        <f t="shared" si="2"/>
        <v>买入</v>
      </c>
      <c r="F55">
        <v>18</v>
      </c>
      <c r="G55">
        <v>1000</v>
      </c>
      <c r="H55">
        <v>18000</v>
      </c>
      <c r="I55">
        <v>-18009.72</v>
      </c>
    </row>
    <row r="56" spans="1:9" x14ac:dyDescent="0.2">
      <c r="A56" s="43" t="str">
        <f t="shared" si="3"/>
        <v>20160215</v>
      </c>
      <c r="B56" s="43" t="str">
        <f>"11:01:17"</f>
        <v>11:01:17</v>
      </c>
      <c r="C56" t="str">
        <f>"300134"</f>
        <v>300134</v>
      </c>
      <c r="D56" t="str">
        <f>"大富科技"</f>
        <v>大富科技</v>
      </c>
      <c r="E56" t="str">
        <f t="shared" si="2"/>
        <v>买入</v>
      </c>
      <c r="F56">
        <v>17.98</v>
      </c>
      <c r="G56">
        <v>600</v>
      </c>
      <c r="H56">
        <v>10788</v>
      </c>
      <c r="I56">
        <v>-10793.83</v>
      </c>
    </row>
    <row r="57" spans="1:9" x14ac:dyDescent="0.2">
      <c r="A57" s="43" t="str">
        <f t="shared" si="3"/>
        <v>20160215</v>
      </c>
      <c r="B57" s="43" t="str">
        <f>"14:20:25"</f>
        <v>14:20:25</v>
      </c>
      <c r="C57" t="str">
        <f>"300273"</f>
        <v>300273</v>
      </c>
      <c r="D57" t="str">
        <f>"和佳股份"</f>
        <v>和佳股份</v>
      </c>
      <c r="E57" t="str">
        <f t="shared" si="2"/>
        <v>买入</v>
      </c>
      <c r="F57">
        <v>14.4</v>
      </c>
      <c r="G57">
        <v>300</v>
      </c>
      <c r="H57">
        <v>4320</v>
      </c>
      <c r="I57">
        <v>-4325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pane xSplit="1" topLeftCell="B1" activePane="topRight" state="frozen"/>
      <selection pane="topRight" activeCell="G35" sqref="G35"/>
    </sheetView>
  </sheetViews>
  <sheetFormatPr baseColWidth="10" defaultRowHeight="16" x14ac:dyDescent="0.2"/>
  <cols>
    <col min="1" max="1" width="10.83203125" style="7"/>
    <col min="2" max="13" width="10.83203125" style="5"/>
  </cols>
  <sheetData>
    <row r="1" spans="1:29" x14ac:dyDescent="0.2">
      <c r="B1" s="6" t="s">
        <v>39</v>
      </c>
      <c r="C1" s="6" t="s">
        <v>12</v>
      </c>
      <c r="D1" s="6" t="s">
        <v>14</v>
      </c>
      <c r="E1" s="6" t="s">
        <v>15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25</v>
      </c>
      <c r="N1" s="6" t="s">
        <v>24</v>
      </c>
    </row>
    <row r="2" spans="1:29" x14ac:dyDescent="0.2">
      <c r="A2" s="7">
        <v>42727</v>
      </c>
      <c r="B2" s="5">
        <v>3636.09</v>
      </c>
      <c r="C2" s="5">
        <v>17.98</v>
      </c>
      <c r="D2" s="5">
        <v>22.55</v>
      </c>
      <c r="E2" s="5">
        <v>26.94</v>
      </c>
      <c r="F2" s="5">
        <v>144.68</v>
      </c>
      <c r="G2" s="5">
        <v>7.68</v>
      </c>
      <c r="H2" s="4">
        <v>37.619999999999997</v>
      </c>
      <c r="I2" s="5">
        <v>78.66</v>
      </c>
      <c r="J2" s="5">
        <v>16.59</v>
      </c>
      <c r="K2" s="5">
        <v>22.31</v>
      </c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7">
        <v>42728</v>
      </c>
      <c r="B3" s="5">
        <v>3612.49</v>
      </c>
      <c r="C3" s="5">
        <v>18.07</v>
      </c>
      <c r="D3" s="5">
        <v>23.01</v>
      </c>
      <c r="E3" s="5">
        <v>26.21</v>
      </c>
      <c r="F3" s="5">
        <v>140.11000000000001</v>
      </c>
      <c r="G3" s="5">
        <v>7.41</v>
      </c>
      <c r="H3" s="4">
        <v>37.82</v>
      </c>
      <c r="I3" s="5">
        <v>82.2</v>
      </c>
      <c r="J3" s="5">
        <v>18.25</v>
      </c>
      <c r="K3" s="5" t="s">
        <v>40</v>
      </c>
      <c r="N3" s="5"/>
    </row>
    <row r="4" spans="1:29" x14ac:dyDescent="0.2">
      <c r="A4" s="7">
        <v>42729</v>
      </c>
      <c r="B4" s="5">
        <v>3627.91</v>
      </c>
      <c r="C4" s="5">
        <v>17.899999999999999</v>
      </c>
      <c r="D4" s="5">
        <v>22.82</v>
      </c>
      <c r="E4" s="5">
        <v>26.15</v>
      </c>
      <c r="F4" s="5">
        <v>140.61000000000001</v>
      </c>
      <c r="G4" s="5">
        <v>7.42</v>
      </c>
      <c r="H4" s="4">
        <v>37.72</v>
      </c>
      <c r="I4" s="5">
        <v>82.61</v>
      </c>
      <c r="J4" s="5">
        <v>20.079999999999998</v>
      </c>
      <c r="K4" s="5">
        <v>22.03</v>
      </c>
      <c r="N4" s="5"/>
    </row>
    <row r="5" spans="1:29" x14ac:dyDescent="0.2">
      <c r="A5" s="7">
        <v>42732</v>
      </c>
      <c r="B5" s="5">
        <v>3533.78</v>
      </c>
      <c r="C5" s="5">
        <v>16.98</v>
      </c>
      <c r="D5" s="5">
        <v>24.7</v>
      </c>
      <c r="E5" s="5">
        <v>25.8</v>
      </c>
      <c r="F5" s="5">
        <v>139.5</v>
      </c>
      <c r="G5" s="5">
        <v>7.61</v>
      </c>
      <c r="H5" s="4">
        <v>36.909999999999997</v>
      </c>
      <c r="I5" s="5">
        <v>79.67</v>
      </c>
      <c r="J5" s="5">
        <v>22.09</v>
      </c>
      <c r="K5" s="5">
        <v>21.21</v>
      </c>
      <c r="N5" s="5"/>
    </row>
    <row r="6" spans="1:29" x14ac:dyDescent="0.2">
      <c r="A6" s="7">
        <v>42733</v>
      </c>
      <c r="B6" s="5">
        <v>3563.74</v>
      </c>
      <c r="C6" s="5">
        <v>17.989999999999998</v>
      </c>
      <c r="D6" s="5">
        <v>25.59</v>
      </c>
      <c r="E6" s="5">
        <v>26.11</v>
      </c>
      <c r="F6" s="5">
        <v>143.57</v>
      </c>
      <c r="G6" s="5">
        <v>7.59</v>
      </c>
      <c r="H6" s="4">
        <v>36.22</v>
      </c>
      <c r="I6" s="5">
        <v>82.2</v>
      </c>
      <c r="J6" s="5">
        <v>24.3</v>
      </c>
      <c r="K6" s="5">
        <v>21.21</v>
      </c>
      <c r="N6" s="5"/>
    </row>
    <row r="7" spans="1:29" x14ac:dyDescent="0.2">
      <c r="A7" s="7">
        <v>42734</v>
      </c>
      <c r="B7" s="5">
        <v>3572.88</v>
      </c>
      <c r="C7" s="5">
        <v>17.68</v>
      </c>
      <c r="D7" s="5">
        <v>25.16</v>
      </c>
      <c r="E7" s="5">
        <v>26.08</v>
      </c>
      <c r="F7" s="5">
        <v>142.41999999999999</v>
      </c>
      <c r="G7" s="5">
        <v>7.42</v>
      </c>
      <c r="H7" s="4">
        <v>36.04</v>
      </c>
      <c r="I7" s="5">
        <v>80.59</v>
      </c>
      <c r="J7" s="5">
        <v>26.68</v>
      </c>
      <c r="K7" s="5">
        <v>21.5</v>
      </c>
      <c r="N7" s="5"/>
    </row>
    <row r="8" spans="1:29" x14ac:dyDescent="0.2">
      <c r="A8" s="7">
        <v>42735</v>
      </c>
      <c r="B8" s="5">
        <v>3539.18</v>
      </c>
      <c r="C8" s="5">
        <v>17.600000000000001</v>
      </c>
      <c r="D8" s="5">
        <v>25.9</v>
      </c>
      <c r="E8" s="5">
        <v>25.66</v>
      </c>
      <c r="F8" s="5">
        <v>140.75</v>
      </c>
      <c r="G8" s="5">
        <v>7.34</v>
      </c>
      <c r="H8" s="4">
        <v>35.29</v>
      </c>
      <c r="I8" s="5">
        <v>76.260000000000005</v>
      </c>
      <c r="J8" s="5">
        <v>24.99</v>
      </c>
      <c r="K8" s="5">
        <v>20.9</v>
      </c>
      <c r="N8" s="5"/>
    </row>
    <row r="9" spans="1:29" x14ac:dyDescent="0.2">
      <c r="A9" s="7">
        <v>42739</v>
      </c>
      <c r="B9" s="5">
        <v>3296.26</v>
      </c>
      <c r="C9" s="5">
        <v>15.84</v>
      </c>
      <c r="D9" s="5">
        <v>24.84</v>
      </c>
      <c r="E9" s="5">
        <v>23.09</v>
      </c>
      <c r="F9" s="5">
        <v>126.68</v>
      </c>
      <c r="G9" s="5">
        <v>6.62</v>
      </c>
      <c r="H9" s="4">
        <v>31.81</v>
      </c>
      <c r="I9" s="5">
        <v>68.63</v>
      </c>
      <c r="J9" s="5">
        <v>23.94</v>
      </c>
      <c r="K9" s="5">
        <v>18.809999999999999</v>
      </c>
      <c r="N9" s="5"/>
    </row>
    <row r="10" spans="1:29" x14ac:dyDescent="0.2">
      <c r="A10" s="7">
        <v>42740</v>
      </c>
      <c r="B10" s="5">
        <v>3287.71</v>
      </c>
      <c r="C10" s="5">
        <v>15</v>
      </c>
      <c r="D10" s="5">
        <v>27.32</v>
      </c>
      <c r="E10" s="5">
        <v>22.92</v>
      </c>
      <c r="F10" s="5">
        <v>114.01</v>
      </c>
      <c r="G10" s="5">
        <v>6.32</v>
      </c>
      <c r="H10" s="4">
        <v>30.15</v>
      </c>
      <c r="I10" s="5">
        <v>66.25</v>
      </c>
      <c r="J10" s="5">
        <v>26</v>
      </c>
      <c r="K10" s="5">
        <v>17.850000000000001</v>
      </c>
      <c r="N10" s="5"/>
    </row>
    <row r="11" spans="1:29" x14ac:dyDescent="0.2">
      <c r="A11" s="7">
        <v>42741</v>
      </c>
      <c r="B11" s="5">
        <v>3361.84</v>
      </c>
      <c r="C11" s="5">
        <v>15.71</v>
      </c>
      <c r="D11" s="5">
        <v>28.06</v>
      </c>
      <c r="E11" s="5">
        <v>23.15</v>
      </c>
      <c r="F11" s="5">
        <v>117.5</v>
      </c>
      <c r="G11" s="5">
        <v>6.53</v>
      </c>
      <c r="H11" s="4">
        <v>30.58</v>
      </c>
      <c r="I11" s="5">
        <v>68.2</v>
      </c>
      <c r="J11" s="5">
        <v>25.83</v>
      </c>
      <c r="K11" s="5">
        <v>18.100000000000001</v>
      </c>
      <c r="N11" s="5"/>
    </row>
    <row r="12" spans="1:29" x14ac:dyDescent="0.2">
      <c r="A12" s="7">
        <v>42742</v>
      </c>
      <c r="B12" s="5">
        <v>3125</v>
      </c>
      <c r="C12" s="5">
        <v>14.14</v>
      </c>
      <c r="D12" s="5">
        <v>25.25</v>
      </c>
      <c r="E12" s="5">
        <v>20.99</v>
      </c>
      <c r="F12" s="5">
        <v>105.75</v>
      </c>
      <c r="G12" s="5">
        <v>5.89</v>
      </c>
      <c r="H12" s="4">
        <v>28.17</v>
      </c>
      <c r="I12" s="5">
        <v>61.38</v>
      </c>
      <c r="J12" s="5">
        <v>23.25</v>
      </c>
      <c r="K12" s="5">
        <v>16.29</v>
      </c>
      <c r="N12" s="5"/>
    </row>
    <row r="13" spans="1:29" x14ac:dyDescent="0.2">
      <c r="A13" s="7">
        <v>42743</v>
      </c>
      <c r="B13" s="5">
        <v>3186.41</v>
      </c>
      <c r="C13" s="5">
        <v>14.14</v>
      </c>
      <c r="D13" s="5">
        <v>22.74</v>
      </c>
      <c r="E13" s="5">
        <v>20.9</v>
      </c>
      <c r="F13" s="5">
        <v>103.02</v>
      </c>
      <c r="G13" s="5">
        <v>5.95</v>
      </c>
      <c r="H13" s="4">
        <v>28.28</v>
      </c>
      <c r="I13" s="5">
        <v>60.97</v>
      </c>
      <c r="J13" s="5">
        <v>23.41</v>
      </c>
      <c r="K13" s="5">
        <v>16.260000000000002</v>
      </c>
      <c r="N13" s="5"/>
    </row>
    <row r="14" spans="1:29" x14ac:dyDescent="0.2">
      <c r="A14" s="7">
        <v>42746</v>
      </c>
      <c r="B14" s="5">
        <v>3016.7</v>
      </c>
      <c r="C14" s="5">
        <v>14.14</v>
      </c>
      <c r="D14" s="5">
        <v>20.47</v>
      </c>
      <c r="E14" s="5">
        <v>18.809999999999999</v>
      </c>
      <c r="F14" s="5">
        <v>103.8</v>
      </c>
      <c r="G14" s="5">
        <v>5.42</v>
      </c>
      <c r="H14" s="4">
        <v>25.45</v>
      </c>
      <c r="I14" s="5">
        <v>55.9</v>
      </c>
      <c r="J14" s="5">
        <v>21.07</v>
      </c>
      <c r="K14" s="5">
        <v>15</v>
      </c>
      <c r="N14" s="5"/>
    </row>
    <row r="15" spans="1:29" x14ac:dyDescent="0.2">
      <c r="A15" s="7">
        <v>42747</v>
      </c>
      <c r="B15" s="5">
        <v>3022.86</v>
      </c>
      <c r="C15" s="5">
        <v>14.14</v>
      </c>
      <c r="D15" s="5">
        <v>18.420000000000002</v>
      </c>
      <c r="E15" s="5">
        <v>18.899999999999999</v>
      </c>
      <c r="F15" s="5">
        <v>111</v>
      </c>
      <c r="G15" s="5">
        <v>5.4</v>
      </c>
      <c r="H15" s="4">
        <v>25.66</v>
      </c>
      <c r="I15" s="5">
        <v>61.49</v>
      </c>
      <c r="J15" s="5">
        <v>19.05</v>
      </c>
      <c r="K15" s="5">
        <v>15.58</v>
      </c>
      <c r="N15" s="5"/>
    </row>
    <row r="16" spans="1:29" x14ac:dyDescent="0.2">
      <c r="A16" s="7">
        <v>42748</v>
      </c>
      <c r="B16" s="5">
        <v>2949.6</v>
      </c>
      <c r="C16" s="5">
        <v>14.14</v>
      </c>
      <c r="D16" s="5">
        <v>18.48</v>
      </c>
      <c r="E16" s="5">
        <v>17.87</v>
      </c>
      <c r="F16" s="5">
        <v>110.58</v>
      </c>
      <c r="G16" s="5">
        <v>5.17</v>
      </c>
      <c r="H16" s="4">
        <v>24.54</v>
      </c>
      <c r="I16" s="5">
        <v>63.55</v>
      </c>
      <c r="J16" s="5">
        <v>19.25</v>
      </c>
      <c r="K16" s="5">
        <v>15.05</v>
      </c>
      <c r="N16" s="5"/>
    </row>
    <row r="17" spans="1:14" x14ac:dyDescent="0.2">
      <c r="A17" s="7">
        <v>42749</v>
      </c>
      <c r="B17" s="5">
        <v>3007.65</v>
      </c>
      <c r="C17" s="5">
        <v>14.14</v>
      </c>
      <c r="D17" s="5">
        <v>18.89</v>
      </c>
      <c r="E17" s="5">
        <v>18.62</v>
      </c>
      <c r="F17" s="5">
        <v>121.64</v>
      </c>
      <c r="G17" s="5">
        <v>5.41</v>
      </c>
      <c r="H17" s="4">
        <v>25.47</v>
      </c>
      <c r="I17" s="5">
        <v>69.91</v>
      </c>
      <c r="J17" s="5">
        <v>21.18</v>
      </c>
      <c r="K17" s="5">
        <v>16.12</v>
      </c>
      <c r="N17" s="5"/>
    </row>
    <row r="18" spans="1:14" x14ac:dyDescent="0.2">
      <c r="A18" s="7">
        <v>42750</v>
      </c>
      <c r="B18" s="5">
        <v>2900.97</v>
      </c>
      <c r="C18" s="5">
        <v>14.32</v>
      </c>
      <c r="D18" s="5">
        <v>17</v>
      </c>
      <c r="E18" s="5">
        <v>17.72</v>
      </c>
      <c r="F18" s="5">
        <v>124.12</v>
      </c>
      <c r="G18" s="5">
        <v>5.51</v>
      </c>
      <c r="H18" s="4">
        <v>24.07</v>
      </c>
      <c r="I18" s="5">
        <v>74.5</v>
      </c>
      <c r="J18" s="5">
        <v>21.79</v>
      </c>
      <c r="K18" s="5">
        <v>15.6</v>
      </c>
      <c r="N18" s="5"/>
    </row>
    <row r="19" spans="1:14" x14ac:dyDescent="0.2">
      <c r="A19" s="7">
        <v>42753</v>
      </c>
      <c r="B19" s="5">
        <v>2913.84</v>
      </c>
      <c r="C19" s="5">
        <v>14.66</v>
      </c>
      <c r="D19" s="5">
        <v>17.23</v>
      </c>
      <c r="E19" s="5">
        <v>18.100000000000001</v>
      </c>
      <c r="F19" s="5">
        <v>122.48</v>
      </c>
      <c r="G19" s="5">
        <v>5.49</v>
      </c>
      <c r="H19" s="4">
        <v>24.45</v>
      </c>
      <c r="I19" s="5">
        <v>75.790000000000006</v>
      </c>
      <c r="J19" s="5">
        <v>23.7</v>
      </c>
      <c r="K19" s="5">
        <v>16.3</v>
      </c>
      <c r="N19" s="5"/>
    </row>
    <row r="20" spans="1:14" x14ac:dyDescent="0.2">
      <c r="A20" s="7">
        <v>42754</v>
      </c>
      <c r="B20" s="5">
        <v>3007.74</v>
      </c>
      <c r="C20" s="5">
        <v>15.23</v>
      </c>
      <c r="D20" s="5">
        <v>18.95</v>
      </c>
      <c r="E20" s="5">
        <v>18.649999999999999</v>
      </c>
      <c r="F20" s="5">
        <v>129.27000000000001</v>
      </c>
      <c r="G20" s="5">
        <v>5.67</v>
      </c>
      <c r="H20" s="4">
        <v>25.62</v>
      </c>
      <c r="I20" s="5">
        <v>76.5</v>
      </c>
      <c r="J20" s="5">
        <v>26.07</v>
      </c>
      <c r="K20" s="5">
        <v>16.73</v>
      </c>
      <c r="N20" s="5"/>
    </row>
    <row r="21" spans="1:14" x14ac:dyDescent="0.2">
      <c r="A21" s="7">
        <v>42755</v>
      </c>
      <c r="B21" s="5">
        <v>2976.69</v>
      </c>
      <c r="C21" s="5">
        <v>14.9</v>
      </c>
      <c r="D21" s="5">
        <v>18.829999999999998</v>
      </c>
      <c r="E21" s="5">
        <v>19.399999999999999</v>
      </c>
      <c r="F21" s="5">
        <v>132.80000000000001</v>
      </c>
      <c r="G21" s="5">
        <v>5.5</v>
      </c>
      <c r="H21" s="4">
        <v>25.18</v>
      </c>
      <c r="I21" s="5">
        <v>74.45</v>
      </c>
      <c r="J21" s="5">
        <v>25.8</v>
      </c>
      <c r="K21" s="5">
        <v>16.25</v>
      </c>
      <c r="N21" s="5"/>
    </row>
    <row r="22" spans="1:14" x14ac:dyDescent="0.2">
      <c r="A22" s="7">
        <v>42756</v>
      </c>
      <c r="B22" s="5">
        <v>2880.48</v>
      </c>
      <c r="C22" s="5">
        <v>13.53</v>
      </c>
      <c r="D22" s="5">
        <v>16.95</v>
      </c>
      <c r="E22" s="5">
        <v>18.399999999999999</v>
      </c>
      <c r="F22" s="5">
        <v>119.52</v>
      </c>
      <c r="G22" s="5">
        <v>5.17</v>
      </c>
      <c r="H22" s="4">
        <v>23.89</v>
      </c>
      <c r="I22" s="5">
        <v>68.2</v>
      </c>
      <c r="J22" s="5">
        <v>23.28</v>
      </c>
      <c r="K22" s="5">
        <v>15.49</v>
      </c>
      <c r="L22" s="5">
        <v>23.86</v>
      </c>
      <c r="N22" s="5">
        <v>9.4</v>
      </c>
    </row>
    <row r="23" spans="1:14" x14ac:dyDescent="0.2">
      <c r="A23" s="7">
        <v>42757</v>
      </c>
      <c r="B23" s="5">
        <v>2916.56</v>
      </c>
      <c r="C23" s="5">
        <v>13.28</v>
      </c>
      <c r="D23" s="5">
        <v>17.670000000000002</v>
      </c>
      <c r="E23" s="5">
        <v>18.66</v>
      </c>
      <c r="F23" s="5">
        <v>120</v>
      </c>
      <c r="G23" s="5">
        <v>5.29</v>
      </c>
      <c r="H23" s="4">
        <v>23.87</v>
      </c>
      <c r="I23" s="5">
        <v>73.39</v>
      </c>
      <c r="J23" s="5">
        <v>23.85</v>
      </c>
      <c r="K23" s="5">
        <v>15.7</v>
      </c>
      <c r="L23" s="5">
        <v>26.07</v>
      </c>
      <c r="N23" s="5">
        <v>9.52</v>
      </c>
    </row>
    <row r="24" spans="1:14" x14ac:dyDescent="0.2">
      <c r="A24" s="7">
        <v>42760</v>
      </c>
      <c r="B24" s="5">
        <v>2938.51</v>
      </c>
      <c r="C24" s="5">
        <v>13.04</v>
      </c>
      <c r="D24" s="5">
        <v>17.86</v>
      </c>
      <c r="E24" s="5">
        <v>18.78</v>
      </c>
      <c r="F24" s="5">
        <v>123.69</v>
      </c>
      <c r="G24" s="5">
        <v>5.29</v>
      </c>
      <c r="H24" s="4">
        <v>24.15</v>
      </c>
      <c r="I24" s="5">
        <v>71.599999999999994</v>
      </c>
      <c r="J24" s="5">
        <v>25.55</v>
      </c>
      <c r="K24" s="5">
        <v>15.75</v>
      </c>
      <c r="L24" s="5">
        <v>25.88</v>
      </c>
      <c r="M24" s="5">
        <v>20</v>
      </c>
      <c r="N24" s="5">
        <v>9.57</v>
      </c>
    </row>
    <row r="25" spans="1:14" x14ac:dyDescent="0.2">
      <c r="A25" s="7">
        <v>42761</v>
      </c>
      <c r="B25" s="5">
        <v>2749.79</v>
      </c>
      <c r="C25" s="5">
        <v>11.74</v>
      </c>
      <c r="D25" s="5">
        <v>16.07</v>
      </c>
      <c r="E25" s="5">
        <v>16.899999999999999</v>
      </c>
      <c r="F25" s="5">
        <v>119.78</v>
      </c>
      <c r="G25" s="5">
        <v>5.82</v>
      </c>
      <c r="H25" s="4">
        <v>22.17</v>
      </c>
      <c r="I25" s="5">
        <v>64.44</v>
      </c>
      <c r="J25" s="5">
        <v>23.58</v>
      </c>
      <c r="K25" s="5">
        <v>14.18</v>
      </c>
      <c r="L25" s="5">
        <v>23.41</v>
      </c>
      <c r="M25" s="5">
        <v>18</v>
      </c>
      <c r="N25" s="5">
        <v>8.61</v>
      </c>
    </row>
    <row r="26" spans="1:14" x14ac:dyDescent="0.2">
      <c r="A26" s="7">
        <v>42762</v>
      </c>
      <c r="B26" s="5">
        <v>2735.56</v>
      </c>
      <c r="C26" s="5">
        <v>11.12</v>
      </c>
      <c r="D26" s="5">
        <v>15.6</v>
      </c>
      <c r="E26" s="5">
        <v>16.46</v>
      </c>
      <c r="F26" s="5">
        <v>117</v>
      </c>
      <c r="G26" s="5">
        <v>5.29</v>
      </c>
      <c r="H26" s="4">
        <v>23.2</v>
      </c>
      <c r="I26" s="5">
        <v>65.599999999999994</v>
      </c>
      <c r="J26" s="5">
        <v>23.83</v>
      </c>
      <c r="K26" s="5">
        <v>13.93</v>
      </c>
      <c r="L26" s="5">
        <v>25.75</v>
      </c>
      <c r="M26" s="5">
        <v>17.239999999999998</v>
      </c>
      <c r="N26" s="5">
        <v>8.44</v>
      </c>
    </row>
    <row r="27" spans="1:14" x14ac:dyDescent="0.2">
      <c r="A27" s="7">
        <v>42763</v>
      </c>
      <c r="B27" s="5">
        <v>2655.66</v>
      </c>
      <c r="C27" s="5">
        <v>10.29</v>
      </c>
      <c r="D27" s="5">
        <v>14.42</v>
      </c>
      <c r="E27" s="5">
        <v>15.56</v>
      </c>
      <c r="F27" s="5">
        <v>108.3</v>
      </c>
      <c r="G27" s="5">
        <v>4.8600000000000003</v>
      </c>
      <c r="H27" s="4">
        <v>22.01</v>
      </c>
      <c r="I27" s="5">
        <v>59.04</v>
      </c>
      <c r="J27" s="5">
        <v>21.45</v>
      </c>
      <c r="K27" s="5">
        <v>12.98</v>
      </c>
      <c r="L27" s="5">
        <v>23.35</v>
      </c>
      <c r="M27" s="5">
        <v>16.45</v>
      </c>
      <c r="N27" s="5">
        <v>7.75</v>
      </c>
    </row>
    <row r="28" spans="1:14" x14ac:dyDescent="0.2">
      <c r="N28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M1" workbookViewId="0">
      <selection activeCell="W41" sqref="W41"/>
    </sheetView>
  </sheetViews>
  <sheetFormatPr baseColWidth="10" defaultRowHeight="16" x14ac:dyDescent="0.2"/>
  <sheetData>
    <row r="1" spans="1:17" x14ac:dyDescent="0.2">
      <c r="A1" s="7"/>
      <c r="B1" s="6" t="s">
        <v>39</v>
      </c>
      <c r="C1" s="6" t="s">
        <v>12</v>
      </c>
      <c r="D1" s="6" t="s">
        <v>14</v>
      </c>
      <c r="E1" s="6" t="s">
        <v>15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</row>
    <row r="2" spans="1:17" x14ac:dyDescent="0.2">
      <c r="A2" s="7">
        <v>42727</v>
      </c>
      <c r="B2" s="8">
        <v>0</v>
      </c>
      <c r="C2" s="8"/>
      <c r="E2" s="5"/>
      <c r="F2" s="8"/>
      <c r="G2" s="5"/>
      <c r="H2" s="5"/>
      <c r="I2" s="5"/>
      <c r="J2" s="5"/>
      <c r="K2" s="4"/>
      <c r="L2" s="5"/>
      <c r="M2" s="5"/>
      <c r="N2" s="5"/>
      <c r="O2" s="5"/>
      <c r="P2" s="5"/>
      <c r="Q2" s="5"/>
    </row>
    <row r="3" spans="1:17" x14ac:dyDescent="0.2">
      <c r="A3" s="7">
        <v>42728</v>
      </c>
      <c r="B3" s="8">
        <v>-6.4904884092528963E-3</v>
      </c>
      <c r="C3" s="8"/>
      <c r="E3" s="5"/>
      <c r="F3" s="8"/>
      <c r="G3" s="5"/>
      <c r="H3" s="5"/>
      <c r="I3" s="5"/>
      <c r="J3" s="5"/>
      <c r="K3" s="4"/>
      <c r="L3" s="5"/>
      <c r="M3" s="5"/>
      <c r="N3" s="5"/>
      <c r="O3" s="5"/>
      <c r="P3" s="5"/>
      <c r="Q3" s="5"/>
    </row>
    <row r="4" spans="1:17" x14ac:dyDescent="0.2">
      <c r="A4" s="7">
        <v>42729</v>
      </c>
      <c r="B4" s="8">
        <v>-2.2496692876139727E-3</v>
      </c>
      <c r="C4" s="8">
        <v>0</v>
      </c>
      <c r="E4" s="5"/>
      <c r="F4" s="8"/>
      <c r="G4" s="5"/>
      <c r="H4" s="5"/>
      <c r="I4" s="5"/>
      <c r="J4" s="5"/>
      <c r="K4" s="4"/>
      <c r="L4" s="5"/>
      <c r="M4" s="5"/>
      <c r="N4" s="5"/>
      <c r="O4" s="5"/>
      <c r="P4" s="5"/>
      <c r="Q4" s="5"/>
    </row>
    <row r="5" spans="1:17" x14ac:dyDescent="0.2">
      <c r="A5" s="7">
        <v>42732</v>
      </c>
      <c r="B5" s="8">
        <v>-2.8137367336892084E-2</v>
      </c>
      <c r="C5" s="8">
        <v>-5.1396648044692642E-2</v>
      </c>
      <c r="E5" s="5"/>
      <c r="F5" s="8"/>
      <c r="G5" s="5"/>
      <c r="H5" s="5"/>
      <c r="I5" s="5"/>
      <c r="J5" s="5"/>
      <c r="K5" s="4"/>
      <c r="L5" s="5"/>
      <c r="M5" s="5"/>
      <c r="N5" s="5"/>
      <c r="O5" s="5"/>
      <c r="P5" s="5"/>
      <c r="Q5" s="5"/>
    </row>
    <row r="6" spans="1:17" x14ac:dyDescent="0.2">
      <c r="A6" s="7">
        <v>42733</v>
      </c>
      <c r="B6" s="8">
        <v>-1.9897747305484836E-2</v>
      </c>
      <c r="C6" s="8">
        <v>5.0279329608938468E-3</v>
      </c>
      <c r="D6" s="8">
        <v>0</v>
      </c>
      <c r="E6" s="5"/>
      <c r="F6" s="8"/>
      <c r="G6" s="5"/>
      <c r="H6" s="5"/>
      <c r="I6" s="5"/>
      <c r="J6" s="5"/>
      <c r="K6" s="4"/>
      <c r="L6" s="5"/>
      <c r="M6" s="5"/>
      <c r="N6" s="5"/>
      <c r="O6" s="5"/>
      <c r="P6" s="5"/>
      <c r="Q6" s="5"/>
    </row>
    <row r="7" spans="1:17" x14ac:dyDescent="0.2">
      <c r="A7" s="7">
        <v>42734</v>
      </c>
      <c r="B7" s="8">
        <v>-1.7384058150375824E-2</v>
      </c>
      <c r="C7" s="8">
        <v>-1.2290502793296026E-2</v>
      </c>
      <c r="D7" s="8">
        <v>-1.6803438843298154E-2</v>
      </c>
      <c r="E7" s="9">
        <v>0</v>
      </c>
      <c r="G7" s="5"/>
      <c r="H7" s="8"/>
      <c r="I7" s="5"/>
      <c r="J7" s="5"/>
      <c r="K7" s="4"/>
      <c r="L7" s="5"/>
      <c r="M7" s="5"/>
      <c r="N7" s="5"/>
      <c r="O7" s="5"/>
      <c r="P7" s="5"/>
      <c r="Q7" s="5"/>
    </row>
    <row r="8" spans="1:17" x14ac:dyDescent="0.2">
      <c r="A8" s="7">
        <v>42735</v>
      </c>
      <c r="B8" s="8">
        <v>-2.6652255582232647E-2</v>
      </c>
      <c r="C8" s="8">
        <v>-1.6759776536312693E-2</v>
      </c>
      <c r="D8" s="8">
        <v>1.2114107073075369E-2</v>
      </c>
      <c r="E8" s="9">
        <v>-1.6104294478527539E-2</v>
      </c>
      <c r="G8" s="5"/>
      <c r="H8" s="8"/>
      <c r="I8" s="5"/>
      <c r="J8" s="5"/>
      <c r="K8" s="4"/>
      <c r="L8" s="5"/>
      <c r="M8" s="5"/>
      <c r="N8" s="5"/>
      <c r="O8" s="5"/>
      <c r="P8" s="5"/>
      <c r="Q8" s="5"/>
    </row>
    <row r="9" spans="1:17" x14ac:dyDescent="0.2">
      <c r="A9" s="7">
        <v>42739</v>
      </c>
      <c r="B9" s="8">
        <v>-9.3460282886287174E-2</v>
      </c>
      <c r="C9" s="8">
        <v>-0.1150837988826815</v>
      </c>
      <c r="D9" s="8">
        <v>-2.9308323563892145E-2</v>
      </c>
      <c r="E9" s="9">
        <v>-0.11464723926380363</v>
      </c>
      <c r="G9" s="5"/>
      <c r="H9" s="8"/>
      <c r="I9" s="5"/>
      <c r="J9" s="5"/>
      <c r="K9" s="4"/>
      <c r="L9" s="5"/>
      <c r="M9" s="5"/>
      <c r="N9" s="5"/>
      <c r="O9" s="5"/>
      <c r="P9" s="5"/>
      <c r="Q9" s="5"/>
    </row>
    <row r="10" spans="1:17" x14ac:dyDescent="0.2">
      <c r="A10" s="7">
        <v>42740</v>
      </c>
      <c r="B10" s="8">
        <v>-9.5811709831164826E-2</v>
      </c>
      <c r="C10" s="8">
        <v>-0.16201117318435748</v>
      </c>
      <c r="D10" s="8">
        <v>6.7604533020711233E-2</v>
      </c>
      <c r="E10" s="9">
        <v>-0.12116564417177902</v>
      </c>
      <c r="G10" s="5"/>
      <c r="H10" s="8"/>
      <c r="I10" s="5"/>
      <c r="J10" s="5"/>
      <c r="K10" s="4"/>
      <c r="L10" s="5"/>
      <c r="M10" s="5"/>
      <c r="N10" s="5"/>
      <c r="O10" s="5"/>
      <c r="P10" s="5"/>
      <c r="Q10" s="5"/>
    </row>
    <row r="11" spans="1:17" x14ac:dyDescent="0.2">
      <c r="A11" s="7">
        <v>42741</v>
      </c>
      <c r="B11" s="8">
        <v>-7.5424425688033023E-2</v>
      </c>
      <c r="C11" s="8">
        <v>-0.12234636871508368</v>
      </c>
      <c r="D11" s="8">
        <v>9.6522078937084754E-2</v>
      </c>
      <c r="E11" s="9">
        <v>-0.11234662576687116</v>
      </c>
      <c r="G11" s="5"/>
      <c r="H11" s="8"/>
      <c r="I11" s="5"/>
      <c r="J11" s="5"/>
      <c r="K11" s="4"/>
      <c r="L11" s="5"/>
      <c r="M11" s="5"/>
      <c r="N11" s="5"/>
      <c r="O11" s="5"/>
      <c r="P11" s="5"/>
      <c r="Q11" s="5"/>
    </row>
    <row r="12" spans="1:17" x14ac:dyDescent="0.2">
      <c r="A12" s="7">
        <v>42742</v>
      </c>
      <c r="B12" s="8">
        <v>-0.14056032716461916</v>
      </c>
      <c r="C12" s="8">
        <v>-0.21005586592178763</v>
      </c>
      <c r="D12" s="8">
        <v>-1.3286440015631101E-2</v>
      </c>
      <c r="E12" s="9">
        <v>-0.19516871165644173</v>
      </c>
      <c r="G12" s="5"/>
      <c r="H12" s="8"/>
      <c r="I12" s="5"/>
      <c r="J12" s="5"/>
      <c r="K12" s="4"/>
      <c r="L12" s="5"/>
      <c r="M12" s="5"/>
      <c r="N12" s="5"/>
      <c r="O12" s="5"/>
      <c r="P12" s="5"/>
      <c r="Q12" s="5"/>
    </row>
    <row r="13" spans="1:17" x14ac:dyDescent="0.2">
      <c r="A13" s="7">
        <v>42743</v>
      </c>
      <c r="B13" s="8">
        <v>-0.12367130626579657</v>
      </c>
      <c r="C13" s="8">
        <v>-0.21005586592178763</v>
      </c>
      <c r="D13" s="8">
        <v>-0.11137162954279022</v>
      </c>
      <c r="E13" s="9">
        <v>-0.19861963190184048</v>
      </c>
      <c r="G13" s="5"/>
      <c r="H13" s="8"/>
      <c r="I13" s="5"/>
      <c r="J13" s="5"/>
      <c r="K13" s="4"/>
      <c r="L13" s="5"/>
      <c r="M13" s="5"/>
      <c r="N13" s="5"/>
      <c r="O13" s="5"/>
      <c r="P13" s="5"/>
      <c r="Q13" s="5"/>
    </row>
    <row r="14" spans="1:17" x14ac:dyDescent="0.2">
      <c r="A14" s="7">
        <v>42746</v>
      </c>
      <c r="B14" s="8">
        <v>-0.17034506846640218</v>
      </c>
      <c r="C14" s="8">
        <v>-0.21005586592178763</v>
      </c>
      <c r="D14" s="8">
        <v>-0.20007815552950375</v>
      </c>
      <c r="E14" s="9">
        <v>-0.27875766871165647</v>
      </c>
      <c r="G14" s="5"/>
      <c r="H14" s="8"/>
      <c r="I14" s="5"/>
      <c r="J14" s="5"/>
      <c r="K14" s="4"/>
      <c r="L14" s="5"/>
      <c r="M14" s="5"/>
      <c r="N14" s="5"/>
      <c r="O14" s="5"/>
      <c r="P14" s="5"/>
      <c r="Q14" s="5"/>
    </row>
    <row r="15" spans="1:17" x14ac:dyDescent="0.2">
      <c r="A15" s="7">
        <v>42747</v>
      </c>
      <c r="B15" s="8">
        <v>-0.16865094098330899</v>
      </c>
      <c r="C15" s="8">
        <v>-0.21005586592178763</v>
      </c>
      <c r="D15" s="8">
        <v>-0.28018757327080884</v>
      </c>
      <c r="E15" s="9">
        <v>-0.27530674846625769</v>
      </c>
      <c r="F15" s="8">
        <v>0</v>
      </c>
      <c r="G15" s="5"/>
      <c r="I15" s="8"/>
      <c r="J15" s="5"/>
      <c r="K15" s="4"/>
      <c r="L15" s="5"/>
      <c r="M15" s="5"/>
      <c r="N15" s="5"/>
      <c r="O15" s="5"/>
      <c r="P15" s="5"/>
      <c r="Q15" s="5"/>
    </row>
    <row r="16" spans="1:17" x14ac:dyDescent="0.2">
      <c r="A16" s="7">
        <v>42748</v>
      </c>
      <c r="B16" s="8">
        <v>-0.18879895712152345</v>
      </c>
      <c r="C16" s="8">
        <v>-0.21005586592178763</v>
      </c>
      <c r="D16" s="8">
        <v>-0.2778429073856975</v>
      </c>
      <c r="E16" s="9">
        <v>-0.31480061349693245</v>
      </c>
      <c r="F16" s="8">
        <v>-3.7837837837837993E-3</v>
      </c>
      <c r="G16" s="5"/>
      <c r="I16" s="8"/>
      <c r="J16" s="5"/>
      <c r="K16" s="4"/>
      <c r="L16" s="5"/>
      <c r="M16" s="5"/>
      <c r="N16" s="5"/>
      <c r="O16" s="5"/>
      <c r="P16" s="5"/>
      <c r="Q16" s="5"/>
    </row>
    <row r="17" spans="1:17" x14ac:dyDescent="0.2">
      <c r="A17" s="7">
        <v>42749</v>
      </c>
      <c r="B17" s="8">
        <v>-0.17283400575893337</v>
      </c>
      <c r="C17" s="8">
        <v>-0.21005586592178763</v>
      </c>
      <c r="D17" s="8">
        <v>-0.2618210238374365</v>
      </c>
      <c r="E17" s="9">
        <v>-0.28604294478527598</v>
      </c>
      <c r="F17" s="8">
        <v>9.5855855855855862E-2</v>
      </c>
      <c r="G17" s="9">
        <v>0</v>
      </c>
      <c r="I17" s="8"/>
      <c r="J17" s="5"/>
      <c r="K17" s="4"/>
      <c r="L17" s="5"/>
      <c r="M17" s="5"/>
      <c r="N17" s="5"/>
      <c r="O17" s="5"/>
      <c r="P17" s="5"/>
      <c r="Q17" s="5"/>
    </row>
    <row r="18" spans="1:17" x14ac:dyDescent="0.2">
      <c r="A18" s="7">
        <v>42750</v>
      </c>
      <c r="B18" s="8">
        <v>-0.20217321353431855</v>
      </c>
      <c r="C18" s="8">
        <v>-0.19999999999999993</v>
      </c>
      <c r="D18" s="8">
        <v>-0.33567799921844471</v>
      </c>
      <c r="E18" s="9">
        <v>-0.32055214723926378</v>
      </c>
      <c r="F18" s="8">
        <v>0.11819819819819824</v>
      </c>
      <c r="G18" s="9">
        <v>1.8484288354898272E-2</v>
      </c>
      <c r="H18" s="8">
        <v>0</v>
      </c>
      <c r="J18" s="5"/>
      <c r="K18" s="8"/>
      <c r="L18" s="5"/>
      <c r="M18" s="5"/>
      <c r="N18" s="5"/>
      <c r="O18" s="5"/>
      <c r="P18" s="5"/>
      <c r="Q18" s="5"/>
    </row>
    <row r="19" spans="1:17" x14ac:dyDescent="0.2">
      <c r="A19" s="7">
        <v>42753</v>
      </c>
      <c r="B19" s="8">
        <v>-0.19863369718571322</v>
      </c>
      <c r="C19" s="8">
        <v>-0.18100558659217869</v>
      </c>
      <c r="D19" s="8">
        <v>-0.32669011332551778</v>
      </c>
      <c r="E19" s="9">
        <v>-0.30598159509202444</v>
      </c>
      <c r="F19" s="8">
        <v>0.10342342342342346</v>
      </c>
      <c r="G19" s="9">
        <v>1.4787430683918681E-2</v>
      </c>
      <c r="H19" s="8">
        <v>1.5787287079351849E-2</v>
      </c>
      <c r="I19" s="8">
        <v>0</v>
      </c>
      <c r="J19" s="5"/>
      <c r="K19" s="8"/>
      <c r="L19" s="5"/>
      <c r="M19" s="5"/>
      <c r="N19" s="5"/>
      <c r="O19" s="5"/>
      <c r="P19" s="5"/>
      <c r="Q19" s="5"/>
    </row>
    <row r="20" spans="1:17" x14ac:dyDescent="0.2">
      <c r="A20" s="7">
        <v>42754</v>
      </c>
      <c r="B20" s="8">
        <v>-0.17280925389635579</v>
      </c>
      <c r="C20" s="8">
        <v>-0.14916201117318426</v>
      </c>
      <c r="D20" s="8">
        <v>-0.25947635795232515</v>
      </c>
      <c r="E20" s="9">
        <v>-0.28489263803680981</v>
      </c>
      <c r="F20" s="8">
        <v>0.16459459459459469</v>
      </c>
      <c r="G20" s="9">
        <v>4.8059149722735631E-2</v>
      </c>
      <c r="H20" s="8">
        <v>6.4395513086830114E-2</v>
      </c>
      <c r="I20" s="8">
        <v>9.3679905000658877E-3</v>
      </c>
      <c r="J20" s="9">
        <v>0</v>
      </c>
      <c r="K20" s="8"/>
      <c r="L20" s="5"/>
      <c r="M20" s="8"/>
      <c r="N20" s="5"/>
      <c r="O20" s="5"/>
      <c r="P20" s="5"/>
      <c r="Q20" s="5"/>
    </row>
    <row r="21" spans="1:17" x14ac:dyDescent="0.2">
      <c r="A21" s="7">
        <v>42755</v>
      </c>
      <c r="B21" s="8">
        <v>-0.18134864648564805</v>
      </c>
      <c r="C21" s="8">
        <v>-0.1675977653631284</v>
      </c>
      <c r="D21" s="8">
        <v>-0.26416568972254795</v>
      </c>
      <c r="E21" s="9">
        <v>-0.25613496932515339</v>
      </c>
      <c r="F21" s="8">
        <v>0.1963963963963965</v>
      </c>
      <c r="G21" s="9">
        <v>1.6635859519408477E-2</v>
      </c>
      <c r="H21" s="8">
        <v>4.6115496468633131E-2</v>
      </c>
      <c r="I21" s="8">
        <v>-1.768043277477244E-2</v>
      </c>
      <c r="J21" s="9">
        <v>-1.0356731875719201E-2</v>
      </c>
      <c r="K21" s="8">
        <v>0</v>
      </c>
      <c r="L21" s="5"/>
      <c r="N21" s="8"/>
      <c r="O21" s="5"/>
      <c r="P21" s="5"/>
      <c r="Q21" s="5"/>
    </row>
    <row r="22" spans="1:17" x14ac:dyDescent="0.2">
      <c r="A22" s="7">
        <v>42756</v>
      </c>
      <c r="B22" s="8">
        <v>-0.20780838758116552</v>
      </c>
      <c r="C22" s="8">
        <v>-0.24413407821229047</v>
      </c>
      <c r="D22" s="8">
        <v>-0.33763188745603756</v>
      </c>
      <c r="E22" s="9">
        <v>-0.29447852760736198</v>
      </c>
      <c r="F22" s="8">
        <v>7.6756756756756722E-2</v>
      </c>
      <c r="G22" s="9">
        <v>-4.4362292051756048E-2</v>
      </c>
      <c r="H22" s="8">
        <v>-7.478188616535094E-3</v>
      </c>
      <c r="I22" s="8">
        <v>-0.10014513788098697</v>
      </c>
      <c r="J22" s="9">
        <v>-0.10701956271576521</v>
      </c>
      <c r="K22" s="8">
        <v>-4.6769230769230757E-2</v>
      </c>
      <c r="L22" s="9">
        <v>0</v>
      </c>
      <c r="M22" s="8">
        <v>0</v>
      </c>
      <c r="N22" s="8"/>
      <c r="O22" s="5"/>
      <c r="P22" s="5"/>
      <c r="Q22" s="5"/>
    </row>
    <row r="23" spans="1:17" x14ac:dyDescent="0.2">
      <c r="A23" s="7">
        <v>42757</v>
      </c>
      <c r="B23" s="8">
        <v>-0.19788564089447735</v>
      </c>
      <c r="C23" s="8">
        <v>-0.25810055865921783</v>
      </c>
      <c r="D23" s="8">
        <v>-0.30949589683470097</v>
      </c>
      <c r="E23" s="9">
        <v>-0.2845092024539877</v>
      </c>
      <c r="F23" s="8">
        <v>8.1081081081081086E-2</v>
      </c>
      <c r="G23" s="9">
        <v>-2.2181146025878024E-2</v>
      </c>
      <c r="H23" s="8">
        <v>-8.3090984628167545E-3</v>
      </c>
      <c r="I23" s="8">
        <v>-3.1666446760786456E-2</v>
      </c>
      <c r="J23" s="9">
        <v>-8.5155350978135744E-2</v>
      </c>
      <c r="K23" s="8">
        <v>-3.3846153846153887E-2</v>
      </c>
      <c r="L23" s="9">
        <v>9.2623637887678162E-2</v>
      </c>
      <c r="M23" s="8">
        <v>1.2765957446808427E-2</v>
      </c>
      <c r="N23" s="8"/>
      <c r="O23" s="5"/>
      <c r="P23" s="5"/>
      <c r="Q23" s="5"/>
    </row>
    <row r="24" spans="1:17" x14ac:dyDescent="0.2">
      <c r="A24" s="7">
        <v>42760</v>
      </c>
      <c r="B24" s="8">
        <v>-0.19184893663248156</v>
      </c>
      <c r="C24" s="8">
        <v>-0.27150837988826815</v>
      </c>
      <c r="D24" s="8">
        <v>-0.3020711215318484</v>
      </c>
      <c r="E24" s="9">
        <v>-0.27990797546012258</v>
      </c>
      <c r="F24" s="8">
        <v>0.11432432432432431</v>
      </c>
      <c r="G24" s="9">
        <v>-2.2181146025878024E-2</v>
      </c>
      <c r="H24" s="8">
        <v>3.323639385126643E-3</v>
      </c>
      <c r="I24" s="8">
        <v>-5.5284338303206379E-2</v>
      </c>
      <c r="J24" s="9">
        <v>-1.994629842731107E-2</v>
      </c>
      <c r="K24" s="8">
        <v>-3.0769230769230771E-2</v>
      </c>
      <c r="L24" s="9">
        <v>8.466051969823972E-2</v>
      </c>
      <c r="M24" s="8">
        <v>1.8085106382978715E-2</v>
      </c>
      <c r="N24" s="8">
        <v>0</v>
      </c>
      <c r="O24" s="8"/>
      <c r="P24" s="5"/>
      <c r="Q24" s="5"/>
    </row>
    <row r="25" spans="1:17" x14ac:dyDescent="0.2">
      <c r="A25" s="7">
        <v>42761</v>
      </c>
      <c r="B25" s="8">
        <v>-0.24375084225087942</v>
      </c>
      <c r="C25" s="8">
        <v>-0.34413407821229042</v>
      </c>
      <c r="D25" s="8">
        <v>-0.37202032043767097</v>
      </c>
      <c r="E25" s="9">
        <v>-0.35199386503067487</v>
      </c>
      <c r="F25" s="8">
        <v>7.909909909909911E-2</v>
      </c>
      <c r="G25" s="9">
        <v>7.5785582255083209E-2</v>
      </c>
      <c r="H25" s="8">
        <v>-7.8936435396759388E-2</v>
      </c>
      <c r="I25" s="8">
        <v>-0.1497559044728857</v>
      </c>
      <c r="J25" s="9">
        <v>-9.5512082853855082E-2</v>
      </c>
      <c r="K25" s="8">
        <v>-0.1273846153846154</v>
      </c>
      <c r="L25" s="9">
        <v>-1.8860016764459316E-2</v>
      </c>
      <c r="M25" s="8">
        <v>-8.4042553191489455E-2</v>
      </c>
      <c r="N25" s="8">
        <v>-0.1</v>
      </c>
      <c r="O25" s="8"/>
      <c r="P25" s="5"/>
      <c r="Q25" s="5"/>
    </row>
    <row r="26" spans="1:17" x14ac:dyDescent="0.2">
      <c r="A26" s="7">
        <v>42762</v>
      </c>
      <c r="B26" s="8">
        <v>-0.2476643867451026</v>
      </c>
      <c r="C26" s="8">
        <v>-0.37877094972067038</v>
      </c>
      <c r="D26" s="8">
        <v>-0.39038686987104337</v>
      </c>
      <c r="E26" s="9">
        <v>-0.36886503067484655</v>
      </c>
      <c r="F26" s="8">
        <v>5.4054054054054057E-2</v>
      </c>
      <c r="G26" s="9">
        <v>-2.2181146025878024E-2</v>
      </c>
      <c r="H26" s="8">
        <v>-3.6144578313253052E-2</v>
      </c>
      <c r="I26" s="8">
        <v>-0.13445045520517232</v>
      </c>
      <c r="J26" s="9">
        <v>-8.5922516302263219E-2</v>
      </c>
      <c r="K26" s="8">
        <v>-0.14276923076923079</v>
      </c>
      <c r="L26" s="9">
        <v>7.9212070410729279E-2</v>
      </c>
      <c r="M26" s="8">
        <v>-0.10212765957446818</v>
      </c>
      <c r="N26" s="8">
        <v>-0.13800000000000007</v>
      </c>
      <c r="O26" s="8"/>
      <c r="P26" s="5"/>
      <c r="Q26" s="5"/>
    </row>
    <row r="27" spans="1:17" x14ac:dyDescent="0.2">
      <c r="A27" s="7">
        <v>42763</v>
      </c>
      <c r="B27" s="8">
        <v>-0.26963854030015766</v>
      </c>
      <c r="C27" s="8">
        <v>-0.4251396648044693</v>
      </c>
      <c r="D27" s="8">
        <v>-0.43649863227823371</v>
      </c>
      <c r="E27" s="9">
        <v>-0.4033742331288343</v>
      </c>
      <c r="F27" s="8">
        <v>-2.432432432432435E-2</v>
      </c>
      <c r="G27" s="9">
        <v>-0.10166358595194082</v>
      </c>
      <c r="H27" s="8">
        <v>-8.5583714167012825E-2</v>
      </c>
      <c r="I27" s="8">
        <v>-0.22100540968465504</v>
      </c>
      <c r="J27" s="9">
        <v>-0.17721518987341775</v>
      </c>
      <c r="K27" s="8">
        <v>-0.20123076923076921</v>
      </c>
      <c r="L27" s="9">
        <v>-2.1374685666387176E-2</v>
      </c>
      <c r="M27" s="8">
        <v>-0.17553191489361705</v>
      </c>
      <c r="N27" s="8">
        <v>-0.17750000000000005</v>
      </c>
      <c r="O27" s="8"/>
      <c r="P27" s="5"/>
      <c r="Q27" s="5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zoomScale="110" zoomScaleNormal="110" zoomScalePageLayoutView="110" workbookViewId="0">
      <selection activeCell="M20" sqref="M20"/>
    </sheetView>
  </sheetViews>
  <sheetFormatPr baseColWidth="10" defaultRowHeight="16" x14ac:dyDescent="0.2"/>
  <sheetData>
    <row r="1" spans="1:34" x14ac:dyDescent="0.2">
      <c r="B1" s="45" t="s">
        <v>12</v>
      </c>
      <c r="C1" s="45"/>
      <c r="D1" s="46"/>
      <c r="E1" s="47" t="s">
        <v>14</v>
      </c>
      <c r="F1" s="48"/>
      <c r="G1" s="49"/>
      <c r="H1" s="47" t="s">
        <v>17</v>
      </c>
      <c r="I1" s="48"/>
      <c r="J1" s="49"/>
      <c r="K1" s="47" t="s">
        <v>18</v>
      </c>
      <c r="L1" s="48"/>
      <c r="M1" s="49"/>
      <c r="N1" s="47" t="s">
        <v>19</v>
      </c>
      <c r="O1" s="48"/>
      <c r="P1" s="48"/>
      <c r="Q1" s="48" t="s">
        <v>20</v>
      </c>
      <c r="R1" s="48"/>
      <c r="S1" s="48"/>
      <c r="T1" s="48" t="s">
        <v>21</v>
      </c>
      <c r="U1" s="48"/>
      <c r="V1" s="48"/>
      <c r="W1" s="45" t="s">
        <v>22</v>
      </c>
      <c r="X1" s="45"/>
      <c r="Y1" s="45"/>
      <c r="Z1" s="48" t="s">
        <v>23</v>
      </c>
      <c r="AA1" s="48"/>
      <c r="AB1" s="48"/>
      <c r="AC1" s="48" t="s">
        <v>24</v>
      </c>
      <c r="AD1" s="48"/>
      <c r="AE1" s="48"/>
      <c r="AF1" s="45" t="s">
        <v>25</v>
      </c>
      <c r="AG1" s="45"/>
      <c r="AH1" s="46"/>
    </row>
    <row r="2" spans="1:34" x14ac:dyDescent="0.2">
      <c r="A2" t="s">
        <v>13</v>
      </c>
      <c r="B2" s="1">
        <v>18.309999999999999</v>
      </c>
      <c r="C2">
        <v>1000</v>
      </c>
      <c r="D2" s="13">
        <v>18310</v>
      </c>
      <c r="E2" s="1">
        <v>24.1</v>
      </c>
      <c r="F2">
        <v>700</v>
      </c>
      <c r="G2" s="13">
        <v>16870</v>
      </c>
      <c r="H2" s="1">
        <v>110.48</v>
      </c>
      <c r="I2">
        <v>100</v>
      </c>
      <c r="J2" s="13">
        <v>11048</v>
      </c>
      <c r="K2" s="1">
        <v>5.05</v>
      </c>
      <c r="L2">
        <v>1000</v>
      </c>
      <c r="M2" s="16">
        <v>5050</v>
      </c>
      <c r="N2" s="1">
        <v>24.5</v>
      </c>
      <c r="O2">
        <v>200</v>
      </c>
      <c r="P2" s="16">
        <v>4900</v>
      </c>
      <c r="Q2" s="1">
        <v>73.900000000000006</v>
      </c>
      <c r="R2">
        <v>200</v>
      </c>
      <c r="S2" s="16">
        <v>14780</v>
      </c>
      <c r="T2" s="1">
        <v>25.65</v>
      </c>
      <c r="U2">
        <v>1700</v>
      </c>
      <c r="V2" s="16">
        <v>43605</v>
      </c>
      <c r="W2" s="1">
        <v>16.57</v>
      </c>
      <c r="X2">
        <v>1800</v>
      </c>
      <c r="Y2" s="16">
        <v>29826</v>
      </c>
      <c r="Z2" s="1">
        <v>26.22</v>
      </c>
      <c r="AA2">
        <v>800</v>
      </c>
      <c r="AB2" s="16">
        <v>20976</v>
      </c>
      <c r="AC2" s="1">
        <v>9.91</v>
      </c>
      <c r="AD2">
        <v>2000</v>
      </c>
      <c r="AE2" s="16">
        <v>19820</v>
      </c>
      <c r="AF2" s="1">
        <v>19.940000000000001</v>
      </c>
      <c r="AG2">
        <v>1000</v>
      </c>
      <c r="AH2" s="13">
        <v>19944</v>
      </c>
    </row>
    <row r="3" spans="1:34" x14ac:dyDescent="0.2">
      <c r="B3" s="1">
        <v>18</v>
      </c>
      <c r="C3">
        <v>2000</v>
      </c>
      <c r="D3" s="13">
        <v>36000</v>
      </c>
      <c r="G3" s="13"/>
      <c r="J3" s="13"/>
      <c r="M3" s="13"/>
      <c r="P3" s="13"/>
      <c r="Q3" s="1">
        <v>76.849999999999994</v>
      </c>
      <c r="R3">
        <v>400</v>
      </c>
      <c r="S3" s="13">
        <v>30740</v>
      </c>
      <c r="V3" s="13"/>
      <c r="Y3" s="13"/>
      <c r="AB3" s="13"/>
      <c r="AE3" s="13"/>
      <c r="AH3" s="13"/>
    </row>
    <row r="4" spans="1:34" x14ac:dyDescent="0.2">
      <c r="B4" s="1">
        <v>17.670000000000002</v>
      </c>
      <c r="C4">
        <v>500</v>
      </c>
      <c r="D4" s="13">
        <v>8835</v>
      </c>
      <c r="G4" s="13"/>
      <c r="J4" s="13"/>
      <c r="M4" s="13"/>
      <c r="P4" s="13"/>
      <c r="S4" s="13"/>
      <c r="V4" s="13"/>
      <c r="Y4" s="13"/>
      <c r="AB4" s="13"/>
      <c r="AE4" s="13"/>
      <c r="AH4" s="13"/>
    </row>
    <row r="5" spans="1:34" x14ac:dyDescent="0.2">
      <c r="B5" s="1">
        <v>17.739999999999998</v>
      </c>
      <c r="C5">
        <v>1100</v>
      </c>
      <c r="D5" s="13">
        <v>19514</v>
      </c>
      <c r="G5" s="13"/>
      <c r="J5" s="13"/>
      <c r="M5" s="13"/>
      <c r="P5" s="13"/>
      <c r="S5" s="13"/>
      <c r="V5" s="13"/>
      <c r="Y5" s="13"/>
      <c r="AB5" s="13"/>
      <c r="AE5" s="13"/>
      <c r="AH5" s="13"/>
    </row>
    <row r="6" spans="1:34" x14ac:dyDescent="0.2">
      <c r="A6" t="s">
        <v>16</v>
      </c>
      <c r="B6" s="1">
        <v>14.5</v>
      </c>
      <c r="C6">
        <v>500</v>
      </c>
      <c r="D6" s="13">
        <v>7250</v>
      </c>
      <c r="E6" s="1">
        <v>18.72</v>
      </c>
      <c r="F6">
        <v>100</v>
      </c>
      <c r="G6" s="13">
        <v>1872</v>
      </c>
      <c r="H6" s="1">
        <v>105.21</v>
      </c>
      <c r="I6">
        <v>100</v>
      </c>
      <c r="J6" s="13">
        <v>10521</v>
      </c>
      <c r="K6" s="1">
        <v>5.42</v>
      </c>
      <c r="L6">
        <v>1000</v>
      </c>
      <c r="M6" s="13">
        <v>5420</v>
      </c>
      <c r="N6" s="1">
        <v>24.6</v>
      </c>
      <c r="O6">
        <v>200</v>
      </c>
      <c r="P6" s="13">
        <v>4920</v>
      </c>
      <c r="Q6" s="1">
        <v>74.510000000000005</v>
      </c>
      <c r="R6">
        <v>200</v>
      </c>
      <c r="S6" s="13">
        <v>14902</v>
      </c>
      <c r="T6" s="1">
        <v>25.8</v>
      </c>
      <c r="U6">
        <v>1200</v>
      </c>
      <c r="V6" s="13">
        <v>30964</v>
      </c>
      <c r="W6" s="1">
        <v>14.05</v>
      </c>
      <c r="X6">
        <v>1800</v>
      </c>
      <c r="Y6" s="13">
        <v>25290</v>
      </c>
      <c r="Z6" s="1">
        <v>25.65</v>
      </c>
      <c r="AA6">
        <v>800</v>
      </c>
      <c r="AB6" s="13">
        <v>20520</v>
      </c>
      <c r="AC6" s="1">
        <v>8.32</v>
      </c>
      <c r="AD6">
        <v>2000</v>
      </c>
      <c r="AE6" s="13">
        <v>16648</v>
      </c>
      <c r="AF6" s="1">
        <v>17.04</v>
      </c>
      <c r="AG6">
        <v>1000</v>
      </c>
      <c r="AH6" s="13">
        <v>17040</v>
      </c>
    </row>
    <row r="7" spans="1:34" x14ac:dyDescent="0.2">
      <c r="B7" s="1">
        <v>13.8</v>
      </c>
      <c r="C7">
        <v>1200</v>
      </c>
      <c r="D7" s="13">
        <v>16560</v>
      </c>
      <c r="E7" s="1">
        <v>18.600000000000001</v>
      </c>
      <c r="F7">
        <v>600</v>
      </c>
      <c r="G7" s="13">
        <v>11160</v>
      </c>
      <c r="J7" s="13"/>
      <c r="M7" s="13"/>
      <c r="P7" s="13"/>
      <c r="Q7" s="1">
        <v>75.64</v>
      </c>
      <c r="R7">
        <v>400</v>
      </c>
      <c r="S7" s="13">
        <v>30256</v>
      </c>
      <c r="T7" s="1">
        <v>25.81</v>
      </c>
      <c r="U7">
        <v>500</v>
      </c>
      <c r="V7" s="13">
        <v>12905</v>
      </c>
      <c r="Y7" s="13"/>
      <c r="AB7" s="13"/>
      <c r="AE7" s="13"/>
      <c r="AH7" s="13"/>
    </row>
    <row r="8" spans="1:34" x14ac:dyDescent="0.2">
      <c r="B8" s="1">
        <v>13.78</v>
      </c>
      <c r="C8">
        <v>1200</v>
      </c>
      <c r="D8" s="13">
        <v>16536</v>
      </c>
      <c r="G8" s="13"/>
      <c r="J8" s="13"/>
      <c r="M8" s="13"/>
      <c r="P8" s="13"/>
      <c r="S8" s="13"/>
      <c r="V8" s="13"/>
      <c r="Y8" s="13"/>
      <c r="AB8" s="13"/>
      <c r="AE8" s="13"/>
      <c r="AH8" s="13"/>
    </row>
    <row r="9" spans="1:34" x14ac:dyDescent="0.2">
      <c r="B9" s="1">
        <v>14</v>
      </c>
      <c r="C9">
        <v>800</v>
      </c>
      <c r="D9" s="13">
        <v>11200</v>
      </c>
      <c r="G9" s="13"/>
      <c r="J9" s="13"/>
      <c r="M9" s="17"/>
      <c r="P9" s="13"/>
      <c r="S9" s="13"/>
      <c r="V9" s="13"/>
      <c r="Y9" s="13"/>
      <c r="AB9" s="13"/>
      <c r="AE9" s="13"/>
      <c r="AH9" s="13"/>
    </row>
    <row r="10" spans="1:34" x14ac:dyDescent="0.2">
      <c r="B10" s="1">
        <v>14.69</v>
      </c>
      <c r="C10">
        <v>900</v>
      </c>
      <c r="D10" s="13">
        <v>13221</v>
      </c>
      <c r="G10" s="13"/>
      <c r="J10" s="13"/>
      <c r="M10" s="13"/>
      <c r="P10" s="13"/>
      <c r="S10" s="13"/>
      <c r="V10" s="13"/>
      <c r="Y10" s="13"/>
      <c r="AB10" s="13"/>
      <c r="AE10" s="13"/>
      <c r="AH10" s="13"/>
    </row>
    <row r="11" spans="1:34" x14ac:dyDescent="0.2">
      <c r="A11" s="18" t="s">
        <v>41</v>
      </c>
      <c r="B11" s="18"/>
      <c r="C11" s="19"/>
      <c r="D11" s="20">
        <f>SUM(D2:D5)</f>
        <v>82659</v>
      </c>
      <c r="E11" s="18"/>
      <c r="F11" s="18"/>
      <c r="G11" s="16">
        <f>G2</f>
        <v>16870</v>
      </c>
      <c r="H11" s="18"/>
      <c r="I11" s="18"/>
      <c r="J11" s="16">
        <f>J2</f>
        <v>11048</v>
      </c>
      <c r="K11" s="18"/>
      <c r="L11" s="18"/>
      <c r="M11" s="16">
        <f t="shared" ref="M11:P11" si="0">M2</f>
        <v>5050</v>
      </c>
      <c r="N11" s="18"/>
      <c r="O11" s="18"/>
      <c r="P11" s="16">
        <f t="shared" si="0"/>
        <v>4900</v>
      </c>
      <c r="Q11" s="18"/>
      <c r="R11" s="18"/>
      <c r="S11" s="16">
        <f>S2+S3</f>
        <v>45520</v>
      </c>
      <c r="T11" s="18"/>
      <c r="U11" s="18"/>
      <c r="V11" s="16">
        <f>V2</f>
        <v>43605</v>
      </c>
      <c r="W11" s="18"/>
      <c r="X11" s="18"/>
      <c r="Y11" s="16">
        <f>Y2</f>
        <v>29826</v>
      </c>
      <c r="Z11" s="18"/>
      <c r="AA11" s="18"/>
      <c r="AB11" s="16">
        <f t="shared" ref="AB11:AH11" si="1">AB2</f>
        <v>20976</v>
      </c>
      <c r="AC11" s="18"/>
      <c r="AD11" s="18"/>
      <c r="AE11" s="16">
        <f t="shared" si="1"/>
        <v>19820</v>
      </c>
      <c r="AF11" s="18"/>
      <c r="AG11" s="18"/>
      <c r="AH11" s="16">
        <f t="shared" si="1"/>
        <v>19944</v>
      </c>
    </row>
    <row r="12" spans="1:34" x14ac:dyDescent="0.2">
      <c r="A12" t="s">
        <v>42</v>
      </c>
      <c r="C12" s="12"/>
      <c r="D12" s="14">
        <f>SUM(D6:D10)</f>
        <v>64767</v>
      </c>
      <c r="G12" s="13">
        <f>G6+G7</f>
        <v>13032</v>
      </c>
      <c r="J12" s="13">
        <f>J6</f>
        <v>10521</v>
      </c>
      <c r="M12" s="13">
        <f t="shared" ref="M12:P12" si="2">M6</f>
        <v>5420</v>
      </c>
      <c r="P12" s="13">
        <f t="shared" si="2"/>
        <v>4920</v>
      </c>
      <c r="S12" s="13">
        <f>S6+S7</f>
        <v>45158</v>
      </c>
      <c r="V12" s="13">
        <f>V6+V7</f>
        <v>43869</v>
      </c>
      <c r="Y12" s="13">
        <f>Y6</f>
        <v>25290</v>
      </c>
      <c r="AB12" s="13">
        <f t="shared" ref="AB12:AH12" si="3">AB6</f>
        <v>20520</v>
      </c>
      <c r="AE12" s="13">
        <f t="shared" si="3"/>
        <v>16648</v>
      </c>
      <c r="AH12" s="13">
        <f t="shared" si="3"/>
        <v>17040</v>
      </c>
    </row>
    <row r="13" spans="1:34" x14ac:dyDescent="0.2">
      <c r="A13" s="15" t="s">
        <v>43</v>
      </c>
      <c r="B13" s="15"/>
      <c r="C13" s="21"/>
      <c r="D13" s="22">
        <f>D12-D11</f>
        <v>-17892</v>
      </c>
      <c r="E13" s="21"/>
      <c r="F13" s="21"/>
      <c r="G13" s="22">
        <f t="shared" ref="G13" si="4">G12-G11</f>
        <v>-3838</v>
      </c>
      <c r="H13" s="21"/>
      <c r="I13" s="21"/>
      <c r="J13" s="22">
        <f t="shared" ref="J13" si="5">J12-J11</f>
        <v>-527</v>
      </c>
      <c r="K13" s="15"/>
      <c r="L13" s="15"/>
      <c r="M13" s="22">
        <f t="shared" ref="M13" si="6">M12-M11</f>
        <v>370</v>
      </c>
      <c r="N13" s="15"/>
      <c r="O13" s="15"/>
      <c r="P13" s="22">
        <f t="shared" ref="P13" si="7">P12-P11</f>
        <v>20</v>
      </c>
      <c r="Q13" s="15"/>
      <c r="R13" s="15"/>
      <c r="S13" s="22">
        <f t="shared" ref="S13" si="8">S12-S11</f>
        <v>-362</v>
      </c>
      <c r="T13" s="15"/>
      <c r="U13" s="15"/>
      <c r="V13" s="22">
        <f t="shared" ref="V13" si="9">V12-V11</f>
        <v>264</v>
      </c>
      <c r="W13" s="15"/>
      <c r="X13" s="15"/>
      <c r="Y13" s="22">
        <f t="shared" ref="Y13" si="10">Y12-Y11</f>
        <v>-4536</v>
      </c>
      <c r="Z13" s="15"/>
      <c r="AA13" s="15"/>
      <c r="AB13" s="22">
        <f t="shared" ref="AB13" si="11">AB12-AB11</f>
        <v>-456</v>
      </c>
      <c r="AC13" s="15"/>
      <c r="AD13" s="15"/>
      <c r="AE13" s="22">
        <f t="shared" ref="AE13" si="12">AE12-AE11</f>
        <v>-3172</v>
      </c>
      <c r="AF13" s="15"/>
      <c r="AG13" s="15"/>
      <c r="AH13" s="22">
        <f t="shared" ref="AH13" si="13">AH12-AH11</f>
        <v>-2904</v>
      </c>
    </row>
    <row r="16" spans="1:34" x14ac:dyDescent="0.2">
      <c r="A16" s="39"/>
      <c r="B16" s="36" t="s">
        <v>55</v>
      </c>
      <c r="C16" s="37" t="s">
        <v>44</v>
      </c>
      <c r="D16" s="37" t="s">
        <v>2</v>
      </c>
      <c r="E16" s="37" t="s">
        <v>45</v>
      </c>
      <c r="F16" s="37" t="s">
        <v>46</v>
      </c>
      <c r="G16" s="37" t="s">
        <v>47</v>
      </c>
      <c r="H16" s="37" t="s">
        <v>48</v>
      </c>
      <c r="I16" s="37" t="s">
        <v>49</v>
      </c>
      <c r="J16" s="37" t="s">
        <v>50</v>
      </c>
      <c r="K16" s="37" t="s">
        <v>51</v>
      </c>
      <c r="L16" s="37" t="s">
        <v>52</v>
      </c>
      <c r="M16" s="38" t="s">
        <v>53</v>
      </c>
    </row>
    <row r="17" spans="1:32" x14ac:dyDescent="0.2">
      <c r="A17" s="40" t="s">
        <v>41</v>
      </c>
      <c r="B17" s="23"/>
      <c r="C17" s="23">
        <v>82659</v>
      </c>
      <c r="D17" s="23">
        <v>16870</v>
      </c>
      <c r="E17" s="23">
        <v>11048</v>
      </c>
      <c r="F17" s="23">
        <v>5050</v>
      </c>
      <c r="G17" s="23">
        <v>4900</v>
      </c>
      <c r="H17" s="23">
        <v>45520</v>
      </c>
      <c r="I17" s="23">
        <v>43605</v>
      </c>
      <c r="J17" s="23">
        <v>29826</v>
      </c>
      <c r="K17" s="24">
        <v>20976</v>
      </c>
      <c r="L17" s="24">
        <v>19820</v>
      </c>
      <c r="M17" s="25">
        <v>19944</v>
      </c>
    </row>
    <row r="18" spans="1:32" x14ac:dyDescent="0.2">
      <c r="A18" s="40" t="s">
        <v>42</v>
      </c>
      <c r="B18" s="23"/>
      <c r="C18" s="23">
        <v>64767</v>
      </c>
      <c r="D18" s="23">
        <v>13032</v>
      </c>
      <c r="E18" s="23">
        <v>10521</v>
      </c>
      <c r="F18" s="23">
        <v>5420</v>
      </c>
      <c r="G18" s="23">
        <v>4920</v>
      </c>
      <c r="H18" s="23">
        <v>45158</v>
      </c>
      <c r="I18" s="23">
        <v>43869</v>
      </c>
      <c r="J18" s="23">
        <v>25290</v>
      </c>
      <c r="K18" s="24">
        <v>20520</v>
      </c>
      <c r="L18" s="24">
        <v>16648</v>
      </c>
      <c r="M18" s="25">
        <v>17040</v>
      </c>
    </row>
    <row r="19" spans="1:32" x14ac:dyDescent="0.2">
      <c r="A19" s="16" t="s">
        <v>57</v>
      </c>
      <c r="B19" s="18"/>
      <c r="C19" s="29">
        <f>(C18-C17)/C17</f>
        <v>-0.216455558378398</v>
      </c>
      <c r="D19" s="29">
        <f t="shared" ref="D19:M19" si="14">(D18-D17)/D17</f>
        <v>-0.22750444576170717</v>
      </c>
      <c r="E19" s="29">
        <f t="shared" si="14"/>
        <v>-4.7700941346850108E-2</v>
      </c>
      <c r="F19" s="30">
        <f t="shared" si="14"/>
        <v>7.3267326732673263E-2</v>
      </c>
      <c r="G19" s="30">
        <f t="shared" si="14"/>
        <v>4.0816326530612249E-3</v>
      </c>
      <c r="H19" s="29">
        <f t="shared" si="14"/>
        <v>-7.9525483304042181E-3</v>
      </c>
      <c r="I19" s="30">
        <f t="shared" si="14"/>
        <v>6.0543515651874788E-3</v>
      </c>
      <c r="J19" s="29">
        <f t="shared" si="14"/>
        <v>-0.15208207604103802</v>
      </c>
      <c r="K19" s="29">
        <f t="shared" si="14"/>
        <v>-2.1739130434782608E-2</v>
      </c>
      <c r="L19" s="29">
        <f t="shared" si="14"/>
        <v>-0.16004036326942483</v>
      </c>
      <c r="M19" s="31">
        <f t="shared" si="14"/>
        <v>-0.14560770156438027</v>
      </c>
      <c r="Z19" s="11"/>
      <c r="AC19" s="11"/>
      <c r="AF19" s="11"/>
    </row>
    <row r="20" spans="1:32" x14ac:dyDescent="0.2">
      <c r="A20" s="41" t="s">
        <v>54</v>
      </c>
      <c r="B20" s="32">
        <f>SUM(C20:M20)</f>
        <v>-33033</v>
      </c>
      <c r="C20" s="33">
        <v>-17892</v>
      </c>
      <c r="D20" s="33">
        <v>-3838</v>
      </c>
      <c r="E20" s="33">
        <v>-527</v>
      </c>
      <c r="F20" s="34">
        <v>370</v>
      </c>
      <c r="G20" s="34">
        <v>20</v>
      </c>
      <c r="H20" s="33">
        <v>-362</v>
      </c>
      <c r="I20" s="34">
        <v>264</v>
      </c>
      <c r="J20" s="33">
        <v>-4536</v>
      </c>
      <c r="K20" s="33">
        <v>-456</v>
      </c>
      <c r="L20" s="33">
        <v>-3172</v>
      </c>
      <c r="M20" s="35">
        <v>-2904</v>
      </c>
    </row>
    <row r="21" spans="1:32" x14ac:dyDescent="0.2">
      <c r="A21" s="41" t="s">
        <v>56</v>
      </c>
      <c r="B21" s="15"/>
      <c r="C21" s="26">
        <f>C20/33033</f>
        <v>-0.54164017800381437</v>
      </c>
      <c r="D21" s="26">
        <f t="shared" ref="D21:M21" si="15">D20/33033</f>
        <v>-0.11618684345957073</v>
      </c>
      <c r="E21" s="26">
        <f t="shared" si="15"/>
        <v>-1.5953743226470498E-2</v>
      </c>
      <c r="F21" s="27">
        <f t="shared" si="15"/>
        <v>1.1200920291829383E-2</v>
      </c>
      <c r="G21" s="27">
        <f t="shared" si="15"/>
        <v>6.0545515090969638E-4</v>
      </c>
      <c r="H21" s="26">
        <f t="shared" si="15"/>
        <v>-1.0958738231465504E-2</v>
      </c>
      <c r="I21" s="27">
        <f t="shared" si="15"/>
        <v>7.992007992007992E-3</v>
      </c>
      <c r="J21" s="26">
        <f t="shared" si="15"/>
        <v>-0.13731722822631914</v>
      </c>
      <c r="K21" s="26">
        <f t="shared" si="15"/>
        <v>-1.3804377440741077E-2</v>
      </c>
      <c r="L21" s="26">
        <f t="shared" si="15"/>
        <v>-9.6025186934277848E-2</v>
      </c>
      <c r="M21" s="28">
        <f t="shared" si="15"/>
        <v>-8.7912087912087919E-2</v>
      </c>
    </row>
    <row r="27" spans="1:32" x14ac:dyDescent="0.2">
      <c r="O27" s="10"/>
      <c r="P27" s="10"/>
      <c r="R27" s="10"/>
      <c r="S27" s="10"/>
    </row>
    <row r="28" spans="1:32" x14ac:dyDescent="0.2">
      <c r="O28" s="10"/>
      <c r="P28" s="10"/>
      <c r="R28" s="10"/>
      <c r="S28" s="10"/>
    </row>
    <row r="29" spans="1:32" x14ac:dyDescent="0.2">
      <c r="O29" s="10"/>
      <c r="P29" s="10"/>
      <c r="R29" s="10"/>
      <c r="S29" s="10"/>
    </row>
    <row r="30" spans="1:32" x14ac:dyDescent="0.2">
      <c r="N30" s="10"/>
      <c r="O30" s="10"/>
      <c r="P30" s="10"/>
      <c r="Q30" s="10"/>
      <c r="R30" s="10"/>
      <c r="S30" s="10"/>
      <c r="T30" s="10"/>
    </row>
  </sheetData>
  <mergeCells count="11">
    <mergeCell ref="B1:D1"/>
    <mergeCell ref="E1:G1"/>
    <mergeCell ref="Z1:AB1"/>
    <mergeCell ref="AC1:AE1"/>
    <mergeCell ref="AF1:AH1"/>
    <mergeCell ref="H1:J1"/>
    <mergeCell ref="K1:M1"/>
    <mergeCell ref="N1:P1"/>
    <mergeCell ref="Q1:S1"/>
    <mergeCell ref="T1:V1"/>
    <mergeCell ref="W1:Y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R9" sqref="R9"/>
    </sheetView>
  </sheetViews>
  <sheetFormatPr baseColWidth="10" defaultRowHeight="16" x14ac:dyDescent="0.2"/>
  <cols>
    <col min="1" max="1" width="10.33203125" customWidth="1"/>
    <col min="2" max="2" width="11.33203125" style="42" bestFit="1" customWidth="1"/>
  </cols>
  <sheetData>
    <row r="1" spans="1:4" x14ac:dyDescent="0.2">
      <c r="A1" t="s">
        <v>58</v>
      </c>
      <c r="B1" s="42" t="s">
        <v>59</v>
      </c>
      <c r="C1" t="s">
        <v>60</v>
      </c>
      <c r="D1" t="s">
        <v>61</v>
      </c>
    </row>
    <row r="2" spans="1:4" x14ac:dyDescent="0.2">
      <c r="A2" t="s">
        <v>62</v>
      </c>
      <c r="B2" s="42">
        <v>40652</v>
      </c>
      <c r="C2">
        <v>39961</v>
      </c>
      <c r="D2">
        <v>34</v>
      </c>
    </row>
    <row r="3" spans="1:4" x14ac:dyDescent="0.2">
      <c r="A3" t="s">
        <v>63</v>
      </c>
      <c r="B3" s="42">
        <v>40693</v>
      </c>
      <c r="C3">
        <v>30825</v>
      </c>
      <c r="D3">
        <v>48</v>
      </c>
    </row>
    <row r="4" spans="1:4" x14ac:dyDescent="0.2">
      <c r="A4" t="s">
        <v>64</v>
      </c>
      <c r="B4" s="42">
        <v>40710</v>
      </c>
      <c r="C4">
        <v>34844</v>
      </c>
      <c r="D4">
        <v>52</v>
      </c>
    </row>
    <row r="5" spans="1:4" x14ac:dyDescent="0.2">
      <c r="A5" t="s">
        <v>65</v>
      </c>
      <c r="B5" s="42">
        <v>40902</v>
      </c>
      <c r="C5">
        <v>29022</v>
      </c>
      <c r="D5">
        <v>33</v>
      </c>
    </row>
    <row r="6" spans="1:4" x14ac:dyDescent="0.2">
      <c r="A6" t="s">
        <v>66</v>
      </c>
      <c r="B6" s="42">
        <v>41223</v>
      </c>
      <c r="C6">
        <v>51409</v>
      </c>
      <c r="D6">
        <v>77</v>
      </c>
    </row>
    <row r="7" spans="1:4" x14ac:dyDescent="0.2">
      <c r="A7" t="s">
        <v>67</v>
      </c>
      <c r="B7" s="42">
        <v>41586</v>
      </c>
      <c r="C7">
        <v>25916</v>
      </c>
      <c r="D7">
        <v>43</v>
      </c>
    </row>
    <row r="8" spans="1:4" x14ac:dyDescent="0.2">
      <c r="A8" t="s">
        <v>68</v>
      </c>
      <c r="B8" s="42">
        <v>41739</v>
      </c>
      <c r="C8">
        <v>49657</v>
      </c>
      <c r="D8">
        <v>138</v>
      </c>
    </row>
    <row r="9" spans="1:4" x14ac:dyDescent="0.2">
      <c r="A9" t="s">
        <v>69</v>
      </c>
      <c r="B9" s="42">
        <v>41804</v>
      </c>
      <c r="C9">
        <v>145035</v>
      </c>
      <c r="D9">
        <v>214</v>
      </c>
    </row>
    <row r="10" spans="1:4" x14ac:dyDescent="0.2">
      <c r="A10" t="s">
        <v>70</v>
      </c>
      <c r="B10" s="42">
        <v>41825</v>
      </c>
      <c r="C10">
        <v>200514</v>
      </c>
      <c r="D10">
        <v>316</v>
      </c>
    </row>
    <row r="11" spans="1:4" x14ac:dyDescent="0.2">
      <c r="A11" t="s">
        <v>71</v>
      </c>
      <c r="B11" s="42">
        <v>41882</v>
      </c>
      <c r="C11">
        <v>331035</v>
      </c>
      <c r="D11">
        <v>736</v>
      </c>
    </row>
    <row r="12" spans="1:4" x14ac:dyDescent="0.2">
      <c r="A12" t="s">
        <v>72</v>
      </c>
      <c r="B12" s="42">
        <v>41961</v>
      </c>
      <c r="C12">
        <v>151735</v>
      </c>
      <c r="D12">
        <v>336</v>
      </c>
    </row>
    <row r="13" spans="1:4" x14ac:dyDescent="0.2">
      <c r="A13" t="s">
        <v>73</v>
      </c>
      <c r="B13" s="42">
        <v>41986</v>
      </c>
      <c r="C13">
        <v>404128</v>
      </c>
      <c r="D13">
        <v>1187</v>
      </c>
    </row>
    <row r="14" spans="1:4" x14ac:dyDescent="0.2">
      <c r="A14" t="s">
        <v>74</v>
      </c>
      <c r="B14" s="42">
        <v>42040</v>
      </c>
      <c r="C14">
        <v>456127</v>
      </c>
      <c r="D14">
        <v>1243</v>
      </c>
    </row>
    <row r="15" spans="1:4" x14ac:dyDescent="0.2">
      <c r="A15" t="s">
        <v>75</v>
      </c>
      <c r="B15" s="42">
        <v>42084</v>
      </c>
      <c r="C15">
        <v>274267</v>
      </c>
      <c r="D15">
        <v>800</v>
      </c>
    </row>
    <row r="16" spans="1:4" x14ac:dyDescent="0.2">
      <c r="A16" t="s">
        <v>76</v>
      </c>
      <c r="B16" s="42">
        <v>42126</v>
      </c>
      <c r="C16">
        <v>299144</v>
      </c>
      <c r="D16">
        <v>780</v>
      </c>
    </row>
    <row r="17" spans="1:4" x14ac:dyDescent="0.2">
      <c r="A17" t="s">
        <v>77</v>
      </c>
      <c r="B17" s="42">
        <v>42216</v>
      </c>
      <c r="C17">
        <v>399027</v>
      </c>
      <c r="D17">
        <v>1458</v>
      </c>
    </row>
    <row r="18" spans="1:4" x14ac:dyDescent="0.2">
      <c r="A18" t="s">
        <v>78</v>
      </c>
      <c r="B18" s="42">
        <v>42246</v>
      </c>
      <c r="C18">
        <v>416508</v>
      </c>
      <c r="D18">
        <v>2040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交割单</vt:lpstr>
      <vt:lpstr>收盘价</vt:lpstr>
      <vt:lpstr>基准盈亏线</vt:lpstr>
      <vt:lpstr>个股盈亏统计</vt:lpstr>
      <vt:lpstr>瑞鹤仙博客统计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2016-01-03T13:30:46Z</dcterms:created>
  <dcterms:modified xsi:type="dcterms:W3CDTF">2016-02-15T14:19:36Z</dcterms:modified>
</cp:coreProperties>
</file>