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周记/"/>
    </mc:Choice>
  </mc:AlternateContent>
  <bookViews>
    <workbookView xWindow="2340" yWindow="460" windowWidth="26020" windowHeight="16740" tabRatio="500" activeTab="1"/>
  </bookViews>
  <sheets>
    <sheet name="交割单" sheetId="1" r:id="rId1"/>
    <sheet name=" 轨道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2" i="1"/>
  <c r="AH17" i="6"/>
  <c r="T17" i="6"/>
  <c r="C13" i="6"/>
  <c r="CF12" i="6"/>
  <c r="CF4" i="6"/>
  <c r="CE3" i="6"/>
  <c r="BY12" i="6"/>
  <c r="BY4" i="6"/>
  <c r="BX3" i="6"/>
  <c r="BR12" i="6"/>
  <c r="BR4" i="6"/>
  <c r="BQ3" i="6"/>
  <c r="BK12" i="6"/>
  <c r="BK4" i="6"/>
  <c r="BJ3" i="6"/>
  <c r="BD12" i="6"/>
  <c r="BD6" i="6"/>
  <c r="BD4" i="6"/>
  <c r="BC5" i="6"/>
  <c r="BC6" i="6"/>
  <c r="BC4" i="6"/>
  <c r="BC3" i="6"/>
  <c r="AW12" i="6"/>
  <c r="AW5" i="6"/>
  <c r="AV5" i="6"/>
  <c r="AV4" i="6"/>
  <c r="AV3" i="6"/>
  <c r="AP12" i="6"/>
  <c r="AP6" i="6"/>
  <c r="AP4" i="6"/>
  <c r="AO5" i="6"/>
  <c r="AO6" i="6"/>
  <c r="AO4" i="6"/>
  <c r="AO3" i="6"/>
  <c r="AI12" i="6"/>
  <c r="AI4" i="6"/>
  <c r="AH3" i="6"/>
  <c r="AB18" i="6"/>
  <c r="AA19" i="6"/>
  <c r="AA20" i="6"/>
  <c r="AA21" i="6"/>
  <c r="AA18" i="6"/>
  <c r="AA17" i="6"/>
  <c r="AB12" i="6"/>
  <c r="AB4" i="6"/>
  <c r="AA3" i="6"/>
  <c r="U12" i="6"/>
  <c r="N12" i="6"/>
  <c r="G12" i="6"/>
  <c r="U4" i="6"/>
  <c r="T3" i="6"/>
  <c r="F19" i="6"/>
  <c r="F18" i="6"/>
  <c r="F17" i="6"/>
  <c r="N18" i="6"/>
  <c r="M19" i="6"/>
  <c r="M18" i="6"/>
  <c r="M17" i="6"/>
  <c r="N5" i="6"/>
  <c r="M3" i="6"/>
  <c r="M4" i="6"/>
  <c r="M5" i="6"/>
  <c r="G11" i="6"/>
  <c r="F3" i="6"/>
  <c r="F4" i="6"/>
  <c r="F5" i="6"/>
  <c r="F6" i="6"/>
  <c r="F7" i="6"/>
  <c r="F8" i="6"/>
  <c r="F9" i="6"/>
  <c r="F10" i="6"/>
  <c r="F11" i="6"/>
  <c r="I19" i="6"/>
  <c r="H19" i="6"/>
  <c r="W21" i="6"/>
  <c r="V21" i="6"/>
  <c r="W20" i="6"/>
  <c r="V20" i="6"/>
  <c r="W19" i="6"/>
  <c r="V19" i="6"/>
  <c r="AK18" i="6"/>
  <c r="AJ18" i="6"/>
  <c r="AY18" i="6"/>
  <c r="AX18" i="6"/>
  <c r="B19" i="6"/>
  <c r="A19" i="6"/>
  <c r="CA4" i="6"/>
  <c r="BZ4" i="6"/>
  <c r="AY17" i="6"/>
  <c r="AX15" i="6"/>
  <c r="AX17" i="6"/>
  <c r="AY6" i="6"/>
  <c r="AX6" i="6"/>
  <c r="AR18" i="6"/>
  <c r="AQ18" i="6"/>
  <c r="BT4" i="6"/>
  <c r="BS4" i="6"/>
  <c r="AR17" i="6"/>
  <c r="AQ15" i="6"/>
  <c r="AQ17" i="6"/>
  <c r="BM4" i="6"/>
  <c r="BL4" i="6"/>
  <c r="CA3" i="6"/>
  <c r="BZ1" i="6"/>
  <c r="BZ3" i="6"/>
  <c r="AK17" i="6"/>
  <c r="AJ15" i="6"/>
  <c r="AJ17" i="6"/>
  <c r="BT3" i="6"/>
  <c r="BS1" i="6"/>
  <c r="BS3" i="6"/>
  <c r="AD17" i="6"/>
  <c r="AC15" i="6"/>
  <c r="AC17" i="6"/>
  <c r="BM3" i="6"/>
  <c r="BL1" i="6"/>
  <c r="BL3" i="6"/>
  <c r="P17" i="6"/>
  <c r="O15" i="6"/>
  <c r="O17" i="6"/>
  <c r="AY5" i="6"/>
  <c r="AX5" i="6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</calcChain>
</file>

<file path=xl/sharedStrings.xml><?xml version="1.0" encoding="utf-8"?>
<sst xmlns="http://schemas.openxmlformats.org/spreadsheetml/2006/main" count="290" uniqueCount="38">
  <si>
    <t>成交数量</t>
    <rPh sb="0" eb="1">
      <t>cheng jiao shu liang</t>
    </rPh>
    <phoneticPr fontId="1" type="noConversion"/>
  </si>
  <si>
    <t>发生金额</t>
    <rPh sb="0" eb="1">
      <t>fa sheng jin e</t>
    </rPh>
    <phoneticPr fontId="1" type="noConversion"/>
  </si>
  <si>
    <t>日期</t>
    <rPh sb="0" eb="1">
      <t>ri qi</t>
    </rPh>
    <phoneticPr fontId="1" type="noConversion"/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</si>
  <si>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</si>
  <si>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</si>
  <si>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002176</t>
    <phoneticPr fontId="1" type="noConversion"/>
  </si>
  <si>
    <t>江特电机</t>
  </si>
  <si>
    <t>买入</t>
  </si>
  <si>
    <t>002401</t>
    <phoneticPr fontId="1" type="noConversion"/>
  </si>
  <si>
    <t>中海科技</t>
  </si>
  <si>
    <t>贵州百灵</t>
  </si>
  <si>
    <t>卖出</t>
  </si>
  <si>
    <t>002466</t>
    <phoneticPr fontId="1" type="noConversion"/>
  </si>
  <si>
    <t>天齐锂业</t>
  </si>
  <si>
    <t>中恒集团</t>
  </si>
  <si>
    <t>江中药业</t>
  </si>
  <si>
    <t>002407</t>
    <phoneticPr fontId="1" type="noConversion"/>
  </si>
  <si>
    <t>多氟多</t>
  </si>
  <si>
    <t>康耐特</t>
  </si>
  <si>
    <t>和佳股份</t>
  </si>
  <si>
    <t>万达信息</t>
  </si>
  <si>
    <t>002651</t>
    <phoneticPr fontId="1" type="noConversion"/>
  </si>
  <si>
    <t>利君股份</t>
  </si>
  <si>
    <t>大富科技</t>
  </si>
  <si>
    <t>成交日期</t>
  </si>
  <si>
    <t>成交时间</t>
  </si>
  <si>
    <t>证券代码</t>
  </si>
  <si>
    <t>证券名称</t>
  </si>
  <si>
    <t>委托类别</t>
  </si>
  <si>
    <t>成交价格</t>
  </si>
  <si>
    <t>成交数量</t>
  </si>
  <si>
    <t>成交金额</t>
  </si>
  <si>
    <t>发生金额</t>
  </si>
  <si>
    <t>002424</t>
    <phoneticPr fontId="1" type="noConversion"/>
  </si>
  <si>
    <t>持股数</t>
    <rPh sb="0" eb="1">
      <t>chi gu shu</t>
    </rPh>
    <phoneticPr fontId="1" type="noConversion"/>
  </si>
  <si>
    <t>平仓盈亏</t>
    <rPh sb="0" eb="1">
      <t>ping cang</t>
    </rPh>
    <rPh sb="2" eb="3">
      <t>ying kui</t>
    </rPh>
    <phoneticPr fontId="1" type="noConversion"/>
  </si>
  <si>
    <t>阶段平仓盈亏统计：</t>
    <rPh sb="0" eb="1">
      <t>jie duan</t>
    </rPh>
    <rPh sb="2" eb="3">
      <t>ping cang</t>
    </rPh>
    <rPh sb="4" eb="5">
      <t>ying kui</t>
    </rPh>
    <rPh sb="6" eb="7">
      <t>tong ji</t>
    </rPh>
    <phoneticPr fontId="1" type="noConversion"/>
  </si>
  <si>
    <t>仓位金额</t>
    <rPh sb="0" eb="1">
      <t>cang wei</t>
    </rPh>
    <rPh sb="2" eb="3">
      <t>jin 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</si>
</sst>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_ "/>
    <numFmt numFmtId="178" formatCode="0.00_ "/>
    <numFmt numFmtId="179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9"/>
      <name val="DengXian"/>
      <family val="3"/>
      <charset val="134"/>
      <scheme val="minor"/>
    </font>
    <font>
      <b/>
      <sz val="12"/>
      <color theme="5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Border="1"/>
    <xf numFmtId="0" fontId="0" fillId="0" borderId="1" xfId="0" applyBorder="1"/>
    <xf numFmtId="178" fontId="0" fillId="0" borderId="0" xfId="0" applyNumberFormat="1" applyBorder="1"/>
    <xf numFmtId="179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Fill="1" applyBorder="1"/>
    <xf numFmtId="179" fontId="0" fillId="0" borderId="0" xfId="0" applyNumberFormat="1" applyBorder="1"/>
    <xf numFmtId="0" fontId="0" fillId="0" borderId="3" xfId="0" applyBorder="1"/>
    <xf numFmtId="178" fontId="0" fillId="0" borderId="3" xfId="0" applyNumberFormat="1" applyBorder="1"/>
    <xf numFmtId="0" fontId="0" fillId="0" borderId="1" xfId="0" applyFill="1" applyBorder="1"/>
    <xf numFmtId="0" fontId="5" fillId="0" borderId="1" xfId="0" applyFont="1" applyBorder="1"/>
    <xf numFmtId="0" fontId="0" fillId="0" borderId="4" xfId="0" applyBorder="1"/>
    <xf numFmtId="0" fontId="4" fillId="0" borderId="0" xfId="0" applyFont="1" applyAlignment="1">
      <alignment horizontal="right"/>
    </xf>
    <xf numFmtId="0" fontId="4" fillId="0" borderId="0" xfId="0" applyFont="1"/>
    <xf numFmtId="178" fontId="4" fillId="0" borderId="0" xfId="0" applyNumberFormat="1" applyFont="1"/>
    <xf numFmtId="0" fontId="6" fillId="0" borderId="1" xfId="0" applyFont="1" applyBorder="1"/>
    <xf numFmtId="0" fontId="5" fillId="0" borderId="3" xfId="0" applyFont="1" applyBorder="1"/>
    <xf numFmtId="179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1" workbookViewId="0">
      <selection activeCell="J27" sqref="J27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3"/>
    <col min="5" max="5" width="10.83203125" style="4"/>
    <col min="6" max="6" width="15.6640625" customWidth="1"/>
    <col min="7" max="7" width="16" style="5" customWidth="1"/>
    <col min="8" max="8" width="16.33203125" style="5" customWidth="1"/>
  </cols>
  <sheetData>
    <row r="1" spans="1:10" x14ac:dyDescent="0.2">
      <c r="A1" s="10" t="s">
        <v>24</v>
      </c>
      <c r="B1" s="10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37</v>
      </c>
    </row>
    <row r="2" spans="1:10" x14ac:dyDescent="0.2">
      <c r="A2" s="10">
        <v>20151225</v>
      </c>
      <c r="B2" s="11">
        <v>0.419375</v>
      </c>
      <c r="C2" s="1" t="s">
        <v>5</v>
      </c>
      <c r="D2" t="s">
        <v>6</v>
      </c>
      <c r="E2" t="s">
        <v>7</v>
      </c>
      <c r="F2" s="5">
        <v>18.309999999999999</v>
      </c>
      <c r="G2">
        <v>1000</v>
      </c>
      <c r="H2">
        <v>18310</v>
      </c>
      <c r="I2">
        <v>-18364.93</v>
      </c>
      <c r="J2">
        <f>-I2</f>
        <v>18364.93</v>
      </c>
    </row>
    <row r="3" spans="1:10" x14ac:dyDescent="0.2">
      <c r="A3" s="10">
        <v>20151228</v>
      </c>
      <c r="B3" s="11">
        <v>0.39711805555555557</v>
      </c>
      <c r="C3" s="1" t="s">
        <v>5</v>
      </c>
      <c r="D3" t="s">
        <v>6</v>
      </c>
      <c r="E3" t="s">
        <v>7</v>
      </c>
      <c r="F3" s="5">
        <v>18</v>
      </c>
      <c r="G3">
        <v>2000</v>
      </c>
      <c r="H3">
        <v>36000</v>
      </c>
      <c r="I3">
        <v>-36019.440000000002</v>
      </c>
      <c r="J3">
        <f>J2-I3</f>
        <v>54384.37</v>
      </c>
    </row>
    <row r="4" spans="1:10" x14ac:dyDescent="0.2">
      <c r="A4" s="10">
        <v>20151229</v>
      </c>
      <c r="B4" s="11">
        <v>0.41155092592592596</v>
      </c>
      <c r="C4" s="1" t="s">
        <v>8</v>
      </c>
      <c r="D4" t="s">
        <v>9</v>
      </c>
      <c r="E4" t="s">
        <v>7</v>
      </c>
      <c r="F4" s="5">
        <v>24.1</v>
      </c>
      <c r="G4">
        <v>700</v>
      </c>
      <c r="H4">
        <v>16870</v>
      </c>
      <c r="I4">
        <v>-16879.11</v>
      </c>
      <c r="J4">
        <f t="shared" ref="J4:J57" si="0">J3-I4</f>
        <v>71263.48000000001</v>
      </c>
    </row>
    <row r="5" spans="1:10" x14ac:dyDescent="0.2">
      <c r="A5" s="10">
        <v>20151230</v>
      </c>
      <c r="B5" s="11">
        <v>0.58365740740740735</v>
      </c>
      <c r="C5" s="1" t="s">
        <v>5</v>
      </c>
      <c r="D5" t="s">
        <v>6</v>
      </c>
      <c r="E5" t="s">
        <v>7</v>
      </c>
      <c r="F5" s="5">
        <v>17.670000000000002</v>
      </c>
      <c r="G5">
        <v>500</v>
      </c>
      <c r="H5">
        <v>8835</v>
      </c>
      <c r="I5">
        <v>-8840</v>
      </c>
      <c r="J5">
        <f t="shared" si="0"/>
        <v>80103.48000000001</v>
      </c>
    </row>
    <row r="6" spans="1:10" x14ac:dyDescent="0.2">
      <c r="A6" s="10">
        <v>20151230</v>
      </c>
      <c r="B6" s="11">
        <v>0.58533564814814809</v>
      </c>
      <c r="C6" s="1" t="s">
        <v>33</v>
      </c>
      <c r="D6" t="s">
        <v>10</v>
      </c>
      <c r="E6" t="s">
        <v>7</v>
      </c>
      <c r="F6" s="5">
        <v>25.99</v>
      </c>
      <c r="G6">
        <v>800</v>
      </c>
      <c r="H6">
        <v>20792</v>
      </c>
      <c r="I6">
        <v>-20803.23</v>
      </c>
      <c r="J6">
        <f t="shared" si="0"/>
        <v>100906.71</v>
      </c>
    </row>
    <row r="7" spans="1:10" x14ac:dyDescent="0.2">
      <c r="A7" s="10">
        <v>20151231</v>
      </c>
      <c r="B7" s="11">
        <v>0.54170138888888886</v>
      </c>
      <c r="C7" s="1" t="s">
        <v>5</v>
      </c>
      <c r="D7" t="s">
        <v>6</v>
      </c>
      <c r="E7" t="s">
        <v>7</v>
      </c>
      <c r="F7" s="5">
        <v>17.739999999999998</v>
      </c>
      <c r="G7">
        <v>1100</v>
      </c>
      <c r="H7">
        <v>19514</v>
      </c>
      <c r="I7">
        <v>-19524.54</v>
      </c>
      <c r="J7">
        <f t="shared" si="0"/>
        <v>120431.25</v>
      </c>
    </row>
    <row r="8" spans="1:10" x14ac:dyDescent="0.2">
      <c r="A8" s="10">
        <v>20160112</v>
      </c>
      <c r="B8" s="11">
        <v>0.39989583333333334</v>
      </c>
      <c r="C8" s="1" t="s">
        <v>8</v>
      </c>
      <c r="D8" t="s">
        <v>9</v>
      </c>
      <c r="E8" t="s">
        <v>11</v>
      </c>
      <c r="F8" s="5">
        <v>18.72</v>
      </c>
      <c r="G8">
        <v>100</v>
      </c>
      <c r="H8">
        <v>1872</v>
      </c>
      <c r="I8">
        <v>1865.13</v>
      </c>
      <c r="J8">
        <f t="shared" si="0"/>
        <v>118566.12</v>
      </c>
    </row>
    <row r="9" spans="1:10" x14ac:dyDescent="0.2">
      <c r="A9" s="10">
        <v>20160112</v>
      </c>
      <c r="B9" s="11">
        <v>0.40399305555555554</v>
      </c>
      <c r="C9" s="1" t="s">
        <v>8</v>
      </c>
      <c r="D9" t="s">
        <v>9</v>
      </c>
      <c r="E9" t="s">
        <v>11</v>
      </c>
      <c r="F9" s="5">
        <v>18.600000000000001</v>
      </c>
      <c r="G9">
        <v>600</v>
      </c>
      <c r="H9">
        <v>11160</v>
      </c>
      <c r="I9">
        <v>11142.81</v>
      </c>
      <c r="J9">
        <f t="shared" si="0"/>
        <v>107423.31</v>
      </c>
    </row>
    <row r="10" spans="1:10" x14ac:dyDescent="0.2">
      <c r="A10" s="10">
        <v>20160112</v>
      </c>
      <c r="B10" s="11">
        <v>0.45476851851851857</v>
      </c>
      <c r="C10" s="1" t="s">
        <v>12</v>
      </c>
      <c r="D10" t="s">
        <v>13</v>
      </c>
      <c r="E10" t="s">
        <v>7</v>
      </c>
      <c r="F10" s="5">
        <v>110.48</v>
      </c>
      <c r="G10">
        <v>100</v>
      </c>
      <c r="H10">
        <v>11048</v>
      </c>
      <c r="I10">
        <v>-11053.97</v>
      </c>
      <c r="J10">
        <f t="shared" si="0"/>
        <v>118477.28</v>
      </c>
    </row>
    <row r="11" spans="1:10" x14ac:dyDescent="0.2">
      <c r="A11" s="10">
        <v>20160114</v>
      </c>
      <c r="B11" s="11">
        <v>0.39583333333333331</v>
      </c>
      <c r="C11" s="1" t="s">
        <v>12</v>
      </c>
      <c r="D11" t="s">
        <v>13</v>
      </c>
      <c r="E11" t="s">
        <v>11</v>
      </c>
      <c r="F11" s="5">
        <v>105.21</v>
      </c>
      <c r="G11">
        <v>100</v>
      </c>
      <c r="H11">
        <v>10521</v>
      </c>
      <c r="I11">
        <v>10504.8</v>
      </c>
      <c r="J11">
        <f t="shared" si="0"/>
        <v>107972.48</v>
      </c>
    </row>
    <row r="12" spans="1:10" x14ac:dyDescent="0.2">
      <c r="A12" s="10">
        <v>20160114</v>
      </c>
      <c r="B12" s="11">
        <v>0.4718518518518518</v>
      </c>
      <c r="C12" s="1" t="s">
        <v>33</v>
      </c>
      <c r="D12" t="s">
        <v>10</v>
      </c>
      <c r="E12" t="s">
        <v>7</v>
      </c>
      <c r="F12" s="5">
        <v>17.86</v>
      </c>
      <c r="G12">
        <v>200</v>
      </c>
      <c r="H12">
        <v>3572</v>
      </c>
      <c r="I12">
        <v>-3577</v>
      </c>
      <c r="J12">
        <f t="shared" si="0"/>
        <v>111549.48</v>
      </c>
    </row>
    <row r="13" spans="1:10" x14ac:dyDescent="0.2">
      <c r="A13" s="10">
        <v>20160114</v>
      </c>
      <c r="B13" s="11">
        <v>0.47266203703703707</v>
      </c>
      <c r="C13" s="1">
        <v>600252</v>
      </c>
      <c r="D13" t="s">
        <v>14</v>
      </c>
      <c r="E13" t="s">
        <v>7</v>
      </c>
      <c r="F13" s="5">
        <v>5.05</v>
      </c>
      <c r="G13">
        <v>1000</v>
      </c>
      <c r="H13">
        <v>5050</v>
      </c>
      <c r="I13">
        <v>-5055.1000000000004</v>
      </c>
      <c r="J13">
        <f t="shared" si="0"/>
        <v>116604.58</v>
      </c>
    </row>
    <row r="14" spans="1:10" x14ac:dyDescent="0.2">
      <c r="A14" s="10">
        <v>20160115</v>
      </c>
      <c r="B14" s="11">
        <v>0.41631944444444446</v>
      </c>
      <c r="C14" s="1" t="s">
        <v>5</v>
      </c>
      <c r="D14" t="s">
        <v>6</v>
      </c>
      <c r="E14" t="s">
        <v>11</v>
      </c>
      <c r="F14" s="5">
        <v>14.5</v>
      </c>
      <c r="G14">
        <v>500</v>
      </c>
      <c r="H14">
        <v>7250</v>
      </c>
      <c r="I14">
        <v>7237.75</v>
      </c>
      <c r="J14">
        <f t="shared" si="0"/>
        <v>109366.83</v>
      </c>
    </row>
    <row r="15" spans="1:10" x14ac:dyDescent="0.2">
      <c r="A15" s="10">
        <v>20160115</v>
      </c>
      <c r="B15" s="11">
        <v>0.54799768518518521</v>
      </c>
      <c r="C15" s="1">
        <v>600750</v>
      </c>
      <c r="D15" t="s">
        <v>15</v>
      </c>
      <c r="E15" t="s">
        <v>7</v>
      </c>
      <c r="F15" s="5">
        <v>24.5</v>
      </c>
      <c r="G15">
        <v>200</v>
      </c>
      <c r="H15">
        <v>4900</v>
      </c>
      <c r="I15">
        <v>-4905.1000000000004</v>
      </c>
      <c r="J15">
        <f t="shared" si="0"/>
        <v>114271.93000000001</v>
      </c>
    </row>
    <row r="16" spans="1:10" x14ac:dyDescent="0.2">
      <c r="A16" s="10">
        <v>20160118</v>
      </c>
      <c r="B16" s="11">
        <v>0.39583333333333331</v>
      </c>
      <c r="C16" s="1" t="s">
        <v>5</v>
      </c>
      <c r="D16" t="s">
        <v>6</v>
      </c>
      <c r="E16" t="s">
        <v>11</v>
      </c>
      <c r="F16" s="5">
        <v>13.8</v>
      </c>
      <c r="G16">
        <v>1200</v>
      </c>
      <c r="H16">
        <v>16560</v>
      </c>
      <c r="I16">
        <v>16534.5</v>
      </c>
      <c r="J16">
        <f t="shared" si="0"/>
        <v>97737.430000000008</v>
      </c>
    </row>
    <row r="17" spans="1:10" x14ac:dyDescent="0.2">
      <c r="A17" s="10">
        <v>20160118</v>
      </c>
      <c r="B17" s="11">
        <v>0.39583333333333331</v>
      </c>
      <c r="C17" s="1" t="s">
        <v>5</v>
      </c>
      <c r="D17" t="s">
        <v>6</v>
      </c>
      <c r="E17" t="s">
        <v>11</v>
      </c>
      <c r="F17" s="5">
        <v>13.78</v>
      </c>
      <c r="G17">
        <v>1200</v>
      </c>
      <c r="H17">
        <v>16536</v>
      </c>
      <c r="I17">
        <v>16510.53</v>
      </c>
      <c r="J17">
        <f t="shared" si="0"/>
        <v>81226.900000000009</v>
      </c>
    </row>
    <row r="18" spans="1:10" x14ac:dyDescent="0.2">
      <c r="A18" s="10">
        <v>20160118</v>
      </c>
      <c r="B18" s="11">
        <v>0.39658564814814817</v>
      </c>
      <c r="C18" s="1" t="s">
        <v>5</v>
      </c>
      <c r="D18" t="s">
        <v>6</v>
      </c>
      <c r="E18" t="s">
        <v>11</v>
      </c>
      <c r="F18" s="5">
        <v>14</v>
      </c>
      <c r="G18">
        <v>800</v>
      </c>
      <c r="H18">
        <v>11200</v>
      </c>
      <c r="I18">
        <v>11182.75</v>
      </c>
      <c r="J18">
        <f t="shared" si="0"/>
        <v>70044.150000000009</v>
      </c>
    </row>
    <row r="19" spans="1:10" x14ac:dyDescent="0.2">
      <c r="A19" s="10">
        <v>20160118</v>
      </c>
      <c r="B19" s="11">
        <v>0.55292824074074076</v>
      </c>
      <c r="C19" s="1">
        <v>600750</v>
      </c>
      <c r="D19" t="s">
        <v>15</v>
      </c>
      <c r="E19" t="s">
        <v>11</v>
      </c>
      <c r="F19" s="5">
        <v>24.6</v>
      </c>
      <c r="G19">
        <v>200</v>
      </c>
      <c r="H19">
        <v>4920</v>
      </c>
      <c r="I19">
        <v>4909.9799999999996</v>
      </c>
      <c r="J19">
        <f t="shared" si="0"/>
        <v>65134.170000000013</v>
      </c>
    </row>
    <row r="20" spans="1:10" x14ac:dyDescent="0.2">
      <c r="A20" s="10">
        <v>20160118</v>
      </c>
      <c r="B20" s="11">
        <v>0.40038194444444447</v>
      </c>
      <c r="C20" s="1">
        <v>600252</v>
      </c>
      <c r="D20" t="s">
        <v>14</v>
      </c>
      <c r="E20" t="s">
        <v>11</v>
      </c>
      <c r="F20" s="5">
        <v>5.42</v>
      </c>
      <c r="G20">
        <v>1000</v>
      </c>
      <c r="H20">
        <v>5420</v>
      </c>
      <c r="I20">
        <v>5409.47</v>
      </c>
      <c r="J20">
        <f t="shared" si="0"/>
        <v>59724.700000000012</v>
      </c>
    </row>
    <row r="21" spans="1:10" x14ac:dyDescent="0.2">
      <c r="A21" s="10">
        <v>20160118</v>
      </c>
      <c r="B21" s="11">
        <v>0.40826388888888893</v>
      </c>
      <c r="C21" s="1" t="s">
        <v>16</v>
      </c>
      <c r="D21" t="s">
        <v>17</v>
      </c>
      <c r="E21" t="s">
        <v>7</v>
      </c>
      <c r="F21" s="5">
        <v>73.900000000000006</v>
      </c>
      <c r="G21">
        <v>200</v>
      </c>
      <c r="H21">
        <v>14780</v>
      </c>
      <c r="I21">
        <v>-14787.98</v>
      </c>
      <c r="J21">
        <f t="shared" si="0"/>
        <v>74512.680000000008</v>
      </c>
    </row>
    <row r="22" spans="1:10" x14ac:dyDescent="0.2">
      <c r="A22" s="10">
        <v>20160118</v>
      </c>
      <c r="B22" s="11">
        <v>0.61952546296296296</v>
      </c>
      <c r="C22" s="1" t="s">
        <v>5</v>
      </c>
      <c r="D22" t="s">
        <v>6</v>
      </c>
      <c r="E22" t="s">
        <v>11</v>
      </c>
      <c r="F22" s="5">
        <v>14.69</v>
      </c>
      <c r="G22">
        <v>900</v>
      </c>
      <c r="H22">
        <v>13221</v>
      </c>
      <c r="I22">
        <v>13200.64</v>
      </c>
      <c r="J22">
        <f t="shared" si="0"/>
        <v>61312.040000000008</v>
      </c>
    </row>
    <row r="23" spans="1:10" x14ac:dyDescent="0.2">
      <c r="A23" s="10">
        <v>20160119</v>
      </c>
      <c r="B23" s="11">
        <v>0.46295138888888893</v>
      </c>
      <c r="C23" s="1" t="s">
        <v>16</v>
      </c>
      <c r="D23" t="s">
        <v>17</v>
      </c>
      <c r="E23" t="s">
        <v>11</v>
      </c>
      <c r="F23" s="5">
        <v>74.510000000000005</v>
      </c>
      <c r="G23">
        <v>200</v>
      </c>
      <c r="H23">
        <v>14902</v>
      </c>
      <c r="I23">
        <v>14879.05</v>
      </c>
      <c r="J23">
        <f t="shared" si="0"/>
        <v>46432.990000000005</v>
      </c>
    </row>
    <row r="24" spans="1:10" x14ac:dyDescent="0.2">
      <c r="A24" s="10">
        <v>20160119</v>
      </c>
      <c r="B24" s="11">
        <v>0.61452546296296295</v>
      </c>
      <c r="C24" s="1" t="s">
        <v>16</v>
      </c>
      <c r="D24" t="s">
        <v>17</v>
      </c>
      <c r="E24" t="s">
        <v>7</v>
      </c>
      <c r="F24" s="5">
        <v>76.849999999999994</v>
      </c>
      <c r="G24">
        <v>400</v>
      </c>
      <c r="H24">
        <v>30740</v>
      </c>
      <c r="I24">
        <v>-30756.6</v>
      </c>
      <c r="J24">
        <f t="shared" si="0"/>
        <v>77189.59</v>
      </c>
    </row>
    <row r="25" spans="1:10" x14ac:dyDescent="0.2">
      <c r="A25" s="10">
        <v>20160119</v>
      </c>
      <c r="B25" s="11">
        <v>0.61571759259259262</v>
      </c>
      <c r="C25" s="1">
        <v>300061</v>
      </c>
      <c r="D25" t="s">
        <v>18</v>
      </c>
      <c r="E25" t="s">
        <v>7</v>
      </c>
      <c r="F25" s="5">
        <v>25.65</v>
      </c>
      <c r="G25">
        <v>1700</v>
      </c>
      <c r="H25">
        <v>43605</v>
      </c>
      <c r="I25">
        <v>-43628.55</v>
      </c>
      <c r="J25">
        <f t="shared" si="0"/>
        <v>120818.14</v>
      </c>
    </row>
    <row r="26" spans="1:10" x14ac:dyDescent="0.2">
      <c r="A26" s="10">
        <v>20160120</v>
      </c>
      <c r="B26" s="11">
        <v>0.4017592592592592</v>
      </c>
      <c r="C26" s="1" t="s">
        <v>16</v>
      </c>
      <c r="D26" t="s">
        <v>17</v>
      </c>
      <c r="E26" t="s">
        <v>11</v>
      </c>
      <c r="F26" s="5">
        <v>75.64</v>
      </c>
      <c r="G26">
        <v>400</v>
      </c>
      <c r="H26">
        <v>30256</v>
      </c>
      <c r="I26">
        <v>30209.4</v>
      </c>
      <c r="J26">
        <f t="shared" si="0"/>
        <v>90608.739999999991</v>
      </c>
    </row>
    <row r="27" spans="1:10" x14ac:dyDescent="0.2">
      <c r="A27" s="10">
        <v>20160120</v>
      </c>
      <c r="B27" s="11">
        <v>0.40511574074074069</v>
      </c>
      <c r="C27" s="1">
        <v>300273</v>
      </c>
      <c r="D27" t="s">
        <v>19</v>
      </c>
      <c r="E27" t="s">
        <v>7</v>
      </c>
      <c r="F27" s="5">
        <v>16.57</v>
      </c>
      <c r="G27">
        <v>1800</v>
      </c>
      <c r="H27">
        <v>29826</v>
      </c>
      <c r="I27">
        <v>-29842.11</v>
      </c>
      <c r="J27">
        <f t="shared" si="0"/>
        <v>120450.84999999999</v>
      </c>
    </row>
    <row r="28" spans="1:10" x14ac:dyDescent="0.2">
      <c r="A28" s="10">
        <v>20160121</v>
      </c>
      <c r="B28" s="11">
        <v>0.4725462962962963</v>
      </c>
      <c r="C28" s="1">
        <v>300061</v>
      </c>
      <c r="D28" t="s">
        <v>18</v>
      </c>
      <c r="E28" t="s">
        <v>11</v>
      </c>
      <c r="F28" s="5">
        <v>25.8</v>
      </c>
      <c r="G28">
        <v>1200</v>
      </c>
      <c r="H28">
        <v>30964</v>
      </c>
      <c r="I28">
        <v>30916.32</v>
      </c>
      <c r="J28">
        <f t="shared" si="0"/>
        <v>89534.53</v>
      </c>
    </row>
    <row r="29" spans="1:10" x14ac:dyDescent="0.2">
      <c r="A29" s="10">
        <v>20160121</v>
      </c>
      <c r="B29" s="11">
        <v>0.4729976851851852</v>
      </c>
      <c r="C29" s="1">
        <v>300061</v>
      </c>
      <c r="D29" t="s">
        <v>18</v>
      </c>
      <c r="E29" t="s">
        <v>11</v>
      </c>
      <c r="F29" s="5">
        <v>25.81</v>
      </c>
      <c r="G29">
        <v>500</v>
      </c>
      <c r="H29">
        <v>12905</v>
      </c>
      <c r="I29">
        <v>12885.12</v>
      </c>
      <c r="J29">
        <f t="shared" si="0"/>
        <v>76649.41</v>
      </c>
    </row>
    <row r="30" spans="1:10" x14ac:dyDescent="0.2">
      <c r="A30" s="10">
        <v>20160121</v>
      </c>
      <c r="B30" s="11">
        <v>0.4745138888888889</v>
      </c>
      <c r="C30" s="1">
        <v>300168</v>
      </c>
      <c r="D30" t="s">
        <v>20</v>
      </c>
      <c r="E30" t="s">
        <v>7</v>
      </c>
      <c r="F30" s="5">
        <v>26.22</v>
      </c>
      <c r="G30">
        <v>800</v>
      </c>
      <c r="H30">
        <v>20976</v>
      </c>
      <c r="I30">
        <v>-20987.33</v>
      </c>
      <c r="J30">
        <f t="shared" si="0"/>
        <v>97636.74</v>
      </c>
    </row>
    <row r="31" spans="1:10" x14ac:dyDescent="0.2">
      <c r="A31" s="10">
        <v>20160121</v>
      </c>
      <c r="B31" s="11">
        <v>0.54548611111111112</v>
      </c>
      <c r="C31" s="1" t="s">
        <v>21</v>
      </c>
      <c r="D31" t="s">
        <v>22</v>
      </c>
      <c r="E31" t="s">
        <v>7</v>
      </c>
      <c r="F31" s="5">
        <v>9.91</v>
      </c>
      <c r="G31">
        <v>2000</v>
      </c>
      <c r="H31">
        <v>19820</v>
      </c>
      <c r="I31">
        <v>-19830.7</v>
      </c>
      <c r="J31">
        <f t="shared" si="0"/>
        <v>117467.44</v>
      </c>
    </row>
    <row r="32" spans="1:10" x14ac:dyDescent="0.2">
      <c r="A32" s="10">
        <v>20160125</v>
      </c>
      <c r="B32" s="11">
        <v>0.40219907407407413</v>
      </c>
      <c r="C32" s="1">
        <v>300168</v>
      </c>
      <c r="D32" t="s">
        <v>20</v>
      </c>
      <c r="E32" t="s">
        <v>11</v>
      </c>
      <c r="F32" s="5">
        <v>25.65</v>
      </c>
      <c r="G32">
        <v>800</v>
      </c>
      <c r="H32">
        <v>20520</v>
      </c>
      <c r="I32">
        <v>20488.400000000001</v>
      </c>
      <c r="J32">
        <f t="shared" si="0"/>
        <v>96979.040000000008</v>
      </c>
    </row>
    <row r="33" spans="1:10" x14ac:dyDescent="0.2">
      <c r="A33" s="10">
        <v>20160125</v>
      </c>
      <c r="B33" s="11">
        <v>0.40354166666666669</v>
      </c>
      <c r="C33" s="1">
        <v>300134</v>
      </c>
      <c r="D33" t="s">
        <v>23</v>
      </c>
      <c r="E33" t="s">
        <v>7</v>
      </c>
      <c r="F33" s="5">
        <v>19.940000000000001</v>
      </c>
      <c r="G33">
        <v>1000</v>
      </c>
      <c r="H33">
        <v>19944</v>
      </c>
      <c r="I33">
        <v>-19954.77</v>
      </c>
      <c r="J33">
        <f t="shared" si="0"/>
        <v>116933.81000000001</v>
      </c>
    </row>
    <row r="34" spans="1:10" x14ac:dyDescent="0.2">
      <c r="A34" s="10">
        <v>20160127</v>
      </c>
      <c r="B34" s="11">
        <v>0.41234953703703708</v>
      </c>
      <c r="C34" s="1" t="s">
        <v>21</v>
      </c>
      <c r="D34" t="s">
        <v>22</v>
      </c>
      <c r="E34" t="s">
        <v>11</v>
      </c>
      <c r="F34" s="5">
        <v>8.32</v>
      </c>
      <c r="G34">
        <v>2000</v>
      </c>
      <c r="H34">
        <v>16648</v>
      </c>
      <c r="I34">
        <v>16622.37</v>
      </c>
      <c r="J34">
        <f t="shared" si="0"/>
        <v>100311.44000000002</v>
      </c>
    </row>
    <row r="35" spans="1:10" x14ac:dyDescent="0.2">
      <c r="A35" s="10">
        <v>20160127</v>
      </c>
      <c r="B35" s="11">
        <v>0.41289351851851852</v>
      </c>
      <c r="C35" s="1">
        <v>300273</v>
      </c>
      <c r="D35" t="s">
        <v>19</v>
      </c>
      <c r="E35" t="s">
        <v>11</v>
      </c>
      <c r="F35" s="5">
        <v>14.05</v>
      </c>
      <c r="G35">
        <v>1800</v>
      </c>
      <c r="H35">
        <v>25290</v>
      </c>
      <c r="I35">
        <v>25251.05</v>
      </c>
      <c r="J35">
        <f>J34-I35</f>
        <v>75060.390000000014</v>
      </c>
    </row>
    <row r="36" spans="1:10" x14ac:dyDescent="0.2">
      <c r="A36" s="10">
        <v>20160127</v>
      </c>
      <c r="B36" s="11">
        <v>0.41432870370370373</v>
      </c>
      <c r="C36" s="1">
        <v>300134</v>
      </c>
      <c r="D36" t="s">
        <v>23</v>
      </c>
      <c r="E36" t="s">
        <v>11</v>
      </c>
      <c r="F36" s="5">
        <v>17.04</v>
      </c>
      <c r="G36">
        <v>1000</v>
      </c>
      <c r="H36">
        <v>17040</v>
      </c>
      <c r="I36">
        <v>17013.759999999998</v>
      </c>
      <c r="J36">
        <f t="shared" si="0"/>
        <v>58046.630000000019</v>
      </c>
    </row>
    <row r="37" spans="1:10" x14ac:dyDescent="0.2">
      <c r="A37" s="10" t="str">
        <f>"20160129"</f>
        <v>20160129</v>
      </c>
      <c r="B37" s="10" t="str">
        <f>"10:09:42"</f>
        <v>10:09:42</v>
      </c>
      <c r="C37" t="str">
        <f>"300168"</f>
        <v>300168</v>
      </c>
      <c r="D37" t="str">
        <f>"万达信息"</f>
        <v>万达信息</v>
      </c>
      <c r="E37" t="str">
        <f t="shared" ref="E37:E43" si="1">"买入"</f>
        <v>买入</v>
      </c>
      <c r="F37">
        <v>24.83</v>
      </c>
      <c r="G37">
        <v>600</v>
      </c>
      <c r="H37">
        <v>14898</v>
      </c>
      <c r="I37">
        <v>-14906.04</v>
      </c>
      <c r="J37">
        <f t="shared" si="0"/>
        <v>72952.670000000013</v>
      </c>
    </row>
    <row r="38" spans="1:10" x14ac:dyDescent="0.2">
      <c r="A38" s="10" t="str">
        <f>"20160129"</f>
        <v>20160129</v>
      </c>
      <c r="B38" s="10" t="str">
        <f>"10:16:18"</f>
        <v>10:16:18</v>
      </c>
      <c r="C38" t="str">
        <f>"000423"</f>
        <v>000423</v>
      </c>
      <c r="D38" t="str">
        <f>"东阿阿胶"</f>
        <v>东阿阿胶</v>
      </c>
      <c r="E38" t="str">
        <f t="shared" si="1"/>
        <v>买入</v>
      </c>
      <c r="F38">
        <v>44.88</v>
      </c>
      <c r="G38">
        <v>200</v>
      </c>
      <c r="H38">
        <v>8976</v>
      </c>
      <c r="I38">
        <v>-8981</v>
      </c>
      <c r="J38">
        <f t="shared" si="0"/>
        <v>81933.670000000013</v>
      </c>
    </row>
    <row r="39" spans="1:10" x14ac:dyDescent="0.2">
      <c r="A39" s="10" t="str">
        <f>"20160129"</f>
        <v>20160129</v>
      </c>
      <c r="B39" s="10" t="str">
        <f>"10:35:28"</f>
        <v>10:35:28</v>
      </c>
      <c r="C39" t="str">
        <f>"600196"</f>
        <v>600196</v>
      </c>
      <c r="D39" t="str">
        <f>"复星医药"</f>
        <v>复星医药</v>
      </c>
      <c r="E39" t="str">
        <f t="shared" si="1"/>
        <v>买入</v>
      </c>
      <c r="F39">
        <v>17.989999999999998</v>
      </c>
      <c r="G39">
        <v>200</v>
      </c>
      <c r="H39">
        <v>3598</v>
      </c>
      <c r="I39">
        <v>-3603.07</v>
      </c>
      <c r="J39">
        <f t="shared" si="0"/>
        <v>85536.74000000002</v>
      </c>
    </row>
    <row r="40" spans="1:10" x14ac:dyDescent="0.2">
      <c r="A40" s="10" t="str">
        <f>"20160129"</f>
        <v>20160129</v>
      </c>
      <c r="B40" s="10" t="str">
        <f>"10:37:30"</f>
        <v>10:37:30</v>
      </c>
      <c r="C40" t="str">
        <f>"600572"</f>
        <v>600572</v>
      </c>
      <c r="D40" t="str">
        <f>"康恩贝"</f>
        <v>康恩贝</v>
      </c>
      <c r="E40" t="str">
        <f t="shared" si="1"/>
        <v>买入</v>
      </c>
      <c r="F40">
        <v>9.39</v>
      </c>
      <c r="G40">
        <v>300</v>
      </c>
      <c r="H40">
        <v>2817</v>
      </c>
      <c r="I40">
        <v>-2822.06</v>
      </c>
      <c r="J40">
        <f t="shared" si="0"/>
        <v>88358.800000000017</v>
      </c>
    </row>
    <row r="41" spans="1:10" x14ac:dyDescent="0.2">
      <c r="A41" s="10" t="str">
        <f>"20160201"</f>
        <v>20160201</v>
      </c>
      <c r="B41" s="10" t="str">
        <f>"09:35:54"</f>
        <v>09:35:54</v>
      </c>
      <c r="C41" t="str">
        <f>"300155"</f>
        <v>300155</v>
      </c>
      <c r="D41" t="str">
        <f>"安居宝"</f>
        <v>安居宝</v>
      </c>
      <c r="E41" t="str">
        <f t="shared" si="1"/>
        <v>买入</v>
      </c>
      <c r="F41">
        <v>11.4</v>
      </c>
      <c r="G41">
        <v>1000</v>
      </c>
      <c r="H41">
        <v>11400</v>
      </c>
      <c r="I41">
        <v>-11406.16</v>
      </c>
      <c r="J41">
        <f t="shared" si="0"/>
        <v>99764.960000000021</v>
      </c>
    </row>
    <row r="42" spans="1:10" x14ac:dyDescent="0.2">
      <c r="A42" s="10" t="str">
        <f>"20160201"</f>
        <v>20160201</v>
      </c>
      <c r="B42" s="10" t="str">
        <f>"09:40:46"</f>
        <v>09:40:46</v>
      </c>
      <c r="C42" t="str">
        <f>"603077"</f>
        <v>603077</v>
      </c>
      <c r="D42" t="str">
        <f>"和邦生物"</f>
        <v>和邦生物</v>
      </c>
      <c r="E42" t="str">
        <f t="shared" si="1"/>
        <v>买入</v>
      </c>
      <c r="F42">
        <v>5.25</v>
      </c>
      <c r="G42">
        <v>1000</v>
      </c>
      <c r="H42">
        <v>5250</v>
      </c>
      <c r="I42">
        <v>-5255.11</v>
      </c>
      <c r="J42">
        <f t="shared" si="0"/>
        <v>105020.07000000002</v>
      </c>
    </row>
    <row r="43" spans="1:10" x14ac:dyDescent="0.2">
      <c r="A43" s="10" t="str">
        <f>"20160201"</f>
        <v>20160201</v>
      </c>
      <c r="B43" s="10" t="str">
        <f>"09:46:34"</f>
        <v>09:46:34</v>
      </c>
      <c r="C43" t="str">
        <f>"300307"</f>
        <v>300307</v>
      </c>
      <c r="D43" t="str">
        <f>"慈星股份"</f>
        <v>慈星股份</v>
      </c>
      <c r="E43" t="str">
        <f t="shared" si="1"/>
        <v>买入</v>
      </c>
      <c r="F43">
        <v>11.04</v>
      </c>
      <c r="G43">
        <v>800</v>
      </c>
      <c r="H43">
        <v>8832</v>
      </c>
      <c r="I43">
        <v>-8837</v>
      </c>
      <c r="J43">
        <f t="shared" si="0"/>
        <v>113857.07000000002</v>
      </c>
    </row>
    <row r="44" spans="1:10" x14ac:dyDescent="0.2">
      <c r="A44" s="10" t="str">
        <f>"20160203"</f>
        <v>20160203</v>
      </c>
      <c r="B44" s="10" t="str">
        <f>"13:03:10"</f>
        <v>13:03:10</v>
      </c>
      <c r="C44" t="str">
        <f>"600196"</f>
        <v>600196</v>
      </c>
      <c r="D44" t="str">
        <f>"复星医药"</f>
        <v>复星医药</v>
      </c>
      <c r="E44" t="str">
        <f>"卖出"</f>
        <v>卖出</v>
      </c>
      <c r="F44">
        <v>17.989999999999998</v>
      </c>
      <c r="G44">
        <v>200</v>
      </c>
      <c r="H44">
        <v>3598</v>
      </c>
      <c r="I44">
        <v>3589.33</v>
      </c>
      <c r="J44">
        <f t="shared" si="0"/>
        <v>110267.74000000002</v>
      </c>
    </row>
    <row r="45" spans="1:10" x14ac:dyDescent="0.2">
      <c r="A45" s="10" t="str">
        <f>"20160203"</f>
        <v>20160203</v>
      </c>
      <c r="B45" s="10" t="str">
        <f>"13:20:32"</f>
        <v>13:20:32</v>
      </c>
      <c r="C45" t="str">
        <f>"300049"</f>
        <v>300049</v>
      </c>
      <c r="D45" t="str">
        <f>"福瑞股份"</f>
        <v>福瑞股份</v>
      </c>
      <c r="E45" t="str">
        <f>"买入"</f>
        <v>买入</v>
      </c>
      <c r="F45">
        <v>21.09</v>
      </c>
      <c r="G45">
        <v>500</v>
      </c>
      <c r="H45">
        <v>10545</v>
      </c>
      <c r="I45">
        <v>-10550.69</v>
      </c>
      <c r="J45">
        <f t="shared" si="0"/>
        <v>120818.43000000002</v>
      </c>
    </row>
    <row r="46" spans="1:10" x14ac:dyDescent="0.2">
      <c r="A46" s="10" t="str">
        <f t="shared" ref="A46:A51" si="2">"20160204"</f>
        <v>20160204</v>
      </c>
      <c r="B46" s="10" t="str">
        <f>"11:17:55"</f>
        <v>11:17:55</v>
      </c>
      <c r="C46" t="str">
        <f>"300155"</f>
        <v>300155</v>
      </c>
      <c r="D46" t="str">
        <f>"安居宝"</f>
        <v>安居宝</v>
      </c>
      <c r="E46" t="str">
        <f>"卖出"</f>
        <v>卖出</v>
      </c>
      <c r="F46">
        <v>15.74</v>
      </c>
      <c r="G46">
        <v>1000</v>
      </c>
      <c r="H46">
        <v>15740</v>
      </c>
      <c r="I46">
        <v>15715.76</v>
      </c>
      <c r="J46">
        <f t="shared" si="0"/>
        <v>105102.67000000003</v>
      </c>
    </row>
    <row r="47" spans="1:10" x14ac:dyDescent="0.2">
      <c r="A47" s="10" t="str">
        <f t="shared" si="2"/>
        <v>20160204</v>
      </c>
      <c r="B47" s="10" t="str">
        <f>"11:22:51"</f>
        <v>11:22:51</v>
      </c>
      <c r="C47" t="str">
        <f>"300049"</f>
        <v>300049</v>
      </c>
      <c r="D47" t="str">
        <f>"福瑞股份"</f>
        <v>福瑞股份</v>
      </c>
      <c r="E47" t="str">
        <f>"买入"</f>
        <v>买入</v>
      </c>
      <c r="F47">
        <v>21.53</v>
      </c>
      <c r="G47">
        <v>300</v>
      </c>
      <c r="H47">
        <v>6459</v>
      </c>
      <c r="I47">
        <v>-6464</v>
      </c>
      <c r="J47">
        <f t="shared" si="0"/>
        <v>111566.67000000003</v>
      </c>
    </row>
    <row r="48" spans="1:10" x14ac:dyDescent="0.2">
      <c r="A48" s="10" t="str">
        <f t="shared" si="2"/>
        <v>20160204</v>
      </c>
      <c r="B48" s="10" t="str">
        <f>"11:29:31"</f>
        <v>11:29:31</v>
      </c>
      <c r="C48" t="str">
        <f>"300168"</f>
        <v>300168</v>
      </c>
      <c r="D48" t="str">
        <f>"万达信息"</f>
        <v>万达信息</v>
      </c>
      <c r="E48" t="str">
        <f>"卖出"</f>
        <v>卖出</v>
      </c>
      <c r="F48">
        <v>29.32</v>
      </c>
      <c r="G48">
        <v>600</v>
      </c>
      <c r="H48">
        <v>17592</v>
      </c>
      <c r="I48">
        <v>17564.91</v>
      </c>
      <c r="J48">
        <f t="shared" si="0"/>
        <v>94001.760000000024</v>
      </c>
    </row>
    <row r="49" spans="1:10" x14ac:dyDescent="0.2">
      <c r="A49" s="10" t="str">
        <f t="shared" si="2"/>
        <v>20160204</v>
      </c>
      <c r="B49" s="10" t="str">
        <f>"13:01:16"</f>
        <v>13:01:16</v>
      </c>
      <c r="C49" t="str">
        <f>"300363"</f>
        <v>300363</v>
      </c>
      <c r="D49" t="str">
        <f>"博腾股份"</f>
        <v>博腾股份</v>
      </c>
      <c r="E49" t="str">
        <f>"买入"</f>
        <v>买入</v>
      </c>
      <c r="F49">
        <v>18.48</v>
      </c>
      <c r="G49">
        <v>1200</v>
      </c>
      <c r="H49">
        <v>22176</v>
      </c>
      <c r="I49">
        <v>-22187.98</v>
      </c>
      <c r="J49">
        <f t="shared" si="0"/>
        <v>116189.74000000002</v>
      </c>
    </row>
    <row r="50" spans="1:10" x14ac:dyDescent="0.2">
      <c r="A50" s="10" t="str">
        <f t="shared" si="2"/>
        <v>20160204</v>
      </c>
      <c r="B50" s="10" t="str">
        <f>"13:04:31"</f>
        <v>13:04:31</v>
      </c>
      <c r="C50" t="str">
        <f>"300307"</f>
        <v>300307</v>
      </c>
      <c r="D50" t="str">
        <f>"慈星股份"</f>
        <v>慈星股份</v>
      </c>
      <c r="E50" t="str">
        <f>"卖出"</f>
        <v>卖出</v>
      </c>
      <c r="F50">
        <v>11.500999999999999</v>
      </c>
      <c r="G50">
        <v>800</v>
      </c>
      <c r="H50">
        <v>9201</v>
      </c>
      <c r="I50">
        <v>9186.7999999999993</v>
      </c>
      <c r="J50">
        <f t="shared" si="0"/>
        <v>107002.94000000002</v>
      </c>
    </row>
    <row r="51" spans="1:10" x14ac:dyDescent="0.2">
      <c r="A51" s="10" t="str">
        <f t="shared" si="2"/>
        <v>20160204</v>
      </c>
      <c r="B51" s="10" t="str">
        <f>"13:13:51"</f>
        <v>13:13:51</v>
      </c>
      <c r="C51" t="str">
        <f>"002424"</f>
        <v>002424</v>
      </c>
      <c r="D51" t="str">
        <f>"贵州百灵"</f>
        <v>贵州百灵</v>
      </c>
      <c r="E51" t="str">
        <f t="shared" ref="E51:E57" si="3">"买入"</f>
        <v>买入</v>
      </c>
      <c r="F51">
        <v>16.55</v>
      </c>
      <c r="G51">
        <v>400</v>
      </c>
      <c r="H51">
        <v>6620</v>
      </c>
      <c r="I51">
        <v>-6625</v>
      </c>
      <c r="J51">
        <f t="shared" si="0"/>
        <v>113627.94000000002</v>
      </c>
    </row>
    <row r="52" spans="1:10" x14ac:dyDescent="0.2">
      <c r="A52" s="10" t="str">
        <f t="shared" ref="A52:A57" si="4">"20160215"</f>
        <v>20160215</v>
      </c>
      <c r="B52" s="10" t="str">
        <f>"09:30:12"</f>
        <v>09:30:12</v>
      </c>
      <c r="C52" t="str">
        <f>"300363"</f>
        <v>300363</v>
      </c>
      <c r="D52" t="str">
        <f>"博腾股份"</f>
        <v>博腾股份</v>
      </c>
      <c r="E52" t="str">
        <f t="shared" si="3"/>
        <v>买入</v>
      </c>
      <c r="F52">
        <v>17.649999999999999</v>
      </c>
      <c r="G52">
        <v>500</v>
      </c>
      <c r="H52">
        <v>8825</v>
      </c>
      <c r="I52">
        <v>-8830</v>
      </c>
      <c r="J52">
        <f t="shared" si="0"/>
        <v>122457.94000000002</v>
      </c>
    </row>
    <row r="53" spans="1:10" x14ac:dyDescent="0.2">
      <c r="A53" s="10" t="str">
        <f t="shared" si="4"/>
        <v>20160215</v>
      </c>
      <c r="B53" s="10" t="str">
        <f>"10:05:56"</f>
        <v>10:05:56</v>
      </c>
      <c r="C53" t="str">
        <f>"603077"</f>
        <v>603077</v>
      </c>
      <c r="D53" t="str">
        <f>"和邦生物"</f>
        <v>和邦生物</v>
      </c>
      <c r="E53" t="str">
        <f t="shared" si="3"/>
        <v>买入</v>
      </c>
      <c r="F53">
        <v>4.9329999999999998</v>
      </c>
      <c r="G53">
        <v>300</v>
      </c>
      <c r="H53">
        <v>1480.01</v>
      </c>
      <c r="I53">
        <v>-1485.04</v>
      </c>
      <c r="J53">
        <f t="shared" si="0"/>
        <v>123942.98000000001</v>
      </c>
    </row>
    <row r="54" spans="1:10" x14ac:dyDescent="0.2">
      <c r="A54" s="10" t="str">
        <f t="shared" si="4"/>
        <v>20160215</v>
      </c>
      <c r="B54" s="10" t="str">
        <f>"10:28:39"</f>
        <v>10:28:39</v>
      </c>
      <c r="C54" t="str">
        <f>"300134"</f>
        <v>300134</v>
      </c>
      <c r="D54" t="str">
        <f>"大富科技"</f>
        <v>大富科技</v>
      </c>
      <c r="E54" t="str">
        <f t="shared" si="3"/>
        <v>买入</v>
      </c>
      <c r="F54">
        <v>17.878</v>
      </c>
      <c r="G54">
        <v>500</v>
      </c>
      <c r="H54">
        <v>8939</v>
      </c>
      <c r="I54">
        <v>-8944</v>
      </c>
      <c r="J54">
        <f t="shared" si="0"/>
        <v>132886.98000000001</v>
      </c>
    </row>
    <row r="55" spans="1:10" x14ac:dyDescent="0.2">
      <c r="A55" s="10" t="str">
        <f t="shared" si="4"/>
        <v>20160215</v>
      </c>
      <c r="B55" s="10" t="str">
        <f>"10:30:55"</f>
        <v>10:30:55</v>
      </c>
      <c r="C55" t="str">
        <f>"300134"</f>
        <v>300134</v>
      </c>
      <c r="D55" t="str">
        <f>"大富科技"</f>
        <v>大富科技</v>
      </c>
      <c r="E55" t="str">
        <f t="shared" si="3"/>
        <v>买入</v>
      </c>
      <c r="F55">
        <v>18</v>
      </c>
      <c r="G55">
        <v>1000</v>
      </c>
      <c r="H55">
        <v>18000</v>
      </c>
      <c r="I55">
        <v>-18009.72</v>
      </c>
      <c r="J55">
        <f t="shared" si="0"/>
        <v>150896.70000000001</v>
      </c>
    </row>
    <row r="56" spans="1:10" x14ac:dyDescent="0.2">
      <c r="A56" s="10" t="str">
        <f t="shared" si="4"/>
        <v>20160215</v>
      </c>
      <c r="B56" s="10" t="str">
        <f>"11:01:17"</f>
        <v>11:01:17</v>
      </c>
      <c r="C56" t="str">
        <f>"300134"</f>
        <v>300134</v>
      </c>
      <c r="D56" t="str">
        <f>"大富科技"</f>
        <v>大富科技</v>
      </c>
      <c r="E56" t="str">
        <f t="shared" si="3"/>
        <v>买入</v>
      </c>
      <c r="F56">
        <v>17.98</v>
      </c>
      <c r="G56">
        <v>600</v>
      </c>
      <c r="H56">
        <v>10788</v>
      </c>
      <c r="I56">
        <v>-10793.83</v>
      </c>
      <c r="J56">
        <f t="shared" si="0"/>
        <v>161690.53</v>
      </c>
    </row>
    <row r="57" spans="1:10" x14ac:dyDescent="0.2">
      <c r="A57" s="10" t="str">
        <f t="shared" si="4"/>
        <v>20160215</v>
      </c>
      <c r="B57" s="10" t="str">
        <f>"14:20:25"</f>
        <v>14:20:25</v>
      </c>
      <c r="C57" t="str">
        <f>"300273"</f>
        <v>300273</v>
      </c>
      <c r="D57" t="str">
        <f>"和佳股份"</f>
        <v>和佳股份</v>
      </c>
      <c r="E57" t="str">
        <f t="shared" si="3"/>
        <v>买入</v>
      </c>
      <c r="F57">
        <v>14.4</v>
      </c>
      <c r="G57">
        <v>300</v>
      </c>
      <c r="H57">
        <v>4320</v>
      </c>
      <c r="I57">
        <v>-4325</v>
      </c>
      <c r="J57">
        <f t="shared" si="0"/>
        <v>166015.53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9"/>
  <sheetViews>
    <sheetView tabSelected="1" workbookViewId="0">
      <selection activeCell="BA28" sqref="BA28"/>
    </sheetView>
  </sheetViews>
  <sheetFormatPr baseColWidth="10" defaultRowHeight="16" x14ac:dyDescent="0.2"/>
  <cols>
    <col min="5" max="5" width="13.33203125" style="5" customWidth="1"/>
    <col min="7" max="7" width="11.1640625" style="7" customWidth="1"/>
    <col min="14" max="14" width="10.83203125" style="7"/>
    <col min="20" max="20" width="10.83203125" style="6"/>
    <col min="21" max="21" width="10.83203125" style="7"/>
    <col min="28" max="28" width="10.83203125" style="7"/>
    <col min="35" max="35" width="10.83203125" style="7"/>
    <col min="42" max="42" width="10.83203125" style="7"/>
    <col min="45" max="45" width="10.83203125" style="9"/>
    <col min="49" max="49" width="10.83203125" style="7"/>
    <col min="52" max="52" width="10.83203125" style="9"/>
    <col min="56" max="56" width="10.83203125" style="7"/>
    <col min="63" max="63" width="10.83203125" style="7"/>
    <col min="66" max="66" width="10.83203125" style="5"/>
    <col min="70" max="70" width="10.83203125" style="7"/>
    <col min="74" max="74" width="10.83203125" style="5"/>
    <col min="77" max="77" width="10.83203125" style="7"/>
    <col min="80" max="80" width="10.83203125" style="5"/>
    <col min="84" max="84" width="10.83203125" style="7" customWidth="1"/>
  </cols>
  <sheetData>
    <row r="1" spans="1:84" x14ac:dyDescent="0.2">
      <c r="A1" s="31" t="s">
        <v>6</v>
      </c>
      <c r="B1" s="31"/>
      <c r="C1" s="31"/>
      <c r="D1" s="31"/>
      <c r="E1" s="31"/>
      <c r="F1" s="31"/>
      <c r="G1" s="27"/>
      <c r="H1" s="31" t="s">
        <v>9</v>
      </c>
      <c r="I1" s="31"/>
      <c r="J1" s="31"/>
      <c r="K1" s="31"/>
      <c r="L1" s="31"/>
      <c r="M1" s="31"/>
      <c r="N1" s="27"/>
      <c r="O1" s="25" t="s">
        <v>13</v>
      </c>
      <c r="P1" s="26"/>
      <c r="Q1" s="26"/>
      <c r="R1" s="26"/>
      <c r="S1" s="26"/>
      <c r="T1" s="26"/>
      <c r="U1" s="27"/>
      <c r="V1" s="25" t="s">
        <v>14</v>
      </c>
      <c r="W1" s="26"/>
      <c r="X1" s="26"/>
      <c r="Y1" s="26"/>
      <c r="Z1" s="26"/>
      <c r="AA1" s="26"/>
      <c r="AB1" s="27"/>
      <c r="AC1" s="28" t="s">
        <v>15</v>
      </c>
      <c r="AD1" s="29"/>
      <c r="AE1" s="29"/>
      <c r="AF1" s="29"/>
      <c r="AG1" s="29"/>
      <c r="AH1" s="29"/>
      <c r="AI1" s="30"/>
      <c r="AJ1" s="25" t="s">
        <v>17</v>
      </c>
      <c r="AK1" s="26"/>
      <c r="AL1" s="26"/>
      <c r="AM1" s="26"/>
      <c r="AN1" s="26"/>
      <c r="AO1" s="26"/>
      <c r="AP1" s="27"/>
      <c r="AQ1" s="25" t="s">
        <v>18</v>
      </c>
      <c r="AR1" s="26"/>
      <c r="AS1" s="26"/>
      <c r="AT1" s="26"/>
      <c r="AU1" s="26"/>
      <c r="AV1" s="26"/>
      <c r="AW1" s="27"/>
      <c r="AX1" s="25" t="s">
        <v>20</v>
      </c>
      <c r="AY1" s="26"/>
      <c r="AZ1" s="26"/>
      <c r="BA1" s="26"/>
      <c r="BB1" s="26"/>
      <c r="BC1" s="26"/>
      <c r="BD1" s="27"/>
      <c r="BE1" s="25" t="s">
        <v>22</v>
      </c>
      <c r="BF1" s="26"/>
      <c r="BG1" s="26"/>
      <c r="BH1" s="26"/>
      <c r="BI1" s="26"/>
      <c r="BJ1" s="26"/>
      <c r="BK1" s="27"/>
      <c r="BL1" s="25" t="str">
        <f>"复星医药"</f>
        <v>复星医药</v>
      </c>
      <c r="BM1" s="26"/>
      <c r="BN1" s="26"/>
      <c r="BO1" s="26"/>
      <c r="BP1" s="26"/>
      <c r="BQ1" s="26"/>
      <c r="BR1" s="27"/>
      <c r="BS1" s="25" t="str">
        <f>"安居宝"</f>
        <v>安居宝</v>
      </c>
      <c r="BT1" s="26"/>
      <c r="BU1" s="26"/>
      <c r="BV1" s="26"/>
      <c r="BW1" s="26"/>
      <c r="BX1" s="26"/>
      <c r="BY1" s="27"/>
      <c r="BZ1" s="25" t="str">
        <f>"慈星股份"</f>
        <v>慈星股份</v>
      </c>
      <c r="CA1" s="26"/>
      <c r="CB1" s="26"/>
      <c r="CC1" s="26"/>
      <c r="CD1" s="26"/>
      <c r="CE1" s="26"/>
      <c r="CF1" s="27"/>
    </row>
    <row r="2" spans="1:84" x14ac:dyDescent="0.2">
      <c r="A2" s="6" t="s">
        <v>2</v>
      </c>
      <c r="B2" s="6" t="s">
        <v>3</v>
      </c>
      <c r="C2" s="6" t="s">
        <v>4</v>
      </c>
      <c r="D2" s="6" t="s">
        <v>0</v>
      </c>
      <c r="E2" s="8" t="s">
        <v>1</v>
      </c>
      <c r="F2" s="12" t="s">
        <v>34</v>
      </c>
      <c r="G2" s="16" t="s">
        <v>35</v>
      </c>
      <c r="H2" s="6" t="s">
        <v>2</v>
      </c>
      <c r="I2" s="6" t="s">
        <v>3</v>
      </c>
      <c r="J2" s="6" t="s">
        <v>4</v>
      </c>
      <c r="K2" s="6" t="s">
        <v>0</v>
      </c>
      <c r="L2" s="8" t="s">
        <v>1</v>
      </c>
      <c r="M2" s="12" t="s">
        <v>34</v>
      </c>
      <c r="N2" s="16" t="s">
        <v>35</v>
      </c>
      <c r="O2" s="6" t="s">
        <v>2</v>
      </c>
      <c r="P2" s="6" t="s">
        <v>3</v>
      </c>
      <c r="Q2" s="6" t="s">
        <v>4</v>
      </c>
      <c r="R2" s="6" t="s">
        <v>0</v>
      </c>
      <c r="S2" s="8" t="s">
        <v>1</v>
      </c>
      <c r="T2" s="12" t="s">
        <v>34</v>
      </c>
      <c r="U2" s="16" t="s">
        <v>35</v>
      </c>
      <c r="V2" s="6" t="s">
        <v>2</v>
      </c>
      <c r="W2" s="6" t="s">
        <v>3</v>
      </c>
      <c r="X2" s="6" t="s">
        <v>4</v>
      </c>
      <c r="Y2" s="6" t="s">
        <v>0</v>
      </c>
      <c r="Z2" s="8" t="s">
        <v>1</v>
      </c>
      <c r="AA2" s="12" t="s">
        <v>34</v>
      </c>
      <c r="AB2" s="16" t="s">
        <v>35</v>
      </c>
      <c r="AC2" s="6" t="s">
        <v>2</v>
      </c>
      <c r="AD2" s="6" t="s">
        <v>3</v>
      </c>
      <c r="AE2" s="6" t="s">
        <v>4</v>
      </c>
      <c r="AF2" s="6" t="s">
        <v>0</v>
      </c>
      <c r="AG2" s="8" t="s">
        <v>1</v>
      </c>
      <c r="AH2" s="12" t="s">
        <v>34</v>
      </c>
      <c r="AI2" s="16" t="s">
        <v>35</v>
      </c>
      <c r="AJ2" s="6" t="s">
        <v>2</v>
      </c>
      <c r="AK2" s="6" t="s">
        <v>3</v>
      </c>
      <c r="AL2" s="6" t="s">
        <v>4</v>
      </c>
      <c r="AM2" s="6" t="s">
        <v>0</v>
      </c>
      <c r="AN2" s="8" t="s">
        <v>1</v>
      </c>
      <c r="AO2" s="12" t="s">
        <v>34</v>
      </c>
      <c r="AP2" s="16" t="s">
        <v>35</v>
      </c>
      <c r="AQ2" s="6" t="s">
        <v>2</v>
      </c>
      <c r="AR2" s="6" t="s">
        <v>3</v>
      </c>
      <c r="AS2" s="13" t="s">
        <v>4</v>
      </c>
      <c r="AT2" s="6" t="s">
        <v>0</v>
      </c>
      <c r="AU2" s="8" t="s">
        <v>1</v>
      </c>
      <c r="AV2" s="12" t="s">
        <v>34</v>
      </c>
      <c r="AW2" s="16" t="s">
        <v>35</v>
      </c>
      <c r="AX2" s="6" t="s">
        <v>2</v>
      </c>
      <c r="AY2" s="6" t="s">
        <v>3</v>
      </c>
      <c r="AZ2" s="13" t="s">
        <v>4</v>
      </c>
      <c r="BA2" s="6" t="s">
        <v>0</v>
      </c>
      <c r="BB2" s="8" t="s">
        <v>1</v>
      </c>
      <c r="BC2" s="12" t="s">
        <v>34</v>
      </c>
      <c r="BD2" s="16" t="s">
        <v>35</v>
      </c>
      <c r="BE2" s="6" t="s">
        <v>2</v>
      </c>
      <c r="BF2" s="6" t="s">
        <v>3</v>
      </c>
      <c r="BG2" s="6" t="s">
        <v>4</v>
      </c>
      <c r="BH2" s="6" t="s">
        <v>0</v>
      </c>
      <c r="BI2" s="8" t="s">
        <v>1</v>
      </c>
      <c r="BJ2" s="12" t="s">
        <v>34</v>
      </c>
      <c r="BK2" s="16" t="s">
        <v>35</v>
      </c>
      <c r="BL2" s="6" t="s">
        <v>2</v>
      </c>
      <c r="BM2" s="6" t="s">
        <v>3</v>
      </c>
      <c r="BN2" s="8" t="s">
        <v>4</v>
      </c>
      <c r="BO2" s="6" t="s">
        <v>0</v>
      </c>
      <c r="BP2" s="8" t="s">
        <v>1</v>
      </c>
      <c r="BQ2" s="12" t="s">
        <v>34</v>
      </c>
      <c r="BR2" s="16" t="s">
        <v>35</v>
      </c>
      <c r="BS2" s="6" t="s">
        <v>2</v>
      </c>
      <c r="BT2" s="6" t="s">
        <v>3</v>
      </c>
      <c r="BU2" s="6" t="s">
        <v>4</v>
      </c>
      <c r="BV2" s="8" t="s">
        <v>0</v>
      </c>
      <c r="BW2" s="8" t="s">
        <v>1</v>
      </c>
      <c r="BX2" s="12" t="s">
        <v>34</v>
      </c>
      <c r="BY2" s="16" t="s">
        <v>35</v>
      </c>
      <c r="BZ2" s="6" t="s">
        <v>2</v>
      </c>
      <c r="CA2" s="6" t="s">
        <v>3</v>
      </c>
      <c r="CB2" s="8" t="s">
        <v>4</v>
      </c>
      <c r="CC2" s="6" t="s">
        <v>0</v>
      </c>
      <c r="CD2" s="8" t="s">
        <v>1</v>
      </c>
      <c r="CE2" s="12" t="s">
        <v>34</v>
      </c>
      <c r="CF2" s="16" t="s">
        <v>35</v>
      </c>
    </row>
    <row r="3" spans="1:84" x14ac:dyDescent="0.2">
      <c r="A3" s="10">
        <v>20151225</v>
      </c>
      <c r="B3" t="s">
        <v>7</v>
      </c>
      <c r="C3" s="5">
        <v>18.309999999999999</v>
      </c>
      <c r="D3">
        <v>1000</v>
      </c>
      <c r="E3">
        <v>-18364.93</v>
      </c>
      <c r="F3">
        <f>D3</f>
        <v>1000</v>
      </c>
      <c r="H3" s="10">
        <v>20151229</v>
      </c>
      <c r="I3" t="s">
        <v>7</v>
      </c>
      <c r="J3" s="5">
        <v>24.1</v>
      </c>
      <c r="K3">
        <v>700</v>
      </c>
      <c r="L3">
        <v>-16879.11</v>
      </c>
      <c r="M3">
        <f>K3</f>
        <v>700</v>
      </c>
      <c r="O3" s="10">
        <v>20160112</v>
      </c>
      <c r="P3" t="s">
        <v>7</v>
      </c>
      <c r="Q3" s="5">
        <v>110.48</v>
      </c>
      <c r="R3">
        <v>100</v>
      </c>
      <c r="S3" s="6">
        <v>-11053.97</v>
      </c>
      <c r="T3" s="6">
        <f>R3</f>
        <v>100</v>
      </c>
      <c r="V3" s="10">
        <v>20160114</v>
      </c>
      <c r="W3" t="s">
        <v>7</v>
      </c>
      <c r="X3" s="5">
        <v>5.05</v>
      </c>
      <c r="Y3">
        <v>1000</v>
      </c>
      <c r="Z3" s="6">
        <v>-5055.1000000000004</v>
      </c>
      <c r="AA3">
        <f>Y3</f>
        <v>1000</v>
      </c>
      <c r="AC3" s="19">
        <v>20160115</v>
      </c>
      <c r="AD3" s="20" t="s">
        <v>7</v>
      </c>
      <c r="AE3" s="21">
        <v>24.5</v>
      </c>
      <c r="AF3" s="20">
        <v>200</v>
      </c>
      <c r="AG3" s="20">
        <v>-4905.1000000000004</v>
      </c>
      <c r="AH3">
        <f>AF3</f>
        <v>200</v>
      </c>
      <c r="AJ3" s="10">
        <v>20160118</v>
      </c>
      <c r="AK3" t="s">
        <v>7</v>
      </c>
      <c r="AL3" s="5">
        <v>73.900000000000006</v>
      </c>
      <c r="AM3">
        <v>200</v>
      </c>
      <c r="AN3" s="6">
        <v>-14787.98</v>
      </c>
      <c r="AO3">
        <f>AM3</f>
        <v>200</v>
      </c>
      <c r="AQ3" s="10">
        <v>20160119</v>
      </c>
      <c r="AR3" t="s">
        <v>7</v>
      </c>
      <c r="AS3" s="9">
        <v>25.65</v>
      </c>
      <c r="AT3">
        <v>1700</v>
      </c>
      <c r="AU3" s="6">
        <v>-43628.55</v>
      </c>
      <c r="AV3">
        <f>AT3</f>
        <v>1700</v>
      </c>
      <c r="AX3" s="10">
        <v>20160121</v>
      </c>
      <c r="AY3" t="s">
        <v>7</v>
      </c>
      <c r="AZ3" s="9">
        <v>26.22</v>
      </c>
      <c r="BA3">
        <v>800</v>
      </c>
      <c r="BB3" s="6">
        <v>-20987.33</v>
      </c>
      <c r="BC3">
        <f>BA3</f>
        <v>800</v>
      </c>
      <c r="BE3" s="10">
        <v>20160121</v>
      </c>
      <c r="BF3" t="s">
        <v>7</v>
      </c>
      <c r="BG3" s="5">
        <v>9.91</v>
      </c>
      <c r="BH3">
        <v>2000</v>
      </c>
      <c r="BI3" s="6">
        <v>-19830.7</v>
      </c>
      <c r="BJ3">
        <f>BH3</f>
        <v>2000</v>
      </c>
      <c r="BL3" s="10" t="str">
        <f>"20160129"</f>
        <v>20160129</v>
      </c>
      <c r="BM3" t="str">
        <f t="shared" ref="P3:CA17" si="0">"买入"</f>
        <v>买入</v>
      </c>
      <c r="BN3" s="5">
        <v>17.989999999999998</v>
      </c>
      <c r="BO3">
        <v>200</v>
      </c>
      <c r="BP3" s="6">
        <v>-3603.07</v>
      </c>
      <c r="BQ3">
        <f>BO3</f>
        <v>200</v>
      </c>
      <c r="BS3" s="10" t="str">
        <f>"20160201"</f>
        <v>20160201</v>
      </c>
      <c r="BT3" t="str">
        <f t="shared" si="0"/>
        <v>买入</v>
      </c>
      <c r="BU3" s="5">
        <v>11.4</v>
      </c>
      <c r="BV3">
        <v>1000</v>
      </c>
      <c r="BW3" s="6">
        <v>-11406.16</v>
      </c>
      <c r="BX3">
        <f>BV3</f>
        <v>1000</v>
      </c>
      <c r="BZ3" s="10" t="str">
        <f>"20160201"</f>
        <v>20160201</v>
      </c>
      <c r="CA3" t="str">
        <f t="shared" si="0"/>
        <v>买入</v>
      </c>
      <c r="CB3" s="5">
        <v>11.04</v>
      </c>
      <c r="CC3">
        <v>800</v>
      </c>
      <c r="CD3" s="6">
        <v>-8837</v>
      </c>
      <c r="CE3">
        <f>CC3</f>
        <v>800</v>
      </c>
    </row>
    <row r="4" spans="1:84" x14ac:dyDescent="0.2">
      <c r="A4" s="10">
        <v>20151228</v>
      </c>
      <c r="B4" t="s">
        <v>7</v>
      </c>
      <c r="C4" s="5">
        <v>18</v>
      </c>
      <c r="D4">
        <v>2000</v>
      </c>
      <c r="E4">
        <v>-36019.440000000002</v>
      </c>
      <c r="F4">
        <f>F3+D4</f>
        <v>3000</v>
      </c>
      <c r="H4" s="10">
        <v>20160112</v>
      </c>
      <c r="I4" t="s">
        <v>11</v>
      </c>
      <c r="J4" s="5">
        <v>18.72</v>
      </c>
      <c r="K4">
        <v>-100</v>
      </c>
      <c r="L4">
        <v>1865.13</v>
      </c>
      <c r="M4">
        <f>M3+K4</f>
        <v>600</v>
      </c>
      <c r="O4" s="10">
        <v>20160114</v>
      </c>
      <c r="P4" t="s">
        <v>11</v>
      </c>
      <c r="Q4" s="5">
        <v>105.21</v>
      </c>
      <c r="R4">
        <v>-100</v>
      </c>
      <c r="S4" s="6">
        <v>10504.8</v>
      </c>
      <c r="T4" s="12">
        <v>0</v>
      </c>
      <c r="U4" s="17">
        <f>SUM(S3:S4)</f>
        <v>-549.17000000000007</v>
      </c>
      <c r="V4" s="10">
        <v>20160118</v>
      </c>
      <c r="W4" t="s">
        <v>11</v>
      </c>
      <c r="X4" s="5">
        <v>5.42</v>
      </c>
      <c r="Y4">
        <v>-1000</v>
      </c>
      <c r="Z4" s="6">
        <v>5409.47</v>
      </c>
      <c r="AA4" s="12">
        <v>0</v>
      </c>
      <c r="AB4" s="22">
        <f>SUM(Z3:Z4)</f>
        <v>354.36999999999989</v>
      </c>
      <c r="AC4" s="19">
        <v>20160118</v>
      </c>
      <c r="AD4" s="20" t="s">
        <v>11</v>
      </c>
      <c r="AE4" s="21">
        <v>24.6</v>
      </c>
      <c r="AF4" s="20">
        <v>-200</v>
      </c>
      <c r="AG4" s="20">
        <v>4909.9799999999996</v>
      </c>
      <c r="AH4" s="12">
        <v>0</v>
      </c>
      <c r="AI4" s="22">
        <f>SUM(AG3:AG4)</f>
        <v>4.8799999999991996</v>
      </c>
      <c r="AJ4" s="10">
        <v>20160119</v>
      </c>
      <c r="AK4" t="s">
        <v>11</v>
      </c>
      <c r="AL4" s="5">
        <v>74.510000000000005</v>
      </c>
      <c r="AM4">
        <v>-200</v>
      </c>
      <c r="AN4" s="6">
        <v>14879.05</v>
      </c>
      <c r="AO4">
        <f>AO3+AM4</f>
        <v>0</v>
      </c>
      <c r="AP4" s="22">
        <f>SUM(AN3:AN4)</f>
        <v>91.069999999999709</v>
      </c>
      <c r="AQ4" s="10">
        <v>20160121</v>
      </c>
      <c r="AR4" t="s">
        <v>11</v>
      </c>
      <c r="AS4" s="9">
        <v>25.8</v>
      </c>
      <c r="AT4">
        <v>-1200</v>
      </c>
      <c r="AU4" s="6">
        <v>30916.32</v>
      </c>
      <c r="AV4">
        <f>AV3+AT4</f>
        <v>500</v>
      </c>
      <c r="AX4" s="10">
        <v>20160125</v>
      </c>
      <c r="AY4" t="s">
        <v>11</v>
      </c>
      <c r="AZ4" s="9">
        <v>25.65</v>
      </c>
      <c r="BA4">
        <v>-800</v>
      </c>
      <c r="BB4" s="6">
        <v>20488.400000000001</v>
      </c>
      <c r="BC4">
        <f>BC3+BA4</f>
        <v>0</v>
      </c>
      <c r="BD4" s="17">
        <f>SUM(BB3:BB4)</f>
        <v>-498.93000000000029</v>
      </c>
      <c r="BE4" s="10">
        <v>20160127</v>
      </c>
      <c r="BF4" t="s">
        <v>11</v>
      </c>
      <c r="BG4" s="5">
        <v>8.32</v>
      </c>
      <c r="BH4">
        <v>-2000</v>
      </c>
      <c r="BI4" s="6">
        <v>16622.37</v>
      </c>
      <c r="BJ4" s="12">
        <v>0</v>
      </c>
      <c r="BK4" s="17">
        <f>SUM(BI3:BI4)</f>
        <v>-3208.3300000000017</v>
      </c>
      <c r="BL4" s="10" t="str">
        <f>"20160203"</f>
        <v>20160203</v>
      </c>
      <c r="BM4" t="str">
        <f>"卖出"</f>
        <v>卖出</v>
      </c>
      <c r="BN4" s="5">
        <v>17.989999999999998</v>
      </c>
      <c r="BO4">
        <v>-200</v>
      </c>
      <c r="BP4" s="6">
        <v>3589.33</v>
      </c>
      <c r="BQ4">
        <v>0</v>
      </c>
      <c r="BR4" s="17">
        <f>SUM(BP3:BP4)</f>
        <v>-13.740000000000236</v>
      </c>
      <c r="BS4" s="10" t="str">
        <f t="shared" ref="A4:BZ19" si="1">"20160204"</f>
        <v>20160204</v>
      </c>
      <c r="BT4" t="str">
        <f>"卖出"</f>
        <v>卖出</v>
      </c>
      <c r="BU4" s="5">
        <v>15.74</v>
      </c>
      <c r="BV4">
        <v>-1000</v>
      </c>
      <c r="BW4" s="6">
        <v>15715.76</v>
      </c>
      <c r="BX4" s="12">
        <v>0</v>
      </c>
      <c r="BY4" s="22">
        <f>SUM(BW3:BW4)</f>
        <v>4309.6000000000004</v>
      </c>
      <c r="BZ4" s="10" t="str">
        <f t="shared" si="1"/>
        <v>20160204</v>
      </c>
      <c r="CA4" t="str">
        <f>"卖出"</f>
        <v>卖出</v>
      </c>
      <c r="CB4" s="5">
        <v>11.500999999999999</v>
      </c>
      <c r="CC4">
        <v>-800</v>
      </c>
      <c r="CD4" s="6">
        <v>9186.7999999999993</v>
      </c>
      <c r="CE4" s="12">
        <v>0</v>
      </c>
      <c r="CF4" s="22">
        <f>SUM(CD3:CD4)</f>
        <v>349.79999999999927</v>
      </c>
    </row>
    <row r="5" spans="1:84" x14ac:dyDescent="0.2">
      <c r="A5" s="10">
        <v>20151230</v>
      </c>
      <c r="B5" t="s">
        <v>7</v>
      </c>
      <c r="C5" s="5">
        <v>17.670000000000002</v>
      </c>
      <c r="D5">
        <v>500</v>
      </c>
      <c r="E5">
        <v>-8840</v>
      </c>
      <c r="F5">
        <f t="shared" ref="F5:F11" si="2">F4+D5</f>
        <v>3500</v>
      </c>
      <c r="H5" s="10">
        <v>20160112</v>
      </c>
      <c r="I5" t="s">
        <v>11</v>
      </c>
      <c r="J5" s="5">
        <v>18.600000000000001</v>
      </c>
      <c r="K5">
        <v>-600</v>
      </c>
      <c r="L5">
        <v>11142.81</v>
      </c>
      <c r="M5">
        <f>M4+K5</f>
        <v>0</v>
      </c>
      <c r="N5" s="17">
        <f>SUM(L3:L5)</f>
        <v>-3871.17</v>
      </c>
      <c r="AJ5" s="10">
        <v>20160119</v>
      </c>
      <c r="AK5" t="s">
        <v>7</v>
      </c>
      <c r="AL5" s="5">
        <v>76.849999999999994</v>
      </c>
      <c r="AM5">
        <v>400</v>
      </c>
      <c r="AN5" s="6">
        <v>-30756.6</v>
      </c>
      <c r="AO5">
        <f t="shared" ref="AO5:AO6" si="3">AO4+AM5</f>
        <v>400</v>
      </c>
      <c r="AQ5" s="10">
        <v>20160121</v>
      </c>
      <c r="AR5" t="s">
        <v>11</v>
      </c>
      <c r="AS5" s="9">
        <v>25.81</v>
      </c>
      <c r="AT5">
        <v>-500</v>
      </c>
      <c r="AU5" s="6">
        <v>12885.12</v>
      </c>
      <c r="AV5">
        <f>AV4+AT5</f>
        <v>0</v>
      </c>
      <c r="AW5" s="22">
        <f>SUM(AU3:AU5)</f>
        <v>172.8899999999976</v>
      </c>
      <c r="AX5" s="10" t="str">
        <f>"20160129"</f>
        <v>20160129</v>
      </c>
      <c r="AY5" t="str">
        <f t="shared" si="0"/>
        <v>买入</v>
      </c>
      <c r="AZ5" s="9">
        <v>24.83</v>
      </c>
      <c r="BA5">
        <v>600</v>
      </c>
      <c r="BB5" s="6">
        <v>-14906.04</v>
      </c>
      <c r="BC5">
        <f t="shared" ref="BC5:BC6" si="4">BC4+BA5</f>
        <v>600</v>
      </c>
      <c r="BY5" s="22"/>
      <c r="CF5" s="22"/>
    </row>
    <row r="6" spans="1:84" x14ac:dyDescent="0.2">
      <c r="A6" s="10">
        <v>20151231</v>
      </c>
      <c r="B6" t="s">
        <v>7</v>
      </c>
      <c r="C6" s="5">
        <v>17.739999999999998</v>
      </c>
      <c r="D6">
        <v>1100</v>
      </c>
      <c r="E6">
        <v>-19524.54</v>
      </c>
      <c r="F6">
        <f t="shared" si="2"/>
        <v>4600</v>
      </c>
      <c r="AJ6" s="10">
        <v>20160120</v>
      </c>
      <c r="AK6" t="s">
        <v>11</v>
      </c>
      <c r="AL6" s="5">
        <v>75.64</v>
      </c>
      <c r="AM6">
        <v>-400</v>
      </c>
      <c r="AN6" s="6">
        <v>30209.4</v>
      </c>
      <c r="AO6">
        <f t="shared" si="3"/>
        <v>0</v>
      </c>
      <c r="AP6" s="17">
        <f t="shared" ref="AP6" si="5">SUM(AN5:AN6)</f>
        <v>-547.19999999999709</v>
      </c>
      <c r="AX6" s="10" t="str">
        <f t="shared" si="1"/>
        <v>20160204</v>
      </c>
      <c r="AY6" t="str">
        <f>"卖出"</f>
        <v>卖出</v>
      </c>
      <c r="AZ6" s="9">
        <v>29.32</v>
      </c>
      <c r="BA6">
        <v>-600</v>
      </c>
      <c r="BB6" s="6">
        <v>17564.91</v>
      </c>
      <c r="BC6">
        <f t="shared" si="4"/>
        <v>0</v>
      </c>
      <c r="BD6" s="22">
        <f>SUM(BB5:BB6)</f>
        <v>2658.869999999999</v>
      </c>
      <c r="BY6" s="22"/>
      <c r="CF6" s="22"/>
    </row>
    <row r="7" spans="1:84" x14ac:dyDescent="0.2">
      <c r="A7" s="10">
        <v>20160115</v>
      </c>
      <c r="B7" t="s">
        <v>11</v>
      </c>
      <c r="C7" s="5">
        <v>14.5</v>
      </c>
      <c r="D7">
        <v>-500</v>
      </c>
      <c r="E7">
        <v>7237.75</v>
      </c>
      <c r="F7">
        <f t="shared" si="2"/>
        <v>4100</v>
      </c>
      <c r="BY7" s="22"/>
      <c r="CF7" s="22"/>
    </row>
    <row r="8" spans="1:84" x14ac:dyDescent="0.2">
      <c r="A8" s="10">
        <v>20160118</v>
      </c>
      <c r="B8" t="s">
        <v>11</v>
      </c>
      <c r="C8" s="5">
        <v>13.8</v>
      </c>
      <c r="D8">
        <v>-1200</v>
      </c>
      <c r="E8">
        <v>16534.5</v>
      </c>
      <c r="F8">
        <f t="shared" si="2"/>
        <v>2900</v>
      </c>
      <c r="BY8" s="22"/>
      <c r="CF8" s="22"/>
    </row>
    <row r="9" spans="1:84" x14ac:dyDescent="0.2">
      <c r="A9" s="10">
        <v>20160118</v>
      </c>
      <c r="B9" t="s">
        <v>11</v>
      </c>
      <c r="C9" s="5">
        <v>13.78</v>
      </c>
      <c r="D9">
        <v>-1200</v>
      </c>
      <c r="E9">
        <v>16510.53</v>
      </c>
      <c r="F9">
        <f t="shared" si="2"/>
        <v>1700</v>
      </c>
      <c r="BY9" s="22"/>
      <c r="CF9" s="22"/>
    </row>
    <row r="10" spans="1:84" x14ac:dyDescent="0.2">
      <c r="A10" s="10">
        <v>20160118</v>
      </c>
      <c r="B10" t="s">
        <v>11</v>
      </c>
      <c r="C10" s="5">
        <v>14</v>
      </c>
      <c r="D10">
        <v>-800</v>
      </c>
      <c r="E10">
        <v>11182.75</v>
      </c>
      <c r="F10">
        <f t="shared" si="2"/>
        <v>900</v>
      </c>
      <c r="BY10" s="22"/>
      <c r="CF10" s="22"/>
    </row>
    <row r="11" spans="1:84" x14ac:dyDescent="0.2">
      <c r="A11" s="10">
        <v>20160118</v>
      </c>
      <c r="B11" t="s">
        <v>11</v>
      </c>
      <c r="C11" s="5">
        <v>14.69</v>
      </c>
      <c r="D11">
        <v>-900</v>
      </c>
      <c r="E11">
        <v>13200.64</v>
      </c>
      <c r="F11">
        <f t="shared" si="2"/>
        <v>0</v>
      </c>
      <c r="G11" s="17">
        <f>SUM(E3:E11)</f>
        <v>-18082.740000000005</v>
      </c>
      <c r="BY11" s="22"/>
      <c r="CF11" s="22"/>
    </row>
    <row r="12" spans="1:84" x14ac:dyDescent="0.2">
      <c r="A12" s="10"/>
      <c r="C12" s="5"/>
      <c r="E12"/>
      <c r="G12" s="17">
        <f>G11</f>
        <v>-18082.740000000005</v>
      </c>
      <c r="N12" s="17">
        <f>N5</f>
        <v>-3871.17</v>
      </c>
      <c r="U12" s="17">
        <f>U4</f>
        <v>-549.17000000000007</v>
      </c>
      <c r="AB12" s="22">
        <f>AB4</f>
        <v>354.36999999999989</v>
      </c>
      <c r="AI12" s="22">
        <f>AI4</f>
        <v>4.8799999999991996</v>
      </c>
      <c r="AP12" s="17">
        <f>SUM(AP4:AP6)</f>
        <v>-456.12999999999738</v>
      </c>
      <c r="AW12" s="22">
        <f>AW5</f>
        <v>172.8899999999976</v>
      </c>
      <c r="BD12" s="22">
        <f>SUM(BD4:BD6)</f>
        <v>2159.9399999999987</v>
      </c>
      <c r="BK12" s="17">
        <f>BK4</f>
        <v>-3208.3300000000017</v>
      </c>
      <c r="BR12" s="17">
        <f>BR4</f>
        <v>-13.740000000000236</v>
      </c>
      <c r="BY12" s="22">
        <f>BY4</f>
        <v>4309.6000000000004</v>
      </c>
      <c r="CF12" s="22">
        <f>CF4</f>
        <v>349.79999999999927</v>
      </c>
    </row>
    <row r="13" spans="1:84" s="14" customFormat="1" ht="17" thickBot="1" x14ac:dyDescent="0.25">
      <c r="A13" s="32" t="s">
        <v>36</v>
      </c>
      <c r="B13" s="32"/>
      <c r="C13" s="23">
        <f>SUM(12:12)</f>
        <v>-18829.800000000007</v>
      </c>
      <c r="E13" s="15"/>
      <c r="G13" s="18"/>
      <c r="N13" s="18"/>
      <c r="U13" s="18"/>
      <c r="AB13" s="18"/>
      <c r="AI13" s="18"/>
      <c r="AP13" s="18"/>
      <c r="AS13" s="24"/>
      <c r="AW13" s="18"/>
      <c r="AZ13" s="24"/>
      <c r="BD13" s="18"/>
      <c r="BK13" s="18"/>
      <c r="BN13" s="15"/>
      <c r="BR13" s="18"/>
      <c r="BV13" s="15"/>
      <c r="BY13" s="18"/>
      <c r="CB13" s="15"/>
      <c r="CF13" s="18"/>
    </row>
    <row r="14" spans="1:84" ht="17" thickTop="1" x14ac:dyDescent="0.2"/>
    <row r="15" spans="1:84" x14ac:dyDescent="0.2">
      <c r="A15" s="31" t="s">
        <v>10</v>
      </c>
      <c r="B15" s="31"/>
      <c r="C15" s="31"/>
      <c r="D15" s="31"/>
      <c r="E15" s="31"/>
      <c r="F15" s="31"/>
      <c r="G15" s="27"/>
      <c r="H15" s="25" t="s">
        <v>19</v>
      </c>
      <c r="I15" s="26"/>
      <c r="J15" s="26"/>
      <c r="K15" s="26"/>
      <c r="L15" s="26"/>
      <c r="M15" s="26"/>
      <c r="N15" s="27"/>
      <c r="O15" s="25" t="str">
        <f>"东阿阿胶"</f>
        <v>东阿阿胶</v>
      </c>
      <c r="P15" s="26"/>
      <c r="Q15" s="26"/>
      <c r="R15" s="26"/>
      <c r="S15" s="26"/>
      <c r="T15" s="26"/>
      <c r="U15" s="27"/>
      <c r="V15" s="25" t="s">
        <v>23</v>
      </c>
      <c r="W15" s="26"/>
      <c r="X15" s="26"/>
      <c r="Y15" s="26"/>
      <c r="Z15" s="26"/>
      <c r="AA15" s="26"/>
      <c r="AB15" s="27"/>
      <c r="AC15" s="25" t="str">
        <f>"康恩贝"</f>
        <v>康恩贝</v>
      </c>
      <c r="AD15" s="26"/>
      <c r="AE15" s="26"/>
      <c r="AF15" s="26"/>
      <c r="AG15" s="26"/>
      <c r="AH15" s="26"/>
      <c r="AI15" s="27"/>
      <c r="AJ15" s="25" t="str">
        <f>"和邦生物"</f>
        <v>和邦生物</v>
      </c>
      <c r="AK15" s="26"/>
      <c r="AL15" s="26"/>
      <c r="AM15" s="26"/>
      <c r="AN15" s="26"/>
      <c r="AO15" s="26"/>
      <c r="AP15" s="27"/>
      <c r="AQ15" s="25" t="str">
        <f>"福瑞股份"</f>
        <v>福瑞股份</v>
      </c>
      <c r="AR15" s="26"/>
      <c r="AS15" s="26"/>
      <c r="AT15" s="26"/>
      <c r="AU15" s="26"/>
      <c r="AV15" s="26"/>
      <c r="AW15" s="27"/>
      <c r="AX15" s="25" t="str">
        <f>"博腾股份"</f>
        <v>博腾股份</v>
      </c>
      <c r="AY15" s="26"/>
      <c r="AZ15" s="26"/>
      <c r="BA15" s="26"/>
      <c r="BB15" s="26"/>
      <c r="BC15" s="26"/>
      <c r="BD15" s="27"/>
    </row>
    <row r="16" spans="1:84" x14ac:dyDescent="0.2">
      <c r="A16" s="6" t="s">
        <v>2</v>
      </c>
      <c r="B16" s="6" t="s">
        <v>3</v>
      </c>
      <c r="C16" s="6" t="s">
        <v>4</v>
      </c>
      <c r="D16" s="6" t="s">
        <v>0</v>
      </c>
      <c r="E16" s="8" t="s">
        <v>1</v>
      </c>
      <c r="F16" s="12" t="s">
        <v>34</v>
      </c>
      <c r="G16" s="16" t="s">
        <v>35</v>
      </c>
      <c r="H16" s="6" t="s">
        <v>2</v>
      </c>
      <c r="I16" s="6" t="s">
        <v>3</v>
      </c>
      <c r="J16" s="6" t="s">
        <v>4</v>
      </c>
      <c r="K16" s="6" t="s">
        <v>0</v>
      </c>
      <c r="L16" s="8" t="s">
        <v>1</v>
      </c>
      <c r="M16" s="12" t="s">
        <v>34</v>
      </c>
      <c r="N16" s="16" t="s">
        <v>35</v>
      </c>
      <c r="O16" s="6" t="s">
        <v>2</v>
      </c>
      <c r="P16" s="6" t="s">
        <v>3</v>
      </c>
      <c r="Q16" s="6" t="s">
        <v>4</v>
      </c>
      <c r="R16" s="6" t="s">
        <v>0</v>
      </c>
      <c r="S16" s="8" t="s">
        <v>1</v>
      </c>
      <c r="T16" s="12" t="s">
        <v>34</v>
      </c>
      <c r="U16" s="16" t="s">
        <v>35</v>
      </c>
      <c r="V16" s="6" t="s">
        <v>2</v>
      </c>
      <c r="W16" s="6" t="s">
        <v>3</v>
      </c>
      <c r="X16" s="6" t="s">
        <v>4</v>
      </c>
      <c r="Y16" s="6" t="s">
        <v>0</v>
      </c>
      <c r="Z16" s="8" t="s">
        <v>1</v>
      </c>
      <c r="AA16" s="12" t="s">
        <v>34</v>
      </c>
      <c r="AB16" s="16" t="s">
        <v>35</v>
      </c>
      <c r="AC16" s="6" t="s">
        <v>2</v>
      </c>
      <c r="AD16" s="6" t="s">
        <v>3</v>
      </c>
      <c r="AE16" s="6" t="s">
        <v>4</v>
      </c>
      <c r="AF16" s="6" t="s">
        <v>0</v>
      </c>
      <c r="AG16" s="8" t="s">
        <v>1</v>
      </c>
      <c r="AH16" s="12" t="s">
        <v>34</v>
      </c>
      <c r="AI16" s="16" t="s">
        <v>35</v>
      </c>
      <c r="AJ16" s="6" t="s">
        <v>2</v>
      </c>
      <c r="AK16" s="6" t="s">
        <v>3</v>
      </c>
      <c r="AL16" s="6" t="s">
        <v>4</v>
      </c>
      <c r="AM16" s="6" t="s">
        <v>0</v>
      </c>
      <c r="AN16" s="8" t="s">
        <v>1</v>
      </c>
      <c r="AO16" s="12" t="s">
        <v>34</v>
      </c>
      <c r="AP16" s="16" t="s">
        <v>35</v>
      </c>
      <c r="AQ16" s="6" t="s">
        <v>2</v>
      </c>
      <c r="AR16" s="6" t="s">
        <v>3</v>
      </c>
      <c r="AS16" s="13" t="s">
        <v>4</v>
      </c>
      <c r="AT16" s="6" t="s">
        <v>0</v>
      </c>
      <c r="AU16" s="8" t="s">
        <v>1</v>
      </c>
      <c r="AV16" s="12" t="s">
        <v>34</v>
      </c>
      <c r="AW16" s="16" t="s">
        <v>35</v>
      </c>
      <c r="AX16" s="6" t="s">
        <v>2</v>
      </c>
      <c r="AY16" s="6" t="s">
        <v>3</v>
      </c>
      <c r="AZ16" s="13" t="s">
        <v>4</v>
      </c>
      <c r="BA16" s="6" t="s">
        <v>0</v>
      </c>
      <c r="BB16" s="8" t="s">
        <v>1</v>
      </c>
      <c r="BC16" s="12" t="s">
        <v>34</v>
      </c>
      <c r="BD16" s="16" t="s">
        <v>35</v>
      </c>
    </row>
    <row r="17" spans="1:54" x14ac:dyDescent="0.2">
      <c r="A17" s="10">
        <v>20151230</v>
      </c>
      <c r="B17" t="s">
        <v>7</v>
      </c>
      <c r="C17" s="5">
        <v>25.99</v>
      </c>
      <c r="D17">
        <v>800</v>
      </c>
      <c r="E17">
        <v>-20803.23</v>
      </c>
      <c r="F17">
        <f>D17</f>
        <v>800</v>
      </c>
      <c r="H17" s="10">
        <v>20160120</v>
      </c>
      <c r="I17" t="s">
        <v>7</v>
      </c>
      <c r="J17" s="5">
        <v>16.57</v>
      </c>
      <c r="K17">
        <v>1800</v>
      </c>
      <c r="L17" s="6">
        <v>-29842.11</v>
      </c>
      <c r="M17">
        <f>K17</f>
        <v>1800</v>
      </c>
      <c r="O17" s="10" t="str">
        <f>"20160129"</f>
        <v>20160129</v>
      </c>
      <c r="P17" t="str">
        <f t="shared" si="0"/>
        <v>买入</v>
      </c>
      <c r="Q17">
        <v>44.88</v>
      </c>
      <c r="R17">
        <v>200</v>
      </c>
      <c r="S17" s="6">
        <v>-8981</v>
      </c>
      <c r="T17" s="6">
        <f>R17</f>
        <v>200</v>
      </c>
      <c r="V17" s="10">
        <v>20160125</v>
      </c>
      <c r="W17" t="s">
        <v>7</v>
      </c>
      <c r="X17" s="5">
        <v>19.940000000000001</v>
      </c>
      <c r="Y17">
        <v>1000</v>
      </c>
      <c r="Z17" s="6">
        <v>-19954.77</v>
      </c>
      <c r="AA17">
        <f>Y17</f>
        <v>1000</v>
      </c>
      <c r="AC17" s="10" t="str">
        <f>"20160129"</f>
        <v>20160129</v>
      </c>
      <c r="AD17" t="str">
        <f t="shared" si="0"/>
        <v>买入</v>
      </c>
      <c r="AE17">
        <v>9.39</v>
      </c>
      <c r="AF17">
        <v>300</v>
      </c>
      <c r="AG17" s="6">
        <v>-2822.06</v>
      </c>
      <c r="AH17">
        <f>AF17</f>
        <v>300</v>
      </c>
      <c r="AJ17" s="10" t="str">
        <f>"20160201"</f>
        <v>20160201</v>
      </c>
      <c r="AK17" t="str">
        <f t="shared" si="0"/>
        <v>买入</v>
      </c>
      <c r="AL17">
        <v>5.25</v>
      </c>
      <c r="AM17">
        <v>1000</v>
      </c>
      <c r="AN17" s="6">
        <v>-5255.11</v>
      </c>
      <c r="AQ17" s="10" t="str">
        <f>"20160203"</f>
        <v>20160203</v>
      </c>
      <c r="AR17" t="str">
        <f>"买入"</f>
        <v>买入</v>
      </c>
      <c r="AS17" s="9">
        <v>21.09</v>
      </c>
      <c r="AT17">
        <v>500</v>
      </c>
      <c r="AU17" s="6">
        <v>-10550.69</v>
      </c>
      <c r="AX17" s="10" t="str">
        <f t="shared" si="1"/>
        <v>20160204</v>
      </c>
      <c r="AY17" t="str">
        <f>"买入"</f>
        <v>买入</v>
      </c>
      <c r="AZ17" s="9">
        <v>18.48</v>
      </c>
      <c r="BA17">
        <v>1200</v>
      </c>
      <c r="BB17" s="6">
        <v>-22187.98</v>
      </c>
    </row>
    <row r="18" spans="1:54" x14ac:dyDescent="0.2">
      <c r="A18" s="10">
        <v>20160114</v>
      </c>
      <c r="B18" t="s">
        <v>7</v>
      </c>
      <c r="C18" s="5">
        <v>17.86</v>
      </c>
      <c r="D18">
        <v>200</v>
      </c>
      <c r="E18">
        <v>-3577</v>
      </c>
      <c r="F18">
        <f>F17+D18</f>
        <v>1000</v>
      </c>
      <c r="H18" s="10">
        <v>20160127</v>
      </c>
      <c r="I18" t="s">
        <v>11</v>
      </c>
      <c r="J18" s="5">
        <v>14.05</v>
      </c>
      <c r="K18">
        <v>-1800</v>
      </c>
      <c r="L18" s="6">
        <v>25251.05</v>
      </c>
      <c r="M18">
        <f>M17+K18</f>
        <v>0</v>
      </c>
      <c r="N18" s="17">
        <f>SUM(L17:L18)</f>
        <v>-4591.0600000000013</v>
      </c>
      <c r="V18" s="10">
        <v>20160127</v>
      </c>
      <c r="W18" t="s">
        <v>11</v>
      </c>
      <c r="X18" s="5">
        <v>17.04</v>
      </c>
      <c r="Y18">
        <v>-1000</v>
      </c>
      <c r="Z18" s="6">
        <v>17013.759999999998</v>
      </c>
      <c r="AA18">
        <f>AA17+Y18</f>
        <v>0</v>
      </c>
      <c r="AB18" s="17">
        <f>SUM(Z17:Z18)</f>
        <v>-2941.010000000002</v>
      </c>
      <c r="AJ18" s="10" t="str">
        <f t="shared" ref="H18:AX21" si="6">"20160215"</f>
        <v>20160215</v>
      </c>
      <c r="AK18" t="str">
        <f t="shared" ref="B18:AY21" si="7">"买入"</f>
        <v>买入</v>
      </c>
      <c r="AL18">
        <v>4.9329999999999998</v>
      </c>
      <c r="AM18">
        <v>300</v>
      </c>
      <c r="AN18" s="6">
        <v>-1485.04</v>
      </c>
      <c r="AQ18" s="10" t="str">
        <f t="shared" si="1"/>
        <v>20160204</v>
      </c>
      <c r="AR18" t="str">
        <f>"买入"</f>
        <v>买入</v>
      </c>
      <c r="AS18" s="9">
        <v>21.53</v>
      </c>
      <c r="AT18">
        <v>300</v>
      </c>
      <c r="AU18" s="6">
        <v>-6464</v>
      </c>
      <c r="AX18" s="10" t="str">
        <f t="shared" si="6"/>
        <v>20160215</v>
      </c>
      <c r="AY18" t="str">
        <f t="shared" si="7"/>
        <v>买入</v>
      </c>
      <c r="AZ18" s="9">
        <v>17.649999999999999</v>
      </c>
      <c r="BA18">
        <v>500</v>
      </c>
      <c r="BB18" s="6">
        <v>-8830</v>
      </c>
    </row>
    <row r="19" spans="1:54" x14ac:dyDescent="0.2">
      <c r="A19" s="10" t="str">
        <f t="shared" si="1"/>
        <v>20160204</v>
      </c>
      <c r="B19" t="str">
        <f t="shared" si="7"/>
        <v>买入</v>
      </c>
      <c r="C19" s="5">
        <v>16.55</v>
      </c>
      <c r="D19">
        <v>400</v>
      </c>
      <c r="E19">
        <v>-6625</v>
      </c>
      <c r="F19">
        <f>F18+D19</f>
        <v>1400</v>
      </c>
      <c r="H19" s="10" t="str">
        <f t="shared" si="6"/>
        <v>20160215</v>
      </c>
      <c r="I19" t="str">
        <f t="shared" si="7"/>
        <v>买入</v>
      </c>
      <c r="J19" s="5">
        <v>14.4</v>
      </c>
      <c r="K19">
        <v>300</v>
      </c>
      <c r="L19" s="6">
        <v>-4325</v>
      </c>
      <c r="M19">
        <f>M18+K19</f>
        <v>300</v>
      </c>
      <c r="V19" s="10" t="str">
        <f t="shared" si="6"/>
        <v>20160215</v>
      </c>
      <c r="W19" t="str">
        <f t="shared" si="7"/>
        <v>买入</v>
      </c>
      <c r="X19">
        <v>17.878</v>
      </c>
      <c r="Y19">
        <v>500</v>
      </c>
      <c r="Z19" s="6">
        <v>-8944</v>
      </c>
      <c r="AA19">
        <f t="shared" ref="AA19:AA21" si="8">AA18+Y19</f>
        <v>500</v>
      </c>
    </row>
    <row r="20" spans="1:54" x14ac:dyDescent="0.2">
      <c r="V20" s="10" t="str">
        <f t="shared" si="6"/>
        <v>20160215</v>
      </c>
      <c r="W20" t="str">
        <f t="shared" si="7"/>
        <v>买入</v>
      </c>
      <c r="X20">
        <v>18</v>
      </c>
      <c r="Y20">
        <v>1000</v>
      </c>
      <c r="Z20" s="6">
        <v>-18009.72</v>
      </c>
      <c r="AA20">
        <f t="shared" si="8"/>
        <v>1500</v>
      </c>
    </row>
    <row r="21" spans="1:54" x14ac:dyDescent="0.2">
      <c r="O21" s="10"/>
      <c r="R21" s="5"/>
      <c r="V21" s="10" t="str">
        <f t="shared" si="6"/>
        <v>20160215</v>
      </c>
      <c r="W21" t="str">
        <f t="shared" si="7"/>
        <v>买入</v>
      </c>
      <c r="X21">
        <v>17.98</v>
      </c>
      <c r="Y21">
        <v>600</v>
      </c>
      <c r="Z21" s="6">
        <v>-10793.83</v>
      </c>
      <c r="AA21">
        <f t="shared" si="8"/>
        <v>2100</v>
      </c>
    </row>
    <row r="22" spans="1:54" x14ac:dyDescent="0.2">
      <c r="O22" s="10"/>
      <c r="R22" s="5"/>
    </row>
    <row r="30" spans="1:54" x14ac:dyDescent="0.2">
      <c r="AH30" s="6"/>
    </row>
    <row r="33" spans="34:34" x14ac:dyDescent="0.2">
      <c r="AH33" s="6"/>
    </row>
    <row r="34" spans="34:34" x14ac:dyDescent="0.2">
      <c r="AH34" s="6"/>
    </row>
    <row r="37" spans="34:34" x14ac:dyDescent="0.2">
      <c r="AH37" s="6"/>
    </row>
    <row r="38" spans="34:34" x14ac:dyDescent="0.2">
      <c r="AH38" s="6"/>
    </row>
    <row r="39" spans="34:34" x14ac:dyDescent="0.2">
      <c r="AH39" s="6"/>
    </row>
  </sheetData>
  <mergeCells count="21">
    <mergeCell ref="A1:G1"/>
    <mergeCell ref="H1:N1"/>
    <mergeCell ref="O1:U1"/>
    <mergeCell ref="A15:G15"/>
    <mergeCell ref="H15:N15"/>
    <mergeCell ref="O15:U15"/>
    <mergeCell ref="A13:B13"/>
    <mergeCell ref="AJ15:AP15"/>
    <mergeCell ref="AQ15:AW15"/>
    <mergeCell ref="AX15:BD15"/>
    <mergeCell ref="V1:AB1"/>
    <mergeCell ref="V15:AB15"/>
    <mergeCell ref="AC15:AI15"/>
    <mergeCell ref="AC1:AI1"/>
    <mergeCell ref="AJ1:AP1"/>
    <mergeCell ref="AQ1:AW1"/>
    <mergeCell ref="AX1:BD1"/>
    <mergeCell ref="BE1:BK1"/>
    <mergeCell ref="BL1:BR1"/>
    <mergeCell ref="BS1:BY1"/>
    <mergeCell ref="BZ1:C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交割单</vt:lpstr>
      <vt:lpstr> 轨道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2016-02-16T09:47:05Z</dcterms:modified>
</cp:coreProperties>
</file>