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if84450\Documents\bills\resources\"/>
    </mc:Choice>
  </mc:AlternateContent>
  <xr:revisionPtr revIDLastSave="0" documentId="8_{1F580BF4-D03E-45A1-931E-D7240E84D196}" xr6:coauthVersionLast="47" xr6:coauthVersionMax="47" xr10:uidLastSave="{00000000-0000-0000-0000-000000000000}"/>
  <bookViews>
    <workbookView xWindow="-108" yWindow="-108" windowWidth="23256" windowHeight="12576" activeTab="1" xr2:uid="{67460670-A508-47C6-B250-C125558BD3CB}"/>
  </bookViews>
  <sheets>
    <sheet name="Scatch" sheetId="1" r:id="rId1"/>
    <sheet name="Nov" sheetId="8" r:id="rId2"/>
    <sheet name="Oct" sheetId="2" r:id="rId3"/>
    <sheet name="Sep" sheetId="3" r:id="rId4"/>
    <sheet name="Aug" sheetId="5" r:id="rId5"/>
    <sheet name="July" sheetId="6" r:id="rId6"/>
    <sheet name="Jun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2" i="8" l="1"/>
  <c r="AY12" i="8"/>
  <c r="Q7" i="8"/>
  <c r="C7" i="8" s="1"/>
  <c r="H12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C38" i="8"/>
  <c r="AB38" i="8"/>
  <c r="AA38" i="8"/>
  <c r="Z38" i="8"/>
  <c r="Y38" i="8"/>
  <c r="W38" i="8"/>
  <c r="V38" i="8"/>
  <c r="U38" i="8"/>
  <c r="T38" i="8"/>
  <c r="S38" i="8"/>
  <c r="R38" i="8"/>
  <c r="Q38" i="8"/>
  <c r="P38" i="8"/>
  <c r="O38" i="8"/>
  <c r="BB37" i="8"/>
  <c r="M37" i="8"/>
  <c r="L37" i="8"/>
  <c r="K37" i="8"/>
  <c r="J37" i="8"/>
  <c r="I37" i="8"/>
  <c r="H37" i="8"/>
  <c r="G37" i="8"/>
  <c r="F37" i="8"/>
  <c r="E37" i="8"/>
  <c r="D37" i="8"/>
  <c r="C37" i="8"/>
  <c r="B37" i="8"/>
  <c r="BB36" i="8"/>
  <c r="M36" i="8"/>
  <c r="L36" i="8"/>
  <c r="K36" i="8"/>
  <c r="J36" i="8"/>
  <c r="I36" i="8"/>
  <c r="H36" i="8"/>
  <c r="G36" i="8"/>
  <c r="F36" i="8"/>
  <c r="E36" i="8"/>
  <c r="D36" i="8"/>
  <c r="C36" i="8"/>
  <c r="B36" i="8"/>
  <c r="BB35" i="8"/>
  <c r="M35" i="8"/>
  <c r="L35" i="8"/>
  <c r="K35" i="8"/>
  <c r="J35" i="8"/>
  <c r="I35" i="8"/>
  <c r="H35" i="8"/>
  <c r="G35" i="8"/>
  <c r="F35" i="8"/>
  <c r="E35" i="8"/>
  <c r="D35" i="8"/>
  <c r="C35" i="8"/>
  <c r="B35" i="8"/>
  <c r="BB34" i="8"/>
  <c r="M34" i="8"/>
  <c r="L34" i="8"/>
  <c r="K34" i="8"/>
  <c r="J34" i="8"/>
  <c r="I34" i="8"/>
  <c r="H34" i="8"/>
  <c r="G34" i="8"/>
  <c r="F34" i="8"/>
  <c r="E34" i="8"/>
  <c r="D34" i="8"/>
  <c r="C34" i="8"/>
  <c r="B34" i="8"/>
  <c r="BB33" i="8"/>
  <c r="M33" i="8"/>
  <c r="L33" i="8"/>
  <c r="K33" i="8"/>
  <c r="J33" i="8"/>
  <c r="I33" i="8"/>
  <c r="H33" i="8"/>
  <c r="G33" i="8"/>
  <c r="F33" i="8"/>
  <c r="E33" i="8"/>
  <c r="D33" i="8"/>
  <c r="C33" i="8"/>
  <c r="B33" i="8"/>
  <c r="BB32" i="8"/>
  <c r="M32" i="8"/>
  <c r="L32" i="8"/>
  <c r="K32" i="8"/>
  <c r="J32" i="8"/>
  <c r="I32" i="8"/>
  <c r="H32" i="8"/>
  <c r="G32" i="8"/>
  <c r="F32" i="8"/>
  <c r="E32" i="8"/>
  <c r="D32" i="8"/>
  <c r="C32" i="8"/>
  <c r="B32" i="8"/>
  <c r="BB31" i="8"/>
  <c r="M31" i="8"/>
  <c r="L31" i="8"/>
  <c r="K31" i="8"/>
  <c r="J31" i="8"/>
  <c r="I31" i="8"/>
  <c r="H31" i="8"/>
  <c r="G31" i="8"/>
  <c r="F31" i="8"/>
  <c r="E31" i="8"/>
  <c r="D31" i="8"/>
  <c r="C31" i="8"/>
  <c r="B31" i="8"/>
  <c r="BB30" i="8"/>
  <c r="M30" i="8"/>
  <c r="L30" i="8"/>
  <c r="K30" i="8"/>
  <c r="J30" i="8"/>
  <c r="I30" i="8"/>
  <c r="H30" i="8"/>
  <c r="G30" i="8"/>
  <c r="F30" i="8"/>
  <c r="E30" i="8"/>
  <c r="D30" i="8"/>
  <c r="C30" i="8"/>
  <c r="B30" i="8"/>
  <c r="BB29" i="8"/>
  <c r="M29" i="8"/>
  <c r="L29" i="8"/>
  <c r="K29" i="8"/>
  <c r="J29" i="8"/>
  <c r="I29" i="8"/>
  <c r="H29" i="8"/>
  <c r="G29" i="8"/>
  <c r="F29" i="8"/>
  <c r="E29" i="8"/>
  <c r="D29" i="8"/>
  <c r="C29" i="8"/>
  <c r="B29" i="8"/>
  <c r="BB28" i="8"/>
  <c r="M28" i="8"/>
  <c r="L28" i="8"/>
  <c r="K28" i="8"/>
  <c r="J28" i="8"/>
  <c r="I28" i="8"/>
  <c r="H28" i="8"/>
  <c r="G28" i="8"/>
  <c r="F28" i="8"/>
  <c r="E28" i="8"/>
  <c r="D28" i="8"/>
  <c r="C28" i="8"/>
  <c r="B28" i="8"/>
  <c r="BB27" i="8"/>
  <c r="M27" i="8"/>
  <c r="L27" i="8"/>
  <c r="K27" i="8"/>
  <c r="J27" i="8"/>
  <c r="I27" i="8"/>
  <c r="H27" i="8"/>
  <c r="G27" i="8"/>
  <c r="F27" i="8"/>
  <c r="E27" i="8"/>
  <c r="D27" i="8"/>
  <c r="C27" i="8"/>
  <c r="B27" i="8"/>
  <c r="BB26" i="8"/>
  <c r="M26" i="8"/>
  <c r="L26" i="8"/>
  <c r="K26" i="8"/>
  <c r="J26" i="8"/>
  <c r="I26" i="8"/>
  <c r="H26" i="8"/>
  <c r="G26" i="8"/>
  <c r="F26" i="8"/>
  <c r="E26" i="8"/>
  <c r="D26" i="8"/>
  <c r="C26" i="8"/>
  <c r="B26" i="8"/>
  <c r="BB25" i="8"/>
  <c r="M25" i="8"/>
  <c r="L25" i="8"/>
  <c r="K25" i="8"/>
  <c r="J25" i="8"/>
  <c r="I25" i="8"/>
  <c r="H25" i="8"/>
  <c r="G25" i="8"/>
  <c r="F25" i="8"/>
  <c r="E25" i="8"/>
  <c r="D25" i="8"/>
  <c r="C25" i="8"/>
  <c r="B25" i="8"/>
  <c r="BB24" i="8"/>
  <c r="M24" i="8"/>
  <c r="L24" i="8"/>
  <c r="K24" i="8"/>
  <c r="J24" i="8"/>
  <c r="I24" i="8"/>
  <c r="H24" i="8"/>
  <c r="G24" i="8"/>
  <c r="F24" i="8"/>
  <c r="E24" i="8"/>
  <c r="D24" i="8"/>
  <c r="C24" i="8"/>
  <c r="B24" i="8"/>
  <c r="BB23" i="8"/>
  <c r="M23" i="8"/>
  <c r="L23" i="8"/>
  <c r="K23" i="8"/>
  <c r="J23" i="8"/>
  <c r="I23" i="8"/>
  <c r="H23" i="8"/>
  <c r="G23" i="8"/>
  <c r="F23" i="8"/>
  <c r="E23" i="8"/>
  <c r="D23" i="8"/>
  <c r="C23" i="8"/>
  <c r="B23" i="8"/>
  <c r="BB22" i="8"/>
  <c r="M22" i="8"/>
  <c r="L22" i="8"/>
  <c r="K22" i="8"/>
  <c r="J22" i="8"/>
  <c r="I22" i="8"/>
  <c r="H22" i="8"/>
  <c r="G22" i="8"/>
  <c r="F22" i="8"/>
  <c r="E22" i="8"/>
  <c r="D22" i="8"/>
  <c r="C22" i="8"/>
  <c r="B22" i="8"/>
  <c r="BB21" i="8"/>
  <c r="M21" i="8"/>
  <c r="L21" i="8"/>
  <c r="K21" i="8"/>
  <c r="J21" i="8"/>
  <c r="I21" i="8"/>
  <c r="H21" i="8"/>
  <c r="G21" i="8"/>
  <c r="F21" i="8"/>
  <c r="E21" i="8"/>
  <c r="D21" i="8"/>
  <c r="C21" i="8"/>
  <c r="B21" i="8"/>
  <c r="BB20" i="8"/>
  <c r="M20" i="8"/>
  <c r="L20" i="8"/>
  <c r="K20" i="8"/>
  <c r="J20" i="8"/>
  <c r="I20" i="8"/>
  <c r="H20" i="8"/>
  <c r="G20" i="8"/>
  <c r="F20" i="8"/>
  <c r="E20" i="8"/>
  <c r="D20" i="8"/>
  <c r="C20" i="8"/>
  <c r="B20" i="8"/>
  <c r="BB19" i="8"/>
  <c r="M19" i="8"/>
  <c r="L19" i="8"/>
  <c r="K19" i="8"/>
  <c r="J19" i="8"/>
  <c r="I19" i="8"/>
  <c r="H19" i="8"/>
  <c r="G19" i="8"/>
  <c r="F19" i="8"/>
  <c r="E19" i="8"/>
  <c r="D19" i="8"/>
  <c r="C19" i="8"/>
  <c r="B19" i="8"/>
  <c r="BB18" i="8"/>
  <c r="M18" i="8"/>
  <c r="L18" i="8"/>
  <c r="K18" i="8"/>
  <c r="J18" i="8"/>
  <c r="I18" i="8"/>
  <c r="H18" i="8"/>
  <c r="G18" i="8"/>
  <c r="F18" i="8"/>
  <c r="E18" i="8"/>
  <c r="D18" i="8"/>
  <c r="C18" i="8"/>
  <c r="B18" i="8"/>
  <c r="BB17" i="8"/>
  <c r="M17" i="8"/>
  <c r="L17" i="8"/>
  <c r="K17" i="8"/>
  <c r="J17" i="8"/>
  <c r="I17" i="8"/>
  <c r="H17" i="8"/>
  <c r="G17" i="8"/>
  <c r="F17" i="8"/>
  <c r="E17" i="8"/>
  <c r="D17" i="8"/>
  <c r="C17" i="8"/>
  <c r="B17" i="8"/>
  <c r="BB16" i="8"/>
  <c r="M16" i="8"/>
  <c r="L16" i="8"/>
  <c r="K16" i="8"/>
  <c r="J16" i="8"/>
  <c r="I16" i="8"/>
  <c r="H16" i="8"/>
  <c r="G16" i="8"/>
  <c r="F16" i="8"/>
  <c r="E16" i="8"/>
  <c r="D16" i="8"/>
  <c r="C16" i="8"/>
  <c r="B16" i="8"/>
  <c r="BB15" i="8"/>
  <c r="M15" i="8"/>
  <c r="L15" i="8"/>
  <c r="K15" i="8"/>
  <c r="J15" i="8"/>
  <c r="I15" i="8"/>
  <c r="H15" i="8"/>
  <c r="G15" i="8"/>
  <c r="F15" i="8"/>
  <c r="E15" i="8"/>
  <c r="D15" i="8"/>
  <c r="C15" i="8"/>
  <c r="B15" i="8"/>
  <c r="BB14" i="8"/>
  <c r="M14" i="8"/>
  <c r="L14" i="8"/>
  <c r="K14" i="8"/>
  <c r="J14" i="8"/>
  <c r="I14" i="8"/>
  <c r="H14" i="8"/>
  <c r="G14" i="8"/>
  <c r="F14" i="8"/>
  <c r="E14" i="8"/>
  <c r="D14" i="8"/>
  <c r="C14" i="8"/>
  <c r="B14" i="8"/>
  <c r="BB13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L12" i="8"/>
  <c r="K12" i="8"/>
  <c r="J12" i="8"/>
  <c r="I12" i="8"/>
  <c r="G12" i="8"/>
  <c r="F12" i="8"/>
  <c r="E12" i="8"/>
  <c r="D12" i="8"/>
  <c r="C12" i="8"/>
  <c r="B12" i="8"/>
  <c r="BB11" i="8"/>
  <c r="M11" i="8"/>
  <c r="L11" i="8"/>
  <c r="K11" i="8"/>
  <c r="J11" i="8"/>
  <c r="I11" i="8"/>
  <c r="H11" i="8"/>
  <c r="G11" i="8"/>
  <c r="F11" i="8"/>
  <c r="E11" i="8"/>
  <c r="D11" i="8"/>
  <c r="C11" i="8"/>
  <c r="B11" i="8"/>
  <c r="BB10" i="8"/>
  <c r="M10" i="8"/>
  <c r="L10" i="8"/>
  <c r="K10" i="8"/>
  <c r="J10" i="8"/>
  <c r="I10" i="8"/>
  <c r="H10" i="8"/>
  <c r="G10" i="8"/>
  <c r="N10" i="8" s="1"/>
  <c r="F10" i="8"/>
  <c r="E10" i="8"/>
  <c r="D10" i="8"/>
  <c r="C10" i="8"/>
  <c r="B10" i="8"/>
  <c r="BB9" i="8"/>
  <c r="G9" i="8"/>
  <c r="X38" i="8"/>
  <c r="M9" i="8"/>
  <c r="L9" i="8"/>
  <c r="K9" i="8"/>
  <c r="J9" i="8"/>
  <c r="I9" i="8"/>
  <c r="H9" i="8"/>
  <c r="F9" i="8"/>
  <c r="E9" i="8"/>
  <c r="D9" i="8"/>
  <c r="C9" i="8"/>
  <c r="B9" i="8"/>
  <c r="BB8" i="8"/>
  <c r="M8" i="8"/>
  <c r="L8" i="8"/>
  <c r="K8" i="8"/>
  <c r="J8" i="8"/>
  <c r="I8" i="8"/>
  <c r="H8" i="8"/>
  <c r="G8" i="8"/>
  <c r="F8" i="8"/>
  <c r="E8" i="8"/>
  <c r="D8" i="8"/>
  <c r="C8" i="8"/>
  <c r="B8" i="8"/>
  <c r="BB7" i="8"/>
  <c r="M7" i="8"/>
  <c r="L7" i="8"/>
  <c r="K7" i="8"/>
  <c r="J7" i="8"/>
  <c r="I7" i="8"/>
  <c r="H7" i="8"/>
  <c r="G7" i="8"/>
  <c r="F7" i="8"/>
  <c r="E7" i="8"/>
  <c r="D7" i="8"/>
  <c r="B7" i="8"/>
  <c r="BB6" i="8"/>
  <c r="J4" i="8"/>
  <c r="I4" i="8"/>
  <c r="H4" i="8"/>
  <c r="B4" i="8"/>
  <c r="J3" i="8"/>
  <c r="I3" i="8"/>
  <c r="H3" i="8"/>
  <c r="G3" i="8"/>
  <c r="F3" i="8"/>
  <c r="E3" i="8"/>
  <c r="D3" i="8"/>
  <c r="C3" i="8"/>
  <c r="K3" i="8" s="1"/>
  <c r="J2" i="8"/>
  <c r="I2" i="8"/>
  <c r="H2" i="8"/>
  <c r="G2" i="8"/>
  <c r="G4" i="8" s="1"/>
  <c r="F2" i="8"/>
  <c r="F4" i="8" s="1"/>
  <c r="E2" i="8"/>
  <c r="E4" i="8" s="1"/>
  <c r="D2" i="8"/>
  <c r="D4" i="8" s="1"/>
  <c r="C2" i="8"/>
  <c r="K2" i="8" s="1"/>
  <c r="AC36" i="2"/>
  <c r="AC38" i="2" s="1"/>
  <c r="AE37" i="2"/>
  <c r="BB37" i="2" s="1"/>
  <c r="AD9" i="2"/>
  <c r="AD38" i="2" s="1"/>
  <c r="X9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G36" i="2"/>
  <c r="H36" i="2"/>
  <c r="I36" i="2"/>
  <c r="J36" i="2"/>
  <c r="K36" i="2"/>
  <c r="L36" i="2"/>
  <c r="M36" i="2"/>
  <c r="B37" i="2"/>
  <c r="C37" i="2"/>
  <c r="D37" i="2"/>
  <c r="E37" i="2"/>
  <c r="F37" i="2"/>
  <c r="H37" i="2"/>
  <c r="I37" i="2"/>
  <c r="J37" i="2"/>
  <c r="K37" i="2"/>
  <c r="L37" i="2"/>
  <c r="M37" i="2"/>
  <c r="F8" i="2"/>
  <c r="B7" i="2"/>
  <c r="C7" i="2"/>
  <c r="D7" i="2"/>
  <c r="E7" i="2"/>
  <c r="F7" i="2"/>
  <c r="G7" i="2"/>
  <c r="H7" i="2"/>
  <c r="I7" i="2"/>
  <c r="J7" i="2"/>
  <c r="J38" i="2" s="1"/>
  <c r="K7" i="2"/>
  <c r="L7" i="2"/>
  <c r="M7" i="2"/>
  <c r="E8" i="2"/>
  <c r="B8" i="2"/>
  <c r="C8" i="2"/>
  <c r="D8" i="2"/>
  <c r="G8" i="2"/>
  <c r="H8" i="2"/>
  <c r="I8" i="2"/>
  <c r="J8" i="2"/>
  <c r="K8" i="2"/>
  <c r="L8" i="2"/>
  <c r="M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O38" i="2"/>
  <c r="BB8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7" i="2"/>
  <c r="BB6" i="2"/>
  <c r="H36" i="7"/>
  <c r="H35" i="7"/>
  <c r="H27" i="7"/>
  <c r="N27" i="7" s="1"/>
  <c r="H26" i="7"/>
  <c r="N26" i="7" s="1"/>
  <c r="H23" i="7"/>
  <c r="N23" i="7" s="1"/>
  <c r="H22" i="7"/>
  <c r="N22" i="7" s="1"/>
  <c r="H21" i="7"/>
  <c r="H20" i="7"/>
  <c r="N20" i="7" s="1"/>
  <c r="H14" i="7"/>
  <c r="N14" i="7" s="1"/>
  <c r="H13" i="7"/>
  <c r="M36" i="7"/>
  <c r="K31" i="7"/>
  <c r="N31" i="7"/>
  <c r="F30" i="7"/>
  <c r="N30" i="7" s="1"/>
  <c r="H30" i="7"/>
  <c r="K28" i="7"/>
  <c r="N28" i="7" s="1"/>
  <c r="K26" i="7"/>
  <c r="K9" i="7"/>
  <c r="H9" i="7"/>
  <c r="H8" i="7"/>
  <c r="N8" i="7"/>
  <c r="L38" i="7"/>
  <c r="J38" i="7"/>
  <c r="I38" i="7"/>
  <c r="E38" i="7"/>
  <c r="D38" i="7"/>
  <c r="B38" i="7"/>
  <c r="N37" i="7"/>
  <c r="N35" i="7"/>
  <c r="N34" i="7"/>
  <c r="N33" i="7"/>
  <c r="N32" i="7"/>
  <c r="N29" i="7"/>
  <c r="N25" i="7"/>
  <c r="N24" i="7"/>
  <c r="G38" i="7"/>
  <c r="N21" i="7"/>
  <c r="N19" i="7"/>
  <c r="N18" i="7"/>
  <c r="N17" i="7"/>
  <c r="N16" i="7"/>
  <c r="N15" i="7"/>
  <c r="N12" i="7"/>
  <c r="N10" i="7"/>
  <c r="C38" i="7"/>
  <c r="N7" i="7"/>
  <c r="J3" i="7"/>
  <c r="K3" i="7" s="1"/>
  <c r="C3" i="7"/>
  <c r="B3" i="7"/>
  <c r="C2" i="7"/>
  <c r="B2" i="7"/>
  <c r="K2" i="7" s="1"/>
  <c r="K29" i="6"/>
  <c r="N29" i="6" s="1"/>
  <c r="K23" i="6"/>
  <c r="G23" i="6"/>
  <c r="H20" i="6"/>
  <c r="N20" i="6" s="1"/>
  <c r="M18" i="6"/>
  <c r="N18" i="6" s="1"/>
  <c r="H16" i="6"/>
  <c r="K16" i="6"/>
  <c r="H12" i="6"/>
  <c r="N12" i="6" s="1"/>
  <c r="F11" i="6"/>
  <c r="H11" i="6"/>
  <c r="H34" i="6"/>
  <c r="H33" i="6"/>
  <c r="H32" i="6"/>
  <c r="H26" i="6"/>
  <c r="N26" i="6" s="1"/>
  <c r="H25" i="6"/>
  <c r="N25" i="6" s="1"/>
  <c r="H10" i="6"/>
  <c r="C9" i="6"/>
  <c r="C38" i="6" s="1"/>
  <c r="B3" i="6"/>
  <c r="B2" i="6"/>
  <c r="L38" i="6"/>
  <c r="I38" i="6"/>
  <c r="E38" i="6"/>
  <c r="D38" i="6"/>
  <c r="B38" i="6"/>
  <c r="N37" i="6"/>
  <c r="N36" i="6"/>
  <c r="N35" i="6"/>
  <c r="N34" i="6"/>
  <c r="N32" i="6"/>
  <c r="N31" i="6"/>
  <c r="N30" i="6"/>
  <c r="N28" i="6"/>
  <c r="N27" i="6"/>
  <c r="N24" i="6"/>
  <c r="N22" i="6"/>
  <c r="N21" i="6"/>
  <c r="N19" i="6"/>
  <c r="J38" i="6"/>
  <c r="N15" i="6"/>
  <c r="N14" i="6"/>
  <c r="N13" i="6"/>
  <c r="N7" i="6"/>
  <c r="J3" i="6"/>
  <c r="C3" i="6"/>
  <c r="K3" i="6" s="1"/>
  <c r="C2" i="6"/>
  <c r="F32" i="5"/>
  <c r="H32" i="5"/>
  <c r="H31" i="5"/>
  <c r="H30" i="5"/>
  <c r="N30" i="5" s="1"/>
  <c r="F28" i="5"/>
  <c r="N28" i="5" s="1"/>
  <c r="F27" i="5"/>
  <c r="C27" i="5"/>
  <c r="N27" i="5" s="1"/>
  <c r="K22" i="5"/>
  <c r="K38" i="5"/>
  <c r="H22" i="5"/>
  <c r="G21" i="5"/>
  <c r="G38" i="5" s="1"/>
  <c r="J21" i="5"/>
  <c r="H17" i="5"/>
  <c r="J17" i="5"/>
  <c r="F14" i="5"/>
  <c r="N14" i="5" s="1"/>
  <c r="F9" i="5"/>
  <c r="H9" i="5"/>
  <c r="H8" i="5"/>
  <c r="J3" i="5"/>
  <c r="B2" i="5"/>
  <c r="B3" i="5"/>
  <c r="K3" i="5" s="1"/>
  <c r="L38" i="5"/>
  <c r="I38" i="5"/>
  <c r="E38" i="5"/>
  <c r="D38" i="5"/>
  <c r="B38" i="5"/>
  <c r="N37" i="5"/>
  <c r="N36" i="5"/>
  <c r="N35" i="5"/>
  <c r="N34" i="5"/>
  <c r="N33" i="5"/>
  <c r="N32" i="5"/>
  <c r="N31" i="5"/>
  <c r="N29" i="5"/>
  <c r="N26" i="5"/>
  <c r="N25" i="5"/>
  <c r="N24" i="5"/>
  <c r="N23" i="5"/>
  <c r="N20" i="5"/>
  <c r="N19" i="5"/>
  <c r="N18" i="5"/>
  <c r="N16" i="5"/>
  <c r="N15" i="5"/>
  <c r="N13" i="5"/>
  <c r="N12" i="5"/>
  <c r="N11" i="5"/>
  <c r="N10" i="5"/>
  <c r="N8" i="5"/>
  <c r="C3" i="5"/>
  <c r="C2" i="5"/>
  <c r="J25" i="3"/>
  <c r="G36" i="3"/>
  <c r="G38" i="3" s="1"/>
  <c r="H33" i="3"/>
  <c r="H34" i="3"/>
  <c r="N34" i="3" s="1"/>
  <c r="F34" i="3"/>
  <c r="F32" i="3"/>
  <c r="H32" i="3"/>
  <c r="J38" i="3"/>
  <c r="N26" i="3"/>
  <c r="F19" i="3"/>
  <c r="F17" i="3"/>
  <c r="H14" i="3"/>
  <c r="N14" i="3" s="1"/>
  <c r="H13" i="3"/>
  <c r="C12" i="3"/>
  <c r="C38" i="3" s="1"/>
  <c r="H9" i="3"/>
  <c r="N9" i="3" s="1"/>
  <c r="H7" i="3"/>
  <c r="H31" i="3"/>
  <c r="N28" i="3" s="1"/>
  <c r="N8" i="3"/>
  <c r="N11" i="3"/>
  <c r="N10" i="3"/>
  <c r="B4" i="3"/>
  <c r="K4" i="3" s="1"/>
  <c r="B3" i="3"/>
  <c r="L38" i="3"/>
  <c r="K38" i="3"/>
  <c r="I38" i="3"/>
  <c r="E38" i="3"/>
  <c r="D38" i="3"/>
  <c r="B38" i="3"/>
  <c r="N37" i="3"/>
  <c r="N36" i="3"/>
  <c r="N35" i="3"/>
  <c r="N32" i="3"/>
  <c r="N31" i="3"/>
  <c r="N30" i="3"/>
  <c r="N29" i="3"/>
  <c r="N27" i="3"/>
  <c r="N24" i="3"/>
  <c r="N22" i="3"/>
  <c r="N21" i="3"/>
  <c r="N20" i="3"/>
  <c r="N19" i="3"/>
  <c r="N18" i="3"/>
  <c r="N16" i="3"/>
  <c r="N15" i="3"/>
  <c r="N13" i="3"/>
  <c r="N12" i="3"/>
  <c r="N7" i="3"/>
  <c r="H3" i="3"/>
  <c r="G3" i="3"/>
  <c r="E3" i="3"/>
  <c r="D3" i="3"/>
  <c r="C3" i="3"/>
  <c r="H2" i="3"/>
  <c r="G2" i="3"/>
  <c r="E2" i="3"/>
  <c r="D2" i="3"/>
  <c r="C2" i="3"/>
  <c r="G32" i="1"/>
  <c r="B4" i="2"/>
  <c r="J3" i="2"/>
  <c r="I3" i="2"/>
  <c r="H3" i="2"/>
  <c r="G3" i="2"/>
  <c r="F3" i="2"/>
  <c r="E3" i="2"/>
  <c r="D3" i="2"/>
  <c r="C3" i="2"/>
  <c r="J2" i="2"/>
  <c r="I2" i="2"/>
  <c r="H2" i="2"/>
  <c r="G2" i="2"/>
  <c r="F2" i="2"/>
  <c r="E2" i="2"/>
  <c r="D2" i="2"/>
  <c r="C2" i="2"/>
  <c r="K11" i="1"/>
  <c r="K12" i="1"/>
  <c r="Z12" i="1" s="1"/>
  <c r="K13" i="1"/>
  <c r="Z13" i="1" s="1"/>
  <c r="K14" i="1"/>
  <c r="Z14" i="1" s="1"/>
  <c r="K2" i="1"/>
  <c r="Z15" i="1"/>
  <c r="AC8" i="1"/>
  <c r="K3" i="1"/>
  <c r="K4" i="1"/>
  <c r="K5" i="1"/>
  <c r="K6" i="1"/>
  <c r="K7" i="1"/>
  <c r="K8" i="1"/>
  <c r="K9" i="1"/>
  <c r="K10" i="1"/>
  <c r="K15" i="1"/>
  <c r="N32" i="1" s="1"/>
  <c r="K16" i="1"/>
  <c r="K17" i="1"/>
  <c r="K18" i="1"/>
  <c r="N28" i="1" s="1"/>
  <c r="K19" i="1"/>
  <c r="K20" i="1"/>
  <c r="K21" i="1"/>
  <c r="K22" i="1"/>
  <c r="K23" i="1"/>
  <c r="K24" i="1"/>
  <c r="K25" i="1"/>
  <c r="N33" i="1" s="1"/>
  <c r="K27" i="1"/>
  <c r="K28" i="1"/>
  <c r="K29" i="1"/>
  <c r="K30" i="1"/>
  <c r="K31" i="1"/>
  <c r="K33" i="1"/>
  <c r="K34" i="1"/>
  <c r="K35" i="1"/>
  <c r="K36" i="1"/>
  <c r="K37" i="1"/>
  <c r="K39" i="1"/>
  <c r="K40" i="1"/>
  <c r="K41" i="1"/>
  <c r="K42" i="1"/>
  <c r="K43" i="1"/>
  <c r="K44" i="1"/>
  <c r="Z11" i="1"/>
  <c r="B38" i="1"/>
  <c r="K38" i="1" s="1"/>
  <c r="F32" i="1"/>
  <c r="E32" i="1"/>
  <c r="C32" i="1"/>
  <c r="K32" i="1" s="1"/>
  <c r="BB12" i="8" l="1"/>
  <c r="BB38" i="8" s="1"/>
  <c r="N7" i="8"/>
  <c r="K38" i="8"/>
  <c r="G38" i="8"/>
  <c r="B38" i="8"/>
  <c r="N11" i="8"/>
  <c r="BH11" i="8" s="1"/>
  <c r="N14" i="8"/>
  <c r="BH14" i="8" s="1"/>
  <c r="N15" i="8"/>
  <c r="BH15" i="8" s="1"/>
  <c r="N19" i="8"/>
  <c r="BH19" i="8" s="1"/>
  <c r="N22" i="8"/>
  <c r="BH22" i="8" s="1"/>
  <c r="N23" i="8"/>
  <c r="N27" i="8"/>
  <c r="BH27" i="8" s="1"/>
  <c r="N30" i="8"/>
  <c r="BH30" i="8" s="1"/>
  <c r="N31" i="8"/>
  <c r="N35" i="8"/>
  <c r="BH35" i="8" s="1"/>
  <c r="N16" i="8"/>
  <c r="BH16" i="8" s="1"/>
  <c r="E38" i="8"/>
  <c r="H38" i="8"/>
  <c r="N24" i="8"/>
  <c r="N32" i="8"/>
  <c r="N36" i="8"/>
  <c r="C38" i="8"/>
  <c r="I38" i="8"/>
  <c r="D38" i="8"/>
  <c r="L38" i="8"/>
  <c r="N13" i="8"/>
  <c r="N17" i="8"/>
  <c r="BH17" i="8" s="1"/>
  <c r="N21" i="8"/>
  <c r="N25" i="8"/>
  <c r="BH25" i="8" s="1"/>
  <c r="N29" i="8"/>
  <c r="N33" i="8"/>
  <c r="BH33" i="8" s="1"/>
  <c r="N37" i="8"/>
  <c r="BH37" i="8" s="1"/>
  <c r="N9" i="8"/>
  <c r="BH9" i="8" s="1"/>
  <c r="N12" i="8"/>
  <c r="N20" i="8"/>
  <c r="N28" i="8"/>
  <c r="J38" i="8"/>
  <c r="BH10" i="8"/>
  <c r="N18" i="8"/>
  <c r="BH18" i="8" s="1"/>
  <c r="N26" i="8"/>
  <c r="BH26" i="8" s="1"/>
  <c r="N34" i="8"/>
  <c r="BH34" i="8" s="1"/>
  <c r="BH24" i="8"/>
  <c r="BH32" i="8"/>
  <c r="BH13" i="8"/>
  <c r="BH21" i="8"/>
  <c r="BH29" i="8"/>
  <c r="K4" i="8"/>
  <c r="BH23" i="8"/>
  <c r="BH31" i="8"/>
  <c r="BH20" i="8"/>
  <c r="BH28" i="8"/>
  <c r="BH36" i="8"/>
  <c r="C4" i="8"/>
  <c r="AD38" i="8"/>
  <c r="BC38" i="8" s="1"/>
  <c r="F38" i="8"/>
  <c r="N8" i="8"/>
  <c r="BH8" i="8" s="1"/>
  <c r="BB36" i="2"/>
  <c r="F36" i="2"/>
  <c r="AE38" i="2"/>
  <c r="G37" i="2"/>
  <c r="BB9" i="2"/>
  <c r="BB38" i="2" s="1"/>
  <c r="N16" i="6"/>
  <c r="N9" i="7"/>
  <c r="N17" i="5"/>
  <c r="N33" i="6"/>
  <c r="D38" i="2"/>
  <c r="K2" i="6"/>
  <c r="K5" i="6" s="1"/>
  <c r="K2" i="5"/>
  <c r="N23" i="6"/>
  <c r="K5" i="7"/>
  <c r="N31" i="1"/>
  <c r="N24" i="1"/>
  <c r="K2" i="3"/>
  <c r="N22" i="5"/>
  <c r="K38" i="2"/>
  <c r="C38" i="2"/>
  <c r="N32" i="2"/>
  <c r="BH32" i="2" s="1"/>
  <c r="N20" i="2"/>
  <c r="BH20" i="2" s="1"/>
  <c r="N19" i="2"/>
  <c r="H38" i="2"/>
  <c r="L38" i="2"/>
  <c r="G38" i="2"/>
  <c r="BH19" i="2"/>
  <c r="E38" i="2"/>
  <c r="I38" i="2"/>
  <c r="B38" i="2"/>
  <c r="N37" i="2"/>
  <c r="BH37" i="2" s="1"/>
  <c r="N35" i="2"/>
  <c r="BH35" i="2" s="1"/>
  <c r="N33" i="2"/>
  <c r="BH33" i="2" s="1"/>
  <c r="N29" i="2"/>
  <c r="BH29" i="2" s="1"/>
  <c r="N27" i="2"/>
  <c r="BH27" i="2" s="1"/>
  <c r="N25" i="2"/>
  <c r="BH25" i="2" s="1"/>
  <c r="N23" i="2"/>
  <c r="BH23" i="2" s="1"/>
  <c r="N21" i="2"/>
  <c r="BH21" i="2" s="1"/>
  <c r="N15" i="2"/>
  <c r="BH15" i="2" s="1"/>
  <c r="N13" i="2"/>
  <c r="BH13" i="2" s="1"/>
  <c r="N11" i="2"/>
  <c r="BH11" i="2" s="1"/>
  <c r="BC38" i="2"/>
  <c r="N30" i="2"/>
  <c r="BH30" i="2" s="1"/>
  <c r="N36" i="2"/>
  <c r="BH36" i="2" s="1"/>
  <c r="N16" i="2"/>
  <c r="BH16" i="2" s="1"/>
  <c r="N26" i="2"/>
  <c r="BH26" i="2" s="1"/>
  <c r="N28" i="2"/>
  <c r="BH28" i="2" s="1"/>
  <c r="N18" i="2"/>
  <c r="BH18" i="2" s="1"/>
  <c r="N10" i="2"/>
  <c r="BH10" i="2" s="1"/>
  <c r="N24" i="2"/>
  <c r="BH24" i="2" s="1"/>
  <c r="N12" i="2"/>
  <c r="BH12" i="2" s="1"/>
  <c r="N34" i="2"/>
  <c r="BH34" i="2" s="1"/>
  <c r="F38" i="2"/>
  <c r="N9" i="2"/>
  <c r="N31" i="2"/>
  <c r="BH31" i="2" s="1"/>
  <c r="N8" i="2"/>
  <c r="BH8" i="2" s="1"/>
  <c r="N22" i="2"/>
  <c r="BH22" i="2" s="1"/>
  <c r="N7" i="2"/>
  <c r="H4" i="2"/>
  <c r="D4" i="2"/>
  <c r="J4" i="2"/>
  <c r="N36" i="7"/>
  <c r="F38" i="7"/>
  <c r="K38" i="7"/>
  <c r="N13" i="7"/>
  <c r="H38" i="7"/>
  <c r="N11" i="7"/>
  <c r="K38" i="6"/>
  <c r="N11" i="6"/>
  <c r="H38" i="6"/>
  <c r="N10" i="6"/>
  <c r="N9" i="6"/>
  <c r="N17" i="6"/>
  <c r="N8" i="6"/>
  <c r="F38" i="6"/>
  <c r="G38" i="6"/>
  <c r="F38" i="5"/>
  <c r="C38" i="5"/>
  <c r="N21" i="5"/>
  <c r="N9" i="5"/>
  <c r="H38" i="5"/>
  <c r="K5" i="5"/>
  <c r="J38" i="5"/>
  <c r="N7" i="5"/>
  <c r="N33" i="3"/>
  <c r="N25" i="3"/>
  <c r="F38" i="3"/>
  <c r="N23" i="3"/>
  <c r="H38" i="3"/>
  <c r="K3" i="3"/>
  <c r="N17" i="3"/>
  <c r="N38" i="3" s="1"/>
  <c r="N14" i="2"/>
  <c r="BH14" i="2" s="1"/>
  <c r="N34" i="1"/>
  <c r="N25" i="1"/>
  <c r="N30" i="1"/>
  <c r="N17" i="2"/>
  <c r="BH17" i="2" s="1"/>
  <c r="I4" i="2"/>
  <c r="C4" i="2"/>
  <c r="G4" i="2"/>
  <c r="E4" i="2"/>
  <c r="F4" i="2"/>
  <c r="K3" i="2"/>
  <c r="K2" i="2"/>
  <c r="N27" i="1"/>
  <c r="R28" i="1" s="1"/>
  <c r="N29" i="1"/>
  <c r="O26" i="1"/>
  <c r="K49" i="1"/>
  <c r="BH12" i="8" l="1"/>
  <c r="BC39" i="8"/>
  <c r="N38" i="8"/>
  <c r="N39" i="8" s="1"/>
  <c r="O39" i="8"/>
  <c r="BH9" i="2"/>
  <c r="O38" i="3"/>
  <c r="K5" i="3"/>
  <c r="BC39" i="2"/>
  <c r="O39" i="2"/>
  <c r="O38" i="7"/>
  <c r="N38" i="7"/>
  <c r="N39" i="7" s="1"/>
  <c r="O38" i="6"/>
  <c r="N38" i="6"/>
  <c r="N39" i="6" s="1"/>
  <c r="N38" i="5"/>
  <c r="N39" i="5" s="1"/>
  <c r="O38" i="5"/>
  <c r="N39" i="3"/>
  <c r="N38" i="2"/>
  <c r="R30" i="1"/>
  <c r="K4" i="2"/>
  <c r="O40" i="8" l="1"/>
  <c r="N39" i="2"/>
  <c r="O40" i="2"/>
  <c r="P38" i="7"/>
  <c r="P38" i="6"/>
  <c r="P38" i="5"/>
  <c r="P3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 Zheyuan (uif84450)</author>
  </authors>
  <commentList>
    <comment ref="B2" authorId="0" shapeId="0" xr:uid="{0D07C81F-5D11-456A-93E8-639E52F7E605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10.27
</t>
        </r>
      </text>
    </comment>
    <comment ref="C2" authorId="0" shapeId="0" xr:uid="{6C89829C-A0AF-4BF2-84AA-E222838D0B84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10.13
</t>
        </r>
      </text>
    </comment>
    <comment ref="B11" authorId="0" shapeId="0" xr:uid="{3623F2BF-3F9E-420A-A749-A2F16D71A2F8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Big Mac
10.28
</t>
        </r>
      </text>
    </comment>
    <comment ref="C11" authorId="0" shapeId="0" xr:uid="{7A2C5A89-31F5-4A5D-849A-790ED0EF1A0C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Big Mac Combo
10.29
</t>
        </r>
      </text>
    </comment>
    <comment ref="D11" authorId="0" shapeId="0" xr:uid="{05EC4187-3AC8-4AD1-A598-AAC7E13DFB42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10.13</t>
        </r>
      </text>
    </comment>
    <comment ref="E11" authorId="0" shapeId="0" xr:uid="{111CEC60-61B7-42AC-AC57-90B6EEAE13C3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10.09
</t>
        </r>
      </text>
    </comment>
    <comment ref="F11" authorId="0" shapeId="0" xr:uid="{21FAF10F-9D69-4159-A00D-DBC629FE064C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10.11
</t>
        </r>
      </text>
    </comment>
    <comment ref="B12" authorId="0" shapeId="0" xr:uid="{08AEE498-F6EC-4920-918D-F3096956CE79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Hot dog + Drink
</t>
        </r>
      </text>
    </comment>
    <comment ref="C12" authorId="0" shapeId="0" xr:uid="{A5A9A340-84C2-4D4E-A5C0-E44504826403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10.25</t>
        </r>
      </text>
    </comment>
    <comment ref="D12" authorId="0" shapeId="0" xr:uid="{8184E671-D3B9-44FF-8378-D424823DCD15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Hot dog + Drink
</t>
        </r>
      </text>
    </comment>
    <comment ref="E12" authorId="0" shapeId="0" xr:uid="{0E97D058-E4A3-4E62-A0B4-0656A2551085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10.12
</t>
        </r>
      </text>
    </comment>
    <comment ref="F12" authorId="0" shapeId="0" xr:uid="{63128D77-BD8E-4059-971B-10555CC8BF2D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Hot dog + Drink
</t>
        </r>
      </text>
    </comment>
    <comment ref="V12" authorId="0" shapeId="0" xr:uid="{2C93B35D-293C-4A76-A84A-306A35592882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10.03
</t>
        </r>
      </text>
    </comment>
    <comment ref="B15" authorId="0" shapeId="0" xr:uid="{0F6E7E78-9383-4986-B5EF-19C3EE132CCB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Costco Gas 10.25</t>
        </r>
      </text>
    </comment>
    <comment ref="C15" authorId="0" shapeId="0" xr:uid="{A894983C-0818-4D1B-93D7-51F97363984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10/12
</t>
        </r>
      </text>
    </comment>
    <comment ref="D15" authorId="0" shapeId="0" xr:uid="{58AE797D-DCC1-4548-ACC4-8E9C8507EA76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Costco 10.03
</t>
        </r>
      </text>
    </comment>
    <comment ref="E15" authorId="0" shapeId="0" xr:uid="{3282E342-7D3A-45AA-80D4-5DC2F1F16FFF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10.10 ExxonMobil
</t>
        </r>
      </text>
    </comment>
    <comment ref="B17" authorId="0" shapeId="0" xr:uid="{4AF78E54-B4DF-47AE-909D-0DBB5C2C1A31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amend for 2022
</t>
        </r>
      </text>
    </comment>
    <comment ref="C17" authorId="0" shapeId="0" xr:uid="{3892B3F4-1CA0-4C40-8417-B003D9B5AF83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Service fee
</t>
        </r>
      </text>
    </comment>
    <comment ref="C19" authorId="0" shapeId="0" xr:uid="{4DAB33FA-4D01-4E88-B327-60D23952128A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Lock
</t>
        </r>
      </text>
    </comment>
    <comment ref="B20" authorId="0" shapeId="0" xr:uid="{A21B6731-6AD0-41C7-9305-716443E1964D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To Yuxin
</t>
        </r>
      </text>
    </comment>
    <comment ref="C20" authorId="0" shapeId="0" xr:uid="{53F0FE48-C51F-4347-8CCE-5AAFE11A36AE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To Yuxin Hotel
</t>
        </r>
      </text>
    </comment>
    <comment ref="B21" authorId="0" shapeId="0" xr:uid="{477E67FA-B681-4319-947F-3E5023EA2FDA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10.10 headlight
</t>
        </r>
      </text>
    </comment>
    <comment ref="B22" authorId="0" shapeId="0" xr:uid="{A11CD4E0-E955-4A56-B22D-EFF99EF21A9B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Airsoft
</t>
        </r>
      </text>
    </comment>
    <comment ref="C22" authorId="0" shapeId="0" xr:uid="{883477E8-6987-41CD-AEC8-DB9916D64B31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chestnut
</t>
        </r>
      </text>
    </comment>
    <comment ref="D22" authorId="0" shapeId="0" xr:uid="{ECFF8D2A-4CB7-41CD-BFA2-B80607A10A2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Chestnut
Refund from Nash
</t>
        </r>
      </text>
    </comment>
    <comment ref="E22" authorId="0" shapeId="0" xr:uid="{47DCB223-36E8-4120-A7CC-28D154F37245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Airsoft
</t>
        </r>
      </text>
    </comment>
    <comment ref="F22" authorId="0" shapeId="0" xr:uid="{557E6819-A454-4C0A-8C2B-F47C804ECF98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Independence Oak Park one day pass
</t>
        </r>
      </text>
    </comment>
    <comment ref="G22" authorId="0" shapeId="0" xr:uid="{5C7D43D0-D70D-449C-BEFB-882F0A338113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airsoft
</t>
        </r>
      </text>
    </comment>
    <comment ref="B23" authorId="0" shapeId="0" xr:uid="{19360A77-0309-4FD0-9BA0-388DF746EC4F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10.07
</t>
        </r>
      </text>
    </comment>
    <comment ref="C23" authorId="0" shapeId="0" xr:uid="{9576752D-21AE-4390-97E3-5AABD9748E99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10.06
</t>
        </r>
      </text>
    </comment>
    <comment ref="B24" authorId="0" shapeId="0" xr:uid="{EDA916E7-F300-4E4E-898F-C3BAA4238BD8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1G
10.08
</t>
        </r>
      </text>
    </comment>
    <comment ref="C24" authorId="0" shapeId="0" xr:uid="{128D9637-8230-4598-BAA8-5F204B4124C2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10.16
</t>
        </r>
      </text>
    </comment>
    <comment ref="B25" authorId="0" shapeId="0" xr:uid="{054B0B63-CC92-4AF7-99AC-0FFB1C51941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10.05
</t>
        </r>
      </text>
    </comment>
    <comment ref="N26" authorId="0" shapeId="0" xr:uid="{23A6D387-B461-465B-9504-8B9028815201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10.03
</t>
        </r>
      </text>
    </comment>
    <comment ref="B27" authorId="0" shapeId="0" xr:uid="{232D3E45-10BC-42FF-ADF4-CC188AF44EA5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10.29
</t>
        </r>
      </text>
    </comment>
    <comment ref="C27" authorId="0" shapeId="0" xr:uid="{378D3ED2-09AB-4EC7-8719-2088F7308944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10.26
</t>
        </r>
      </text>
    </comment>
    <comment ref="D27" authorId="0" shapeId="0" xr:uid="{00EF8057-0150-4987-AD28-1545D821BB4F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10.21
</t>
        </r>
      </text>
    </comment>
    <comment ref="E27" authorId="0" shapeId="0" xr:uid="{5808DDA6-9C0C-4867-A852-19746DCCC50D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10.13</t>
        </r>
      </text>
    </comment>
    <comment ref="F27" authorId="0" shapeId="0" xr:uid="{17AFA19C-D3C8-49A2-9A0A-68DEE54EB985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10.06
</t>
        </r>
      </text>
    </comment>
    <comment ref="G27" authorId="0" shapeId="0" xr:uid="{FFCB3D21-47F7-4A9A-80C3-A3FD437BA66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10.11
</t>
        </r>
      </text>
    </comment>
    <comment ref="B28" authorId="0" shapeId="0" xr:uid="{C241C667-E644-4906-81F7-271F0F12CF8B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10.29
</t>
        </r>
      </text>
    </comment>
    <comment ref="B30" authorId="0" shapeId="0" xr:uid="{CEEC3E72-0F8B-4A02-9798-5F953AD7CE26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10.28
</t>
        </r>
      </text>
    </comment>
    <comment ref="C30" authorId="0" shapeId="0" xr:uid="{94A07463-1F0E-44C7-BB05-0BF884C335A0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10.10
</t>
        </r>
      </text>
    </comment>
    <comment ref="B31" authorId="0" shapeId="0" xr:uid="{CA9E24BE-D422-4A5F-8E49-E15CB5B4A320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10.27
</t>
        </r>
      </text>
    </comment>
    <comment ref="B32" authorId="0" shapeId="0" xr:uid="{9F017F80-0922-48D0-92D5-F7C053264391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10.26
</t>
        </r>
      </text>
    </comment>
    <comment ref="C32" authorId="0" shapeId="0" xr:uid="{1DD6E195-C71B-40EE-B467-3833689C5D6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10.25</t>
        </r>
      </text>
    </comment>
    <comment ref="D32" authorId="0" shapeId="0" xr:uid="{5F660249-27F5-490B-B44E-2EAD46D0E7FC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10.23</t>
        </r>
      </text>
    </comment>
    <comment ref="E32" authorId="0" shapeId="0" xr:uid="{4BEBEDAA-F46F-424B-A7DD-C8C471DA527D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10.19
</t>
        </r>
      </text>
    </comment>
    <comment ref="F32" authorId="0" shapeId="0" xr:uid="{00A34645-8B53-48DF-97AD-A1C18E73DE24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10.18
</t>
        </r>
      </text>
    </comment>
    <comment ref="G32" authorId="0" shapeId="0" xr:uid="{BE6DFCC8-EA58-4429-8BE3-40CB99E923F8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10.04
</t>
        </r>
      </text>
    </comment>
    <comment ref="H32" authorId="0" shapeId="0" xr:uid="{6B60BEAE-9335-4CA4-BC23-F8D387AD432B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10.05</t>
        </r>
      </text>
    </comment>
    <comment ref="I32" authorId="0" shapeId="0" xr:uid="{6D6460AC-B584-4B75-8D74-3A4325D9C120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10.11
</t>
        </r>
      </text>
    </comment>
    <comment ref="B33" authorId="0" shapeId="0" xr:uid="{5E5D4827-7DE5-4904-9728-FF7FBAF61A9D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10.21 Eye check VSP copay
</t>
        </r>
      </text>
    </comment>
    <comment ref="B34" authorId="0" shapeId="0" xr:uid="{6A247095-1BCC-4BCB-A5B3-05E33545A583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10.19</t>
        </r>
      </text>
    </comment>
    <comment ref="B35" authorId="0" shapeId="0" xr:uid="{C09121C5-1BA5-4B5E-8737-6E6A8E367E14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10.17
</t>
        </r>
      </text>
    </comment>
    <comment ref="C35" authorId="0" shapeId="0" xr:uid="{2463673F-3679-419B-AFEA-A2C99BAEF63E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10.16
</t>
        </r>
      </text>
    </comment>
    <comment ref="D35" authorId="0" shapeId="0" xr:uid="{63486E36-A504-40B3-AA4E-879FEAB0DEC3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10.14
</t>
        </r>
      </text>
    </comment>
    <comment ref="B37" authorId="0" shapeId="0" xr:uid="{E6158067-BE32-417F-A677-A5641E5D4A12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10.16
</t>
        </r>
      </text>
    </comment>
    <comment ref="B38" authorId="0" shapeId="0" xr:uid="{03D194C8-D267-49DE-84FD-74B8ACD52CCF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10.15
</t>
        </r>
      </text>
    </comment>
    <comment ref="B39" authorId="0" shapeId="0" xr:uid="{45922155-5015-4700-8E77-FCF034FCB553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10.14</t>
        </r>
      </text>
    </comment>
    <comment ref="C39" authorId="0" shapeId="0" xr:uid="{BD6A0733-4CDF-426E-BA0F-A6706D3E369C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Manistee Steak 10.16
</t>
        </r>
      </text>
    </comment>
    <comment ref="B40" authorId="0" shapeId="0" xr:uid="{212533E8-4240-40FB-A262-85C998723E4D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</t>
        </r>
      </text>
    </comment>
    <comment ref="B41" authorId="0" shapeId="0" xr:uid="{9E26D898-DEB8-4ACE-8760-F65340C093F1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10.04
</t>
        </r>
      </text>
    </comment>
    <comment ref="B42" authorId="0" shapeId="0" xr:uid="{CD2754D1-3102-4180-AB70-18F097937DF0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zhihu subscription
</t>
        </r>
      </text>
    </comment>
    <comment ref="B43" authorId="0" shapeId="0" xr:uid="{1F364403-98C9-4239-B50A-BD18A77A8A86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mouth ulcer 10.05
</t>
        </r>
      </text>
    </comment>
    <comment ref="B44" authorId="0" shapeId="0" xr:uid="{17972740-CD9D-4550-884E-20055025AC63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10.09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 Zheyuan (uif84450)</author>
  </authors>
  <commentList>
    <comment ref="B2" authorId="0" shapeId="0" xr:uid="{CFD3C700-F00A-4B9D-9C69-6877B24F3FFE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10.27
</t>
        </r>
      </text>
    </comment>
    <comment ref="B3" authorId="0" shapeId="0" xr:uid="{ECEE142C-D7BF-4DA6-A77B-8C7B5114600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10.13
</t>
        </r>
      </text>
    </comment>
    <comment ref="M10" authorId="0" shapeId="0" xr:uid="{574FE7BC-5F54-42E1-AE6A-37398FDC4940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Haircut
</t>
        </r>
      </text>
    </comment>
    <comment ref="BA12" authorId="0" shapeId="0" xr:uid="{3E8B32C2-8964-4302-A104-0FFB7341ABDE}">
      <text>
        <r>
          <rPr>
            <b/>
            <sz val="9"/>
            <color indexed="81"/>
            <rFont val="Tahoma"/>
            <charset val="1"/>
          </rPr>
          <t>Wu, Zheyuan (uif84450):</t>
        </r>
        <r>
          <rPr>
            <sz val="9"/>
            <color indexed="81"/>
            <rFont val="Tahoma"/>
            <charset val="1"/>
          </rPr>
          <t xml:space="preserve">
Guitar
</t>
        </r>
      </text>
    </comment>
    <comment ref="M30" authorId="0" shapeId="0" xr:uid="{D579B225-AF04-4C40-9337-2FD81E5234EF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Tax amendment for 2022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 Zheyuan (uif84450)</author>
  </authors>
  <commentList>
    <comment ref="B2" authorId="0" shapeId="0" xr:uid="{C6619B3F-8ED9-45BE-84A8-87072BB69109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10.27
</t>
        </r>
      </text>
    </comment>
    <comment ref="B3" authorId="0" shapeId="0" xr:uid="{BC076282-A8F5-459A-8968-39B8F0A2CD3A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10.13
</t>
        </r>
      </text>
    </comment>
    <comment ref="M10" authorId="0" shapeId="0" xr:uid="{173D4861-C479-4E5F-AAB3-1877F2B5CC3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Haircut
</t>
        </r>
      </text>
    </comment>
    <comment ref="M30" authorId="0" shapeId="0" xr:uid="{01C6A504-5E83-4752-835E-2F578FDEF05C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Tax amendment for 2022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 Zheyuan (uif84450)</author>
  </authors>
  <commentList>
    <comment ref="B2" authorId="0" shapeId="0" xr:uid="{735D269D-DE88-4878-9C79-993F26AF710C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10.27
</t>
        </r>
      </text>
    </comment>
    <comment ref="B3" authorId="0" shapeId="0" xr:uid="{99105F6C-47D1-40AC-AD9B-AB1E56E91344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10.13
</t>
        </r>
      </text>
    </comment>
    <comment ref="M8" authorId="0" shapeId="0" xr:uid="{5CC5FF78-0FFA-4F14-9A56-6D17783C7364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haircut
</t>
        </r>
      </text>
    </comment>
    <comment ref="M11" authorId="0" shapeId="0" xr:uid="{23084B28-B975-4176-A9A0-5C113C5329D8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to xiaoyu??</t>
        </r>
      </text>
    </comment>
    <comment ref="J14" authorId="0" shapeId="0" xr:uid="{1669AB06-CE8C-48AC-A496-21788B2BC5A5}">
      <text>
        <r>
          <rPr>
            <b/>
            <sz val="9"/>
            <color indexed="81"/>
            <rFont val="Tahoma"/>
            <family val="2"/>
          </rPr>
          <t>Wu, Zheyuan (uif84450):
Jiadele</t>
        </r>
      </text>
    </comment>
    <comment ref="J15" authorId="0" shapeId="0" xr:uid="{7CBB24D2-EF2C-4330-816B-714A546E9285}">
      <text>
        <r>
          <rPr>
            <b/>
            <sz val="9"/>
            <color indexed="81"/>
            <rFont val="Tahoma"/>
            <family val="2"/>
          </rPr>
          <t>Wu, Zheyuan (uif84450):
Jiadele</t>
        </r>
      </text>
    </comment>
    <comment ref="J22" authorId="0" shapeId="0" xr:uid="{7DB5C101-5E7A-4F12-929E-4BF1E7642613}">
      <text>
        <r>
          <rPr>
            <b/>
            <sz val="9"/>
            <color indexed="81"/>
            <rFont val="Tahoma"/>
            <family val="2"/>
          </rPr>
          <t>Wu, Zheyuan (uif84450):
Jiadele</t>
        </r>
      </text>
    </comment>
    <comment ref="J23" authorId="0" shapeId="0" xr:uid="{25249778-D3BD-4CCB-BD3D-6854573A0C56}">
      <text>
        <r>
          <rPr>
            <b/>
            <sz val="9"/>
            <color indexed="81"/>
            <rFont val="Tahoma"/>
            <family val="2"/>
          </rPr>
          <t>Wu, Zheyuan (uif84450):
Jiadele</t>
        </r>
      </text>
    </comment>
    <comment ref="J25" authorId="0" shapeId="0" xr:uid="{C0EFE3C6-862E-4D04-8609-1383B3603BCA}">
      <text>
        <r>
          <rPr>
            <b/>
            <sz val="9"/>
            <color indexed="81"/>
            <rFont val="Tahoma"/>
            <family val="2"/>
          </rPr>
          <t>Wu, Zheyuan (uif84450):
Jiadele</t>
        </r>
      </text>
    </comment>
    <comment ref="M31" authorId="0" shapeId="0" xr:uid="{3BFC5225-BC7B-4EBA-8143-D32FA678A221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transfer to Yuxin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 Zheyuan (uif84450)</author>
  </authors>
  <commentList>
    <comment ref="B2" authorId="0" shapeId="0" xr:uid="{805F6FF6-ED13-47A9-B25B-E6FBC25F10A2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10.27
</t>
        </r>
      </text>
    </comment>
    <comment ref="B3" authorId="0" shapeId="0" xr:uid="{00B43CAE-DE91-4AD9-B369-FB4848D0764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10.13
</t>
        </r>
      </text>
    </comment>
    <comment ref="J8" authorId="0" shapeId="0" xr:uid="{CB1FFECB-5F1D-4E65-A355-F0907E53EF3F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jiadele</t>
        </r>
      </text>
    </comment>
    <comment ref="K11" authorId="0" shapeId="0" xr:uid="{8888CB4A-49CE-4C81-A674-A7E4540B7BDA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Keep
</t>
        </r>
      </text>
    </comment>
    <comment ref="J17" authorId="0" shapeId="0" xr:uid="{11DF2041-E483-4220-A06C-23D113359C1F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jiadele</t>
        </r>
      </text>
    </comment>
    <comment ref="M20" authorId="0" shapeId="0" xr:uid="{2B4764DC-784A-4F87-8198-905D1632C6A6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Scam of 12.71</t>
        </r>
      </text>
    </comment>
    <comment ref="J22" authorId="0" shapeId="0" xr:uid="{137BBCEB-096F-4DD9-94ED-89F950AF3E74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AAA insurance</t>
        </r>
      </text>
    </comment>
    <comment ref="J28" authorId="0" shapeId="0" xr:uid="{A0F1BD73-088E-4DCE-8778-1E38053A903E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AAA insurance Amendment</t>
        </r>
      </text>
    </comment>
    <comment ref="M29" authorId="0" shapeId="0" xr:uid="{2A65ADB6-03C5-4F3E-BEFB-1570609688EF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Driving License Renewal
</t>
        </r>
      </text>
    </comment>
    <comment ref="J31" authorId="0" shapeId="0" xr:uid="{934C4E58-26E7-4B3F-B92B-F5428BAC2F83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jiadele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 Zheyuan (uif84450)</author>
  </authors>
  <commentList>
    <comment ref="B2" authorId="0" shapeId="0" xr:uid="{9EE7641E-CF6A-4B0B-9F75-D7E2692FB89A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10.27
</t>
        </r>
      </text>
    </comment>
    <comment ref="B3" authorId="0" shapeId="0" xr:uid="{9C055D8F-077F-47D8-89F8-05CB248C0A6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10.13
</t>
        </r>
      </text>
    </comment>
    <comment ref="J8" authorId="0" shapeId="0" xr:uid="{A46C67ED-675A-4ACF-81B7-590754B18FEC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jiadele</t>
        </r>
      </text>
    </comment>
    <comment ref="K11" authorId="0" shapeId="0" xr:uid="{31387DB4-8DBC-42FA-BBA7-EC146D124D14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Keep
</t>
        </r>
      </text>
    </comment>
    <comment ref="M20" authorId="0" shapeId="0" xr:uid="{E70AE73F-78DD-4CB7-8FE3-BF42B4E717A6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Scam of 12.71</t>
        </r>
      </text>
    </comment>
    <comment ref="M29" authorId="0" shapeId="0" xr:uid="{9B968562-280C-4A88-B417-0AEA7484738C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Scam
</t>
        </r>
      </text>
    </comment>
    <comment ref="J30" authorId="0" shapeId="0" xr:uid="{271CFF8A-04A0-4248-99B7-C3E1199D4CBA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Jiadele
</t>
        </r>
      </text>
    </comment>
    <comment ref="M30" authorId="0" shapeId="0" xr:uid="{DD664854-EB04-484D-90EE-0D2F02891687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Scam Reversal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Wu, Zheyuan (uif84450)</author>
  </authors>
  <commentList>
    <comment ref="B2" authorId="0" shapeId="0" xr:uid="{85AC83EB-5907-4854-BA76-B35238A4110B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10.27
</t>
        </r>
      </text>
    </comment>
    <comment ref="B3" authorId="0" shapeId="0" xr:uid="{80B7B0B6-E1CB-4B41-AD9D-F30E4AAEEA09}">
      <text>
        <r>
          <rPr>
            <b/>
            <sz val="9"/>
            <color indexed="81"/>
            <rFont val="Tahoma"/>
            <family val="2"/>
          </rPr>
          <t>Wu, Zheyuan (uif84450):</t>
        </r>
        <r>
          <rPr>
            <sz val="9"/>
            <color indexed="81"/>
            <rFont val="Tahoma"/>
            <family val="2"/>
          </rPr>
          <t xml:space="preserve">
10.13
</t>
        </r>
      </text>
    </comment>
  </commentList>
</comments>
</file>

<file path=xl/sharedStrings.xml><?xml version="1.0" encoding="utf-8"?>
<sst xmlns="http://schemas.openxmlformats.org/spreadsheetml/2006/main" count="946" uniqueCount="416">
  <si>
    <t>McDonalds</t>
  </si>
  <si>
    <t xml:space="preserve">Costco </t>
  </si>
  <si>
    <t>ATM withdrawal</t>
  </si>
  <si>
    <t>Paycheck</t>
  </si>
  <si>
    <t>Rakuten Cashback</t>
  </si>
  <si>
    <t>Home Off Stipend</t>
  </si>
  <si>
    <t>Critical Illness</t>
  </si>
  <si>
    <t xml:space="preserve">Legal </t>
  </si>
  <si>
    <t xml:space="preserve">VSP </t>
  </si>
  <si>
    <t>Dental Choice Plus</t>
  </si>
  <si>
    <t>401k</t>
  </si>
  <si>
    <t>MI tax</t>
  </si>
  <si>
    <t>FED tax</t>
  </si>
  <si>
    <t>Gas</t>
  </si>
  <si>
    <t>Xfinity</t>
  </si>
  <si>
    <t>IRS</t>
  </si>
  <si>
    <t>Asian Express</t>
  </si>
  <si>
    <t>Planet Fitness</t>
  </si>
  <si>
    <t xml:space="preserve">Travel </t>
  </si>
  <si>
    <t>Walmart</t>
  </si>
  <si>
    <t>Entertainment</t>
  </si>
  <si>
    <t>SOHO restaurant</t>
  </si>
  <si>
    <t>T-Mobile</t>
  </si>
  <si>
    <t>Rent</t>
  </si>
  <si>
    <t>Discover Payment</t>
  </si>
  <si>
    <t xml:space="preserve">Target </t>
  </si>
  <si>
    <t>Meijer</t>
  </si>
  <si>
    <t>Temu</t>
  </si>
  <si>
    <t>Popeyes</t>
  </si>
  <si>
    <t>SHEIN</t>
  </si>
  <si>
    <t>Conti-Café</t>
  </si>
  <si>
    <t>Eye Check</t>
  </si>
  <si>
    <t>168 Asian Mart</t>
  </si>
  <si>
    <t xml:space="preserve">Burger king </t>
  </si>
  <si>
    <t>DoorDash</t>
  </si>
  <si>
    <t xml:space="preserve">KFC </t>
  </si>
  <si>
    <t xml:space="preserve">BP </t>
  </si>
  <si>
    <t>Diner 31 Manistee</t>
  </si>
  <si>
    <t>H-mart</t>
  </si>
  <si>
    <t>Great Clip</t>
  </si>
  <si>
    <t>Apple Bill</t>
  </si>
  <si>
    <t>Walgreen</t>
  </si>
  <si>
    <t>Kroger</t>
  </si>
  <si>
    <t>Total</t>
  </si>
  <si>
    <t>Discover</t>
  </si>
  <si>
    <t>Chase</t>
  </si>
  <si>
    <t>Income</t>
  </si>
  <si>
    <t>Fast Food</t>
  </si>
  <si>
    <t>Supermarket</t>
  </si>
  <si>
    <t>General Food</t>
  </si>
  <si>
    <t>Web Shopping</t>
  </si>
  <si>
    <t>Subscription</t>
  </si>
  <si>
    <t>Others</t>
  </si>
  <si>
    <t>Utility</t>
  </si>
  <si>
    <t>Food</t>
  </si>
  <si>
    <t>Shopping</t>
  </si>
  <si>
    <t>Date</t>
    <phoneticPr fontId="5" type="noConversion"/>
  </si>
  <si>
    <t>2023.10.13</t>
  </si>
  <si>
    <t>2023.10.13</t>
    <phoneticPr fontId="5" type="noConversion"/>
  </si>
  <si>
    <t>Base income</t>
    <phoneticPr fontId="5" type="noConversion"/>
  </si>
  <si>
    <t xml:space="preserve">Net  income </t>
    <phoneticPr fontId="5" type="noConversion"/>
  </si>
  <si>
    <t>2023.10.27</t>
  </si>
  <si>
    <t>2023.10.27</t>
    <phoneticPr fontId="5" type="noConversion"/>
  </si>
  <si>
    <t>payment</t>
    <phoneticPr fontId="5" type="noConversion"/>
  </si>
  <si>
    <t>supermarket</t>
    <phoneticPr fontId="5" type="noConversion"/>
  </si>
  <si>
    <t>rental</t>
    <phoneticPr fontId="5" type="noConversion"/>
  </si>
  <si>
    <t>utiltes</t>
    <phoneticPr fontId="5" type="noConversion"/>
  </si>
  <si>
    <t>mobile phone fee</t>
    <phoneticPr fontId="5" type="noConversion"/>
  </si>
  <si>
    <t>travel</t>
    <phoneticPr fontId="5" type="noConversion"/>
  </si>
  <si>
    <t>Remark</t>
    <phoneticPr fontId="5" type="noConversion"/>
  </si>
  <si>
    <t>health check</t>
    <phoneticPr fontId="5" type="noConversion"/>
  </si>
  <si>
    <t>2023.10.02</t>
    <phoneticPr fontId="5" type="noConversion"/>
  </si>
  <si>
    <t>Gas</t>
    <phoneticPr fontId="5" type="noConversion"/>
  </si>
  <si>
    <t>H-mart</t>
    <phoneticPr fontId="5" type="noConversion"/>
  </si>
  <si>
    <t>fast food</t>
    <phoneticPr fontId="5" type="noConversion"/>
  </si>
  <si>
    <t>2023.10.03</t>
  </si>
  <si>
    <t>2023.10.09</t>
    <phoneticPr fontId="5" type="noConversion"/>
  </si>
  <si>
    <t>2023.10.10</t>
  </si>
  <si>
    <t>2023.10.04</t>
    <phoneticPr fontId="5" type="noConversion"/>
  </si>
  <si>
    <t>entertaiment/dinner</t>
    <phoneticPr fontId="5" type="noConversion"/>
  </si>
  <si>
    <t>2023.10.14</t>
    <phoneticPr fontId="5" type="noConversion"/>
  </si>
  <si>
    <t>2023.10.15</t>
  </si>
  <si>
    <t>2023.10.16</t>
    <phoneticPr fontId="5" type="noConversion"/>
  </si>
  <si>
    <t>BP</t>
    <phoneticPr fontId="5" type="noConversion"/>
  </si>
  <si>
    <t>KFC</t>
    <phoneticPr fontId="5" type="noConversion"/>
  </si>
  <si>
    <t>2023.10.17</t>
  </si>
  <si>
    <t>zhihu</t>
    <phoneticPr fontId="5" type="noConversion"/>
  </si>
  <si>
    <t>2023.10.18</t>
  </si>
  <si>
    <t>2023.10.21</t>
    <phoneticPr fontId="5" type="noConversion"/>
  </si>
  <si>
    <t>2023.10.22</t>
  </si>
  <si>
    <t>2023.10.26</t>
    <phoneticPr fontId="5" type="noConversion"/>
  </si>
  <si>
    <t>2023.10.19</t>
  </si>
  <si>
    <t>2023.10.25</t>
  </si>
  <si>
    <t>2023.10.23</t>
    <phoneticPr fontId="5" type="noConversion"/>
  </si>
  <si>
    <t>Apple Bill/web shopping</t>
    <phoneticPr fontId="5" type="noConversion"/>
  </si>
  <si>
    <t>2023.10.28</t>
  </si>
  <si>
    <t>2023.10.29</t>
  </si>
  <si>
    <t>target</t>
  </si>
  <si>
    <t>target</t>
    <phoneticPr fontId="5" type="noConversion"/>
  </si>
  <si>
    <t>2023.10.05</t>
    <phoneticPr fontId="5" type="noConversion"/>
  </si>
  <si>
    <t>2023.10.06</t>
  </si>
  <si>
    <t>2023.10.07</t>
  </si>
  <si>
    <t>2023.10.08</t>
  </si>
  <si>
    <t>2023.10.11</t>
  </si>
  <si>
    <t>2023.10.12</t>
  </si>
  <si>
    <t>yuxin</t>
    <phoneticPr fontId="5" type="noConversion"/>
  </si>
  <si>
    <t>yuxin hotel</t>
    <phoneticPr fontId="5" type="noConversion"/>
  </si>
  <si>
    <t>Exxon mobile</t>
    <phoneticPr fontId="5" type="noConversion"/>
  </si>
  <si>
    <t>costco Gas</t>
  </si>
  <si>
    <t>costco Gas</t>
    <phoneticPr fontId="5" type="noConversion"/>
  </si>
  <si>
    <t>2023.10.30</t>
  </si>
  <si>
    <t>2023.10.31</t>
  </si>
  <si>
    <t>2023.10.01</t>
  </si>
  <si>
    <t>2023.10.20</t>
  </si>
  <si>
    <t>2023.10.24</t>
  </si>
  <si>
    <t xml:space="preserve">costco </t>
    <phoneticPr fontId="5" type="noConversion"/>
  </si>
  <si>
    <t>hot dog+drink</t>
  </si>
  <si>
    <t>hot dog+drink</t>
    <phoneticPr fontId="5" type="noConversion"/>
  </si>
  <si>
    <t>withdraw</t>
    <phoneticPr fontId="5" type="noConversion"/>
  </si>
  <si>
    <t>subtotal</t>
    <phoneticPr fontId="5" type="noConversion"/>
  </si>
  <si>
    <t>check</t>
    <phoneticPr fontId="5" type="noConversion"/>
  </si>
  <si>
    <t>others</t>
    <phoneticPr fontId="5" type="noConversion"/>
  </si>
  <si>
    <t>Residual</t>
  </si>
  <si>
    <t>Apt Rent</t>
  </si>
  <si>
    <t>Airsoft</t>
  </si>
  <si>
    <t>Conti-café</t>
  </si>
  <si>
    <t>Normandy Eye Check Copay</t>
  </si>
  <si>
    <t>Chestnut</t>
  </si>
  <si>
    <t>Fitness Lock</t>
  </si>
  <si>
    <t xml:space="preserve">1-day pass for independence Oak </t>
  </si>
  <si>
    <t>T-mobile</t>
  </si>
  <si>
    <t>T-mobile datapack</t>
  </si>
  <si>
    <t>Burger King</t>
  </si>
  <si>
    <t>Consumer Energy</t>
  </si>
  <si>
    <t>Cash Withdrawal</t>
  </si>
  <si>
    <t>2023.09.01</t>
  </si>
  <si>
    <t>2023.09.02</t>
  </si>
  <si>
    <t>2023.09.03</t>
  </si>
  <si>
    <t>2023.09.04</t>
  </si>
  <si>
    <t>2023.09.05</t>
  </si>
  <si>
    <t>2023.09.06</t>
  </si>
  <si>
    <t>2023.09.07</t>
  </si>
  <si>
    <t>2023.09.08</t>
  </si>
  <si>
    <t>2023.09.09</t>
  </si>
  <si>
    <t>2023.09.10</t>
  </si>
  <si>
    <t>2023.09.11</t>
  </si>
  <si>
    <t>2023.09.12</t>
  </si>
  <si>
    <t>2023.09.13</t>
  </si>
  <si>
    <t>2023.09.14</t>
  </si>
  <si>
    <t>2023.09.15</t>
  </si>
  <si>
    <t>2023.09.16</t>
  </si>
  <si>
    <t>2023.09.17</t>
  </si>
  <si>
    <t>2023.09.18</t>
  </si>
  <si>
    <t>2023.09.19</t>
  </si>
  <si>
    <t>2023.09.20</t>
  </si>
  <si>
    <t>2023.09.21</t>
  </si>
  <si>
    <t>2023.09.22</t>
  </si>
  <si>
    <t>2023.09.23</t>
  </si>
  <si>
    <t>2023.09.24</t>
  </si>
  <si>
    <t>2023.09.25</t>
  </si>
  <si>
    <t>2023.09.26</t>
  </si>
  <si>
    <t>2023.09.27</t>
  </si>
  <si>
    <t>2023.09.28</t>
  </si>
  <si>
    <t>2023.09.29</t>
  </si>
  <si>
    <t>2023.09.30</t>
  </si>
  <si>
    <t>Shell gas</t>
  </si>
  <si>
    <t>rent</t>
  </si>
  <si>
    <t>transfer to Xiaoyu</t>
  </si>
  <si>
    <t>xfinity</t>
  </si>
  <si>
    <t>amazon</t>
  </si>
  <si>
    <t>Umich Insurance</t>
  </si>
  <si>
    <t>Costco Gas</t>
  </si>
  <si>
    <t>Charminar Biryani House</t>
  </si>
  <si>
    <t>Kawai music book</t>
  </si>
  <si>
    <t>Dearborn meat market</t>
  </si>
  <si>
    <t>To yuxin</t>
  </si>
  <si>
    <t>Puma socks</t>
  </si>
  <si>
    <t>Panda express</t>
  </si>
  <si>
    <t>great clip</t>
  </si>
  <si>
    <t>Nike</t>
  </si>
  <si>
    <t>Range USA</t>
  </si>
  <si>
    <t>Charro Mexican Food</t>
  </si>
  <si>
    <t>Frita Batidos</t>
  </si>
  <si>
    <t>zhihu</t>
  </si>
  <si>
    <t>DTE</t>
  </si>
  <si>
    <t>ExxonMobil</t>
  </si>
  <si>
    <t>Sheeba</t>
  </si>
  <si>
    <t>T-mobile 1G datapack</t>
  </si>
  <si>
    <t>ALDI</t>
  </si>
  <si>
    <t>FOGO de Chao</t>
  </si>
  <si>
    <t>Pepsi Vending</t>
  </si>
  <si>
    <t>Chengs</t>
  </si>
  <si>
    <t>Consumers Energy</t>
  </si>
  <si>
    <t>Target</t>
  </si>
  <si>
    <t>Woorijip (beside Hmart)</t>
  </si>
  <si>
    <t>Dave's Hot Chicken</t>
  </si>
  <si>
    <t>Spotify</t>
  </si>
  <si>
    <t>Starbucks</t>
  </si>
  <si>
    <t>2023.08.04</t>
  </si>
  <si>
    <t>2023.08.18</t>
  </si>
  <si>
    <t>2023.08.01</t>
  </si>
  <si>
    <t>2023.08.02</t>
  </si>
  <si>
    <t>2023.08.03</t>
  </si>
  <si>
    <t>2023.08.05</t>
  </si>
  <si>
    <t>2023.08.06</t>
  </si>
  <si>
    <t>2023.08.07</t>
  </si>
  <si>
    <t>2023.08.08</t>
  </si>
  <si>
    <t>2023.08.09</t>
  </si>
  <si>
    <t>2023.08.10</t>
  </si>
  <si>
    <t>2023.08.11</t>
  </si>
  <si>
    <t>2023.08.12</t>
  </si>
  <si>
    <t>2023.08.13</t>
  </si>
  <si>
    <t>2023.08.14</t>
  </si>
  <si>
    <t>2023.08.15</t>
  </si>
  <si>
    <t>2023.08.16</t>
  </si>
  <si>
    <t>2023.08.17</t>
  </si>
  <si>
    <t>2023.08.19</t>
  </si>
  <si>
    <t>2023.08.20</t>
  </si>
  <si>
    <t>2023.08.21</t>
  </si>
  <si>
    <t>2023.08.22</t>
  </si>
  <si>
    <t>2023.08.23</t>
  </si>
  <si>
    <t>2023.08.24</t>
  </si>
  <si>
    <t>2023.08.25</t>
  </si>
  <si>
    <t>2023.08.26</t>
  </si>
  <si>
    <t>2023.08.27</t>
  </si>
  <si>
    <t>2023.08.28</t>
  </si>
  <si>
    <t>2023.08.29</t>
  </si>
  <si>
    <t>2023.08.30</t>
  </si>
  <si>
    <t>Scam</t>
  </si>
  <si>
    <t>AAA insurance</t>
  </si>
  <si>
    <t>SOS driving license renewal</t>
  </si>
  <si>
    <t>Elavon?</t>
  </si>
  <si>
    <t>18+0.37</t>
  </si>
  <si>
    <t>Oakridge Dental</t>
  </si>
  <si>
    <t>Oakrudge</t>
  </si>
  <si>
    <t>SOHO</t>
  </si>
  <si>
    <t>Shakeel Niazi Dental</t>
  </si>
  <si>
    <t>hotdog+drink</t>
  </si>
  <si>
    <t>Zarzoor</t>
  </si>
  <si>
    <t>Kepp Annual</t>
  </si>
  <si>
    <t>Best Buy Annual</t>
  </si>
  <si>
    <t>BestBuy</t>
  </si>
  <si>
    <t>Guitar Class</t>
  </si>
  <si>
    <t>Potbelly</t>
  </si>
  <si>
    <t>Panda Express</t>
  </si>
  <si>
    <t>Kung Fu Tea</t>
  </si>
  <si>
    <t>Yoons Bakery</t>
  </si>
  <si>
    <t>DoorDash - Popeyes</t>
  </si>
  <si>
    <t>Coney Island</t>
  </si>
  <si>
    <t>Weee</t>
  </si>
  <si>
    <t>Coursera</t>
  </si>
  <si>
    <t>BP</t>
  </si>
  <si>
    <t>NoodleTopia</t>
  </si>
  <si>
    <t>Costco Gas+Costco</t>
  </si>
  <si>
    <t>Sukho Thai</t>
  </si>
  <si>
    <t>Onezo Boba</t>
  </si>
  <si>
    <t>Tous Les Jours Bread</t>
  </si>
  <si>
    <t>SOHO Restaurant</t>
  </si>
  <si>
    <t>Woodpile BBQ</t>
  </si>
  <si>
    <t>2023.08.31</t>
  </si>
  <si>
    <t>Udemy</t>
  </si>
  <si>
    <t>2023.07.21</t>
  </si>
  <si>
    <t>2023.07.07</t>
  </si>
  <si>
    <t>2023.07.01</t>
  </si>
  <si>
    <t>2023.07.02</t>
  </si>
  <si>
    <t>2023.07.03</t>
  </si>
  <si>
    <t>2023.07.04</t>
  </si>
  <si>
    <t>2023.07.05</t>
  </si>
  <si>
    <t>2023.07.06</t>
  </si>
  <si>
    <t>2023.07.08</t>
  </si>
  <si>
    <t>2023.07.09</t>
  </si>
  <si>
    <t>2023.07.10</t>
  </si>
  <si>
    <t>2023.07.11</t>
  </si>
  <si>
    <t>2023.07.12</t>
  </si>
  <si>
    <t>2023.07.13</t>
  </si>
  <si>
    <t>2023.07.14</t>
  </si>
  <si>
    <t>2023.07.15</t>
  </si>
  <si>
    <t>2023.07.16</t>
  </si>
  <si>
    <t>2023.07.17</t>
  </si>
  <si>
    <t>2023.07.18</t>
  </si>
  <si>
    <t>2023.07.19</t>
  </si>
  <si>
    <t>2023.07.20</t>
  </si>
  <si>
    <t>2023.07.22</t>
  </si>
  <si>
    <t>2023.07.23</t>
  </si>
  <si>
    <t>2023.07.24</t>
  </si>
  <si>
    <t>2023.07.25</t>
  </si>
  <si>
    <t>2023.07.26</t>
  </si>
  <si>
    <t>2023.07.27</t>
  </si>
  <si>
    <t>2023.07.28</t>
  </si>
  <si>
    <t>2023.07.29</t>
  </si>
  <si>
    <t>2023.07.30</t>
  </si>
  <si>
    <t>2023.07.31</t>
  </si>
  <si>
    <t xml:space="preserve">Consumer Energy </t>
  </si>
  <si>
    <t>pepsi vending</t>
  </si>
  <si>
    <t>Not just noodle</t>
  </si>
  <si>
    <t>Conti--Café</t>
  </si>
  <si>
    <t xml:space="preserve">Royal Palace </t>
  </si>
  <si>
    <t>Emagine movie</t>
  </si>
  <si>
    <t>Dave's Hot chicken</t>
  </si>
  <si>
    <t>Wholefoods</t>
  </si>
  <si>
    <t>To yifan</t>
  </si>
  <si>
    <t>spotify</t>
  </si>
  <si>
    <t>Round 1</t>
  </si>
  <si>
    <t>Fireworks</t>
  </si>
  <si>
    <t>Body Shop</t>
  </si>
  <si>
    <t>Premium Matcha Café</t>
  </si>
  <si>
    <t>FiveGuys</t>
  </si>
  <si>
    <t>Amazon</t>
  </si>
  <si>
    <t>Detroit Zoo</t>
  </si>
  <si>
    <t xml:space="preserve">Costco Gas </t>
  </si>
  <si>
    <t>Costco Fastfood</t>
  </si>
  <si>
    <t>Car maintainence</t>
  </si>
  <si>
    <t>Tmobile</t>
  </si>
  <si>
    <t>Satay House</t>
  </si>
  <si>
    <t>Joint Chiropractic</t>
  </si>
  <si>
    <t>Biotherm</t>
  </si>
  <si>
    <t>Scam Reversal</t>
  </si>
  <si>
    <t>2023.06.01</t>
  </si>
  <si>
    <t>2023.06.02</t>
  </si>
  <si>
    <t>2023.06.03</t>
  </si>
  <si>
    <t>2023.06.04</t>
  </si>
  <si>
    <t>2023.06.05</t>
  </si>
  <si>
    <t>2023.06.06</t>
  </si>
  <si>
    <t>2023.06.07</t>
  </si>
  <si>
    <t>2023.06.08</t>
  </si>
  <si>
    <t>2023.06.09</t>
  </si>
  <si>
    <t>2023.06.10</t>
  </si>
  <si>
    <t>2023.06.11</t>
  </si>
  <si>
    <t>2023.06.12</t>
  </si>
  <si>
    <t>2023.06.13</t>
  </si>
  <si>
    <t>2023.06.14</t>
  </si>
  <si>
    <t>2023.06.15</t>
  </si>
  <si>
    <t>2023.06.16</t>
  </si>
  <si>
    <t>2023.06.17</t>
  </si>
  <si>
    <t>2023.06.18</t>
  </si>
  <si>
    <t>2023.06.19</t>
  </si>
  <si>
    <t>2023.06.20</t>
  </si>
  <si>
    <t>2023.06.21</t>
  </si>
  <si>
    <t>2023.06.22</t>
  </si>
  <si>
    <t>2023.06.23</t>
  </si>
  <si>
    <t>2023.06.24</t>
  </si>
  <si>
    <t>2023.06.25</t>
  </si>
  <si>
    <t>2023.06.26</t>
  </si>
  <si>
    <t>2023.06.27</t>
  </si>
  <si>
    <t>2023.06.28</t>
  </si>
  <si>
    <t>2023.06.29</t>
  </si>
  <si>
    <t>2023.06.30</t>
  </si>
  <si>
    <t>Rochester Hills</t>
  </si>
  <si>
    <t xml:space="preserve">Amazon </t>
  </si>
  <si>
    <t>Khalaf Grill</t>
  </si>
  <si>
    <t>costco fastfood</t>
  </si>
  <si>
    <t>Banana</t>
  </si>
  <si>
    <t>CK</t>
  </si>
  <si>
    <t>underarm</t>
  </si>
  <si>
    <t>from yifan</t>
  </si>
  <si>
    <t>Jeffs Kitchen</t>
  </si>
  <si>
    <t>Way 1</t>
  </si>
  <si>
    <t>Umich</t>
  </si>
  <si>
    <t>Apple</t>
  </si>
  <si>
    <t>For cqh</t>
  </si>
  <si>
    <t>papparoti</t>
  </si>
  <si>
    <t>wendys</t>
  </si>
  <si>
    <t>royal palace</t>
  </si>
  <si>
    <t>Culver's</t>
  </si>
  <si>
    <t>Antonio Café &amp; Grill</t>
  </si>
  <si>
    <t xml:space="preserve">panda express </t>
  </si>
  <si>
    <t>cbengs</t>
  </si>
  <si>
    <t>round</t>
  </si>
  <si>
    <t>panda express</t>
  </si>
  <si>
    <t>DoorDash - SuperCrab</t>
  </si>
  <si>
    <t>Tiger Sugar Boba</t>
  </si>
  <si>
    <t>Wendys</t>
  </si>
  <si>
    <t xml:space="preserve">speedway </t>
  </si>
  <si>
    <t>Chela Taco</t>
  </si>
  <si>
    <t>costco hot dog+drink</t>
    <phoneticPr fontId="5" type="noConversion"/>
  </si>
  <si>
    <t>yuxin hotel</t>
    <phoneticPr fontId="5" type="noConversion"/>
  </si>
  <si>
    <t>BP</t>
    <phoneticPr fontId="5" type="noConversion"/>
  </si>
  <si>
    <t>ExxonMobile</t>
    <phoneticPr fontId="5" type="noConversion"/>
  </si>
  <si>
    <t>mobile phone fee</t>
  </si>
  <si>
    <t>check</t>
    <phoneticPr fontId="5" type="noConversion"/>
  </si>
  <si>
    <t>CHECK</t>
    <phoneticPr fontId="5" type="noConversion"/>
  </si>
  <si>
    <t>subtotal</t>
    <phoneticPr fontId="5" type="noConversion"/>
  </si>
  <si>
    <t>Gas</t>
    <phoneticPr fontId="5" type="noConversion"/>
  </si>
  <si>
    <t>Date</t>
    <phoneticPr fontId="5" type="noConversion"/>
  </si>
  <si>
    <t>2023.11.01</t>
  </si>
  <si>
    <t>2023.11.02</t>
  </si>
  <si>
    <t>2023.11.03</t>
  </si>
  <si>
    <t>2023.11.04</t>
  </si>
  <si>
    <t>2023.11.05</t>
  </si>
  <si>
    <t>2023.11.06</t>
  </si>
  <si>
    <t>2023.11.07</t>
  </si>
  <si>
    <t>2023.11.08</t>
  </si>
  <si>
    <t>2023.11.09</t>
  </si>
  <si>
    <t>2023.11.10</t>
  </si>
  <si>
    <t>2023.11.11</t>
  </si>
  <si>
    <t>2023.11.12</t>
  </si>
  <si>
    <t>2023.11.13</t>
  </si>
  <si>
    <t>2023.11.14</t>
  </si>
  <si>
    <t>2023.11.15</t>
  </si>
  <si>
    <t>2023.11.16</t>
  </si>
  <si>
    <t>2023.11.17</t>
  </si>
  <si>
    <t>2023.11.18</t>
  </si>
  <si>
    <t>2023.11.19</t>
  </si>
  <si>
    <t>2023.11.20</t>
  </si>
  <si>
    <t>2023.11.21</t>
  </si>
  <si>
    <t>2023.11.22</t>
  </si>
  <si>
    <t>2023.11.23</t>
  </si>
  <si>
    <t>2023.11.24</t>
  </si>
  <si>
    <t>2023.11.25</t>
  </si>
  <si>
    <t>2023.11.26</t>
  </si>
  <si>
    <t>2023.11.27</t>
  </si>
  <si>
    <t>2023.11.28</t>
  </si>
  <si>
    <t>2023.11.29</t>
  </si>
  <si>
    <t>2023.11.30</t>
  </si>
  <si>
    <t>Travel</t>
  </si>
  <si>
    <t>Consumer Energy + DTE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</si>
</sst>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3"/>
      <charset val="13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>
      <alignment vertical="center"/>
    </xf>
  </cellStyleXfs>
  <cellXfs count="8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" xfId="0" applyBorder="1"/>
    <xf numFmtId="164" fontId="0" fillId="6" borderId="1" xfId="1" applyFont="1" applyFill="1" applyBorder="1" applyAlignment="1"/>
    <xf numFmtId="164" fontId="0" fillId="0" borderId="1" xfId="1" applyFont="1" applyBorder="1" applyAlignment="1"/>
    <xf numFmtId="0" fontId="6" fillId="0" borderId="1" xfId="0" applyFont="1" applyBorder="1"/>
    <xf numFmtId="164" fontId="0" fillId="0" borderId="1" xfId="0" applyNumberFormat="1" applyBorder="1"/>
    <xf numFmtId="0" fontId="0" fillId="0" borderId="2" xfId="0" applyBorder="1"/>
    <xf numFmtId="0" fontId="6" fillId="0" borderId="3" xfId="0" applyFont="1" applyBorder="1"/>
    <xf numFmtId="164" fontId="0" fillId="0" borderId="0" xfId="1" applyFont="1" applyBorder="1" applyAlignment="1"/>
    <xf numFmtId="164" fontId="0" fillId="0" borderId="0" xfId="0" applyNumberFormat="1"/>
    <xf numFmtId="164" fontId="0" fillId="2" borderId="0" xfId="0" applyNumberFormat="1" applyFill="1"/>
    <xf numFmtId="0" fontId="6" fillId="0" borderId="0" xfId="0" applyFont="1"/>
    <xf numFmtId="43" fontId="0" fillId="0" borderId="1" xfId="0" applyNumberFormat="1" applyBorder="1"/>
    <xf numFmtId="164" fontId="0" fillId="0" borderId="1" xfId="1" applyFont="1" applyFill="1" applyBorder="1" applyAlignment="1"/>
    <xf numFmtId="164" fontId="7" fillId="0" borderId="1" xfId="1" applyFont="1" applyBorder="1" applyAlignment="1"/>
    <xf numFmtId="164" fontId="0" fillId="0" borderId="3" xfId="1" applyFont="1" applyFill="1" applyBorder="1" applyAlignment="1"/>
    <xf numFmtId="164" fontId="0" fillId="0" borderId="0" xfId="1" applyFont="1" applyFill="1" applyBorder="1" applyAlignment="1"/>
    <xf numFmtId="164" fontId="0" fillId="0" borderId="6" xfId="1" applyFont="1" applyBorder="1" applyAlignment="1"/>
    <xf numFmtId="164" fontId="0" fillId="6" borderId="0" xfId="0" applyNumberFormat="1" applyFill="1"/>
    <xf numFmtId="0" fontId="0" fillId="0" borderId="8" xfId="0" applyBorder="1"/>
    <xf numFmtId="164" fontId="0" fillId="0" borderId="8" xfId="1" applyFont="1" applyBorder="1" applyAlignment="1"/>
    <xf numFmtId="0" fontId="0" fillId="0" borderId="10" xfId="0" applyBorder="1"/>
    <xf numFmtId="164" fontId="0" fillId="0" borderId="10" xfId="1" applyFont="1" applyBorder="1" applyAlignment="1"/>
    <xf numFmtId="164" fontId="0" fillId="0" borderId="11" xfId="0" applyNumberFormat="1" applyBorder="1"/>
    <xf numFmtId="0" fontId="0" fillId="0" borderId="13" xfId="0" applyBorder="1"/>
    <xf numFmtId="0" fontId="0" fillId="0" borderId="14" xfId="0" applyBorder="1"/>
    <xf numFmtId="164" fontId="0" fillId="0" borderId="13" xfId="1" applyFont="1" applyBorder="1" applyAlignment="1"/>
    <xf numFmtId="164" fontId="0" fillId="0" borderId="14" xfId="1" applyFont="1" applyBorder="1" applyAlignment="1"/>
    <xf numFmtId="164" fontId="0" fillId="0" borderId="15" xfId="0" applyNumberFormat="1" applyBorder="1"/>
    <xf numFmtId="164" fontId="0" fillId="0" borderId="16" xfId="0" applyNumberFormat="1" applyBorder="1"/>
    <xf numFmtId="164" fontId="0" fillId="0" borderId="18" xfId="0" applyNumberFormat="1" applyBorder="1"/>
    <xf numFmtId="164" fontId="0" fillId="0" borderId="11" xfId="1" applyFont="1" applyBorder="1" applyAlignment="1"/>
    <xf numFmtId="0" fontId="0" fillId="0" borderId="20" xfId="0" applyBorder="1"/>
    <xf numFmtId="164" fontId="0" fillId="0" borderId="20" xfId="1" applyFont="1" applyBorder="1" applyAlignment="1"/>
    <xf numFmtId="164" fontId="0" fillId="0" borderId="21" xfId="0" applyNumberFormat="1" applyBorder="1"/>
    <xf numFmtId="0" fontId="0" fillId="0" borderId="11" xfId="0" applyBorder="1"/>
    <xf numFmtId="0" fontId="0" fillId="0" borderId="4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15" xfId="1" applyFont="1" applyBorder="1" applyAlignment="1"/>
    <xf numFmtId="164" fontId="0" fillId="0" borderId="18" xfId="1" applyFont="1" applyBorder="1" applyAlignment="1"/>
    <xf numFmtId="164" fontId="0" fillId="0" borderId="16" xfId="1" applyFont="1" applyBorder="1" applyAlignment="1"/>
    <xf numFmtId="0" fontId="0" fillId="0" borderId="6" xfId="0" applyBorder="1"/>
    <xf numFmtId="164" fontId="0" fillId="0" borderId="25" xfId="1" applyFont="1" applyBorder="1" applyAlignment="1"/>
    <xf numFmtId="164" fontId="0" fillId="0" borderId="26" xfId="0" applyNumberFormat="1" applyBorder="1"/>
    <xf numFmtId="0" fontId="6" fillId="0" borderId="12" xfId="0" applyFont="1" applyBorder="1"/>
    <xf numFmtId="43" fontId="0" fillId="0" borderId="2" xfId="0" applyNumberFormat="1" applyBorder="1"/>
    <xf numFmtId="0" fontId="6" fillId="0" borderId="17" xfId="0" applyFont="1" applyBorder="1"/>
    <xf numFmtId="0" fontId="0" fillId="0" borderId="15" xfId="0" applyBorder="1"/>
    <xf numFmtId="0" fontId="6" fillId="0" borderId="24" xfId="0" applyFont="1" applyBorder="1"/>
    <xf numFmtId="0" fontId="0" fillId="0" borderId="7" xfId="0" applyBorder="1"/>
    <xf numFmtId="164" fontId="0" fillId="0" borderId="27" xfId="0" applyNumberFormat="1" applyBorder="1"/>
    <xf numFmtId="164" fontId="0" fillId="0" borderId="7" xfId="1" applyFont="1" applyBorder="1" applyAlignment="1"/>
    <xf numFmtId="0" fontId="0" fillId="0" borderId="28" xfId="0" applyBorder="1"/>
    <xf numFmtId="0" fontId="8" fillId="0" borderId="9" xfId="0" applyFont="1" applyBorder="1"/>
    <xf numFmtId="0" fontId="0" fillId="0" borderId="29" xfId="0" applyBorder="1"/>
    <xf numFmtId="0" fontId="0" fillId="0" borderId="30" xfId="0" applyBorder="1"/>
    <xf numFmtId="0" fontId="0" fillId="0" borderId="33" xfId="0" applyBorder="1"/>
    <xf numFmtId="0" fontId="8" fillId="0" borderId="9" xfId="0" applyFont="1" applyBorder="1" applyAlignment="1">
      <alignment horizontal="center"/>
    </xf>
    <xf numFmtId="0" fontId="0" fillId="0" borderId="5" xfId="0" applyBorder="1"/>
    <xf numFmtId="0" fontId="0" fillId="0" borderId="19" xfId="0" applyBorder="1"/>
    <xf numFmtId="0" fontId="0" fillId="0" borderId="38" xfId="0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4" xfId="0" applyFont="1" applyBorder="1" applyAlignment="1">
      <alignment horizontal="center" wrapText="1"/>
    </xf>
    <xf numFmtId="0" fontId="8" fillId="0" borderId="35" xfId="0" applyFont="1" applyBorder="1" applyAlignment="1">
      <alignment horizontal="center" wrapText="1"/>
    </xf>
    <xf numFmtId="0" fontId="8" fillId="0" borderId="36" xfId="0" applyFont="1" applyBorder="1" applyAlignment="1">
      <alignment horizontal="center" wrapText="1"/>
    </xf>
    <xf numFmtId="0" fontId="8" fillId="0" borderId="31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1" xfId="0" applyFont="1" applyBorder="1" applyAlignment="1">
      <alignment horizontal="center" wrapText="1"/>
    </xf>
    <xf numFmtId="0" fontId="8" fillId="0" borderId="37" xfId="0" applyFont="1" applyBorder="1" applyAlignment="1">
      <alignment horizontal="center" wrapText="1"/>
    </xf>
    <xf numFmtId="0" fontId="8" fillId="0" borderId="32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A36-405A-B267-04E2635BA1E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36-405A-B267-04E2635BA1ED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A36-405A-B267-04E2635BA1ED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36-405A-B267-04E2635BA1E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2A-4AF9-8293-37C50105840A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A36-405A-B267-04E2635BA1ED}"/>
              </c:ext>
            </c:extLst>
          </c:dPt>
          <c:dPt>
            <c:idx val="6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A36-405A-B267-04E2635BA1ED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A36-405A-B267-04E2635BA1ED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Scatch!$M$24:$M$34</c15:sqref>
                  </c15:fullRef>
                </c:ext>
              </c:extLst>
              <c:f>Scatch!$M$27:$M$34</c:f>
              <c:strCache>
                <c:ptCount val="8"/>
                <c:pt idx="0">
                  <c:v>Fast Food</c:v>
                </c:pt>
                <c:pt idx="1">
                  <c:v>General Food</c:v>
                </c:pt>
                <c:pt idx="2">
                  <c:v>Supermarket</c:v>
                </c:pt>
                <c:pt idx="3">
                  <c:v>Web Shopping</c:v>
                </c:pt>
                <c:pt idx="4">
                  <c:v>Subscription</c:v>
                </c:pt>
                <c:pt idx="5">
                  <c:v>Utility</c:v>
                </c:pt>
                <c:pt idx="6">
                  <c:v>Rent</c:v>
                </c:pt>
                <c:pt idx="7">
                  <c:v>Others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Scatch!$N$24:$N$34</c15:sqref>
                  </c15:fullRef>
                </c:ext>
              </c:extLst>
              <c:f>Scatch!$N$27:$N$34</c:f>
              <c:numCache>
                <c:formatCode>General</c:formatCode>
                <c:ptCount val="8"/>
                <c:pt idx="0">
                  <c:v>-106.21000000000001</c:v>
                </c:pt>
                <c:pt idx="1">
                  <c:v>-273.36</c:v>
                </c:pt>
                <c:pt idx="2">
                  <c:v>-530.6</c:v>
                </c:pt>
                <c:pt idx="3">
                  <c:v>-54.84</c:v>
                </c:pt>
                <c:pt idx="4">
                  <c:v>-13.16</c:v>
                </c:pt>
                <c:pt idx="5">
                  <c:v>-223.38</c:v>
                </c:pt>
                <c:pt idx="6">
                  <c:v>-1478.95</c:v>
                </c:pt>
                <c:pt idx="7">
                  <c:v>-1078.3700000000001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A36-405A-B267-04E2635B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232A-4AF9-8293-37C50105840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232A-4AF9-8293-37C50105840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232A-4AF9-8293-37C50105840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232A-4AF9-8293-37C50105840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232A-4AF9-8293-37C50105840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232A-4AF9-8293-37C50105840A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232A-4AF9-8293-37C50105840A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232A-4AF9-8293-37C50105840A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Scatch!$M$24:$M$34</c15:sqref>
                        </c15:fullRef>
                        <c15:formulaRef>
                          <c15:sqref>Scatch!$M$27:$M$34</c15:sqref>
                        </c15:formulaRef>
                      </c:ext>
                    </c:extLst>
                    <c:strCache>
                      <c:ptCount val="8"/>
                      <c:pt idx="0">
                        <c:v>Fast Food</c:v>
                      </c:pt>
                      <c:pt idx="1">
                        <c:v>General Food</c:v>
                      </c:pt>
                      <c:pt idx="2">
                        <c:v>Supermarket</c:v>
                      </c:pt>
                      <c:pt idx="3">
                        <c:v>Web Shopping</c:v>
                      </c:pt>
                      <c:pt idx="4">
                        <c:v>Subscription</c:v>
                      </c:pt>
                      <c:pt idx="5">
                        <c:v>Utility</c:v>
                      </c:pt>
                      <c:pt idx="6">
                        <c:v>Rent</c:v>
                      </c:pt>
                      <c:pt idx="7">
                        <c:v>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Scatch!$O$24:$O$34</c15:sqref>
                        </c15:fullRef>
                        <c15:formulaRef>
                          <c15:sqref>Scatch!$O$27:$O$34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9A36-405A-B267-04E2635BA1E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35</xdr:row>
      <xdr:rowOff>57150</xdr:rowOff>
    </xdr:from>
    <xdr:to>
      <xdr:col>19</xdr:col>
      <xdr:colOff>419100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07249-DAD5-8F9D-4ABB-D4963ABED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2E6F-2D0D-41EA-BC70-3DDD2F07D6A5}">
  <dimension ref="A1:AC49"/>
  <sheetViews>
    <sheetView zoomScale="85" zoomScaleNormal="85" workbookViewId="0">
      <selection activeCell="Q20" sqref="Q20"/>
    </sheetView>
  </sheetViews>
  <sheetFormatPr defaultRowHeight="14.4"/>
  <cols>
    <col min="1" max="1" width="15.88671875" bestFit="1" customWidth="1"/>
    <col min="11" max="11" width="11.44140625" customWidth="1"/>
    <col min="13" max="13" width="15.6640625" bestFit="1" customWidth="1"/>
  </cols>
  <sheetData>
    <row r="1" spans="1:29">
      <c r="A1" t="s">
        <v>45</v>
      </c>
      <c r="K1" t="s">
        <v>43</v>
      </c>
    </row>
    <row r="2" spans="1:29">
      <c r="A2" s="2" t="s">
        <v>3</v>
      </c>
      <c r="B2" s="2">
        <v>3043.08</v>
      </c>
      <c r="C2" s="2">
        <v>3043.08</v>
      </c>
      <c r="D2" s="2"/>
      <c r="E2" s="2"/>
      <c r="F2" s="2"/>
      <c r="G2" s="2"/>
      <c r="H2" s="2"/>
      <c r="I2" s="2"/>
      <c r="J2" s="2"/>
      <c r="K2" s="2">
        <f t="shared" ref="K2:K10" si="0">SUM(B2:J2)</f>
        <v>6086.16</v>
      </c>
    </row>
    <row r="3" spans="1:29">
      <c r="A3" s="2" t="s">
        <v>5</v>
      </c>
      <c r="B3" s="2">
        <v>23.08</v>
      </c>
      <c r="C3" s="2">
        <v>23.08</v>
      </c>
      <c r="D3" s="2"/>
      <c r="E3" s="2"/>
      <c r="F3" s="2"/>
      <c r="G3" s="2"/>
      <c r="H3" s="2"/>
      <c r="I3" s="2"/>
      <c r="J3" s="2"/>
      <c r="K3" s="2">
        <f t="shared" si="0"/>
        <v>46.16</v>
      </c>
    </row>
    <row r="4" spans="1:29">
      <c r="A4" s="2" t="s">
        <v>6</v>
      </c>
      <c r="B4" s="2">
        <v>-2.41</v>
      </c>
      <c r="C4" s="2">
        <v>-2.41</v>
      </c>
      <c r="D4" s="2"/>
      <c r="E4" s="2"/>
      <c r="F4" s="2"/>
      <c r="G4" s="2"/>
      <c r="H4" s="2"/>
      <c r="I4" s="2"/>
      <c r="J4" s="2"/>
      <c r="K4" s="2">
        <f t="shared" si="0"/>
        <v>-4.82</v>
      </c>
    </row>
    <row r="5" spans="1:29">
      <c r="A5" s="2" t="s">
        <v>7</v>
      </c>
      <c r="B5" s="2">
        <v>-8.01</v>
      </c>
      <c r="C5" s="2">
        <v>-8.01</v>
      </c>
      <c r="D5" s="2"/>
      <c r="E5" s="2"/>
      <c r="F5" s="2"/>
      <c r="G5" s="2"/>
      <c r="H5" s="2"/>
      <c r="I5" s="2"/>
      <c r="J5" s="2"/>
      <c r="K5" s="2">
        <f t="shared" si="0"/>
        <v>-16.02</v>
      </c>
    </row>
    <row r="6" spans="1:29">
      <c r="A6" s="2" t="s">
        <v>10</v>
      </c>
      <c r="B6" s="2">
        <v>-182.58</v>
      </c>
      <c r="C6" s="2">
        <v>-182.58</v>
      </c>
      <c r="D6" s="2"/>
      <c r="E6" s="2"/>
      <c r="F6" s="2"/>
      <c r="G6" s="2"/>
      <c r="H6" s="2"/>
      <c r="I6" s="2"/>
      <c r="J6" s="2"/>
      <c r="K6" s="2">
        <f t="shared" si="0"/>
        <v>-365.16</v>
      </c>
    </row>
    <row r="7" spans="1:29">
      <c r="A7" s="2" t="s">
        <v>8</v>
      </c>
      <c r="B7" s="2">
        <v>-5.38</v>
      </c>
      <c r="C7" s="2">
        <v>-5.38</v>
      </c>
      <c r="D7" s="2"/>
      <c r="E7" s="2"/>
      <c r="F7" s="2"/>
      <c r="G7" s="2"/>
      <c r="H7" s="2"/>
      <c r="I7" s="2"/>
      <c r="J7" s="2"/>
      <c r="K7" s="2">
        <f t="shared" si="0"/>
        <v>-10.76</v>
      </c>
    </row>
    <row r="8" spans="1:29">
      <c r="A8" s="2" t="s">
        <v>9</v>
      </c>
      <c r="B8" s="2">
        <v>-12.26</v>
      </c>
      <c r="C8" s="2">
        <v>-12.26</v>
      </c>
      <c r="D8" s="2"/>
      <c r="E8" s="2"/>
      <c r="F8" s="2"/>
      <c r="G8" s="2"/>
      <c r="H8" s="2"/>
      <c r="I8" s="2"/>
      <c r="J8" s="2"/>
      <c r="K8" s="2">
        <f t="shared" si="0"/>
        <v>-24.52</v>
      </c>
      <c r="AC8">
        <f>SUM(T8:AB8)</f>
        <v>0</v>
      </c>
    </row>
    <row r="9" spans="1:29">
      <c r="A9" s="2" t="s">
        <v>11</v>
      </c>
      <c r="B9" s="2">
        <v>-115.14</v>
      </c>
      <c r="C9" s="2">
        <v>-115.14</v>
      </c>
      <c r="D9" s="2"/>
      <c r="E9" s="2"/>
      <c r="F9" s="2"/>
      <c r="G9" s="2"/>
      <c r="H9" s="2"/>
      <c r="I9" s="2"/>
      <c r="J9" s="2"/>
      <c r="K9" s="2">
        <f t="shared" si="0"/>
        <v>-230.28</v>
      </c>
    </row>
    <row r="10" spans="1:29">
      <c r="A10" s="2" t="s">
        <v>12</v>
      </c>
      <c r="B10" s="2">
        <v>-327.76</v>
      </c>
      <c r="C10" s="2">
        <v>-327.76</v>
      </c>
      <c r="D10" s="2"/>
      <c r="E10" s="2"/>
      <c r="F10" s="2"/>
      <c r="G10" s="2"/>
      <c r="H10" s="2"/>
      <c r="I10" s="2"/>
      <c r="J10" s="2"/>
      <c r="K10" s="2">
        <f t="shared" si="0"/>
        <v>-655.52</v>
      </c>
    </row>
    <row r="11" spans="1:29">
      <c r="A11" s="1" t="s">
        <v>0</v>
      </c>
      <c r="B11" s="1">
        <v>-6.56</v>
      </c>
      <c r="C11" s="1">
        <v>-8.18</v>
      </c>
      <c r="D11" s="1">
        <v>-9.32</v>
      </c>
      <c r="E11" s="1">
        <v>-7.07</v>
      </c>
      <c r="F11" s="1">
        <v>-5.93</v>
      </c>
      <c r="G11" s="1"/>
      <c r="H11" s="1"/>
      <c r="I11" s="1"/>
      <c r="J11" s="1"/>
      <c r="K11" s="1">
        <f t="shared" ref="K11:K14" si="1">SUM(B11:J11)</f>
        <v>-37.06</v>
      </c>
      <c r="Z11">
        <f>SUM(B11:Y11)</f>
        <v>-74.12</v>
      </c>
    </row>
    <row r="12" spans="1:29">
      <c r="A12" s="4" t="s">
        <v>1</v>
      </c>
      <c r="B12" s="4">
        <v>-1.59</v>
      </c>
      <c r="C12" s="4">
        <v>-59.32</v>
      </c>
      <c r="D12" s="4">
        <v>-1.59</v>
      </c>
      <c r="E12" s="4">
        <v>-36.229999999999997</v>
      </c>
      <c r="F12" s="4">
        <v>-1.59</v>
      </c>
      <c r="G12" s="4"/>
      <c r="H12" s="4"/>
      <c r="I12" s="4"/>
      <c r="J12" s="4"/>
      <c r="K12" s="4">
        <f t="shared" si="1"/>
        <v>-100.32000000000001</v>
      </c>
      <c r="V12">
        <v>-87.6</v>
      </c>
      <c r="Z12">
        <f>SUM(B12:Y12)</f>
        <v>-288.24</v>
      </c>
    </row>
    <row r="13" spans="1:29">
      <c r="A13" s="10" t="s">
        <v>2</v>
      </c>
      <c r="B13" s="10">
        <v>-100</v>
      </c>
      <c r="C13" s="10"/>
      <c r="D13" s="10"/>
      <c r="E13" s="10"/>
      <c r="F13" s="10"/>
      <c r="G13" s="10"/>
      <c r="H13" s="10"/>
      <c r="I13" s="10"/>
      <c r="J13" s="10"/>
      <c r="K13" s="10">
        <f t="shared" si="1"/>
        <v>-100</v>
      </c>
      <c r="Z13">
        <f>SUM(B13:Y13)</f>
        <v>-200</v>
      </c>
    </row>
    <row r="14" spans="1:29">
      <c r="A14" t="s">
        <v>4</v>
      </c>
      <c r="B14">
        <v>13.91</v>
      </c>
      <c r="K14">
        <f t="shared" si="1"/>
        <v>13.91</v>
      </c>
      <c r="Z14">
        <f>SUM(B14:Y14)</f>
        <v>27.82</v>
      </c>
    </row>
    <row r="15" spans="1:29">
      <c r="A15" s="9" t="s">
        <v>13</v>
      </c>
      <c r="B15" s="9">
        <v>-23.49</v>
      </c>
      <c r="C15" s="9">
        <v>-36.729999999999997</v>
      </c>
      <c r="D15" s="9">
        <v>-46.72</v>
      </c>
      <c r="E15" s="9">
        <v>-15.24</v>
      </c>
      <c r="F15" s="9"/>
      <c r="G15" s="9"/>
      <c r="H15" s="9"/>
      <c r="I15" s="9"/>
      <c r="J15" s="9"/>
      <c r="K15" s="9">
        <f t="shared" ref="K15:K44" si="2">SUM(B15:J15)</f>
        <v>-122.17999999999999</v>
      </c>
      <c r="Z15">
        <f>SUM(Q15:Y15)</f>
        <v>0</v>
      </c>
    </row>
    <row r="16" spans="1:29">
      <c r="A16" s="9" t="s">
        <v>14</v>
      </c>
      <c r="B16" s="9">
        <v>-45</v>
      </c>
      <c r="C16" s="9"/>
      <c r="D16" s="9"/>
      <c r="E16" s="9"/>
      <c r="F16" s="9"/>
      <c r="G16" s="9"/>
      <c r="H16" s="9"/>
      <c r="I16" s="9"/>
      <c r="J16" s="9"/>
      <c r="K16" s="9">
        <f t="shared" si="2"/>
        <v>-45</v>
      </c>
    </row>
    <row r="17" spans="1:18">
      <c r="A17" s="10" t="s">
        <v>15</v>
      </c>
      <c r="B17" s="10">
        <v>-505.74</v>
      </c>
      <c r="C17" s="10">
        <v>-2.5</v>
      </c>
      <c r="D17" s="10"/>
      <c r="E17" s="10"/>
      <c r="F17" s="10"/>
      <c r="G17" s="10"/>
      <c r="H17" s="10"/>
      <c r="I17" s="10"/>
      <c r="J17" s="10"/>
      <c r="K17" s="10">
        <f t="shared" si="2"/>
        <v>-508.24</v>
      </c>
    </row>
    <row r="18" spans="1:18">
      <c r="A18" s="5" t="s">
        <v>16</v>
      </c>
      <c r="B18" s="5">
        <v>-80</v>
      </c>
      <c r="C18" s="5"/>
      <c r="D18" s="5"/>
      <c r="E18" s="5"/>
      <c r="F18" s="5"/>
      <c r="G18" s="5"/>
      <c r="H18" s="5"/>
      <c r="I18" s="5"/>
      <c r="J18" s="5"/>
      <c r="K18" s="5">
        <f t="shared" si="2"/>
        <v>-80</v>
      </c>
    </row>
    <row r="19" spans="1:18">
      <c r="A19" s="10" t="s">
        <v>17</v>
      </c>
      <c r="B19" s="10">
        <v>-25.05</v>
      </c>
      <c r="C19" s="10">
        <v>-7.42</v>
      </c>
      <c r="D19" s="10"/>
      <c r="E19" s="10"/>
      <c r="F19" s="10"/>
      <c r="G19" s="10"/>
      <c r="H19" s="10"/>
      <c r="I19" s="10"/>
      <c r="J19" s="10"/>
      <c r="K19" s="10">
        <f t="shared" si="2"/>
        <v>-32.47</v>
      </c>
    </row>
    <row r="20" spans="1:18">
      <c r="A20" s="10" t="s">
        <v>18</v>
      </c>
      <c r="B20" s="10">
        <v>-26</v>
      </c>
      <c r="C20" s="10">
        <v>-250</v>
      </c>
      <c r="D20" s="10"/>
      <c r="E20" s="10"/>
      <c r="F20" s="10"/>
      <c r="G20" s="10"/>
      <c r="H20" s="10"/>
      <c r="I20" s="10"/>
      <c r="J20" s="10"/>
      <c r="K20" s="10">
        <f t="shared" si="2"/>
        <v>-276</v>
      </c>
    </row>
    <row r="21" spans="1:18">
      <c r="A21" s="4" t="s">
        <v>19</v>
      </c>
      <c r="B21" s="4">
        <v>-25.33</v>
      </c>
      <c r="C21" s="4"/>
      <c r="D21" s="4"/>
      <c r="E21" s="4"/>
      <c r="F21" s="4"/>
      <c r="G21" s="4"/>
      <c r="H21" s="4"/>
      <c r="I21" s="4"/>
      <c r="J21" s="4"/>
      <c r="K21" s="4">
        <f t="shared" si="2"/>
        <v>-25.33</v>
      </c>
    </row>
    <row r="22" spans="1:18">
      <c r="A22" s="10" t="s">
        <v>20</v>
      </c>
      <c r="B22" s="10">
        <v>-16.2</v>
      </c>
      <c r="C22" s="10">
        <v>-100</v>
      </c>
      <c r="D22" s="10">
        <v>50</v>
      </c>
      <c r="E22" s="10">
        <v>-40</v>
      </c>
      <c r="F22" s="10">
        <v>-5</v>
      </c>
      <c r="G22" s="10">
        <v>-5.2</v>
      </c>
      <c r="H22" s="10"/>
      <c r="I22" s="10"/>
      <c r="J22" s="10"/>
      <c r="K22" s="10">
        <f t="shared" si="2"/>
        <v>-116.4</v>
      </c>
    </row>
    <row r="23" spans="1:18">
      <c r="A23" s="5" t="s">
        <v>21</v>
      </c>
      <c r="B23" s="5">
        <v>-18</v>
      </c>
      <c r="C23" s="5">
        <v>-25</v>
      </c>
      <c r="D23" s="5"/>
      <c r="E23" s="5"/>
      <c r="F23" s="5"/>
      <c r="G23" s="5"/>
      <c r="H23" s="5"/>
      <c r="I23" s="5"/>
      <c r="J23" s="5"/>
      <c r="K23" s="5">
        <f t="shared" si="2"/>
        <v>-43</v>
      </c>
    </row>
    <row r="24" spans="1:18">
      <c r="A24" s="9" t="s">
        <v>22</v>
      </c>
      <c r="B24" s="9">
        <v>-11.2</v>
      </c>
      <c r="C24" s="9">
        <v>-45</v>
      </c>
      <c r="D24" s="9"/>
      <c r="E24" s="9"/>
      <c r="F24" s="9"/>
      <c r="G24" s="9"/>
      <c r="H24" s="9"/>
      <c r="I24" s="9"/>
      <c r="J24" s="9"/>
      <c r="K24" s="9">
        <f t="shared" si="2"/>
        <v>-56.2</v>
      </c>
      <c r="M24" s="2" t="s">
        <v>46</v>
      </c>
      <c r="N24">
        <f>SUM(K2:K10)</f>
        <v>4825.24</v>
      </c>
    </row>
    <row r="25" spans="1:18">
      <c r="A25" s="3" t="s">
        <v>23</v>
      </c>
      <c r="B25" s="3">
        <v>-1478.95</v>
      </c>
      <c r="C25" s="3"/>
      <c r="D25" s="3"/>
      <c r="E25" s="3"/>
      <c r="F25" s="3"/>
      <c r="G25" s="3"/>
      <c r="H25" s="3"/>
      <c r="I25" s="3"/>
      <c r="J25" s="3"/>
      <c r="K25" s="3">
        <f t="shared" si="2"/>
        <v>-1478.95</v>
      </c>
      <c r="M25" t="s">
        <v>45</v>
      </c>
      <c r="N25">
        <f>SUM(K11:K25)</f>
        <v>-3007.2400000000002</v>
      </c>
    </row>
    <row r="26" spans="1:18">
      <c r="A26" t="s">
        <v>44</v>
      </c>
      <c r="M26" t="s">
        <v>24</v>
      </c>
      <c r="N26">
        <v>-1670.48</v>
      </c>
      <c r="O26">
        <f>SUM(K27:K44)</f>
        <v>-737.72</v>
      </c>
    </row>
    <row r="27" spans="1:18">
      <c r="A27" s="4" t="s">
        <v>25</v>
      </c>
      <c r="B27" s="4">
        <v>-35.56</v>
      </c>
      <c r="C27" s="4">
        <v>-52.32</v>
      </c>
      <c r="D27" s="4">
        <v>-21.18</v>
      </c>
      <c r="E27" s="4">
        <v>-18</v>
      </c>
      <c r="F27" s="4">
        <v>-10.18</v>
      </c>
      <c r="G27" s="4">
        <v>-2</v>
      </c>
      <c r="H27" s="4"/>
      <c r="I27" s="4"/>
      <c r="J27" s="4"/>
      <c r="K27" s="4">
        <f t="shared" si="2"/>
        <v>-139.24</v>
      </c>
      <c r="M27" s="1" t="s">
        <v>47</v>
      </c>
      <c r="N27">
        <f>K11+K30+K35+K37</f>
        <v>-106.21000000000001</v>
      </c>
    </row>
    <row r="28" spans="1:18">
      <c r="A28" s="4" t="s">
        <v>26</v>
      </c>
      <c r="B28" s="4">
        <v>-4.4800000000000004</v>
      </c>
      <c r="C28" s="4"/>
      <c r="D28" s="4"/>
      <c r="E28" s="4"/>
      <c r="F28" s="4"/>
      <c r="G28" s="4"/>
      <c r="H28" s="4"/>
      <c r="I28" s="4"/>
      <c r="J28" s="4"/>
      <c r="K28" s="4">
        <f t="shared" si="2"/>
        <v>-4.4800000000000004</v>
      </c>
      <c r="M28" s="5" t="s">
        <v>49</v>
      </c>
      <c r="N28">
        <f>K18+K23+K32+K39</f>
        <v>-273.36</v>
      </c>
      <c r="Q28" t="s">
        <v>54</v>
      </c>
      <c r="R28">
        <f>N27+N28</f>
        <v>-379.57000000000005</v>
      </c>
    </row>
    <row r="29" spans="1:18">
      <c r="A29" s="6" t="s">
        <v>27</v>
      </c>
      <c r="B29" s="6">
        <v>-33.24</v>
      </c>
      <c r="C29" s="6"/>
      <c r="D29" s="6"/>
      <c r="E29" s="6"/>
      <c r="F29" s="6"/>
      <c r="G29" s="6"/>
      <c r="H29" s="6"/>
      <c r="I29" s="6"/>
      <c r="J29" s="6"/>
      <c r="K29" s="6">
        <f t="shared" si="2"/>
        <v>-33.24</v>
      </c>
      <c r="M29" s="4" t="s">
        <v>48</v>
      </c>
      <c r="N29">
        <f>K12+K21+K34+K40+K43+K44+K27+K28</f>
        <v>-530.6</v>
      </c>
    </row>
    <row r="30" spans="1:18">
      <c r="A30" s="1" t="s">
        <v>28</v>
      </c>
      <c r="B30" s="1">
        <v>-16.940000000000001</v>
      </c>
      <c r="C30" s="1">
        <v>-6.35</v>
      </c>
      <c r="D30" s="1"/>
      <c r="E30" s="1"/>
      <c r="F30" s="1"/>
      <c r="G30" s="1"/>
      <c r="H30" s="1"/>
      <c r="I30" s="1"/>
      <c r="J30" s="1"/>
      <c r="K30" s="1">
        <f t="shared" si="2"/>
        <v>-23.29</v>
      </c>
      <c r="M30" s="6" t="s">
        <v>50</v>
      </c>
      <c r="N30">
        <f>K29+K31</f>
        <v>-54.84</v>
      </c>
      <c r="Q30" t="s">
        <v>55</v>
      </c>
      <c r="R30">
        <f>N29+N30</f>
        <v>-585.44000000000005</v>
      </c>
    </row>
    <row r="31" spans="1:18">
      <c r="A31" s="6" t="s">
        <v>29</v>
      </c>
      <c r="B31" s="6">
        <v>-21.6</v>
      </c>
      <c r="C31" s="6"/>
      <c r="D31" s="6"/>
      <c r="E31" s="6"/>
      <c r="F31" s="6"/>
      <c r="G31" s="6"/>
      <c r="H31" s="6"/>
      <c r="I31" s="6"/>
      <c r="J31" s="6"/>
      <c r="K31" s="6">
        <f t="shared" si="2"/>
        <v>-21.6</v>
      </c>
      <c r="M31" s="8" t="s">
        <v>51</v>
      </c>
      <c r="N31">
        <f>K42+K36</f>
        <v>-13.16</v>
      </c>
    </row>
    <row r="32" spans="1:18">
      <c r="A32" s="7" t="s">
        <v>30</v>
      </c>
      <c r="B32" s="7">
        <v>-9.5299999999999994</v>
      </c>
      <c r="C32" s="7">
        <f>-2.96-7.41</f>
        <v>-10.370000000000001</v>
      </c>
      <c r="D32" s="7">
        <v>-2.96</v>
      </c>
      <c r="E32" s="7">
        <f>-3.49-4.76-9.53</f>
        <v>-17.78</v>
      </c>
      <c r="F32" s="7">
        <f>-9-5.91</f>
        <v>-14.91</v>
      </c>
      <c r="G32" s="7">
        <f>-2.11-5.26</f>
        <v>-7.3699999999999992</v>
      </c>
      <c r="H32" s="7">
        <v>-9.5299999999999994</v>
      </c>
      <c r="I32" s="7">
        <v>-9</v>
      </c>
      <c r="J32" s="7"/>
      <c r="K32" s="7">
        <f t="shared" si="2"/>
        <v>-81.449999999999989</v>
      </c>
      <c r="M32" s="9" t="s">
        <v>53</v>
      </c>
      <c r="N32">
        <f>K15+K16+K24</f>
        <v>-223.38</v>
      </c>
    </row>
    <row r="33" spans="1:14">
      <c r="A33" s="10" t="s">
        <v>31</v>
      </c>
      <c r="B33" s="10">
        <v>-15</v>
      </c>
      <c r="C33" s="10"/>
      <c r="D33" s="10"/>
      <c r="E33" s="10"/>
      <c r="F33" s="10"/>
      <c r="G33" s="10"/>
      <c r="H33" s="10"/>
      <c r="I33" s="10"/>
      <c r="J33" s="10"/>
      <c r="K33" s="10">
        <f t="shared" si="2"/>
        <v>-15</v>
      </c>
      <c r="M33" s="3" t="s">
        <v>23</v>
      </c>
      <c r="N33">
        <f>K25</f>
        <v>-1478.95</v>
      </c>
    </row>
    <row r="34" spans="1:14">
      <c r="A34" s="4" t="s">
        <v>32</v>
      </c>
      <c r="B34" s="4">
        <v>-82.98</v>
      </c>
      <c r="C34" s="4"/>
      <c r="D34" s="4"/>
      <c r="E34" s="4"/>
      <c r="F34" s="4"/>
      <c r="G34" s="4"/>
      <c r="H34" s="4"/>
      <c r="I34" s="4"/>
      <c r="J34" s="4"/>
      <c r="K34" s="4">
        <f t="shared" si="2"/>
        <v>-82.98</v>
      </c>
      <c r="M34" s="10" t="s">
        <v>52</v>
      </c>
      <c r="N34">
        <f>K13+K17+K19+K20+K22+K33+K38+K41</f>
        <v>-1078.3700000000001</v>
      </c>
    </row>
    <row r="35" spans="1:14">
      <c r="A35" s="1" t="s">
        <v>33</v>
      </c>
      <c r="B35" s="1">
        <v>-12.39</v>
      </c>
      <c r="C35" s="1">
        <v>-4.24</v>
      </c>
      <c r="D35" s="1">
        <v>-11.76</v>
      </c>
      <c r="E35" s="1"/>
      <c r="F35" s="1"/>
      <c r="G35" s="1"/>
      <c r="H35" s="1"/>
      <c r="I35" s="1"/>
      <c r="J35" s="1"/>
      <c r="K35" s="1">
        <f t="shared" si="2"/>
        <v>-28.39</v>
      </c>
    </row>
    <row r="36" spans="1:14">
      <c r="A36" s="8" t="s">
        <v>34</v>
      </c>
      <c r="B36" s="8">
        <v>-9.99</v>
      </c>
      <c r="C36" s="8"/>
      <c r="D36" s="8"/>
      <c r="E36" s="8"/>
      <c r="F36" s="8"/>
      <c r="G36" s="8"/>
      <c r="H36" s="8"/>
      <c r="I36" s="8"/>
      <c r="J36" s="8"/>
      <c r="K36" s="8">
        <f t="shared" si="2"/>
        <v>-9.99</v>
      </c>
    </row>
    <row r="37" spans="1:14">
      <c r="A37" s="1" t="s">
        <v>35</v>
      </c>
      <c r="B37" s="1">
        <v>-17.47</v>
      </c>
      <c r="C37" s="1"/>
      <c r="D37" s="1"/>
      <c r="E37" s="1"/>
      <c r="F37" s="1"/>
      <c r="G37" s="1"/>
      <c r="H37" s="1"/>
      <c r="I37" s="1"/>
      <c r="J37" s="1"/>
      <c r="K37" s="1">
        <f t="shared" si="2"/>
        <v>-17.47</v>
      </c>
    </row>
    <row r="38" spans="1:14">
      <c r="A38" s="10" t="s">
        <v>36</v>
      </c>
      <c r="B38" s="10">
        <f>-2.09-3.17</f>
        <v>-5.26</v>
      </c>
      <c r="C38" s="10"/>
      <c r="D38" s="10"/>
      <c r="E38" s="10"/>
      <c r="F38" s="10"/>
      <c r="G38" s="10"/>
      <c r="H38" s="10"/>
      <c r="I38" s="10"/>
      <c r="J38" s="10"/>
      <c r="K38" s="10">
        <f t="shared" si="2"/>
        <v>-5.26</v>
      </c>
    </row>
    <row r="39" spans="1:14">
      <c r="A39" s="7" t="s">
        <v>37</v>
      </c>
      <c r="B39" s="7">
        <v>-11.91</v>
      </c>
      <c r="C39" s="7">
        <v>-57</v>
      </c>
      <c r="D39" s="7"/>
      <c r="E39" s="7"/>
      <c r="F39" s="7"/>
      <c r="G39" s="7"/>
      <c r="H39" s="7"/>
      <c r="I39" s="7"/>
      <c r="J39" s="7"/>
      <c r="K39" s="7">
        <f t="shared" si="2"/>
        <v>-68.91</v>
      </c>
    </row>
    <row r="40" spans="1:14">
      <c r="A40" s="4" t="s">
        <v>38</v>
      </c>
      <c r="B40" s="4">
        <v>-96.23</v>
      </c>
      <c r="C40" s="4"/>
      <c r="D40" s="4"/>
      <c r="E40" s="4"/>
      <c r="F40" s="4"/>
      <c r="G40" s="4"/>
      <c r="H40" s="4"/>
      <c r="I40" s="4"/>
      <c r="J40" s="4"/>
      <c r="K40" s="4">
        <f t="shared" si="2"/>
        <v>-96.23</v>
      </c>
    </row>
    <row r="41" spans="1:14">
      <c r="A41" s="10" t="s">
        <v>39</v>
      </c>
      <c r="B41" s="10">
        <v>-25</v>
      </c>
      <c r="C41" s="10"/>
      <c r="D41" s="10"/>
      <c r="E41" s="10"/>
      <c r="F41" s="10"/>
      <c r="G41" s="10"/>
      <c r="H41" s="10"/>
      <c r="I41" s="10"/>
      <c r="J41" s="10"/>
      <c r="K41" s="10">
        <f t="shared" si="2"/>
        <v>-25</v>
      </c>
    </row>
    <row r="42" spans="1:14">
      <c r="A42" s="8" t="s">
        <v>40</v>
      </c>
      <c r="B42" s="8">
        <v>-3.17</v>
      </c>
      <c r="C42" s="8"/>
      <c r="D42" s="8"/>
      <c r="E42" s="8"/>
      <c r="F42" s="8"/>
      <c r="G42" s="8"/>
      <c r="H42" s="8"/>
      <c r="I42" s="8"/>
      <c r="J42" s="8"/>
      <c r="K42" s="8">
        <f t="shared" si="2"/>
        <v>-3.17</v>
      </c>
    </row>
    <row r="43" spans="1:14">
      <c r="A43" s="4" t="s">
        <v>41</v>
      </c>
      <c r="B43" s="4">
        <v>-20.440000000000001</v>
      </c>
      <c r="C43" s="4"/>
      <c r="D43" s="4"/>
      <c r="E43" s="4"/>
      <c r="F43" s="4"/>
      <c r="G43" s="4"/>
      <c r="H43" s="4"/>
      <c r="I43" s="4"/>
      <c r="J43" s="4"/>
      <c r="K43" s="4">
        <f t="shared" si="2"/>
        <v>-20.440000000000001</v>
      </c>
    </row>
    <row r="44" spans="1:14">
      <c r="A44" s="4" t="s">
        <v>42</v>
      </c>
      <c r="B44" s="4">
        <v>-61.58</v>
      </c>
      <c r="C44" s="4"/>
      <c r="D44" s="4"/>
      <c r="E44" s="4"/>
      <c r="F44" s="4"/>
      <c r="G44" s="4"/>
      <c r="H44" s="4"/>
      <c r="I44" s="4"/>
      <c r="J44" s="4"/>
      <c r="K44" s="4">
        <f t="shared" si="2"/>
        <v>-61.58</v>
      </c>
    </row>
    <row r="49" spans="1:11">
      <c r="A49" t="s">
        <v>43</v>
      </c>
      <c r="K49">
        <f>SUM(K2:K48)</f>
        <v>1080.2799999999995</v>
      </c>
    </row>
  </sheetData>
  <phoneticPr fontId="1" type="noConversion"/>
  <pageMargins left="0.7" right="0.7" top="0.75" bottom="0.75" header="0.3" footer="0.3"/>
  <pageSetup orientation="portrait" verticalDpi="0" r:id="rId1"/>
  <headerFooter>
    <oddFooter>&amp;C_x000D_&amp;1#&amp;"Arial"&amp;8&amp;K000000 Internal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E18B1-1264-4EE9-87F5-07A2B1635B38}">
  <dimension ref="A1:BH47"/>
  <sheetViews>
    <sheetView tabSelected="1" zoomScale="70" zoomScaleNormal="70" workbookViewId="0">
      <pane xSplit="1" topLeftCell="AX1" activePane="topRight" state="frozen"/>
      <selection activeCell="A3" sqref="A3"/>
      <selection pane="topRight" activeCell="AC15" sqref="AC15"/>
    </sheetView>
  </sheetViews>
  <sheetFormatPr defaultRowHeight="14.4"/>
  <cols>
    <col min="1" max="1" width="10.44140625" bestFit="1" customWidth="1"/>
    <col min="2" max="2" width="12.44140625" bestFit="1" customWidth="1"/>
    <col min="3" max="3" width="17.6640625" bestFit="1" customWidth="1"/>
    <col min="4" max="4" width="17.109375" bestFit="1" customWidth="1"/>
    <col min="5" max="6" width="12.33203125" bestFit="1" customWidth="1"/>
    <col min="7" max="7" width="12.77734375" bestFit="1" customWidth="1"/>
    <col min="8" max="8" width="22.6640625" bestFit="1" customWidth="1"/>
    <col min="9" max="10" width="12.44140625" bestFit="1" customWidth="1"/>
    <col min="11" max="11" width="23.44140625" bestFit="1" customWidth="1"/>
    <col min="12" max="14" width="16" customWidth="1"/>
    <col min="15" max="15" width="17.77734375" bestFit="1" customWidth="1"/>
    <col min="16" max="16" width="27.77734375" bestFit="1" customWidth="1"/>
    <col min="17" max="18" width="27.77734375" customWidth="1"/>
    <col min="19" max="19" width="9.77734375" customWidth="1"/>
    <col min="20" max="20" width="11.77734375" bestFit="1" customWidth="1"/>
    <col min="21" max="21" width="12.21875" bestFit="1" customWidth="1"/>
    <col min="22" max="22" width="8.109375" customWidth="1"/>
    <col min="23" max="23" width="12.5546875" customWidth="1"/>
    <col min="24" max="24" width="14.44140625" bestFit="1" customWidth="1"/>
    <col min="25" max="25" width="8" bestFit="1" customWidth="1"/>
    <col min="26" max="26" width="8.6640625" bestFit="1" customWidth="1"/>
    <col min="27" max="27" width="9.44140625" bestFit="1" customWidth="1"/>
    <col min="28" max="28" width="15.77734375" bestFit="1" customWidth="1"/>
    <col min="29" max="29" width="15.77734375" customWidth="1"/>
    <col min="30" max="30" width="21.77734375" bestFit="1" customWidth="1"/>
    <col min="31" max="31" width="11.77734375" bestFit="1" customWidth="1"/>
    <col min="32" max="32" width="10.44140625" customWidth="1"/>
    <col min="33" max="33" width="12.6640625" bestFit="1" customWidth="1"/>
    <col min="34" max="36" width="12.6640625" customWidth="1"/>
    <col min="37" max="37" width="20.109375" bestFit="1" customWidth="1"/>
    <col min="38" max="39" width="12.6640625" customWidth="1"/>
    <col min="40" max="40" width="19" bestFit="1" customWidth="1"/>
    <col min="41" max="41" width="12.6640625" customWidth="1"/>
    <col min="42" max="42" width="22.6640625" bestFit="1" customWidth="1"/>
    <col min="43" max="45" width="22.6640625" customWidth="1"/>
    <col min="46" max="46" width="35.5546875" bestFit="1" customWidth="1"/>
    <col min="47" max="48" width="22.6640625" customWidth="1"/>
    <col min="49" max="49" width="11.5546875" bestFit="1" customWidth="1"/>
    <col min="50" max="50" width="14.33203125" bestFit="1" customWidth="1"/>
    <col min="51" max="51" width="27" bestFit="1" customWidth="1"/>
    <col min="52" max="52" width="10.77734375" bestFit="1" customWidth="1"/>
    <col min="53" max="53" width="9" bestFit="1" customWidth="1"/>
    <col min="54" max="54" width="10.77734375" bestFit="1" customWidth="1"/>
    <col min="55" max="55" width="18.21875" bestFit="1" customWidth="1"/>
    <col min="56" max="56" width="35.5546875" bestFit="1" customWidth="1"/>
    <col min="60" max="60" width="10.21875" bestFit="1" customWidth="1"/>
  </cols>
  <sheetData>
    <row r="1" spans="1:60">
      <c r="A1" s="14" t="s">
        <v>56</v>
      </c>
      <c r="B1" s="14" t="s">
        <v>59</v>
      </c>
      <c r="C1" s="14" t="s">
        <v>5</v>
      </c>
      <c r="D1" s="14" t="s">
        <v>6</v>
      </c>
      <c r="E1" s="14" t="s">
        <v>7</v>
      </c>
      <c r="F1" s="14" t="s">
        <v>10</v>
      </c>
      <c r="G1" s="14" t="s">
        <v>8</v>
      </c>
      <c r="H1" s="14" t="s">
        <v>9</v>
      </c>
      <c r="I1" s="14" t="s">
        <v>11</v>
      </c>
      <c r="J1" s="14" t="s">
        <v>12</v>
      </c>
      <c r="K1" s="14" t="s">
        <v>60</v>
      </c>
      <c r="L1" s="17"/>
      <c r="M1" s="17"/>
      <c r="N1" s="17"/>
      <c r="O1" s="17" t="s">
        <v>69</v>
      </c>
    </row>
    <row r="2" spans="1:60">
      <c r="A2" s="11" t="s">
        <v>393</v>
      </c>
      <c r="B2" s="12">
        <v>3043.08</v>
      </c>
      <c r="C2" s="13">
        <f>Scatch!B3</f>
        <v>23.08</v>
      </c>
      <c r="D2" s="13">
        <f>Scatch!B4</f>
        <v>-2.41</v>
      </c>
      <c r="E2" s="13">
        <f>Scatch!B5</f>
        <v>-8.01</v>
      </c>
      <c r="F2" s="13">
        <f>Scatch!B6</f>
        <v>-182.58</v>
      </c>
      <c r="G2" s="13">
        <f>Scatch!B7</f>
        <v>-5.38</v>
      </c>
      <c r="H2" s="13">
        <f>Scatch!B8</f>
        <v>-12.26</v>
      </c>
      <c r="I2" s="13">
        <f>Scatch!B9</f>
        <v>-115.14</v>
      </c>
      <c r="J2" s="13">
        <f>Scatch!B10</f>
        <v>-327.76</v>
      </c>
      <c r="K2" s="13">
        <f>B2+C2+D2+E2+F2+G2+H2+I2+J2</f>
        <v>2412.62</v>
      </c>
      <c r="L2" s="18"/>
      <c r="M2" s="18"/>
      <c r="N2" s="18"/>
    </row>
    <row r="3" spans="1:60">
      <c r="A3" s="11" t="s">
        <v>407</v>
      </c>
      <c r="B3" s="12">
        <v>3043.08</v>
      </c>
      <c r="C3" s="13">
        <f>Scatch!C3</f>
        <v>23.08</v>
      </c>
      <c r="D3" s="13">
        <f>Scatch!C4</f>
        <v>-2.41</v>
      </c>
      <c r="E3" s="13">
        <f>Scatch!C5</f>
        <v>-8.01</v>
      </c>
      <c r="F3" s="13">
        <f>Scatch!C6</f>
        <v>-182.58</v>
      </c>
      <c r="G3" s="13">
        <f>Scatch!C7</f>
        <v>-5.38</v>
      </c>
      <c r="H3" s="13">
        <f>Scatch!C8</f>
        <v>-12.26</v>
      </c>
      <c r="I3" s="13">
        <f>Scatch!C9</f>
        <v>-115.14</v>
      </c>
      <c r="J3" s="13">
        <f>Scatch!C10</f>
        <v>-327.76</v>
      </c>
      <c r="K3" s="13">
        <f t="shared" ref="K3:K4" si="0">B3+C3+D3+E3+F3+G3+H3+I3+J3</f>
        <v>2412.62</v>
      </c>
      <c r="L3" s="18"/>
      <c r="M3" s="18"/>
      <c r="N3" s="18"/>
    </row>
    <row r="4" spans="1:60" ht="15" thickBot="1">
      <c r="A4" s="11"/>
      <c r="B4" s="15">
        <f>SUM(B2:B3)</f>
        <v>6086.16</v>
      </c>
      <c r="C4" s="15">
        <f t="shared" ref="C4:J4" si="1">SUM(C2:C3)</f>
        <v>46.16</v>
      </c>
      <c r="D4" s="15">
        <f t="shared" si="1"/>
        <v>-4.82</v>
      </c>
      <c r="E4" s="15">
        <f t="shared" si="1"/>
        <v>-16.02</v>
      </c>
      <c r="F4" s="15">
        <f t="shared" si="1"/>
        <v>-365.16</v>
      </c>
      <c r="G4" s="15">
        <f t="shared" si="1"/>
        <v>-10.76</v>
      </c>
      <c r="H4" s="15">
        <f t="shared" si="1"/>
        <v>-24.52</v>
      </c>
      <c r="I4" s="15">
        <f t="shared" si="1"/>
        <v>-230.28</v>
      </c>
      <c r="J4" s="15">
        <f t="shared" si="1"/>
        <v>-655.52</v>
      </c>
      <c r="K4" s="13">
        <f t="shared" si="0"/>
        <v>4825.24</v>
      </c>
      <c r="L4" s="18"/>
      <c r="M4" s="18"/>
      <c r="N4" s="18"/>
    </row>
    <row r="5" spans="1:60" ht="13.8" customHeight="1" thickBot="1">
      <c r="A5" s="46"/>
      <c r="B5" s="46" t="s">
        <v>63</v>
      </c>
      <c r="C5" s="46"/>
      <c r="D5" s="46"/>
      <c r="E5" s="46"/>
      <c r="F5" s="46"/>
      <c r="G5" s="46"/>
      <c r="H5" s="46"/>
      <c r="I5" s="46"/>
      <c r="J5" s="46"/>
      <c r="K5" s="46"/>
      <c r="O5" s="64" t="s">
        <v>65</v>
      </c>
      <c r="P5" s="78" t="s">
        <v>66</v>
      </c>
      <c r="Q5" s="79"/>
      <c r="R5" s="68" t="s">
        <v>378</v>
      </c>
      <c r="S5" s="72" t="s">
        <v>72</v>
      </c>
      <c r="T5" s="73"/>
      <c r="U5" s="73"/>
      <c r="V5" s="73"/>
      <c r="W5" s="74"/>
      <c r="X5" s="75" t="s">
        <v>64</v>
      </c>
      <c r="Y5" s="76"/>
      <c r="Z5" s="76"/>
      <c r="AA5" s="76"/>
      <c r="AB5" s="76"/>
      <c r="AC5" s="77"/>
      <c r="AD5" s="80" t="s">
        <v>74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2"/>
      <c r="AP5" s="72" t="s">
        <v>79</v>
      </c>
      <c r="AQ5" s="73"/>
      <c r="AR5" s="73"/>
      <c r="AS5" s="73"/>
      <c r="AT5" s="73"/>
      <c r="AU5" s="73"/>
      <c r="AV5" s="74"/>
      <c r="AW5" s="64" t="s">
        <v>68</v>
      </c>
      <c r="AX5" s="64" t="s">
        <v>70</v>
      </c>
      <c r="AY5" s="64" t="s">
        <v>94</v>
      </c>
      <c r="AZ5" s="64" t="s">
        <v>118</v>
      </c>
      <c r="BA5" s="64" t="s">
        <v>121</v>
      </c>
      <c r="BB5" s="64" t="s">
        <v>119</v>
      </c>
    </row>
    <row r="6" spans="1:60">
      <c r="A6" s="55" t="s">
        <v>56</v>
      </c>
      <c r="B6" s="57" t="s">
        <v>65</v>
      </c>
      <c r="C6" s="57" t="s">
        <v>66</v>
      </c>
      <c r="D6" s="57" t="s">
        <v>67</v>
      </c>
      <c r="E6" s="57" t="s">
        <v>72</v>
      </c>
      <c r="F6" s="57" t="s">
        <v>64</v>
      </c>
      <c r="G6" s="57" t="s">
        <v>74</v>
      </c>
      <c r="H6" s="57" t="s">
        <v>79</v>
      </c>
      <c r="I6" s="57" t="s">
        <v>68</v>
      </c>
      <c r="J6" s="57" t="s">
        <v>70</v>
      </c>
      <c r="K6" s="57" t="s">
        <v>94</v>
      </c>
      <c r="L6" s="57" t="s">
        <v>118</v>
      </c>
      <c r="M6" s="57" t="s">
        <v>121</v>
      </c>
      <c r="N6" s="59" t="s">
        <v>119</v>
      </c>
      <c r="O6" s="63"/>
      <c r="P6" s="65" t="s">
        <v>14</v>
      </c>
      <c r="Q6" s="66" t="s">
        <v>415</v>
      </c>
      <c r="R6" s="67"/>
      <c r="S6" s="65" t="s">
        <v>165</v>
      </c>
      <c r="T6" s="16" t="s">
        <v>171</v>
      </c>
      <c r="U6" s="16" t="s">
        <v>377</v>
      </c>
      <c r="V6" s="16" t="s">
        <v>83</v>
      </c>
      <c r="W6" s="69" t="s">
        <v>184</v>
      </c>
      <c r="X6" s="65" t="s">
        <v>115</v>
      </c>
      <c r="Y6" s="16" t="s">
        <v>97</v>
      </c>
      <c r="Z6" s="16" t="s">
        <v>73</v>
      </c>
      <c r="AA6" s="16" t="s">
        <v>19</v>
      </c>
      <c r="AB6" s="16" t="s">
        <v>32</v>
      </c>
      <c r="AC6" s="66" t="s">
        <v>42</v>
      </c>
      <c r="AD6" s="70" t="s">
        <v>374</v>
      </c>
      <c r="AE6" s="16" t="s">
        <v>30</v>
      </c>
      <c r="AF6" s="16" t="s">
        <v>0</v>
      </c>
      <c r="AG6" s="16" t="s">
        <v>33</v>
      </c>
      <c r="AH6" s="16" t="s">
        <v>28</v>
      </c>
      <c r="AI6" s="16" t="s">
        <v>177</v>
      </c>
      <c r="AJ6" s="16" t="s">
        <v>26</v>
      </c>
      <c r="AK6" s="16" t="s">
        <v>195</v>
      </c>
      <c r="AL6" s="16" t="s">
        <v>197</v>
      </c>
      <c r="AM6" s="16" t="s">
        <v>21</v>
      </c>
      <c r="AN6" s="16" t="s">
        <v>37</v>
      </c>
      <c r="AO6" s="66" t="s">
        <v>178</v>
      </c>
      <c r="AP6" s="65" t="s">
        <v>181</v>
      </c>
      <c r="AQ6" s="16" t="s">
        <v>186</v>
      </c>
      <c r="AR6" s="16" t="s">
        <v>189</v>
      </c>
      <c r="AS6" s="16" t="s">
        <v>174</v>
      </c>
      <c r="AT6" s="16" t="s">
        <v>129</v>
      </c>
      <c r="AU6" s="16" t="s">
        <v>414</v>
      </c>
      <c r="AV6" s="66" t="s">
        <v>17</v>
      </c>
      <c r="AW6" s="63" t="s">
        <v>106</v>
      </c>
      <c r="AX6" s="63"/>
      <c r="AY6" s="71"/>
      <c r="AZ6" s="71"/>
      <c r="BA6" s="63"/>
      <c r="BB6" s="63">
        <f>SUM(O7:BA7)</f>
        <v>171.99</v>
      </c>
    </row>
    <row r="7" spans="1:60">
      <c r="A7" s="34" t="s">
        <v>384</v>
      </c>
      <c r="B7" s="13">
        <f>O7</f>
        <v>0</v>
      </c>
      <c r="C7" s="13">
        <f>SUM(P7:Q7)</f>
        <v>164.58</v>
      </c>
      <c r="D7" s="13">
        <f>R7</f>
        <v>0</v>
      </c>
      <c r="E7" s="13">
        <f>SUM(S7:W7)</f>
        <v>0</v>
      </c>
      <c r="F7" s="13">
        <f>SUM(S7:AC7)</f>
        <v>0</v>
      </c>
      <c r="G7" s="13">
        <f>SUM(AD7:AO7)</f>
        <v>7.41</v>
      </c>
      <c r="H7" s="13">
        <f>SUM(AP7:AV7)</f>
        <v>0</v>
      </c>
      <c r="I7" s="13">
        <f t="shared" ref="I7:L22" si="2">AW7</f>
        <v>0</v>
      </c>
      <c r="J7" s="13">
        <f t="shared" si="2"/>
        <v>0</v>
      </c>
      <c r="K7" s="13">
        <f t="shared" si="2"/>
        <v>0</v>
      </c>
      <c r="L7" s="13">
        <f t="shared" si="2"/>
        <v>0</v>
      </c>
      <c r="M7" s="13">
        <f>BA6</f>
        <v>0</v>
      </c>
      <c r="N7" s="27">
        <f>SUM(B7:M7)</f>
        <v>171.99</v>
      </c>
      <c r="O7" s="31"/>
      <c r="P7" s="34"/>
      <c r="Q7" s="35">
        <f>28.31+136.27</f>
        <v>164.58</v>
      </c>
      <c r="R7" s="60"/>
      <c r="S7" s="34"/>
      <c r="T7" s="11"/>
      <c r="U7" s="11"/>
      <c r="V7" s="11"/>
      <c r="W7" s="52"/>
      <c r="X7" s="34"/>
      <c r="Y7" s="11"/>
      <c r="Z7" s="11"/>
      <c r="AA7" s="11"/>
      <c r="AB7" s="11"/>
      <c r="AC7" s="35"/>
      <c r="AD7" s="29"/>
      <c r="AE7" s="11">
        <v>7.41</v>
      </c>
      <c r="AF7" s="11"/>
      <c r="AG7" s="11"/>
      <c r="AH7" s="11"/>
      <c r="AI7" s="11"/>
      <c r="AJ7" s="11"/>
      <c r="AK7" s="11"/>
      <c r="AL7" s="11"/>
      <c r="AM7" s="11"/>
      <c r="AN7" s="11"/>
      <c r="AO7" s="35"/>
      <c r="AP7" s="34"/>
      <c r="AQ7" s="11"/>
      <c r="AR7" s="11"/>
      <c r="AS7" s="11"/>
      <c r="AT7" s="11"/>
      <c r="AU7" s="11"/>
      <c r="AV7" s="35"/>
      <c r="AW7" s="31"/>
      <c r="AX7" s="31"/>
      <c r="AY7" s="42"/>
      <c r="AZ7" s="42"/>
      <c r="BA7" s="31"/>
      <c r="BB7" s="31">
        <f>SUM(O7:BA7)</f>
        <v>171.99</v>
      </c>
    </row>
    <row r="8" spans="1:60">
      <c r="A8" s="34" t="s">
        <v>385</v>
      </c>
      <c r="B8" s="13">
        <f>O8</f>
        <v>0</v>
      </c>
      <c r="C8" s="13">
        <f>SUM(P8:Q8)</f>
        <v>0</v>
      </c>
      <c r="D8" s="13">
        <f>R8</f>
        <v>0</v>
      </c>
      <c r="E8" s="13">
        <f>SUM(S8:W8)</f>
        <v>0</v>
      </c>
      <c r="F8" s="13">
        <f>SUM(X8:AC8)</f>
        <v>0</v>
      </c>
      <c r="G8" s="13">
        <f>SUM(AD8:AO8)</f>
        <v>6.34</v>
      </c>
      <c r="H8" s="13">
        <f>SUM(AP8:AV8)</f>
        <v>0</v>
      </c>
      <c r="I8" s="13">
        <f t="shared" si="2"/>
        <v>0</v>
      </c>
      <c r="J8" s="13">
        <f t="shared" si="2"/>
        <v>0</v>
      </c>
      <c r="K8" s="13">
        <f t="shared" si="2"/>
        <v>0</v>
      </c>
      <c r="L8" s="13">
        <f t="shared" si="2"/>
        <v>0</v>
      </c>
      <c r="M8" s="13">
        <f>BA7</f>
        <v>0</v>
      </c>
      <c r="N8" s="27">
        <f t="shared" ref="N8:N37" si="3">SUM(B8:M8)</f>
        <v>6.34</v>
      </c>
      <c r="O8" s="32"/>
      <c r="P8" s="36"/>
      <c r="Q8" s="37"/>
      <c r="R8" s="62"/>
      <c r="S8" s="36"/>
      <c r="T8" s="13"/>
      <c r="U8" s="13"/>
      <c r="V8" s="13"/>
      <c r="W8" s="27"/>
      <c r="X8" s="36"/>
      <c r="Y8" s="13"/>
      <c r="Z8" s="13"/>
      <c r="AA8" s="13"/>
      <c r="AB8" s="13"/>
      <c r="AC8" s="37"/>
      <c r="AD8" s="30"/>
      <c r="AE8" s="13">
        <v>6.34</v>
      </c>
      <c r="AF8" s="13"/>
      <c r="AG8" s="13"/>
      <c r="AH8" s="13"/>
      <c r="AI8" s="13"/>
      <c r="AJ8" s="13"/>
      <c r="AK8" s="13"/>
      <c r="AL8" s="13"/>
      <c r="AM8" s="13"/>
      <c r="AN8" s="13"/>
      <c r="AO8" s="37"/>
      <c r="AP8" s="36"/>
      <c r="AQ8" s="13"/>
      <c r="AR8" s="13"/>
      <c r="AS8" s="13"/>
      <c r="AT8" s="13"/>
      <c r="AU8" s="13"/>
      <c r="AV8" s="37"/>
      <c r="AW8" s="32"/>
      <c r="AX8" s="32"/>
      <c r="AY8" s="43"/>
      <c r="AZ8" s="43"/>
      <c r="BA8" s="32"/>
      <c r="BB8" s="32">
        <f t="shared" ref="BB8:BB37" si="4">SUM(O8:BA8)</f>
        <v>6.34</v>
      </c>
      <c r="BC8" t="s">
        <v>73</v>
      </c>
      <c r="BD8" t="s">
        <v>129</v>
      </c>
      <c r="BH8" s="19">
        <f>BB8-N8</f>
        <v>0</v>
      </c>
    </row>
    <row r="9" spans="1:60">
      <c r="A9" s="34" t="s">
        <v>386</v>
      </c>
      <c r="B9" s="13">
        <f t="shared" ref="B9:B37" si="5">O9</f>
        <v>0</v>
      </c>
      <c r="C9" s="13">
        <f t="shared" ref="C9:C37" si="6">SUM(P9:Q9)</f>
        <v>0</v>
      </c>
      <c r="D9" s="13">
        <f t="shared" ref="D9:D37" si="7">R9</f>
        <v>0</v>
      </c>
      <c r="E9" s="13">
        <f t="shared" ref="E9:E37" si="8">SUM(S9:W9)</f>
        <v>0</v>
      </c>
      <c r="F9" s="13">
        <f t="shared" ref="F9:F37" si="9">SUM(X9:AC9)</f>
        <v>41.91</v>
      </c>
      <c r="G9" s="13">
        <f t="shared" ref="G9:G37" si="10">SUM(AD9:AO9)</f>
        <v>1.59</v>
      </c>
      <c r="H9" s="13">
        <f t="shared" ref="H9:H37" si="11">SUM(AP9:AV9)</f>
        <v>0</v>
      </c>
      <c r="I9" s="13">
        <f t="shared" si="2"/>
        <v>0</v>
      </c>
      <c r="J9" s="13">
        <f t="shared" si="2"/>
        <v>0</v>
      </c>
      <c r="K9" s="13">
        <f t="shared" si="2"/>
        <v>0</v>
      </c>
      <c r="L9" s="13">
        <f t="shared" si="2"/>
        <v>0</v>
      </c>
      <c r="M9" s="13">
        <f t="shared" ref="M9:M37" si="12">BA8</f>
        <v>0</v>
      </c>
      <c r="N9" s="27">
        <f t="shared" si="3"/>
        <v>43.5</v>
      </c>
      <c r="O9" s="32"/>
      <c r="P9" s="36"/>
      <c r="Q9" s="37"/>
      <c r="R9" s="62"/>
      <c r="S9" s="36"/>
      <c r="T9" s="13"/>
      <c r="U9" s="13"/>
      <c r="V9" s="13"/>
      <c r="W9" s="27"/>
      <c r="X9" s="36">
        <v>41.91</v>
      </c>
      <c r="Y9" s="13"/>
      <c r="Z9" s="13"/>
      <c r="AA9" s="13"/>
      <c r="AB9" s="13"/>
      <c r="AC9" s="37"/>
      <c r="AD9" s="30">
        <v>1.59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37"/>
      <c r="AP9" s="36"/>
      <c r="AQ9" s="13"/>
      <c r="AR9" s="13"/>
      <c r="AS9" s="13"/>
      <c r="AT9" s="13"/>
      <c r="AU9" s="13"/>
      <c r="AV9" s="37"/>
      <c r="AW9" s="32"/>
      <c r="AX9" s="32"/>
      <c r="AY9" s="43"/>
      <c r="AZ9" s="43"/>
      <c r="BA9" s="32"/>
      <c r="BB9" s="32">
        <f t="shared" si="4"/>
        <v>43.5</v>
      </c>
      <c r="BC9" t="s">
        <v>109</v>
      </c>
      <c r="BD9" t="s">
        <v>116</v>
      </c>
      <c r="BE9" t="s">
        <v>1</v>
      </c>
      <c r="BH9" s="19">
        <f t="shared" ref="BH9:BH37" si="13">BB9-N9</f>
        <v>0</v>
      </c>
    </row>
    <row r="10" spans="1:60">
      <c r="A10" s="34" t="s">
        <v>387</v>
      </c>
      <c r="B10" s="13">
        <f t="shared" si="5"/>
        <v>0</v>
      </c>
      <c r="C10" s="13">
        <f t="shared" si="6"/>
        <v>0</v>
      </c>
      <c r="D10" s="13">
        <f t="shared" si="7"/>
        <v>11.2</v>
      </c>
      <c r="E10" s="13">
        <f t="shared" si="8"/>
        <v>0</v>
      </c>
      <c r="F10" s="13">
        <f t="shared" si="9"/>
        <v>0</v>
      </c>
      <c r="G10" s="13">
        <f t="shared" si="10"/>
        <v>6.35</v>
      </c>
      <c r="H10" s="13">
        <f t="shared" si="11"/>
        <v>0</v>
      </c>
      <c r="I10" s="13">
        <f t="shared" si="2"/>
        <v>0</v>
      </c>
      <c r="J10" s="13">
        <f t="shared" si="2"/>
        <v>0</v>
      </c>
      <c r="K10" s="13">
        <f t="shared" si="2"/>
        <v>0</v>
      </c>
      <c r="L10" s="13">
        <f t="shared" si="2"/>
        <v>0</v>
      </c>
      <c r="M10" s="13">
        <f t="shared" si="12"/>
        <v>0</v>
      </c>
      <c r="N10" s="27">
        <f>SUM(B10:M10)</f>
        <v>17.549999999999997</v>
      </c>
      <c r="O10" s="32"/>
      <c r="P10" s="36"/>
      <c r="Q10" s="37"/>
      <c r="R10" s="62">
        <v>11.2</v>
      </c>
      <c r="S10" s="36"/>
      <c r="T10" s="13"/>
      <c r="U10" s="13"/>
      <c r="V10" s="13"/>
      <c r="W10" s="27"/>
      <c r="X10" s="36"/>
      <c r="Y10" s="13"/>
      <c r="Z10" s="13"/>
      <c r="AA10" s="13"/>
      <c r="AB10" s="13"/>
      <c r="AC10" s="37"/>
      <c r="AD10" s="30"/>
      <c r="AE10" s="13"/>
      <c r="AF10" s="13"/>
      <c r="AG10" s="13"/>
      <c r="AH10" s="13">
        <v>6.35</v>
      </c>
      <c r="AI10" s="13"/>
      <c r="AJ10" s="13"/>
      <c r="AK10" s="13"/>
      <c r="AL10" s="13"/>
      <c r="AM10" s="13"/>
      <c r="AN10" s="13"/>
      <c r="AO10" s="37"/>
      <c r="AP10" s="36"/>
      <c r="AQ10" s="13"/>
      <c r="AR10" s="13"/>
      <c r="AS10" s="13"/>
      <c r="AT10" s="13"/>
      <c r="AU10" s="13"/>
      <c r="AV10" s="37"/>
      <c r="AW10" s="32"/>
      <c r="AX10" s="31"/>
      <c r="AY10" s="43"/>
      <c r="AZ10" s="43"/>
      <c r="BA10" s="32"/>
      <c r="BB10" s="32">
        <f t="shared" si="4"/>
        <v>17.549999999999997</v>
      </c>
      <c r="BD10" t="s">
        <v>30</v>
      </c>
      <c r="BE10" t="s">
        <v>39</v>
      </c>
      <c r="BH10" s="19">
        <f t="shared" si="13"/>
        <v>0</v>
      </c>
    </row>
    <row r="11" spans="1:60">
      <c r="A11" s="34" t="s">
        <v>388</v>
      </c>
      <c r="B11" s="13">
        <f t="shared" si="5"/>
        <v>0</v>
      </c>
      <c r="C11" s="13">
        <f t="shared" si="6"/>
        <v>0</v>
      </c>
      <c r="D11" s="13">
        <f t="shared" si="7"/>
        <v>0</v>
      </c>
      <c r="E11" s="13">
        <f t="shared" si="8"/>
        <v>0</v>
      </c>
      <c r="F11" s="13">
        <f t="shared" si="9"/>
        <v>0</v>
      </c>
      <c r="G11" s="13">
        <f t="shared" si="10"/>
        <v>0</v>
      </c>
      <c r="H11" s="13">
        <f t="shared" si="11"/>
        <v>0</v>
      </c>
      <c r="I11" s="13">
        <f t="shared" si="2"/>
        <v>0</v>
      </c>
      <c r="J11" s="13">
        <f t="shared" si="2"/>
        <v>0</v>
      </c>
      <c r="K11" s="13">
        <f t="shared" si="2"/>
        <v>0</v>
      </c>
      <c r="L11" s="13">
        <f t="shared" si="2"/>
        <v>0</v>
      </c>
      <c r="M11" s="13">
        <f t="shared" si="12"/>
        <v>0</v>
      </c>
      <c r="N11" s="27">
        <f t="shared" si="3"/>
        <v>0</v>
      </c>
      <c r="O11" s="32"/>
      <c r="P11" s="36"/>
      <c r="Q11" s="37"/>
      <c r="R11" s="62"/>
      <c r="S11" s="36"/>
      <c r="T11" s="13"/>
      <c r="U11" s="13"/>
      <c r="V11" s="13"/>
      <c r="W11" s="27"/>
      <c r="X11" s="36"/>
      <c r="Y11" s="13"/>
      <c r="Z11" s="13"/>
      <c r="AA11" s="13"/>
      <c r="AB11" s="13"/>
      <c r="AC11" s="37"/>
      <c r="AD11" s="30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37"/>
      <c r="AP11" s="36"/>
      <c r="AQ11" s="13"/>
      <c r="AR11" s="13"/>
      <c r="AS11" s="13"/>
      <c r="AT11" s="13"/>
      <c r="AU11" s="13"/>
      <c r="AV11" s="37"/>
      <c r="AW11" s="31"/>
      <c r="AX11" s="32"/>
      <c r="AY11" s="43"/>
      <c r="AZ11" s="43"/>
      <c r="BA11" s="32"/>
      <c r="BB11" s="32">
        <f>SUM(O11:BA11)</f>
        <v>0</v>
      </c>
      <c r="BC11" t="s">
        <v>123</v>
      </c>
      <c r="BD11" t="s">
        <v>34</v>
      </c>
      <c r="BE11" t="s">
        <v>41</v>
      </c>
      <c r="BF11" t="s">
        <v>30</v>
      </c>
      <c r="BH11" s="19">
        <f t="shared" si="13"/>
        <v>0</v>
      </c>
    </row>
    <row r="12" spans="1:60">
      <c r="A12" s="34" t="s">
        <v>389</v>
      </c>
      <c r="B12" s="13">
        <f t="shared" si="5"/>
        <v>1478.95</v>
      </c>
      <c r="C12" s="13">
        <f t="shared" si="6"/>
        <v>0</v>
      </c>
      <c r="D12" s="13">
        <f t="shared" si="7"/>
        <v>0</v>
      </c>
      <c r="E12" s="13">
        <f t="shared" si="8"/>
        <v>0</v>
      </c>
      <c r="F12" s="13">
        <f t="shared" si="9"/>
        <v>0</v>
      </c>
      <c r="G12" s="13">
        <f t="shared" si="10"/>
        <v>0</v>
      </c>
      <c r="H12" s="13">
        <f t="shared" si="11"/>
        <v>276.07999999999993</v>
      </c>
      <c r="I12" s="13">
        <f t="shared" si="2"/>
        <v>0</v>
      </c>
      <c r="J12" s="13">
        <f t="shared" si="2"/>
        <v>0</v>
      </c>
      <c r="K12" s="13">
        <f t="shared" si="2"/>
        <v>1392.15</v>
      </c>
      <c r="L12" s="13">
        <f t="shared" si="2"/>
        <v>0</v>
      </c>
      <c r="M12" s="13">
        <f t="shared" si="12"/>
        <v>0</v>
      </c>
      <c r="N12" s="27">
        <f t="shared" si="3"/>
        <v>3147.1800000000003</v>
      </c>
      <c r="O12" s="32">
        <v>1478.95</v>
      </c>
      <c r="P12" s="36"/>
      <c r="Q12" s="37"/>
      <c r="R12" s="62"/>
      <c r="S12" s="36"/>
      <c r="T12" s="13"/>
      <c r="U12" s="13"/>
      <c r="V12" s="13"/>
      <c r="W12" s="27"/>
      <c r="X12" s="36"/>
      <c r="Y12" s="13"/>
      <c r="Z12" s="13"/>
      <c r="AA12" s="13"/>
      <c r="AB12" s="13"/>
      <c r="AC12" s="37"/>
      <c r="AD12" s="30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37"/>
      <c r="AP12" s="36"/>
      <c r="AQ12" s="13"/>
      <c r="AR12" s="13"/>
      <c r="AS12" s="13"/>
      <c r="AT12" s="13"/>
      <c r="AU12" s="13">
        <f>136.39+8.5+4.29+4.29+103.33+4+5+10.28</f>
        <v>276.07999999999993</v>
      </c>
      <c r="AV12" s="37"/>
      <c r="AW12" s="32"/>
      <c r="AX12" s="31"/>
      <c r="AY12" s="42">
        <f>694.49+694.49+3.17</f>
        <v>1392.15</v>
      </c>
      <c r="AZ12" s="42"/>
      <c r="BA12" s="31">
        <v>90</v>
      </c>
      <c r="BB12" s="32">
        <f>SUM(O12:BA12)</f>
        <v>3237.1800000000003</v>
      </c>
      <c r="BC12" t="s">
        <v>106</v>
      </c>
      <c r="BD12" t="s">
        <v>21</v>
      </c>
      <c r="BE12" t="s">
        <v>97</v>
      </c>
      <c r="BH12" s="19">
        <f t="shared" si="13"/>
        <v>90</v>
      </c>
    </row>
    <row r="13" spans="1:60">
      <c r="A13" s="34" t="s">
        <v>390</v>
      </c>
      <c r="B13" s="13">
        <f t="shared" si="5"/>
        <v>0</v>
      </c>
      <c r="C13" s="13">
        <f t="shared" si="6"/>
        <v>0</v>
      </c>
      <c r="D13" s="13">
        <f t="shared" si="7"/>
        <v>0</v>
      </c>
      <c r="E13" s="13">
        <f t="shared" si="8"/>
        <v>0</v>
      </c>
      <c r="F13" s="13">
        <f t="shared" si="9"/>
        <v>0</v>
      </c>
      <c r="G13" s="13">
        <f t="shared" si="10"/>
        <v>0</v>
      </c>
      <c r="H13" s="13">
        <f t="shared" si="11"/>
        <v>0</v>
      </c>
      <c r="I13" s="13">
        <f t="shared" si="2"/>
        <v>0</v>
      </c>
      <c r="J13" s="13">
        <f t="shared" si="2"/>
        <v>0</v>
      </c>
      <c r="K13" s="13">
        <f t="shared" si="2"/>
        <v>0</v>
      </c>
      <c r="L13" s="13">
        <f t="shared" si="2"/>
        <v>0</v>
      </c>
      <c r="M13" s="13">
        <f t="shared" si="12"/>
        <v>90</v>
      </c>
      <c r="N13" s="27">
        <f t="shared" si="3"/>
        <v>90</v>
      </c>
      <c r="O13" s="32"/>
      <c r="P13" s="36"/>
      <c r="Q13" s="37"/>
      <c r="R13" s="62"/>
      <c r="S13" s="36"/>
      <c r="T13" s="13"/>
      <c r="U13" s="13"/>
      <c r="V13" s="13"/>
      <c r="W13" s="27"/>
      <c r="X13" s="36"/>
      <c r="Y13" s="13"/>
      <c r="Z13" s="13"/>
      <c r="AA13" s="13"/>
      <c r="AB13" s="13"/>
      <c r="AC13" s="37"/>
      <c r="AD13" s="30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37"/>
      <c r="AP13" s="36"/>
      <c r="AQ13" s="13"/>
      <c r="AR13" s="13"/>
      <c r="AS13" s="13"/>
      <c r="AT13" s="13"/>
      <c r="AU13" s="13"/>
      <c r="AV13" s="37"/>
      <c r="AW13" s="32"/>
      <c r="AX13" s="32"/>
      <c r="AY13" s="43"/>
      <c r="AZ13" s="43"/>
      <c r="BA13" s="32"/>
      <c r="BB13" s="32">
        <f t="shared" si="4"/>
        <v>0</v>
      </c>
      <c r="BC13" t="s">
        <v>105</v>
      </c>
      <c r="BD13" t="s">
        <v>21</v>
      </c>
      <c r="BE13" t="s">
        <v>127</v>
      </c>
      <c r="BH13" s="19">
        <f t="shared" si="13"/>
        <v>-90</v>
      </c>
    </row>
    <row r="14" spans="1:60">
      <c r="A14" s="34" t="s">
        <v>391</v>
      </c>
      <c r="B14" s="13">
        <f t="shared" si="5"/>
        <v>0</v>
      </c>
      <c r="C14" s="13">
        <f t="shared" si="6"/>
        <v>0</v>
      </c>
      <c r="D14" s="13">
        <f t="shared" si="7"/>
        <v>0</v>
      </c>
      <c r="E14" s="13">
        <f t="shared" si="8"/>
        <v>0</v>
      </c>
      <c r="F14" s="13">
        <f t="shared" si="9"/>
        <v>0</v>
      </c>
      <c r="G14" s="13">
        <f t="shared" si="10"/>
        <v>10.06</v>
      </c>
      <c r="H14" s="13">
        <f t="shared" si="11"/>
        <v>0</v>
      </c>
      <c r="I14" s="13">
        <f t="shared" si="2"/>
        <v>0</v>
      </c>
      <c r="J14" s="13">
        <f t="shared" si="2"/>
        <v>0</v>
      </c>
      <c r="K14" s="13">
        <f t="shared" si="2"/>
        <v>0</v>
      </c>
      <c r="L14" s="13">
        <f t="shared" si="2"/>
        <v>0</v>
      </c>
      <c r="M14" s="13">
        <f t="shared" si="12"/>
        <v>0</v>
      </c>
      <c r="N14" s="27">
        <f t="shared" si="3"/>
        <v>10.06</v>
      </c>
      <c r="O14" s="32"/>
      <c r="P14" s="36"/>
      <c r="Q14" s="37"/>
      <c r="R14" s="62"/>
      <c r="S14" s="36"/>
      <c r="T14" s="13"/>
      <c r="U14" s="13"/>
      <c r="V14" s="13"/>
      <c r="W14" s="27"/>
      <c r="X14" s="36"/>
      <c r="Y14" s="13"/>
      <c r="Z14" s="13"/>
      <c r="AA14" s="13"/>
      <c r="AB14" s="13"/>
      <c r="AC14" s="37"/>
      <c r="AD14" s="30"/>
      <c r="AE14" s="13">
        <v>10.06</v>
      </c>
      <c r="AF14" s="13"/>
      <c r="AG14" s="13"/>
      <c r="AH14" s="13"/>
      <c r="AI14" s="13"/>
      <c r="AJ14" s="13"/>
      <c r="AK14" s="13"/>
      <c r="AL14" s="13"/>
      <c r="AM14" s="13"/>
      <c r="AN14" s="13"/>
      <c r="AO14" s="37"/>
      <c r="AP14" s="36"/>
      <c r="AQ14" s="13"/>
      <c r="AR14" s="13"/>
      <c r="AS14" s="13"/>
      <c r="AT14" s="13"/>
      <c r="AU14" s="13"/>
      <c r="AV14" s="37"/>
      <c r="AW14" s="31"/>
      <c r="AX14" s="32"/>
      <c r="AY14" s="43"/>
      <c r="AZ14" s="43"/>
      <c r="BA14" s="32"/>
      <c r="BB14" s="32">
        <f t="shared" si="4"/>
        <v>10.06</v>
      </c>
      <c r="BC14" t="s">
        <v>124</v>
      </c>
      <c r="BD14" t="s">
        <v>131</v>
      </c>
      <c r="BH14" s="19">
        <f t="shared" si="13"/>
        <v>0</v>
      </c>
    </row>
    <row r="15" spans="1:60">
      <c r="A15" s="34" t="s">
        <v>392</v>
      </c>
      <c r="B15" s="13">
        <f t="shared" si="5"/>
        <v>0</v>
      </c>
      <c r="C15" s="13">
        <f t="shared" si="6"/>
        <v>0</v>
      </c>
      <c r="D15" s="13">
        <f t="shared" si="7"/>
        <v>0</v>
      </c>
      <c r="E15" s="13">
        <f t="shared" si="8"/>
        <v>0</v>
      </c>
      <c r="F15" s="13">
        <f t="shared" si="9"/>
        <v>0</v>
      </c>
      <c r="G15" s="13">
        <f t="shared" si="10"/>
        <v>0</v>
      </c>
      <c r="H15" s="13">
        <f t="shared" si="11"/>
        <v>0</v>
      </c>
      <c r="I15" s="13">
        <f t="shared" si="2"/>
        <v>0</v>
      </c>
      <c r="J15" s="13">
        <f t="shared" si="2"/>
        <v>0</v>
      </c>
      <c r="K15" s="13">
        <f t="shared" si="2"/>
        <v>0</v>
      </c>
      <c r="L15" s="13">
        <f t="shared" si="2"/>
        <v>0</v>
      </c>
      <c r="M15" s="13">
        <f t="shared" si="12"/>
        <v>0</v>
      </c>
      <c r="N15" s="27">
        <f t="shared" si="3"/>
        <v>0</v>
      </c>
      <c r="O15" s="32"/>
      <c r="P15" s="36"/>
      <c r="Q15" s="37"/>
      <c r="R15" s="60"/>
      <c r="S15" s="36"/>
      <c r="T15" s="13"/>
      <c r="U15" s="13"/>
      <c r="V15" s="13"/>
      <c r="W15" s="27"/>
      <c r="X15" s="36"/>
      <c r="Y15" s="13"/>
      <c r="Z15" s="13"/>
      <c r="AA15" s="13"/>
      <c r="AB15" s="13"/>
      <c r="AC15" s="37"/>
      <c r="AD15" s="30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37"/>
      <c r="AP15" s="36"/>
      <c r="AQ15" s="13"/>
      <c r="AR15" s="13"/>
      <c r="AS15" s="13"/>
      <c r="AT15" s="13"/>
      <c r="AU15" s="13"/>
      <c r="AV15" s="37"/>
      <c r="AW15" s="32"/>
      <c r="AX15" s="32"/>
      <c r="AY15" s="43"/>
      <c r="AZ15" s="43"/>
      <c r="BA15" s="32"/>
      <c r="BB15" s="32">
        <f t="shared" si="4"/>
        <v>0</v>
      </c>
      <c r="BC15" t="s">
        <v>42</v>
      </c>
      <c r="BD15" t="s">
        <v>0</v>
      </c>
      <c r="BE15" t="s">
        <v>125</v>
      </c>
      <c r="BH15" s="19">
        <f t="shared" si="13"/>
        <v>0</v>
      </c>
    </row>
    <row r="16" spans="1:60">
      <c r="A16" s="34" t="s">
        <v>393</v>
      </c>
      <c r="B16" s="13">
        <f t="shared" si="5"/>
        <v>0</v>
      </c>
      <c r="C16" s="13">
        <f t="shared" si="6"/>
        <v>0</v>
      </c>
      <c r="D16" s="13">
        <f t="shared" si="7"/>
        <v>0</v>
      </c>
      <c r="E16" s="13">
        <f t="shared" si="8"/>
        <v>0</v>
      </c>
      <c r="F16" s="13">
        <f t="shared" si="9"/>
        <v>0</v>
      </c>
      <c r="G16" s="13">
        <f t="shared" si="10"/>
        <v>0</v>
      </c>
      <c r="H16" s="13">
        <f t="shared" si="11"/>
        <v>0</v>
      </c>
      <c r="I16" s="13">
        <f t="shared" si="2"/>
        <v>0</v>
      </c>
      <c r="J16" s="13">
        <f t="shared" si="2"/>
        <v>0</v>
      </c>
      <c r="K16" s="13">
        <f t="shared" si="2"/>
        <v>0</v>
      </c>
      <c r="L16" s="13">
        <f t="shared" si="2"/>
        <v>0</v>
      </c>
      <c r="M16" s="13">
        <f t="shared" si="12"/>
        <v>0</v>
      </c>
      <c r="N16" s="27">
        <f t="shared" si="3"/>
        <v>0</v>
      </c>
      <c r="O16" s="32"/>
      <c r="P16" s="36"/>
      <c r="Q16" s="37"/>
      <c r="R16" s="62"/>
      <c r="S16" s="36"/>
      <c r="T16" s="13"/>
      <c r="U16" s="13"/>
      <c r="V16" s="13"/>
      <c r="W16" s="27"/>
      <c r="X16" s="36"/>
      <c r="Y16" s="13"/>
      <c r="Z16" s="13"/>
      <c r="AA16" s="13"/>
      <c r="AB16" s="13"/>
      <c r="AC16" s="37"/>
      <c r="AD16" s="30"/>
      <c r="AE16" s="13"/>
      <c r="AF16" s="11"/>
      <c r="AG16" s="13"/>
      <c r="AH16" s="13"/>
      <c r="AI16" s="13"/>
      <c r="AJ16" s="13"/>
      <c r="AK16" s="13"/>
      <c r="AL16" s="13"/>
      <c r="AM16" s="13"/>
      <c r="AN16" s="13"/>
      <c r="AO16" s="37"/>
      <c r="AP16" s="36"/>
      <c r="AQ16" s="13"/>
      <c r="AR16" s="13"/>
      <c r="AS16" s="13"/>
      <c r="AT16" s="13"/>
      <c r="AU16" s="13"/>
      <c r="AV16" s="37"/>
      <c r="AW16" s="32"/>
      <c r="AX16" s="32"/>
      <c r="AY16" s="43"/>
      <c r="AZ16" s="43"/>
      <c r="BA16" s="32"/>
      <c r="BB16" s="32">
        <f t="shared" si="4"/>
        <v>0</v>
      </c>
      <c r="BC16" t="s">
        <v>107</v>
      </c>
      <c r="BD16" t="s">
        <v>19</v>
      </c>
      <c r="BE16" t="s">
        <v>28</v>
      </c>
      <c r="BH16" s="19">
        <f t="shared" si="13"/>
        <v>0</v>
      </c>
    </row>
    <row r="17" spans="1:60">
      <c r="A17" s="34" t="s">
        <v>394</v>
      </c>
      <c r="B17" s="13">
        <f t="shared" si="5"/>
        <v>0</v>
      </c>
      <c r="C17" s="13">
        <f t="shared" si="6"/>
        <v>0</v>
      </c>
      <c r="D17" s="13">
        <f t="shared" si="7"/>
        <v>0</v>
      </c>
      <c r="E17" s="13">
        <f t="shared" si="8"/>
        <v>0</v>
      </c>
      <c r="F17" s="13">
        <f t="shared" si="9"/>
        <v>0</v>
      </c>
      <c r="G17" s="13">
        <f t="shared" si="10"/>
        <v>0</v>
      </c>
      <c r="H17" s="13">
        <f t="shared" si="11"/>
        <v>0</v>
      </c>
      <c r="I17" s="13">
        <f t="shared" si="2"/>
        <v>0</v>
      </c>
      <c r="J17" s="13">
        <f t="shared" si="2"/>
        <v>0</v>
      </c>
      <c r="K17" s="13">
        <f t="shared" si="2"/>
        <v>0</v>
      </c>
      <c r="L17" s="13">
        <f t="shared" si="2"/>
        <v>0</v>
      </c>
      <c r="M17" s="13">
        <f t="shared" si="12"/>
        <v>0</v>
      </c>
      <c r="N17" s="27">
        <f t="shared" si="3"/>
        <v>0</v>
      </c>
      <c r="O17" s="32"/>
      <c r="P17" s="36"/>
      <c r="Q17" s="37"/>
      <c r="R17" s="62"/>
      <c r="S17" s="36"/>
      <c r="T17" s="13"/>
      <c r="U17" s="13"/>
      <c r="V17" s="13"/>
      <c r="W17" s="27"/>
      <c r="X17" s="36"/>
      <c r="Y17" s="13"/>
      <c r="Z17" s="13"/>
      <c r="AA17" s="13"/>
      <c r="AB17" s="13"/>
      <c r="AC17" s="37"/>
      <c r="AD17" s="30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37"/>
      <c r="AP17" s="36"/>
      <c r="AQ17" s="13"/>
      <c r="AR17" s="13"/>
      <c r="AS17" s="13"/>
      <c r="AT17" s="13"/>
      <c r="AU17" s="13"/>
      <c r="AV17" s="37"/>
      <c r="AW17" s="32"/>
      <c r="AX17" s="32"/>
      <c r="AY17" s="43"/>
      <c r="AZ17" s="43"/>
      <c r="BA17" s="32"/>
      <c r="BB17" s="32">
        <f t="shared" si="4"/>
        <v>0</v>
      </c>
      <c r="BD17" t="s">
        <v>0</v>
      </c>
      <c r="BH17" s="19">
        <f t="shared" si="13"/>
        <v>0</v>
      </c>
    </row>
    <row r="18" spans="1:60">
      <c r="A18" s="34" t="s">
        <v>395</v>
      </c>
      <c r="B18" s="13">
        <f t="shared" si="5"/>
        <v>0</v>
      </c>
      <c r="C18" s="13">
        <f t="shared" si="6"/>
        <v>0</v>
      </c>
      <c r="D18" s="13">
        <f t="shared" si="7"/>
        <v>0</v>
      </c>
      <c r="E18" s="13">
        <f t="shared" si="8"/>
        <v>0</v>
      </c>
      <c r="F18" s="13">
        <f t="shared" si="9"/>
        <v>0</v>
      </c>
      <c r="G18" s="13">
        <f t="shared" si="10"/>
        <v>0</v>
      </c>
      <c r="H18" s="13">
        <f t="shared" si="11"/>
        <v>0</v>
      </c>
      <c r="I18" s="13">
        <f t="shared" si="2"/>
        <v>0</v>
      </c>
      <c r="J18" s="13">
        <f t="shared" si="2"/>
        <v>0</v>
      </c>
      <c r="K18" s="13">
        <f t="shared" si="2"/>
        <v>0</v>
      </c>
      <c r="L18" s="13">
        <f t="shared" si="2"/>
        <v>0</v>
      </c>
      <c r="M18" s="13">
        <f t="shared" si="12"/>
        <v>0</v>
      </c>
      <c r="N18" s="27">
        <f t="shared" si="3"/>
        <v>0</v>
      </c>
      <c r="O18" s="32"/>
      <c r="P18" s="36"/>
      <c r="Q18" s="37"/>
      <c r="R18" s="62"/>
      <c r="S18" s="36"/>
      <c r="T18" s="13"/>
      <c r="U18" s="13"/>
      <c r="V18" s="13"/>
      <c r="W18" s="27"/>
      <c r="X18" s="36"/>
      <c r="Y18" s="13"/>
      <c r="Z18" s="13"/>
      <c r="AA18" s="13"/>
      <c r="AB18" s="13"/>
      <c r="AC18" s="37"/>
      <c r="AD18" s="30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37"/>
      <c r="AP18" s="36"/>
      <c r="AQ18" s="13"/>
      <c r="AR18" s="13"/>
      <c r="AS18" s="13"/>
      <c r="AT18" s="13"/>
      <c r="AU18" s="13"/>
      <c r="AV18" s="37"/>
      <c r="AW18" s="32"/>
      <c r="AX18" s="32"/>
      <c r="AY18" s="43"/>
      <c r="AZ18" s="43"/>
      <c r="BA18" s="32"/>
      <c r="BB18" s="32">
        <f t="shared" si="4"/>
        <v>0</v>
      </c>
      <c r="BC18" t="s">
        <v>109</v>
      </c>
      <c r="BD18" t="s">
        <v>115</v>
      </c>
      <c r="BE18" t="s">
        <v>116</v>
      </c>
      <c r="BF18" t="s">
        <v>17</v>
      </c>
      <c r="BH18" s="19">
        <f t="shared" si="13"/>
        <v>0</v>
      </c>
    </row>
    <row r="19" spans="1:60">
      <c r="A19" s="34" t="s">
        <v>396</v>
      </c>
      <c r="B19" s="13">
        <f t="shared" si="5"/>
        <v>0</v>
      </c>
      <c r="C19" s="13">
        <f t="shared" si="6"/>
        <v>0</v>
      </c>
      <c r="D19" s="13">
        <f t="shared" si="7"/>
        <v>0</v>
      </c>
      <c r="E19" s="13">
        <f t="shared" si="8"/>
        <v>0</v>
      </c>
      <c r="F19" s="13">
        <f t="shared" si="9"/>
        <v>0</v>
      </c>
      <c r="G19" s="13">
        <f t="shared" si="10"/>
        <v>0</v>
      </c>
      <c r="H19" s="13">
        <f t="shared" si="11"/>
        <v>0</v>
      </c>
      <c r="I19" s="13">
        <f t="shared" si="2"/>
        <v>0</v>
      </c>
      <c r="J19" s="13">
        <f t="shared" si="2"/>
        <v>0</v>
      </c>
      <c r="K19" s="13">
        <f t="shared" si="2"/>
        <v>0</v>
      </c>
      <c r="L19" s="13">
        <f t="shared" si="2"/>
        <v>0</v>
      </c>
      <c r="M19" s="13">
        <f t="shared" si="12"/>
        <v>0</v>
      </c>
      <c r="N19" s="27">
        <f t="shared" si="3"/>
        <v>0</v>
      </c>
      <c r="O19" s="32"/>
      <c r="P19" s="36"/>
      <c r="Q19" s="37"/>
      <c r="R19" s="62"/>
      <c r="S19" s="36"/>
      <c r="T19" s="13"/>
      <c r="U19" s="13"/>
      <c r="V19" s="13"/>
      <c r="W19" s="27"/>
      <c r="X19" s="36"/>
      <c r="Y19" s="13"/>
      <c r="Z19" s="13"/>
      <c r="AA19" s="13"/>
      <c r="AB19" s="13"/>
      <c r="AC19" s="37"/>
      <c r="AD19" s="30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37"/>
      <c r="AP19" s="36"/>
      <c r="AQ19" s="13"/>
      <c r="AR19" s="13"/>
      <c r="AS19" s="13"/>
      <c r="AT19" s="13"/>
      <c r="AU19" s="13"/>
      <c r="AV19" s="37"/>
      <c r="AW19" s="32"/>
      <c r="AX19" s="32"/>
      <c r="AY19" s="43"/>
      <c r="AZ19" s="43"/>
      <c r="BA19" s="32"/>
      <c r="BB19" s="32">
        <f t="shared" si="4"/>
        <v>0</v>
      </c>
      <c r="BC19" t="s">
        <v>98</v>
      </c>
      <c r="BE19" t="s">
        <v>0</v>
      </c>
      <c r="BF19" t="s">
        <v>86</v>
      </c>
      <c r="BH19" s="19">
        <f t="shared" si="13"/>
        <v>0</v>
      </c>
    </row>
    <row r="20" spans="1:60">
      <c r="A20" s="34" t="s">
        <v>397</v>
      </c>
      <c r="B20" s="13">
        <f t="shared" si="5"/>
        <v>0</v>
      </c>
      <c r="C20" s="13">
        <f t="shared" si="6"/>
        <v>0</v>
      </c>
      <c r="D20" s="13">
        <f t="shared" si="7"/>
        <v>0</v>
      </c>
      <c r="E20" s="13">
        <f t="shared" si="8"/>
        <v>0</v>
      </c>
      <c r="F20" s="13">
        <f t="shared" si="9"/>
        <v>0</v>
      </c>
      <c r="G20" s="13">
        <f t="shared" si="10"/>
        <v>0</v>
      </c>
      <c r="H20" s="13">
        <f t="shared" si="11"/>
        <v>0</v>
      </c>
      <c r="I20" s="13">
        <f t="shared" si="2"/>
        <v>0</v>
      </c>
      <c r="J20" s="13">
        <f t="shared" si="2"/>
        <v>0</v>
      </c>
      <c r="K20" s="13">
        <f t="shared" si="2"/>
        <v>0</v>
      </c>
      <c r="L20" s="13">
        <f t="shared" si="2"/>
        <v>0</v>
      </c>
      <c r="M20" s="13">
        <f t="shared" si="12"/>
        <v>0</v>
      </c>
      <c r="N20" s="27">
        <f t="shared" si="3"/>
        <v>0</v>
      </c>
      <c r="O20" s="32"/>
      <c r="P20" s="36"/>
      <c r="Q20" s="37"/>
      <c r="R20" s="62"/>
      <c r="S20" s="36"/>
      <c r="T20" s="13"/>
      <c r="U20" s="13"/>
      <c r="V20" s="13"/>
      <c r="W20" s="27"/>
      <c r="X20" s="36"/>
      <c r="Y20" s="13"/>
      <c r="Z20" s="13"/>
      <c r="AA20" s="13"/>
      <c r="AB20" s="13"/>
      <c r="AC20" s="37"/>
      <c r="AD20" s="30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37"/>
      <c r="AP20" s="36"/>
      <c r="AQ20" s="13"/>
      <c r="AR20" s="13"/>
      <c r="AS20" s="13"/>
      <c r="AT20" s="13"/>
      <c r="AU20" s="13"/>
      <c r="AV20" s="37"/>
      <c r="AW20" s="32"/>
      <c r="AX20" s="32"/>
      <c r="AY20" s="43"/>
      <c r="AZ20" s="43"/>
      <c r="BA20" s="32"/>
      <c r="BB20" s="32">
        <f t="shared" si="4"/>
        <v>0</v>
      </c>
      <c r="BC20" t="s">
        <v>33</v>
      </c>
      <c r="BD20" t="s">
        <v>37</v>
      </c>
      <c r="BH20" s="19">
        <f t="shared" si="13"/>
        <v>0</v>
      </c>
    </row>
    <row r="21" spans="1:60">
      <c r="A21" s="34" t="s">
        <v>398</v>
      </c>
      <c r="B21" s="13">
        <f t="shared" si="5"/>
        <v>0</v>
      </c>
      <c r="C21" s="13">
        <f t="shared" si="6"/>
        <v>0</v>
      </c>
      <c r="D21" s="13">
        <f t="shared" si="7"/>
        <v>0</v>
      </c>
      <c r="E21" s="13">
        <f t="shared" si="8"/>
        <v>0</v>
      </c>
      <c r="F21" s="13">
        <f t="shared" si="9"/>
        <v>0</v>
      </c>
      <c r="G21" s="13">
        <f t="shared" si="10"/>
        <v>0</v>
      </c>
      <c r="H21" s="13">
        <f t="shared" si="11"/>
        <v>0</v>
      </c>
      <c r="I21" s="13">
        <f t="shared" si="2"/>
        <v>0</v>
      </c>
      <c r="J21" s="13">
        <f t="shared" si="2"/>
        <v>0</v>
      </c>
      <c r="K21" s="13">
        <f t="shared" si="2"/>
        <v>0</v>
      </c>
      <c r="L21" s="13">
        <f t="shared" si="2"/>
        <v>0</v>
      </c>
      <c r="M21" s="13">
        <f t="shared" si="12"/>
        <v>0</v>
      </c>
      <c r="N21" s="27">
        <f t="shared" si="3"/>
        <v>0</v>
      </c>
      <c r="O21" s="32"/>
      <c r="P21" s="36"/>
      <c r="Q21" s="37"/>
      <c r="R21" s="62"/>
      <c r="S21" s="36"/>
      <c r="T21" s="13"/>
      <c r="U21" s="13"/>
      <c r="V21" s="13"/>
      <c r="W21" s="27"/>
      <c r="X21" s="36"/>
      <c r="Y21" s="13"/>
      <c r="Z21" s="13"/>
      <c r="AA21" s="13"/>
      <c r="AB21" s="13"/>
      <c r="AC21" s="37"/>
      <c r="AD21" s="30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37"/>
      <c r="AP21" s="36"/>
      <c r="AQ21" s="13"/>
      <c r="AR21" s="13"/>
      <c r="AS21" s="13"/>
      <c r="AT21" s="13"/>
      <c r="AU21" s="13"/>
      <c r="AV21" s="37"/>
      <c r="AW21" s="32"/>
      <c r="AX21" s="32"/>
      <c r="AY21" s="43"/>
      <c r="AZ21" s="43"/>
      <c r="BA21" s="32"/>
      <c r="BB21" s="32">
        <f t="shared" si="4"/>
        <v>0</v>
      </c>
      <c r="BC21" t="s">
        <v>83</v>
      </c>
      <c r="BH21" s="19">
        <f t="shared" si="13"/>
        <v>0</v>
      </c>
    </row>
    <row r="22" spans="1:60">
      <c r="A22" s="34" t="s">
        <v>399</v>
      </c>
      <c r="B22" s="13">
        <f t="shared" si="5"/>
        <v>0</v>
      </c>
      <c r="C22" s="13">
        <f t="shared" si="6"/>
        <v>0</v>
      </c>
      <c r="D22" s="13">
        <f t="shared" si="7"/>
        <v>0</v>
      </c>
      <c r="E22" s="13">
        <f t="shared" si="8"/>
        <v>0</v>
      </c>
      <c r="F22" s="13">
        <f t="shared" si="9"/>
        <v>0</v>
      </c>
      <c r="G22" s="13">
        <f t="shared" si="10"/>
        <v>0</v>
      </c>
      <c r="H22" s="13">
        <f t="shared" si="11"/>
        <v>0</v>
      </c>
      <c r="I22" s="13">
        <f t="shared" si="2"/>
        <v>0</v>
      </c>
      <c r="J22" s="13">
        <f t="shared" si="2"/>
        <v>0</v>
      </c>
      <c r="K22" s="13">
        <f t="shared" si="2"/>
        <v>0</v>
      </c>
      <c r="L22" s="13">
        <f t="shared" si="2"/>
        <v>0</v>
      </c>
      <c r="M22" s="13">
        <f t="shared" si="12"/>
        <v>0</v>
      </c>
      <c r="N22" s="27">
        <f t="shared" si="3"/>
        <v>0</v>
      </c>
      <c r="O22" s="32"/>
      <c r="P22" s="36"/>
      <c r="Q22" s="37"/>
      <c r="R22" s="62"/>
      <c r="S22" s="36"/>
      <c r="T22" s="13"/>
      <c r="U22" s="13"/>
      <c r="V22" s="13"/>
      <c r="W22" s="27"/>
      <c r="X22" s="36"/>
      <c r="Y22" s="13"/>
      <c r="Z22" s="13"/>
      <c r="AA22" s="13"/>
      <c r="AB22" s="13"/>
      <c r="AC22" s="37"/>
      <c r="AD22" s="30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37"/>
      <c r="AP22" s="36"/>
      <c r="AQ22" s="13"/>
      <c r="AR22" s="13"/>
      <c r="AS22" s="13"/>
      <c r="AT22" s="13"/>
      <c r="AU22" s="13"/>
      <c r="AV22" s="37"/>
      <c r="AW22" s="32"/>
      <c r="AX22" s="32"/>
      <c r="AY22" s="43"/>
      <c r="AZ22" s="43"/>
      <c r="BA22" s="32"/>
      <c r="BB22" s="32">
        <f t="shared" si="4"/>
        <v>0</v>
      </c>
      <c r="BC22" t="s">
        <v>84</v>
      </c>
      <c r="BD22" t="s">
        <v>37</v>
      </c>
      <c r="BE22" t="s">
        <v>132</v>
      </c>
      <c r="BH22" s="19">
        <f t="shared" si="13"/>
        <v>0</v>
      </c>
    </row>
    <row r="23" spans="1:60">
      <c r="A23" s="34" t="s">
        <v>400</v>
      </c>
      <c r="B23" s="13">
        <f t="shared" si="5"/>
        <v>0</v>
      </c>
      <c r="C23" s="13">
        <f t="shared" si="6"/>
        <v>0</v>
      </c>
      <c r="D23" s="13">
        <f t="shared" si="7"/>
        <v>0</v>
      </c>
      <c r="E23" s="13">
        <f t="shared" si="8"/>
        <v>0</v>
      </c>
      <c r="F23" s="13">
        <f t="shared" si="9"/>
        <v>0</v>
      </c>
      <c r="G23" s="13">
        <f t="shared" si="10"/>
        <v>0</v>
      </c>
      <c r="H23" s="13">
        <f t="shared" si="11"/>
        <v>0</v>
      </c>
      <c r="I23" s="13">
        <f t="shared" ref="I23:L51" si="14">AW23</f>
        <v>0</v>
      </c>
      <c r="J23" s="13">
        <f t="shared" si="14"/>
        <v>0</v>
      </c>
      <c r="K23" s="13">
        <f t="shared" si="14"/>
        <v>0</v>
      </c>
      <c r="L23" s="13">
        <f t="shared" si="14"/>
        <v>0</v>
      </c>
      <c r="M23" s="13">
        <f t="shared" si="12"/>
        <v>0</v>
      </c>
      <c r="N23" s="27">
        <f t="shared" si="3"/>
        <v>0</v>
      </c>
      <c r="O23" s="32"/>
      <c r="P23" s="36"/>
      <c r="Q23" s="37"/>
      <c r="R23" s="62"/>
      <c r="S23" s="36"/>
      <c r="T23" s="13"/>
      <c r="U23" s="13"/>
      <c r="V23" s="13"/>
      <c r="W23" s="27"/>
      <c r="X23" s="36"/>
      <c r="Y23" s="13"/>
      <c r="Z23" s="13"/>
      <c r="AA23" s="13"/>
      <c r="AB23" s="13"/>
      <c r="AC23" s="37"/>
      <c r="AD23" s="30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37"/>
      <c r="AP23" s="36"/>
      <c r="AQ23" s="13"/>
      <c r="AR23" s="13"/>
      <c r="AS23" s="13"/>
      <c r="AT23" s="13"/>
      <c r="AU23" s="13"/>
      <c r="AV23" s="37"/>
      <c r="AW23" s="32"/>
      <c r="AX23" s="32"/>
      <c r="AY23" s="43"/>
      <c r="AZ23" s="43"/>
      <c r="BA23" s="32"/>
      <c r="BB23" s="32">
        <f t="shared" si="4"/>
        <v>0</v>
      </c>
      <c r="BC23" t="s">
        <v>33</v>
      </c>
      <c r="BD23" t="s">
        <v>16</v>
      </c>
      <c r="BE23" t="s">
        <v>130</v>
      </c>
      <c r="BH23" s="19">
        <f t="shared" si="13"/>
        <v>0</v>
      </c>
    </row>
    <row r="24" spans="1:60">
      <c r="A24" s="34" t="s">
        <v>401</v>
      </c>
      <c r="B24" s="13">
        <f t="shared" si="5"/>
        <v>0</v>
      </c>
      <c r="C24" s="13">
        <f t="shared" si="6"/>
        <v>0</v>
      </c>
      <c r="D24" s="13">
        <f t="shared" si="7"/>
        <v>0</v>
      </c>
      <c r="E24" s="13">
        <f t="shared" si="8"/>
        <v>0</v>
      </c>
      <c r="F24" s="13">
        <f t="shared" si="9"/>
        <v>0</v>
      </c>
      <c r="G24" s="13">
        <f t="shared" si="10"/>
        <v>0</v>
      </c>
      <c r="H24" s="13">
        <f t="shared" si="11"/>
        <v>0</v>
      </c>
      <c r="I24" s="13">
        <f t="shared" si="14"/>
        <v>0</v>
      </c>
      <c r="J24" s="13">
        <f t="shared" si="14"/>
        <v>0</v>
      </c>
      <c r="K24" s="13">
        <f t="shared" si="14"/>
        <v>0</v>
      </c>
      <c r="L24" s="13">
        <f t="shared" si="14"/>
        <v>0</v>
      </c>
      <c r="M24" s="13">
        <f t="shared" si="12"/>
        <v>0</v>
      </c>
      <c r="N24" s="27">
        <f t="shared" si="3"/>
        <v>0</v>
      </c>
      <c r="O24" s="32"/>
      <c r="P24" s="36"/>
      <c r="Q24" s="37"/>
      <c r="R24" s="62"/>
      <c r="S24" s="36"/>
      <c r="T24" s="13"/>
      <c r="U24" s="13"/>
      <c r="V24" s="13"/>
      <c r="W24" s="27"/>
      <c r="X24" s="36"/>
      <c r="Y24" s="13"/>
      <c r="Z24" s="13"/>
      <c r="AA24" s="13"/>
      <c r="AB24" s="13"/>
      <c r="AC24" s="37"/>
      <c r="AD24" s="30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37"/>
      <c r="AP24" s="36"/>
      <c r="AQ24" s="13"/>
      <c r="AR24" s="13"/>
      <c r="AS24" s="13"/>
      <c r="AT24" s="13"/>
      <c r="AU24" s="13"/>
      <c r="AV24" s="37"/>
      <c r="AW24" s="32"/>
      <c r="AX24" s="32"/>
      <c r="AY24" s="43"/>
      <c r="AZ24" s="43"/>
      <c r="BA24" s="32"/>
      <c r="BB24" s="32">
        <f t="shared" si="4"/>
        <v>0</v>
      </c>
      <c r="BD24" t="s">
        <v>30</v>
      </c>
      <c r="BH24" s="19">
        <f t="shared" si="13"/>
        <v>0</v>
      </c>
    </row>
    <row r="25" spans="1:60">
      <c r="A25" s="34" t="s">
        <v>402</v>
      </c>
      <c r="B25" s="13">
        <f t="shared" si="5"/>
        <v>0</v>
      </c>
      <c r="C25" s="13">
        <f t="shared" si="6"/>
        <v>0</v>
      </c>
      <c r="D25" s="13">
        <f t="shared" si="7"/>
        <v>0</v>
      </c>
      <c r="E25" s="13">
        <f t="shared" si="8"/>
        <v>0</v>
      </c>
      <c r="F25" s="13">
        <f t="shared" si="9"/>
        <v>0</v>
      </c>
      <c r="G25" s="13">
        <f t="shared" si="10"/>
        <v>0</v>
      </c>
      <c r="H25" s="13">
        <f t="shared" si="11"/>
        <v>0</v>
      </c>
      <c r="I25" s="13">
        <f t="shared" si="14"/>
        <v>0</v>
      </c>
      <c r="J25" s="13">
        <f t="shared" si="14"/>
        <v>0</v>
      </c>
      <c r="K25" s="13">
        <f t="shared" si="14"/>
        <v>0</v>
      </c>
      <c r="L25" s="13">
        <f t="shared" si="14"/>
        <v>0</v>
      </c>
      <c r="M25" s="13">
        <f t="shared" si="12"/>
        <v>0</v>
      </c>
      <c r="N25" s="27">
        <f t="shared" si="3"/>
        <v>0</v>
      </c>
      <c r="O25" s="32"/>
      <c r="P25" s="36"/>
      <c r="Q25" s="37"/>
      <c r="R25" s="62"/>
      <c r="S25" s="36"/>
      <c r="T25" s="13"/>
      <c r="U25" s="13"/>
      <c r="V25" s="13"/>
      <c r="W25" s="27"/>
      <c r="X25" s="36"/>
      <c r="Y25" s="13"/>
      <c r="Z25" s="13"/>
      <c r="AA25" s="13"/>
      <c r="AB25" s="13"/>
      <c r="AC25" s="37"/>
      <c r="AD25" s="30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37"/>
      <c r="AP25" s="36"/>
      <c r="AQ25" s="13"/>
      <c r="AR25" s="13"/>
      <c r="AS25" s="13"/>
      <c r="AT25" s="13"/>
      <c r="AU25" s="13"/>
      <c r="AV25" s="37"/>
      <c r="AW25" s="32"/>
      <c r="AX25" s="32"/>
      <c r="AY25" s="43"/>
      <c r="AZ25" s="43"/>
      <c r="BA25" s="32"/>
      <c r="BB25" s="32">
        <f t="shared" si="4"/>
        <v>0</v>
      </c>
      <c r="BC25" t="s">
        <v>30</v>
      </c>
      <c r="BD25" t="s">
        <v>32</v>
      </c>
      <c r="BH25" s="19">
        <f t="shared" si="13"/>
        <v>0</v>
      </c>
    </row>
    <row r="26" spans="1:60">
      <c r="A26" s="34" t="s">
        <v>403</v>
      </c>
      <c r="B26" s="13">
        <f t="shared" si="5"/>
        <v>0</v>
      </c>
      <c r="C26" s="13">
        <f t="shared" si="6"/>
        <v>0</v>
      </c>
      <c r="D26" s="13">
        <f t="shared" si="7"/>
        <v>0</v>
      </c>
      <c r="E26" s="13">
        <f t="shared" si="8"/>
        <v>0</v>
      </c>
      <c r="F26" s="13">
        <f t="shared" si="9"/>
        <v>0</v>
      </c>
      <c r="G26" s="13">
        <f t="shared" si="10"/>
        <v>0</v>
      </c>
      <c r="H26" s="13">
        <f t="shared" si="11"/>
        <v>0</v>
      </c>
      <c r="I26" s="13">
        <f t="shared" si="14"/>
        <v>0</v>
      </c>
      <c r="J26" s="13">
        <f t="shared" si="14"/>
        <v>0</v>
      </c>
      <c r="K26" s="13">
        <f t="shared" si="14"/>
        <v>0</v>
      </c>
      <c r="L26" s="13">
        <f t="shared" si="14"/>
        <v>0</v>
      </c>
      <c r="M26" s="13">
        <f t="shared" si="12"/>
        <v>0</v>
      </c>
      <c r="N26" s="27">
        <f t="shared" si="3"/>
        <v>0</v>
      </c>
      <c r="O26" s="32"/>
      <c r="P26" s="36"/>
      <c r="Q26" s="37"/>
      <c r="R26" s="62"/>
      <c r="S26" s="36"/>
      <c r="T26" s="13"/>
      <c r="U26" s="13"/>
      <c r="V26" s="13"/>
      <c r="W26" s="27"/>
      <c r="X26" s="36"/>
      <c r="Y26" s="13"/>
      <c r="Z26" s="13"/>
      <c r="AA26" s="13"/>
      <c r="AB26" s="13"/>
      <c r="AC26" s="37"/>
      <c r="AD26" s="30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37"/>
      <c r="AP26" s="36"/>
      <c r="AQ26" s="13"/>
      <c r="AR26" s="13"/>
      <c r="AS26" s="13"/>
      <c r="AT26" s="13"/>
      <c r="AU26" s="13"/>
      <c r="AV26" s="37"/>
      <c r="AW26" s="32"/>
      <c r="AX26" s="31"/>
      <c r="AY26" s="43"/>
      <c r="AZ26" s="43"/>
      <c r="BA26" s="32"/>
      <c r="BB26" s="32">
        <f t="shared" si="4"/>
        <v>0</v>
      </c>
      <c r="BH26" s="19">
        <f t="shared" si="13"/>
        <v>0</v>
      </c>
    </row>
    <row r="27" spans="1:60">
      <c r="A27" s="34" t="s">
        <v>404</v>
      </c>
      <c r="B27" s="13">
        <f t="shared" si="5"/>
        <v>0</v>
      </c>
      <c r="C27" s="13">
        <f t="shared" si="6"/>
        <v>0</v>
      </c>
      <c r="D27" s="13">
        <f t="shared" si="7"/>
        <v>0</v>
      </c>
      <c r="E27" s="13">
        <f t="shared" si="8"/>
        <v>0</v>
      </c>
      <c r="F27" s="13">
        <f t="shared" si="9"/>
        <v>0</v>
      </c>
      <c r="G27" s="13">
        <f t="shared" si="10"/>
        <v>0</v>
      </c>
      <c r="H27" s="13">
        <f t="shared" si="11"/>
        <v>0</v>
      </c>
      <c r="I27" s="13">
        <f t="shared" si="14"/>
        <v>0</v>
      </c>
      <c r="J27" s="13">
        <f t="shared" si="14"/>
        <v>0</v>
      </c>
      <c r="K27" s="13">
        <f t="shared" si="14"/>
        <v>0</v>
      </c>
      <c r="L27" s="13">
        <f t="shared" si="14"/>
        <v>0</v>
      </c>
      <c r="M27" s="13">
        <f t="shared" si="12"/>
        <v>0</v>
      </c>
      <c r="N27" s="27">
        <f t="shared" si="3"/>
        <v>0</v>
      </c>
      <c r="O27" s="32"/>
      <c r="P27" s="36"/>
      <c r="Q27" s="37"/>
      <c r="R27" s="62"/>
      <c r="S27" s="36"/>
      <c r="T27" s="13"/>
      <c r="U27" s="13"/>
      <c r="V27" s="13"/>
      <c r="W27" s="27"/>
      <c r="X27" s="36"/>
      <c r="Y27" s="13"/>
      <c r="Z27" s="13"/>
      <c r="AA27" s="13"/>
      <c r="AB27" s="13"/>
      <c r="AC27" s="37"/>
      <c r="AD27" s="30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37"/>
      <c r="AP27" s="36"/>
      <c r="AQ27" s="13"/>
      <c r="AR27" s="13"/>
      <c r="AS27" s="13"/>
      <c r="AT27" s="13"/>
      <c r="AU27" s="13"/>
      <c r="AV27" s="37"/>
      <c r="AW27" s="32"/>
      <c r="AX27" s="32"/>
      <c r="AY27" s="43"/>
      <c r="AZ27" s="43"/>
      <c r="BA27" s="32"/>
      <c r="BB27" s="32">
        <f t="shared" si="4"/>
        <v>0</v>
      </c>
      <c r="BC27" t="s">
        <v>97</v>
      </c>
      <c r="BD27" t="s">
        <v>126</v>
      </c>
      <c r="BE27" t="s">
        <v>128</v>
      </c>
      <c r="BH27" s="19">
        <f t="shared" si="13"/>
        <v>0</v>
      </c>
    </row>
    <row r="28" spans="1:60">
      <c r="A28" s="34" t="s">
        <v>405</v>
      </c>
      <c r="B28" s="13">
        <f t="shared" si="5"/>
        <v>0</v>
      </c>
      <c r="C28" s="13">
        <f t="shared" si="6"/>
        <v>0</v>
      </c>
      <c r="D28" s="13">
        <f t="shared" si="7"/>
        <v>0</v>
      </c>
      <c r="E28" s="13">
        <f t="shared" si="8"/>
        <v>0</v>
      </c>
      <c r="F28" s="13">
        <f t="shared" si="9"/>
        <v>0</v>
      </c>
      <c r="G28" s="13">
        <f t="shared" si="10"/>
        <v>0</v>
      </c>
      <c r="H28" s="13">
        <f t="shared" si="11"/>
        <v>0</v>
      </c>
      <c r="I28" s="13">
        <f t="shared" si="14"/>
        <v>0</v>
      </c>
      <c r="J28" s="13">
        <f t="shared" si="14"/>
        <v>0</v>
      </c>
      <c r="K28" s="13">
        <f t="shared" si="14"/>
        <v>0</v>
      </c>
      <c r="L28" s="13">
        <f t="shared" si="14"/>
        <v>0</v>
      </c>
      <c r="M28" s="13">
        <f t="shared" si="12"/>
        <v>0</v>
      </c>
      <c r="N28" s="27">
        <f t="shared" si="3"/>
        <v>0</v>
      </c>
      <c r="O28" s="32"/>
      <c r="P28" s="36"/>
      <c r="Q28" s="37"/>
      <c r="R28" s="62"/>
      <c r="S28" s="36"/>
      <c r="T28" s="13"/>
      <c r="U28" s="13"/>
      <c r="V28" s="13"/>
      <c r="W28" s="27"/>
      <c r="X28" s="36"/>
      <c r="Y28" s="13"/>
      <c r="Z28" s="13"/>
      <c r="AA28" s="13"/>
      <c r="AB28" s="13"/>
      <c r="AC28" s="37"/>
      <c r="AD28" s="30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37"/>
      <c r="AP28" s="36"/>
      <c r="AQ28" s="13"/>
      <c r="AR28" s="13"/>
      <c r="AS28" s="13"/>
      <c r="AT28" s="13"/>
      <c r="AU28" s="13"/>
      <c r="AV28" s="37"/>
      <c r="AW28" s="32"/>
      <c r="AX28" s="32"/>
      <c r="AY28" s="43"/>
      <c r="AZ28" s="43"/>
      <c r="BA28" s="32"/>
      <c r="BB28" s="32">
        <f t="shared" si="4"/>
        <v>0</v>
      </c>
      <c r="BC28" t="s">
        <v>14</v>
      </c>
      <c r="BH28" s="19">
        <f t="shared" si="13"/>
        <v>0</v>
      </c>
    </row>
    <row r="29" spans="1:60">
      <c r="A29" s="34" t="s">
        <v>406</v>
      </c>
      <c r="B29" s="13">
        <f t="shared" si="5"/>
        <v>0</v>
      </c>
      <c r="C29" s="13">
        <f t="shared" si="6"/>
        <v>0</v>
      </c>
      <c r="D29" s="13">
        <f t="shared" si="7"/>
        <v>0</v>
      </c>
      <c r="E29" s="13">
        <f t="shared" si="8"/>
        <v>0</v>
      </c>
      <c r="F29" s="13">
        <f t="shared" si="9"/>
        <v>0</v>
      </c>
      <c r="G29" s="13">
        <f t="shared" si="10"/>
        <v>0</v>
      </c>
      <c r="H29" s="13">
        <f t="shared" si="11"/>
        <v>0</v>
      </c>
      <c r="I29" s="13">
        <f t="shared" si="14"/>
        <v>0</v>
      </c>
      <c r="J29" s="13">
        <f t="shared" si="14"/>
        <v>0</v>
      </c>
      <c r="K29" s="13">
        <f t="shared" si="14"/>
        <v>0</v>
      </c>
      <c r="L29" s="13">
        <f t="shared" si="14"/>
        <v>0</v>
      </c>
      <c r="M29" s="13">
        <f t="shared" si="12"/>
        <v>0</v>
      </c>
      <c r="N29" s="27">
        <f t="shared" si="3"/>
        <v>0</v>
      </c>
      <c r="O29" s="32"/>
      <c r="P29" s="36"/>
      <c r="Q29" s="37"/>
      <c r="R29" s="62"/>
      <c r="S29" s="36"/>
      <c r="T29" s="13"/>
      <c r="U29" s="13"/>
      <c r="V29" s="13"/>
      <c r="W29" s="27"/>
      <c r="X29" s="36"/>
      <c r="Y29" s="13"/>
      <c r="Z29" s="13"/>
      <c r="AA29" s="13"/>
      <c r="AB29" s="13"/>
      <c r="AC29" s="37"/>
      <c r="AD29" s="30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37"/>
      <c r="AP29" s="36"/>
      <c r="AQ29" s="13"/>
      <c r="AR29" s="13"/>
      <c r="AS29" s="13"/>
      <c r="AT29" s="13"/>
      <c r="AU29" s="13"/>
      <c r="AV29" s="37"/>
      <c r="AW29" s="32"/>
      <c r="AX29" s="32"/>
      <c r="AY29" s="43"/>
      <c r="AZ29" s="43"/>
      <c r="BA29" s="32"/>
      <c r="BB29" s="32">
        <f>SUM(O29:BA29)</f>
        <v>0</v>
      </c>
      <c r="BC29" t="s">
        <v>30</v>
      </c>
      <c r="BH29" s="19">
        <f t="shared" si="13"/>
        <v>0</v>
      </c>
    </row>
    <row r="30" spans="1:60">
      <c r="A30" s="34" t="s">
        <v>407</v>
      </c>
      <c r="B30" s="13">
        <f t="shared" si="5"/>
        <v>0</v>
      </c>
      <c r="C30" s="13">
        <f t="shared" si="6"/>
        <v>0</v>
      </c>
      <c r="D30" s="13">
        <f t="shared" si="7"/>
        <v>0</v>
      </c>
      <c r="E30" s="13">
        <f t="shared" si="8"/>
        <v>0</v>
      </c>
      <c r="F30" s="13">
        <f t="shared" si="9"/>
        <v>0</v>
      </c>
      <c r="G30" s="13">
        <f t="shared" si="10"/>
        <v>0</v>
      </c>
      <c r="H30" s="13">
        <f t="shared" si="11"/>
        <v>0</v>
      </c>
      <c r="I30" s="13">
        <f t="shared" si="14"/>
        <v>0</v>
      </c>
      <c r="J30" s="13">
        <f t="shared" si="14"/>
        <v>0</v>
      </c>
      <c r="K30" s="13">
        <f t="shared" si="14"/>
        <v>0</v>
      </c>
      <c r="L30" s="13">
        <f t="shared" si="14"/>
        <v>0</v>
      </c>
      <c r="M30" s="13">
        <f>BA29</f>
        <v>0</v>
      </c>
      <c r="N30" s="27">
        <f t="shared" si="3"/>
        <v>0</v>
      </c>
      <c r="O30" s="32"/>
      <c r="P30" s="36"/>
      <c r="Q30" s="37"/>
      <c r="R30" s="62"/>
      <c r="S30" s="36"/>
      <c r="T30" s="13"/>
      <c r="U30" s="13"/>
      <c r="V30" s="13"/>
      <c r="W30" s="27"/>
      <c r="X30" s="36"/>
      <c r="Y30" s="13"/>
      <c r="Z30" s="13"/>
      <c r="AA30" s="13"/>
      <c r="AB30" s="13"/>
      <c r="AC30" s="37"/>
      <c r="AD30" s="30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37"/>
      <c r="AP30" s="36"/>
      <c r="AQ30" s="13"/>
      <c r="AR30" s="13"/>
      <c r="AS30" s="13"/>
      <c r="AT30" s="13"/>
      <c r="AU30" s="13"/>
      <c r="AV30" s="37"/>
      <c r="AW30" s="32"/>
      <c r="AX30" s="32"/>
      <c r="AY30" s="43"/>
      <c r="AZ30" s="43"/>
      <c r="BA30" s="32"/>
      <c r="BB30" s="32">
        <f>SUM(O30:BA30)</f>
        <v>0</v>
      </c>
      <c r="BC30" t="s">
        <v>15</v>
      </c>
      <c r="BH30" s="19">
        <f t="shared" si="13"/>
        <v>0</v>
      </c>
    </row>
    <row r="31" spans="1:60">
      <c r="A31" s="34" t="s">
        <v>408</v>
      </c>
      <c r="B31" s="13">
        <f t="shared" si="5"/>
        <v>0</v>
      </c>
      <c r="C31" s="13">
        <f t="shared" si="6"/>
        <v>0</v>
      </c>
      <c r="D31" s="13">
        <f t="shared" si="7"/>
        <v>0</v>
      </c>
      <c r="E31" s="13">
        <f t="shared" si="8"/>
        <v>0</v>
      </c>
      <c r="F31" s="13">
        <f t="shared" si="9"/>
        <v>0</v>
      </c>
      <c r="G31" s="13">
        <f t="shared" si="10"/>
        <v>0</v>
      </c>
      <c r="H31" s="13">
        <f t="shared" si="11"/>
        <v>0</v>
      </c>
      <c r="I31" s="13">
        <f t="shared" si="14"/>
        <v>0</v>
      </c>
      <c r="J31" s="13">
        <f t="shared" si="14"/>
        <v>0</v>
      </c>
      <c r="K31" s="13">
        <f t="shared" si="14"/>
        <v>0</v>
      </c>
      <c r="L31" s="13">
        <f t="shared" si="14"/>
        <v>0</v>
      </c>
      <c r="M31" s="13">
        <f>BA30</f>
        <v>0</v>
      </c>
      <c r="N31" s="27">
        <f t="shared" si="3"/>
        <v>0</v>
      </c>
      <c r="O31" s="32"/>
      <c r="P31" s="36"/>
      <c r="Q31" s="37"/>
      <c r="R31" s="62"/>
      <c r="S31" s="36"/>
      <c r="T31" s="13"/>
      <c r="U31" s="13"/>
      <c r="V31" s="13"/>
      <c r="W31" s="27"/>
      <c r="X31" s="36"/>
      <c r="Y31" s="11"/>
      <c r="Z31" s="13"/>
      <c r="AA31" s="13"/>
      <c r="AB31" s="13"/>
      <c r="AC31" s="37"/>
      <c r="AD31" s="30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37"/>
      <c r="AP31" s="36"/>
      <c r="AQ31" s="13"/>
      <c r="AR31" s="13"/>
      <c r="AS31" s="13"/>
      <c r="AT31" s="13"/>
      <c r="AU31" s="13"/>
      <c r="AV31" s="37"/>
      <c r="AW31" s="32"/>
      <c r="AX31" s="32"/>
      <c r="AY31" s="43"/>
      <c r="AZ31" s="43"/>
      <c r="BA31" s="32"/>
      <c r="BB31" s="32">
        <f t="shared" si="4"/>
        <v>0</v>
      </c>
      <c r="BC31" t="s">
        <v>108</v>
      </c>
      <c r="BD31" t="s">
        <v>115</v>
      </c>
      <c r="BE31" t="s">
        <v>117</v>
      </c>
      <c r="BF31" t="s">
        <v>30</v>
      </c>
      <c r="BH31" s="19">
        <f t="shared" si="13"/>
        <v>0</v>
      </c>
    </row>
    <row r="32" spans="1:60">
      <c r="A32" s="34" t="s">
        <v>409</v>
      </c>
      <c r="B32" s="13">
        <f t="shared" si="5"/>
        <v>0</v>
      </c>
      <c r="C32" s="13">
        <f t="shared" si="6"/>
        <v>0</v>
      </c>
      <c r="D32" s="13">
        <f t="shared" si="7"/>
        <v>0</v>
      </c>
      <c r="E32" s="13">
        <f t="shared" si="8"/>
        <v>0</v>
      </c>
      <c r="F32" s="13">
        <f t="shared" si="9"/>
        <v>0</v>
      </c>
      <c r="G32" s="13">
        <f t="shared" si="10"/>
        <v>0</v>
      </c>
      <c r="H32" s="13">
        <f t="shared" si="11"/>
        <v>0</v>
      </c>
      <c r="I32" s="13">
        <f t="shared" si="14"/>
        <v>0</v>
      </c>
      <c r="J32" s="13">
        <f t="shared" si="14"/>
        <v>0</v>
      </c>
      <c r="K32" s="13">
        <f t="shared" si="14"/>
        <v>0</v>
      </c>
      <c r="L32" s="13">
        <f t="shared" si="14"/>
        <v>0</v>
      </c>
      <c r="M32" s="13">
        <f t="shared" si="12"/>
        <v>0</v>
      </c>
      <c r="N32" s="27">
        <f t="shared" si="3"/>
        <v>0</v>
      </c>
      <c r="O32" s="32"/>
      <c r="P32" s="36"/>
      <c r="Q32" s="37"/>
      <c r="R32" s="62"/>
      <c r="S32" s="36"/>
      <c r="T32" s="13"/>
      <c r="U32" s="13"/>
      <c r="V32" s="13"/>
      <c r="W32" s="27"/>
      <c r="X32" s="36"/>
      <c r="Y32" s="13"/>
      <c r="Z32" s="13"/>
      <c r="AA32" s="13"/>
      <c r="AB32" s="13"/>
      <c r="AC32" s="37"/>
      <c r="AD32" s="30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37"/>
      <c r="AP32" s="36"/>
      <c r="AQ32" s="13"/>
      <c r="AR32" s="13"/>
      <c r="AS32" s="13"/>
      <c r="AT32" s="13"/>
      <c r="AU32" s="13"/>
      <c r="AV32" s="37"/>
      <c r="AW32" s="32"/>
      <c r="AX32" s="32"/>
      <c r="AY32" s="43"/>
      <c r="AZ32" s="43"/>
      <c r="BA32" s="32"/>
      <c r="BB32" s="32">
        <f t="shared" si="4"/>
        <v>0</v>
      </c>
      <c r="BC32" t="s">
        <v>97</v>
      </c>
      <c r="BD32" t="s">
        <v>30</v>
      </c>
      <c r="BH32" s="19">
        <f t="shared" si="13"/>
        <v>0</v>
      </c>
    </row>
    <row r="33" spans="1:60">
      <c r="A33" s="34" t="s">
        <v>410</v>
      </c>
      <c r="B33" s="13">
        <f t="shared" si="5"/>
        <v>0</v>
      </c>
      <c r="C33" s="13">
        <f t="shared" si="6"/>
        <v>0</v>
      </c>
      <c r="D33" s="13">
        <f t="shared" si="7"/>
        <v>0</v>
      </c>
      <c r="E33" s="13">
        <f t="shared" si="8"/>
        <v>0</v>
      </c>
      <c r="F33" s="13">
        <f t="shared" si="9"/>
        <v>0</v>
      </c>
      <c r="G33" s="13">
        <f t="shared" si="10"/>
        <v>0</v>
      </c>
      <c r="H33" s="13">
        <f t="shared" si="11"/>
        <v>0</v>
      </c>
      <c r="I33" s="13">
        <f t="shared" si="14"/>
        <v>0</v>
      </c>
      <c r="J33" s="13">
        <f t="shared" si="14"/>
        <v>0</v>
      </c>
      <c r="K33" s="13">
        <f t="shared" si="14"/>
        <v>0</v>
      </c>
      <c r="L33" s="13">
        <f t="shared" si="14"/>
        <v>0</v>
      </c>
      <c r="M33" s="13">
        <f t="shared" si="12"/>
        <v>0</v>
      </c>
      <c r="N33" s="27">
        <f t="shared" si="3"/>
        <v>0</v>
      </c>
      <c r="O33" s="32"/>
      <c r="P33" s="36"/>
      <c r="Q33" s="37"/>
      <c r="R33" s="62"/>
      <c r="S33" s="36"/>
      <c r="T33" s="13"/>
      <c r="U33" s="13"/>
      <c r="V33" s="13"/>
      <c r="W33" s="27"/>
      <c r="X33" s="36"/>
      <c r="Y33" s="13"/>
      <c r="Z33" s="13"/>
      <c r="AA33" s="13"/>
      <c r="AB33" s="13"/>
      <c r="AC33" s="37"/>
      <c r="AD33" s="30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37"/>
      <c r="AP33" s="36"/>
      <c r="AQ33" s="13"/>
      <c r="AR33" s="13"/>
      <c r="AS33" s="13"/>
      <c r="AT33" s="13"/>
      <c r="AU33" s="13"/>
      <c r="AV33" s="37"/>
      <c r="AW33" s="32"/>
      <c r="AX33" s="32"/>
      <c r="AY33" s="43"/>
      <c r="AZ33" s="43"/>
      <c r="BA33" s="32"/>
      <c r="BB33" s="32">
        <f t="shared" si="4"/>
        <v>0</v>
      </c>
      <c r="BC33" t="s">
        <v>29</v>
      </c>
      <c r="BD33" t="s">
        <v>134</v>
      </c>
      <c r="BH33" s="19">
        <f t="shared" si="13"/>
        <v>0</v>
      </c>
    </row>
    <row r="34" spans="1:60">
      <c r="A34" s="34" t="s">
        <v>411</v>
      </c>
      <c r="B34" s="13">
        <f t="shared" si="5"/>
        <v>0</v>
      </c>
      <c r="C34" s="13">
        <f t="shared" si="6"/>
        <v>0</v>
      </c>
      <c r="D34" s="13">
        <f t="shared" si="7"/>
        <v>0</v>
      </c>
      <c r="E34" s="13">
        <f t="shared" si="8"/>
        <v>0</v>
      </c>
      <c r="F34" s="13">
        <f t="shared" si="9"/>
        <v>0</v>
      </c>
      <c r="G34" s="13">
        <f t="shared" si="10"/>
        <v>0</v>
      </c>
      <c r="H34" s="13">
        <f t="shared" si="11"/>
        <v>0</v>
      </c>
      <c r="I34" s="13">
        <f t="shared" si="14"/>
        <v>0</v>
      </c>
      <c r="J34" s="13">
        <f t="shared" si="14"/>
        <v>0</v>
      </c>
      <c r="K34" s="13">
        <f t="shared" si="14"/>
        <v>0</v>
      </c>
      <c r="L34" s="13">
        <f t="shared" si="14"/>
        <v>0</v>
      </c>
      <c r="M34" s="13">
        <f t="shared" si="12"/>
        <v>0</v>
      </c>
      <c r="N34" s="27">
        <f t="shared" si="3"/>
        <v>0</v>
      </c>
      <c r="O34" s="32"/>
      <c r="P34" s="36"/>
      <c r="Q34" s="37"/>
      <c r="R34" s="62"/>
      <c r="S34" s="36"/>
      <c r="T34" s="13"/>
      <c r="U34" s="13"/>
      <c r="V34" s="13"/>
      <c r="W34" s="27"/>
      <c r="X34" s="36"/>
      <c r="Y34" s="13"/>
      <c r="Z34" s="13"/>
      <c r="AA34" s="13"/>
      <c r="AB34" s="13"/>
      <c r="AC34" s="37"/>
      <c r="AD34" s="30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37"/>
      <c r="AP34" s="36"/>
      <c r="AQ34" s="13"/>
      <c r="AR34" s="13"/>
      <c r="AS34" s="13"/>
      <c r="AT34" s="13"/>
      <c r="AU34" s="13"/>
      <c r="AV34" s="37"/>
      <c r="AW34" s="32"/>
      <c r="AX34" s="32"/>
      <c r="AY34" s="42"/>
      <c r="AZ34" s="43"/>
      <c r="BA34" s="32"/>
      <c r="BB34" s="32">
        <f t="shared" si="4"/>
        <v>0</v>
      </c>
      <c r="BC34" t="s">
        <v>28</v>
      </c>
      <c r="BD34" t="s">
        <v>0</v>
      </c>
      <c r="BH34" s="19">
        <f t="shared" si="13"/>
        <v>0</v>
      </c>
    </row>
    <row r="35" spans="1:60">
      <c r="A35" s="34" t="s">
        <v>412</v>
      </c>
      <c r="B35" s="13">
        <f t="shared" si="5"/>
        <v>0</v>
      </c>
      <c r="C35" s="13">
        <f t="shared" si="6"/>
        <v>0</v>
      </c>
      <c r="D35" s="13">
        <f t="shared" si="7"/>
        <v>0</v>
      </c>
      <c r="E35" s="13">
        <f t="shared" si="8"/>
        <v>0</v>
      </c>
      <c r="F35" s="13">
        <f t="shared" si="9"/>
        <v>0</v>
      </c>
      <c r="G35" s="13">
        <f t="shared" si="10"/>
        <v>0</v>
      </c>
      <c r="H35" s="13">
        <f t="shared" si="11"/>
        <v>0</v>
      </c>
      <c r="I35" s="13">
        <f t="shared" si="14"/>
        <v>0</v>
      </c>
      <c r="J35" s="13">
        <f t="shared" si="14"/>
        <v>0</v>
      </c>
      <c r="K35" s="13">
        <f t="shared" si="14"/>
        <v>0</v>
      </c>
      <c r="L35" s="13">
        <f t="shared" si="14"/>
        <v>0</v>
      </c>
      <c r="M35" s="13">
        <f t="shared" si="12"/>
        <v>0</v>
      </c>
      <c r="N35" s="27">
        <f t="shared" si="3"/>
        <v>0</v>
      </c>
      <c r="O35" s="32"/>
      <c r="P35" s="36"/>
      <c r="Q35" s="37"/>
      <c r="R35" s="62"/>
      <c r="S35" s="36"/>
      <c r="T35" s="13"/>
      <c r="U35" s="13"/>
      <c r="V35" s="13"/>
      <c r="W35" s="27"/>
      <c r="X35" s="36"/>
      <c r="Y35" s="13"/>
      <c r="Z35" s="13"/>
      <c r="AA35" s="13"/>
      <c r="AB35" s="13"/>
      <c r="AC35" s="37"/>
      <c r="AD35" s="30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37"/>
      <c r="AP35" s="36"/>
      <c r="AQ35" s="13"/>
      <c r="AR35" s="13"/>
      <c r="AS35" s="13"/>
      <c r="AT35" s="13"/>
      <c r="AU35" s="13"/>
      <c r="AV35" s="37"/>
      <c r="AW35" s="32"/>
      <c r="AX35" s="32"/>
      <c r="AY35" s="43"/>
      <c r="AZ35" s="43"/>
      <c r="BA35" s="32"/>
      <c r="BB35" s="32">
        <f t="shared" si="4"/>
        <v>0</v>
      </c>
      <c r="BC35" t="s">
        <v>97</v>
      </c>
      <c r="BD35" t="s">
        <v>26</v>
      </c>
      <c r="BE35" t="s">
        <v>27</v>
      </c>
      <c r="BF35" t="s">
        <v>0</v>
      </c>
      <c r="BH35" s="19">
        <f t="shared" si="13"/>
        <v>0</v>
      </c>
    </row>
    <row r="36" spans="1:60" ht="15" thickBot="1">
      <c r="A36" s="34" t="s">
        <v>413</v>
      </c>
      <c r="B36" s="13">
        <f t="shared" si="5"/>
        <v>0</v>
      </c>
      <c r="C36" s="13">
        <f t="shared" si="6"/>
        <v>0</v>
      </c>
      <c r="D36" s="13">
        <f t="shared" si="7"/>
        <v>0</v>
      </c>
      <c r="E36" s="13">
        <f t="shared" si="8"/>
        <v>0</v>
      </c>
      <c r="F36" s="13">
        <f>SUM(X36:AC36)</f>
        <v>0</v>
      </c>
      <c r="G36" s="13">
        <f t="shared" si="10"/>
        <v>0</v>
      </c>
      <c r="H36" s="13">
        <f t="shared" si="11"/>
        <v>0</v>
      </c>
      <c r="I36" s="13">
        <f t="shared" si="14"/>
        <v>0</v>
      </c>
      <c r="J36" s="13">
        <f t="shared" si="14"/>
        <v>0</v>
      </c>
      <c r="K36" s="13">
        <f t="shared" si="14"/>
        <v>0</v>
      </c>
      <c r="L36" s="13">
        <f t="shared" si="14"/>
        <v>0</v>
      </c>
      <c r="M36" s="13">
        <f t="shared" si="12"/>
        <v>0</v>
      </c>
      <c r="N36" s="27">
        <f t="shared" si="3"/>
        <v>0</v>
      </c>
      <c r="O36" s="32"/>
      <c r="P36" s="36"/>
      <c r="Q36" s="37"/>
      <c r="R36" s="62"/>
      <c r="S36" s="36"/>
      <c r="T36" s="13"/>
      <c r="U36" s="13"/>
      <c r="V36" s="13"/>
      <c r="W36" s="27"/>
      <c r="X36" s="36"/>
      <c r="Y36" s="13"/>
      <c r="Z36" s="13"/>
      <c r="AA36" s="13"/>
      <c r="AB36" s="13"/>
      <c r="AC36" s="51"/>
      <c r="AD36" s="30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37"/>
      <c r="AP36" s="36"/>
      <c r="AQ36" s="13"/>
      <c r="AR36" s="13"/>
      <c r="AS36" s="13"/>
      <c r="AT36" s="13"/>
      <c r="AU36" s="13"/>
      <c r="AV36" s="37"/>
      <c r="AW36" s="32"/>
      <c r="AX36" s="32"/>
      <c r="AY36" s="43"/>
      <c r="AZ36" s="43"/>
      <c r="BA36" s="32"/>
      <c r="BB36" s="32">
        <f t="shared" si="4"/>
        <v>0</v>
      </c>
      <c r="BC36" t="s">
        <v>133</v>
      </c>
      <c r="BD36" t="s">
        <v>170</v>
      </c>
      <c r="BE36" t="s">
        <v>234</v>
      </c>
      <c r="BH36" s="19">
        <f t="shared" si="13"/>
        <v>0</v>
      </c>
    </row>
    <row r="37" spans="1:60" ht="15" thickBot="1">
      <c r="A37" s="34"/>
      <c r="B37" s="13">
        <f t="shared" si="5"/>
        <v>0</v>
      </c>
      <c r="C37" s="13">
        <f t="shared" si="6"/>
        <v>0</v>
      </c>
      <c r="D37" s="13">
        <f t="shared" si="7"/>
        <v>0</v>
      </c>
      <c r="E37" s="13">
        <f t="shared" si="8"/>
        <v>0</v>
      </c>
      <c r="F37" s="13">
        <f t="shared" si="9"/>
        <v>0</v>
      </c>
      <c r="G37" s="13">
        <f t="shared" si="10"/>
        <v>0</v>
      </c>
      <c r="H37" s="13">
        <f t="shared" si="11"/>
        <v>0</v>
      </c>
      <c r="I37" s="13">
        <f t="shared" si="14"/>
        <v>0</v>
      </c>
      <c r="J37" s="13">
        <f t="shared" si="14"/>
        <v>0</v>
      </c>
      <c r="K37" s="13">
        <f t="shared" si="14"/>
        <v>0</v>
      </c>
      <c r="L37" s="13">
        <f t="shared" si="14"/>
        <v>0</v>
      </c>
      <c r="M37" s="13">
        <f t="shared" si="12"/>
        <v>0</v>
      </c>
      <c r="N37" s="27">
        <f t="shared" si="3"/>
        <v>0</v>
      </c>
      <c r="O37" s="41"/>
      <c r="P37" s="49"/>
      <c r="Q37" s="51"/>
      <c r="R37" s="62"/>
      <c r="S37" s="49"/>
      <c r="T37" s="50"/>
      <c r="U37" s="50"/>
      <c r="V37" s="50"/>
      <c r="W37" s="53"/>
      <c r="X37" s="49"/>
      <c r="Y37" s="50"/>
      <c r="Z37" s="50"/>
      <c r="AA37" s="50"/>
      <c r="AB37" s="50"/>
      <c r="AD37" s="30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37"/>
      <c r="AP37" s="36"/>
      <c r="AQ37" s="13"/>
      <c r="AR37" s="13"/>
      <c r="AS37" s="13"/>
      <c r="AT37" s="13"/>
      <c r="AU37" s="13"/>
      <c r="AV37" s="37"/>
      <c r="AW37" s="32"/>
      <c r="AX37" s="32"/>
      <c r="AY37" s="43"/>
      <c r="AZ37" s="43"/>
      <c r="BA37" s="32"/>
      <c r="BB37" s="32">
        <f t="shared" si="4"/>
        <v>0</v>
      </c>
      <c r="BH37" s="19">
        <f t="shared" si="13"/>
        <v>0</v>
      </c>
    </row>
    <row r="38" spans="1:60" ht="15" thickBot="1">
      <c r="A38" s="58" t="s">
        <v>119</v>
      </c>
      <c r="B38" s="40">
        <f>SUM(B7:B37)</f>
        <v>1478.95</v>
      </c>
      <c r="C38" s="40">
        <f t="shared" ref="C38:N38" si="15">SUM(C7:C37)</f>
        <v>164.58</v>
      </c>
      <c r="D38" s="40">
        <f t="shared" si="15"/>
        <v>11.2</v>
      </c>
      <c r="E38" s="40">
        <f t="shared" si="15"/>
        <v>0</v>
      </c>
      <c r="F38" s="40">
        <f t="shared" si="15"/>
        <v>41.91</v>
      </c>
      <c r="G38" s="40">
        <f t="shared" si="15"/>
        <v>31.75</v>
      </c>
      <c r="H38" s="40">
        <f t="shared" si="15"/>
        <v>276.07999999999993</v>
      </c>
      <c r="I38" s="40">
        <f t="shared" si="15"/>
        <v>0</v>
      </c>
      <c r="J38" s="40">
        <f t="shared" si="15"/>
        <v>0</v>
      </c>
      <c r="K38" s="40">
        <f t="shared" si="15"/>
        <v>1392.15</v>
      </c>
      <c r="L38" s="40">
        <f>SUM(L8:L37)</f>
        <v>0</v>
      </c>
      <c r="M38" s="40"/>
      <c r="N38" s="39">
        <f t="shared" si="15"/>
        <v>3486.6200000000003</v>
      </c>
      <c r="O38" s="61">
        <f>SUM(O7:O37)</f>
        <v>1478.95</v>
      </c>
      <c r="P38" s="47">
        <f t="shared" ref="P38:BA38" si="16">SUM(P7:P37)</f>
        <v>0</v>
      </c>
      <c r="Q38" s="54">
        <f t="shared" si="16"/>
        <v>164.58</v>
      </c>
      <c r="R38" s="33">
        <f t="shared" si="16"/>
        <v>11.2</v>
      </c>
      <c r="S38" s="47">
        <f t="shared" si="16"/>
        <v>0</v>
      </c>
      <c r="T38" s="48">
        <f t="shared" si="16"/>
        <v>0</v>
      </c>
      <c r="U38" s="48">
        <f t="shared" si="16"/>
        <v>0</v>
      </c>
      <c r="V38" s="48">
        <f t="shared" si="16"/>
        <v>0</v>
      </c>
      <c r="W38" s="48">
        <f t="shared" si="16"/>
        <v>0</v>
      </c>
      <c r="X38" s="48">
        <f t="shared" si="16"/>
        <v>41.91</v>
      </c>
      <c r="Y38" s="48">
        <f t="shared" si="16"/>
        <v>0</v>
      </c>
      <c r="Z38" s="48">
        <f t="shared" si="16"/>
        <v>0</v>
      </c>
      <c r="AA38" s="48">
        <f t="shared" si="16"/>
        <v>0</v>
      </c>
      <c r="AB38" s="48">
        <f t="shared" si="16"/>
        <v>0</v>
      </c>
      <c r="AC38" s="54">
        <f>SUM(AC7:AC36)</f>
        <v>0</v>
      </c>
      <c r="AD38" s="38">
        <f t="shared" si="16"/>
        <v>1.59</v>
      </c>
      <c r="AE38" s="40">
        <f t="shared" si="16"/>
        <v>23.810000000000002</v>
      </c>
      <c r="AF38" s="40">
        <f t="shared" si="16"/>
        <v>0</v>
      </c>
      <c r="AG38" s="40">
        <f t="shared" si="16"/>
        <v>0</v>
      </c>
      <c r="AH38" s="40">
        <f t="shared" si="16"/>
        <v>6.35</v>
      </c>
      <c r="AI38" s="40">
        <f t="shared" si="16"/>
        <v>0</v>
      </c>
      <c r="AJ38" s="40">
        <f t="shared" si="16"/>
        <v>0</v>
      </c>
      <c r="AK38" s="40">
        <f t="shared" si="16"/>
        <v>0</v>
      </c>
      <c r="AL38" s="40">
        <f t="shared" si="16"/>
        <v>0</v>
      </c>
      <c r="AM38" s="40">
        <f t="shared" si="16"/>
        <v>0</v>
      </c>
      <c r="AN38" s="40">
        <f t="shared" si="16"/>
        <v>0</v>
      </c>
      <c r="AO38" s="39">
        <f t="shared" si="16"/>
        <v>0</v>
      </c>
      <c r="AP38" s="38">
        <f t="shared" si="16"/>
        <v>0</v>
      </c>
      <c r="AQ38" s="40">
        <f t="shared" si="16"/>
        <v>0</v>
      </c>
      <c r="AR38" s="40">
        <f t="shared" si="16"/>
        <v>0</v>
      </c>
      <c r="AS38" s="40">
        <f t="shared" si="16"/>
        <v>0</v>
      </c>
      <c r="AT38" s="40">
        <f t="shared" si="16"/>
        <v>0</v>
      </c>
      <c r="AU38" s="40">
        <f t="shared" si="16"/>
        <v>276.07999999999993</v>
      </c>
      <c r="AV38" s="39">
        <f t="shared" si="16"/>
        <v>0</v>
      </c>
      <c r="AW38" s="33">
        <f t="shared" si="16"/>
        <v>0</v>
      </c>
      <c r="AX38" s="33">
        <f t="shared" si="16"/>
        <v>0</v>
      </c>
      <c r="AY38" s="44">
        <f t="shared" si="16"/>
        <v>1392.15</v>
      </c>
      <c r="AZ38" s="44">
        <f t="shared" si="16"/>
        <v>0</v>
      </c>
      <c r="BA38" s="33">
        <f t="shared" si="16"/>
        <v>90</v>
      </c>
      <c r="BB38" s="45">
        <f>SUM(BB6:BB37)</f>
        <v>3658.61</v>
      </c>
      <c r="BC38" s="19">
        <f>SUM(O38:BA38)</f>
        <v>3486.62</v>
      </c>
    </row>
    <row r="39" spans="1:60">
      <c r="A39" s="16" t="s">
        <v>122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56">
        <f>K4-N38</f>
        <v>1338.6199999999994</v>
      </c>
      <c r="O39" s="19">
        <f>SUM(N7:N37)</f>
        <v>3486.6200000000003</v>
      </c>
      <c r="BC39" s="28">
        <f>BC38-BB38</f>
        <v>-171.99000000000024</v>
      </c>
    </row>
    <row r="40" spans="1:6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8">
        <f>N38-O39</f>
        <v>0</v>
      </c>
      <c r="BC40" t="s">
        <v>380</v>
      </c>
    </row>
    <row r="41" spans="1:60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t="s">
        <v>120</v>
      </c>
    </row>
    <row r="42" spans="1:60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60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60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60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60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60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</sheetData>
  <mergeCells count="5">
    <mergeCell ref="P5:Q5"/>
    <mergeCell ref="S5:W5"/>
    <mergeCell ref="X5:AC5"/>
    <mergeCell ref="AD5:AO5"/>
    <mergeCell ref="AP5:AV5"/>
  </mergeCells>
  <phoneticPr fontId="1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6B7B-6AE1-4A5D-9F29-E189DA4B724B}">
  <dimension ref="A1:BH47"/>
  <sheetViews>
    <sheetView zoomScale="70" zoomScaleNormal="70" workbookViewId="0">
      <selection activeCell="AY37" sqref="AY37"/>
    </sheetView>
  </sheetViews>
  <sheetFormatPr defaultRowHeight="14.4"/>
  <cols>
    <col min="1" max="1" width="10.44140625" bestFit="1" customWidth="1"/>
    <col min="2" max="2" width="12.44140625" bestFit="1" customWidth="1"/>
    <col min="3" max="3" width="17.6640625" bestFit="1" customWidth="1"/>
    <col min="4" max="4" width="17.109375" bestFit="1" customWidth="1"/>
    <col min="5" max="6" width="12.33203125" bestFit="1" customWidth="1"/>
    <col min="7" max="7" width="12.77734375" bestFit="1" customWidth="1"/>
    <col min="8" max="8" width="22.6640625" bestFit="1" customWidth="1"/>
    <col min="9" max="10" width="12.44140625" bestFit="1" customWidth="1"/>
    <col min="11" max="11" width="23.44140625" bestFit="1" customWidth="1"/>
    <col min="12" max="14" width="16" customWidth="1"/>
    <col min="15" max="15" width="17.77734375" bestFit="1" customWidth="1"/>
    <col min="16" max="16" width="27.77734375" bestFit="1" customWidth="1"/>
    <col min="17" max="18" width="27.77734375" customWidth="1"/>
    <col min="19" max="19" width="9.77734375" customWidth="1"/>
    <col min="20" max="20" width="11.77734375" bestFit="1" customWidth="1"/>
    <col min="21" max="21" width="12.21875" bestFit="1" customWidth="1"/>
    <col min="22" max="22" width="8.109375" customWidth="1"/>
    <col min="23" max="23" width="12.5546875" customWidth="1"/>
    <col min="24" max="24" width="14.44140625" bestFit="1" customWidth="1"/>
    <col min="25" max="25" width="8" bestFit="1" customWidth="1"/>
    <col min="26" max="26" width="8.6640625" bestFit="1" customWidth="1"/>
    <col min="27" max="27" width="9.44140625" bestFit="1" customWidth="1"/>
    <col min="28" max="28" width="15.77734375" bestFit="1" customWidth="1"/>
    <col min="29" max="29" width="15.77734375" customWidth="1"/>
    <col min="30" max="30" width="21.77734375" bestFit="1" customWidth="1"/>
    <col min="31" max="31" width="11.77734375" bestFit="1" customWidth="1"/>
    <col min="32" max="32" width="10.44140625" customWidth="1"/>
    <col min="33" max="33" width="12.6640625" bestFit="1" customWidth="1"/>
    <col min="34" max="36" width="12.6640625" customWidth="1"/>
    <col min="37" max="37" width="20.109375" bestFit="1" customWidth="1"/>
    <col min="38" max="39" width="12.6640625" customWidth="1"/>
    <col min="40" max="40" width="19" bestFit="1" customWidth="1"/>
    <col min="41" max="41" width="12.6640625" customWidth="1"/>
    <col min="42" max="42" width="22.6640625" bestFit="1" customWidth="1"/>
    <col min="43" max="45" width="22.6640625" customWidth="1"/>
    <col min="46" max="46" width="35.5546875" bestFit="1" customWidth="1"/>
    <col min="47" max="48" width="22.6640625" customWidth="1"/>
    <col min="49" max="49" width="11.5546875" bestFit="1" customWidth="1"/>
    <col min="50" max="50" width="14.33203125" bestFit="1" customWidth="1"/>
    <col min="51" max="51" width="27" bestFit="1" customWidth="1"/>
    <col min="52" max="52" width="10.77734375" bestFit="1" customWidth="1"/>
    <col min="53" max="53" width="9" bestFit="1" customWidth="1"/>
    <col min="54" max="54" width="10.77734375" bestFit="1" customWidth="1"/>
    <col min="55" max="55" width="18.21875" bestFit="1" customWidth="1"/>
    <col min="56" max="56" width="35.5546875" bestFit="1" customWidth="1"/>
    <col min="60" max="60" width="10.21875" bestFit="1" customWidth="1"/>
  </cols>
  <sheetData>
    <row r="1" spans="1:60">
      <c r="A1" s="14" t="s">
        <v>56</v>
      </c>
      <c r="B1" s="14" t="s">
        <v>59</v>
      </c>
      <c r="C1" s="14" t="s">
        <v>5</v>
      </c>
      <c r="D1" s="14" t="s">
        <v>6</v>
      </c>
      <c r="E1" s="14" t="s">
        <v>7</v>
      </c>
      <c r="F1" s="14" t="s">
        <v>10</v>
      </c>
      <c r="G1" s="14" t="s">
        <v>8</v>
      </c>
      <c r="H1" s="14" t="s">
        <v>9</v>
      </c>
      <c r="I1" s="14" t="s">
        <v>11</v>
      </c>
      <c r="J1" s="14" t="s">
        <v>12</v>
      </c>
      <c r="K1" s="14" t="s">
        <v>60</v>
      </c>
      <c r="L1" s="17"/>
      <c r="M1" s="17"/>
      <c r="N1" s="17"/>
      <c r="O1" s="17" t="s">
        <v>69</v>
      </c>
    </row>
    <row r="2" spans="1:60">
      <c r="A2" s="11" t="s">
        <v>58</v>
      </c>
      <c r="B2" s="12">
        <v>3043.08</v>
      </c>
      <c r="C2" s="13">
        <f>Scatch!B3</f>
        <v>23.08</v>
      </c>
      <c r="D2" s="13">
        <f>Scatch!B4</f>
        <v>-2.41</v>
      </c>
      <c r="E2" s="13">
        <f>Scatch!B5</f>
        <v>-8.01</v>
      </c>
      <c r="F2" s="13">
        <f>Scatch!B6</f>
        <v>-182.58</v>
      </c>
      <c r="G2" s="13">
        <f>Scatch!B7</f>
        <v>-5.38</v>
      </c>
      <c r="H2" s="13">
        <f>Scatch!B8</f>
        <v>-12.26</v>
      </c>
      <c r="I2" s="13">
        <f>Scatch!B9</f>
        <v>-115.14</v>
      </c>
      <c r="J2" s="13">
        <f>Scatch!B10</f>
        <v>-327.76</v>
      </c>
      <c r="K2" s="13">
        <f>B2+C2+D2+E2+F2+G2+H2+I2+J2</f>
        <v>2412.62</v>
      </c>
      <c r="L2" s="18"/>
      <c r="M2" s="18"/>
      <c r="N2" s="18"/>
    </row>
    <row r="3" spans="1:60">
      <c r="A3" s="11" t="s">
        <v>62</v>
      </c>
      <c r="B3" s="12">
        <v>3043.08</v>
      </c>
      <c r="C3" s="13">
        <f>Scatch!C3</f>
        <v>23.08</v>
      </c>
      <c r="D3" s="13">
        <f>Scatch!C4</f>
        <v>-2.41</v>
      </c>
      <c r="E3" s="13">
        <f>Scatch!C5</f>
        <v>-8.01</v>
      </c>
      <c r="F3" s="13">
        <f>Scatch!C6</f>
        <v>-182.58</v>
      </c>
      <c r="G3" s="13">
        <f>Scatch!C7</f>
        <v>-5.38</v>
      </c>
      <c r="H3" s="13">
        <f>Scatch!C8</f>
        <v>-12.26</v>
      </c>
      <c r="I3" s="13">
        <f>Scatch!C9</f>
        <v>-115.14</v>
      </c>
      <c r="J3" s="13">
        <f>Scatch!C10</f>
        <v>-327.76</v>
      </c>
      <c r="K3" s="13">
        <f t="shared" ref="K3:K4" si="0">B3+C3+D3+E3+F3+G3+H3+I3+J3</f>
        <v>2412.62</v>
      </c>
      <c r="L3" s="18"/>
      <c r="M3" s="18"/>
      <c r="N3" s="18"/>
    </row>
    <row r="4" spans="1:60" ht="15" thickBot="1">
      <c r="A4" s="11"/>
      <c r="B4" s="15">
        <f>SUM(B2:B3)</f>
        <v>6086.16</v>
      </c>
      <c r="C4" s="15">
        <f t="shared" ref="C4:J4" si="1">SUM(C2:C3)</f>
        <v>46.16</v>
      </c>
      <c r="D4" s="15">
        <f t="shared" si="1"/>
        <v>-4.82</v>
      </c>
      <c r="E4" s="15">
        <f t="shared" si="1"/>
        <v>-16.02</v>
      </c>
      <c r="F4" s="15">
        <f t="shared" si="1"/>
        <v>-365.16</v>
      </c>
      <c r="G4" s="15">
        <f t="shared" si="1"/>
        <v>-10.76</v>
      </c>
      <c r="H4" s="15">
        <f t="shared" si="1"/>
        <v>-24.52</v>
      </c>
      <c r="I4" s="15">
        <f t="shared" si="1"/>
        <v>-230.28</v>
      </c>
      <c r="J4" s="15">
        <f t="shared" si="1"/>
        <v>-655.52</v>
      </c>
      <c r="K4" s="13">
        <f t="shared" si="0"/>
        <v>4825.24</v>
      </c>
      <c r="L4" s="18"/>
      <c r="M4" s="18"/>
      <c r="N4" s="18"/>
    </row>
    <row r="5" spans="1:60" ht="13.8" customHeight="1" thickBot="1">
      <c r="A5" s="46"/>
      <c r="B5" s="46" t="s">
        <v>63</v>
      </c>
      <c r="C5" s="46"/>
      <c r="D5" s="46"/>
      <c r="E5" s="46"/>
      <c r="F5" s="46"/>
      <c r="G5" s="46"/>
      <c r="H5" s="46"/>
      <c r="I5" s="46"/>
      <c r="J5" s="46"/>
      <c r="K5" s="46"/>
      <c r="O5" s="64" t="s">
        <v>65</v>
      </c>
      <c r="P5" s="78" t="s">
        <v>66</v>
      </c>
      <c r="Q5" s="79"/>
      <c r="R5" s="68" t="s">
        <v>378</v>
      </c>
      <c r="S5" s="72" t="s">
        <v>382</v>
      </c>
      <c r="T5" s="73"/>
      <c r="U5" s="73"/>
      <c r="V5" s="73"/>
      <c r="W5" s="74"/>
      <c r="X5" s="75" t="s">
        <v>64</v>
      </c>
      <c r="Y5" s="76"/>
      <c r="Z5" s="76"/>
      <c r="AA5" s="76"/>
      <c r="AB5" s="76"/>
      <c r="AC5" s="77"/>
      <c r="AD5" s="80" t="s">
        <v>74</v>
      </c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2"/>
      <c r="AP5" s="72" t="s">
        <v>79</v>
      </c>
      <c r="AQ5" s="73"/>
      <c r="AR5" s="73"/>
      <c r="AS5" s="73"/>
      <c r="AT5" s="73"/>
      <c r="AU5" s="73"/>
      <c r="AV5" s="74"/>
      <c r="AW5" s="64" t="s">
        <v>68</v>
      </c>
      <c r="AX5" s="64" t="s">
        <v>70</v>
      </c>
      <c r="AY5" s="64" t="s">
        <v>94</v>
      </c>
      <c r="AZ5" s="64" t="s">
        <v>118</v>
      </c>
      <c r="BA5" s="64" t="s">
        <v>121</v>
      </c>
      <c r="BB5" s="64" t="s">
        <v>381</v>
      </c>
    </row>
    <row r="6" spans="1:60">
      <c r="A6" s="55" t="s">
        <v>383</v>
      </c>
      <c r="B6" s="57" t="s">
        <v>65</v>
      </c>
      <c r="C6" s="57" t="s">
        <v>66</v>
      </c>
      <c r="D6" s="57" t="s">
        <v>67</v>
      </c>
      <c r="E6" s="57" t="s">
        <v>72</v>
      </c>
      <c r="F6" s="57" t="s">
        <v>64</v>
      </c>
      <c r="G6" s="57" t="s">
        <v>74</v>
      </c>
      <c r="H6" s="57" t="s">
        <v>79</v>
      </c>
      <c r="I6" s="57" t="s">
        <v>68</v>
      </c>
      <c r="J6" s="57" t="s">
        <v>70</v>
      </c>
      <c r="K6" s="57" t="s">
        <v>94</v>
      </c>
      <c r="L6" s="57" t="s">
        <v>118</v>
      </c>
      <c r="M6" s="57" t="s">
        <v>121</v>
      </c>
      <c r="N6" s="59" t="s">
        <v>119</v>
      </c>
      <c r="O6" s="63"/>
      <c r="P6" s="65" t="s">
        <v>14</v>
      </c>
      <c r="Q6" s="66" t="s">
        <v>292</v>
      </c>
      <c r="R6" s="67"/>
      <c r="S6" s="65" t="s">
        <v>165</v>
      </c>
      <c r="T6" s="16" t="s">
        <v>171</v>
      </c>
      <c r="U6" s="16" t="s">
        <v>377</v>
      </c>
      <c r="V6" s="16" t="s">
        <v>376</v>
      </c>
      <c r="W6" s="69" t="s">
        <v>184</v>
      </c>
      <c r="X6" s="65" t="s">
        <v>115</v>
      </c>
      <c r="Y6" s="16" t="s">
        <v>97</v>
      </c>
      <c r="Z6" s="16" t="s">
        <v>73</v>
      </c>
      <c r="AA6" s="16" t="s">
        <v>19</v>
      </c>
      <c r="AB6" s="16" t="s">
        <v>32</v>
      </c>
      <c r="AC6" s="66" t="s">
        <v>42</v>
      </c>
      <c r="AD6" s="70" t="s">
        <v>374</v>
      </c>
      <c r="AE6" s="16" t="s">
        <v>30</v>
      </c>
      <c r="AF6" s="16" t="s">
        <v>0</v>
      </c>
      <c r="AG6" s="16" t="s">
        <v>33</v>
      </c>
      <c r="AH6" s="16" t="s">
        <v>28</v>
      </c>
      <c r="AI6" s="16" t="s">
        <v>177</v>
      </c>
      <c r="AJ6" s="16" t="s">
        <v>26</v>
      </c>
      <c r="AK6" s="16" t="s">
        <v>195</v>
      </c>
      <c r="AL6" s="16" t="s">
        <v>197</v>
      </c>
      <c r="AM6" s="16" t="s">
        <v>21</v>
      </c>
      <c r="AN6" s="16" t="s">
        <v>37</v>
      </c>
      <c r="AO6" s="66" t="s">
        <v>178</v>
      </c>
      <c r="AP6" s="65" t="s">
        <v>181</v>
      </c>
      <c r="AQ6" s="16" t="s">
        <v>186</v>
      </c>
      <c r="AR6" s="16" t="s">
        <v>189</v>
      </c>
      <c r="AS6" s="16" t="s">
        <v>174</v>
      </c>
      <c r="AT6" s="16" t="s">
        <v>129</v>
      </c>
      <c r="AU6" s="16" t="s">
        <v>127</v>
      </c>
      <c r="AV6" s="66" t="s">
        <v>17</v>
      </c>
      <c r="AW6" s="63" t="s">
        <v>375</v>
      </c>
      <c r="AX6" s="63"/>
      <c r="AY6" s="71"/>
      <c r="AZ6" s="71"/>
      <c r="BA6" s="63"/>
      <c r="BB6" s="63">
        <f>SUM(O7:BA7)</f>
        <v>0</v>
      </c>
    </row>
    <row r="7" spans="1:60">
      <c r="A7" s="34" t="s">
        <v>112</v>
      </c>
      <c r="B7" s="13">
        <f>O7</f>
        <v>0</v>
      </c>
      <c r="C7" s="13">
        <f>SUM(P7:Q7)</f>
        <v>0</v>
      </c>
      <c r="D7" s="13">
        <f>R7</f>
        <v>0</v>
      </c>
      <c r="E7" s="13">
        <f>SUM(S7:W7)</f>
        <v>0</v>
      </c>
      <c r="F7" s="13">
        <f>SUM(S7:AC7)</f>
        <v>0</v>
      </c>
      <c r="G7" s="13">
        <f>SUM(AD7:AO7)</f>
        <v>0</v>
      </c>
      <c r="H7" s="13">
        <f>SUM(AP7:AV7)</f>
        <v>0</v>
      </c>
      <c r="I7" s="13">
        <f t="shared" ref="I7:L8" si="2">AW7</f>
        <v>0</v>
      </c>
      <c r="J7" s="13">
        <f t="shared" si="2"/>
        <v>0</v>
      </c>
      <c r="K7" s="13">
        <f t="shared" si="2"/>
        <v>0</v>
      </c>
      <c r="L7" s="13">
        <f t="shared" si="2"/>
        <v>0</v>
      </c>
      <c r="M7" s="13">
        <f>BA6</f>
        <v>0</v>
      </c>
      <c r="N7" s="27">
        <f>SUM(B7:M7)</f>
        <v>0</v>
      </c>
      <c r="O7" s="31"/>
      <c r="P7" s="34"/>
      <c r="Q7" s="35"/>
      <c r="R7" s="60"/>
      <c r="S7" s="34"/>
      <c r="T7" s="11"/>
      <c r="U7" s="11"/>
      <c r="V7" s="11"/>
      <c r="W7" s="52"/>
      <c r="X7" s="34"/>
      <c r="Y7" s="11"/>
      <c r="Z7" s="11"/>
      <c r="AA7" s="11"/>
      <c r="AB7" s="11"/>
      <c r="AC7" s="35"/>
      <c r="AD7" s="29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35"/>
      <c r="AP7" s="34"/>
      <c r="AQ7" s="11"/>
      <c r="AR7" s="11"/>
      <c r="AS7" s="11"/>
      <c r="AT7" s="11"/>
      <c r="AU7" s="11"/>
      <c r="AV7" s="35"/>
      <c r="AW7" s="31"/>
      <c r="AX7" s="31"/>
      <c r="AY7" s="42"/>
      <c r="AZ7" s="42"/>
      <c r="BA7" s="31"/>
      <c r="BB7" s="31">
        <f>SUM(O7:BA7)</f>
        <v>0</v>
      </c>
    </row>
    <row r="8" spans="1:60">
      <c r="A8" s="34" t="s">
        <v>71</v>
      </c>
      <c r="B8" s="13">
        <f>O8</f>
        <v>0</v>
      </c>
      <c r="C8" s="13">
        <f>SUM(P8:Q8)</f>
        <v>0</v>
      </c>
      <c r="D8" s="13">
        <f>R8</f>
        <v>0</v>
      </c>
      <c r="E8" s="13">
        <f>SUM(S8:W8)</f>
        <v>0</v>
      </c>
      <c r="F8" s="13">
        <f>SUM(X8:AC8)</f>
        <v>96.23</v>
      </c>
      <c r="G8" s="13">
        <f>SUM(AD8:AO8)</f>
        <v>0</v>
      </c>
      <c r="H8" s="13">
        <f>SUM(AP8:AV8)</f>
        <v>5</v>
      </c>
      <c r="I8" s="13">
        <f t="shared" si="2"/>
        <v>0</v>
      </c>
      <c r="J8" s="13">
        <f t="shared" si="2"/>
        <v>0</v>
      </c>
      <c r="K8" s="13">
        <f t="shared" si="2"/>
        <v>0</v>
      </c>
      <c r="L8" s="13">
        <f t="shared" si="2"/>
        <v>0</v>
      </c>
      <c r="M8" s="13">
        <f>BA7</f>
        <v>0</v>
      </c>
      <c r="N8" s="27">
        <f t="shared" ref="N8:N37" si="3">SUM(B8:M8)</f>
        <v>101.23</v>
      </c>
      <c r="O8" s="32"/>
      <c r="P8" s="36"/>
      <c r="Q8" s="37"/>
      <c r="R8" s="62"/>
      <c r="S8" s="36"/>
      <c r="T8" s="13"/>
      <c r="U8" s="13"/>
      <c r="V8" s="13"/>
      <c r="W8" s="27"/>
      <c r="X8" s="36"/>
      <c r="Y8" s="13"/>
      <c r="Z8" s="13">
        <v>96.23</v>
      </c>
      <c r="AA8" s="13"/>
      <c r="AB8" s="13"/>
      <c r="AC8" s="37"/>
      <c r="AD8" s="30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37"/>
      <c r="AP8" s="36"/>
      <c r="AQ8" s="13"/>
      <c r="AR8" s="13"/>
      <c r="AS8" s="13"/>
      <c r="AT8" s="13">
        <v>5</v>
      </c>
      <c r="AU8" s="13"/>
      <c r="AV8" s="37"/>
      <c r="AW8" s="32"/>
      <c r="AX8" s="32"/>
      <c r="AY8" s="43"/>
      <c r="AZ8" s="43"/>
      <c r="BA8" s="32"/>
      <c r="BB8" s="32">
        <f t="shared" ref="BB8:BB37" si="4">SUM(O8:BA8)</f>
        <v>101.23</v>
      </c>
      <c r="BC8" t="s">
        <v>73</v>
      </c>
      <c r="BD8" t="s">
        <v>129</v>
      </c>
      <c r="BH8" s="19">
        <f>BB8-N8</f>
        <v>0</v>
      </c>
    </row>
    <row r="9" spans="1:60">
      <c r="A9" s="34" t="s">
        <v>75</v>
      </c>
      <c r="B9" s="13">
        <f t="shared" ref="B9:B37" si="5">O9</f>
        <v>0</v>
      </c>
      <c r="C9" s="13">
        <f t="shared" ref="C9:C37" si="6">SUM(P9:Q9)</f>
        <v>0</v>
      </c>
      <c r="D9" s="13">
        <f t="shared" ref="D9:D37" si="7">R9</f>
        <v>0</v>
      </c>
      <c r="E9" s="13">
        <f t="shared" ref="E9:E37" si="8">SUM(S9:W9)</f>
        <v>46.72</v>
      </c>
      <c r="F9" s="13">
        <f t="shared" ref="F9:F37" si="9">SUM(X9:AC9)</f>
        <v>87.6</v>
      </c>
      <c r="G9" s="13">
        <f t="shared" ref="G9:G37" si="10">SUM(AD9:AO9)</f>
        <v>1.59</v>
      </c>
      <c r="H9" s="13">
        <f t="shared" ref="H9:H37" si="11">SUM(AP9:AV9)</f>
        <v>0</v>
      </c>
      <c r="I9" s="13">
        <f t="shared" ref="I9:I37" si="12">AW9</f>
        <v>0</v>
      </c>
      <c r="J9" s="13">
        <f t="shared" ref="J9:J37" si="13">AX9</f>
        <v>0</v>
      </c>
      <c r="K9" s="13">
        <f t="shared" ref="K9:K37" si="14">AY9</f>
        <v>0</v>
      </c>
      <c r="L9" s="13">
        <f t="shared" ref="L9:L37" si="15">AZ9</f>
        <v>0</v>
      </c>
      <c r="M9" s="13">
        <f t="shared" ref="M9:M37" si="16">BA8</f>
        <v>0</v>
      </c>
      <c r="N9" s="27">
        <f t="shared" si="3"/>
        <v>135.91</v>
      </c>
      <c r="O9" s="32"/>
      <c r="P9" s="36"/>
      <c r="Q9" s="37"/>
      <c r="R9" s="62"/>
      <c r="S9" s="36"/>
      <c r="T9" s="13">
        <v>46.72</v>
      </c>
      <c r="U9" s="13"/>
      <c r="V9" s="13"/>
      <c r="W9" s="27"/>
      <c r="X9" s="36">
        <f>87.6</f>
        <v>87.6</v>
      </c>
      <c r="Y9" s="13"/>
      <c r="Z9" s="13"/>
      <c r="AA9" s="13"/>
      <c r="AB9" s="13"/>
      <c r="AC9" s="37"/>
      <c r="AD9" s="30">
        <f>1.59</f>
        <v>1.59</v>
      </c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37"/>
      <c r="AP9" s="36"/>
      <c r="AQ9" s="13"/>
      <c r="AR9" s="13"/>
      <c r="AS9" s="13"/>
      <c r="AT9" s="13"/>
      <c r="AU9" s="13"/>
      <c r="AV9" s="37"/>
      <c r="AW9" s="32"/>
      <c r="AX9" s="32"/>
      <c r="AY9" s="43"/>
      <c r="AZ9" s="43"/>
      <c r="BA9" s="32"/>
      <c r="BB9" s="32">
        <f t="shared" si="4"/>
        <v>135.91</v>
      </c>
      <c r="BC9" t="s">
        <v>109</v>
      </c>
      <c r="BD9" t="s">
        <v>116</v>
      </c>
      <c r="BE9" t="s">
        <v>1</v>
      </c>
      <c r="BH9" s="19">
        <f t="shared" ref="BH9:BH37" si="17">BB9-N9</f>
        <v>0</v>
      </c>
    </row>
    <row r="10" spans="1:60">
      <c r="A10" s="34" t="s">
        <v>78</v>
      </c>
      <c r="B10" s="13">
        <f t="shared" si="5"/>
        <v>0</v>
      </c>
      <c r="C10" s="13">
        <f t="shared" si="6"/>
        <v>0</v>
      </c>
      <c r="D10" s="13">
        <f t="shared" si="7"/>
        <v>0</v>
      </c>
      <c r="E10" s="13">
        <f t="shared" si="8"/>
        <v>0</v>
      </c>
      <c r="F10" s="13">
        <f t="shared" si="9"/>
        <v>0</v>
      </c>
      <c r="G10" s="13">
        <f t="shared" si="10"/>
        <v>7.37</v>
      </c>
      <c r="H10" s="13">
        <f t="shared" si="11"/>
        <v>0</v>
      </c>
      <c r="I10" s="13">
        <f t="shared" si="12"/>
        <v>0</v>
      </c>
      <c r="J10" s="13">
        <f t="shared" si="13"/>
        <v>0</v>
      </c>
      <c r="K10" s="13">
        <f t="shared" si="14"/>
        <v>25</v>
      </c>
      <c r="L10" s="13">
        <f t="shared" si="15"/>
        <v>0</v>
      </c>
      <c r="M10" s="13">
        <f t="shared" si="16"/>
        <v>0</v>
      </c>
      <c r="N10" s="27">
        <f>SUM(B10:M10)</f>
        <v>32.369999999999997</v>
      </c>
      <c r="O10" s="32"/>
      <c r="P10" s="36"/>
      <c r="Q10" s="37"/>
      <c r="R10" s="62"/>
      <c r="S10" s="36"/>
      <c r="T10" s="13"/>
      <c r="U10" s="13"/>
      <c r="V10" s="13"/>
      <c r="W10" s="27"/>
      <c r="X10" s="36"/>
      <c r="Y10" s="13"/>
      <c r="Z10" s="13"/>
      <c r="AA10" s="13"/>
      <c r="AB10" s="13"/>
      <c r="AC10" s="37"/>
      <c r="AD10" s="30"/>
      <c r="AE10" s="13">
        <v>7.37</v>
      </c>
      <c r="AF10" s="13"/>
      <c r="AG10" s="13"/>
      <c r="AH10" s="13"/>
      <c r="AI10" s="13"/>
      <c r="AJ10" s="13"/>
      <c r="AK10" s="13"/>
      <c r="AL10" s="13"/>
      <c r="AM10" s="13"/>
      <c r="AN10" s="13"/>
      <c r="AO10" s="37"/>
      <c r="AP10" s="36"/>
      <c r="AQ10" s="13"/>
      <c r="AR10" s="13"/>
      <c r="AS10" s="13"/>
      <c r="AT10" s="13"/>
      <c r="AU10" s="13"/>
      <c r="AV10" s="37"/>
      <c r="AW10" s="32"/>
      <c r="AX10" s="31"/>
      <c r="AY10" s="43">
        <v>25</v>
      </c>
      <c r="AZ10" s="43"/>
      <c r="BA10" s="32"/>
      <c r="BB10" s="32">
        <f t="shared" si="4"/>
        <v>32.369999999999997</v>
      </c>
      <c r="BD10" t="s">
        <v>30</v>
      </c>
      <c r="BE10" t="s">
        <v>39</v>
      </c>
      <c r="BH10" s="19">
        <f t="shared" si="17"/>
        <v>0</v>
      </c>
    </row>
    <row r="11" spans="1:60">
      <c r="A11" s="34" t="s">
        <v>99</v>
      </c>
      <c r="B11" s="13">
        <f t="shared" si="5"/>
        <v>1478.95</v>
      </c>
      <c r="C11" s="13">
        <f t="shared" si="6"/>
        <v>0</v>
      </c>
      <c r="D11" s="13">
        <f t="shared" si="7"/>
        <v>0</v>
      </c>
      <c r="E11" s="13">
        <f t="shared" si="8"/>
        <v>0</v>
      </c>
      <c r="F11" s="13">
        <f t="shared" si="9"/>
        <v>0</v>
      </c>
      <c r="G11" s="13">
        <f t="shared" si="10"/>
        <v>9.5299999999999994</v>
      </c>
      <c r="H11" s="13">
        <f t="shared" si="11"/>
        <v>0</v>
      </c>
      <c r="I11" s="13">
        <f t="shared" si="12"/>
        <v>0</v>
      </c>
      <c r="J11" s="13">
        <f t="shared" si="13"/>
        <v>20.440000000000001</v>
      </c>
      <c r="K11" s="13">
        <f t="shared" si="14"/>
        <v>0</v>
      </c>
      <c r="L11" s="13">
        <f t="shared" si="15"/>
        <v>0</v>
      </c>
      <c r="M11" s="13">
        <f t="shared" si="16"/>
        <v>0</v>
      </c>
      <c r="N11" s="27">
        <f t="shared" si="3"/>
        <v>1508.92</v>
      </c>
      <c r="O11" s="32">
        <v>1478.95</v>
      </c>
      <c r="P11" s="36"/>
      <c r="Q11" s="37"/>
      <c r="R11" s="62"/>
      <c r="S11" s="36"/>
      <c r="T11" s="13"/>
      <c r="U11" s="13"/>
      <c r="V11" s="13"/>
      <c r="W11" s="27"/>
      <c r="X11" s="36"/>
      <c r="Y11" s="13"/>
      <c r="Z11" s="13"/>
      <c r="AA11" s="13"/>
      <c r="AB11" s="13"/>
      <c r="AC11" s="37"/>
      <c r="AD11" s="30"/>
      <c r="AE11" s="13">
        <v>9.5299999999999994</v>
      </c>
      <c r="AF11" s="13"/>
      <c r="AG11" s="13"/>
      <c r="AH11" s="13"/>
      <c r="AI11" s="13"/>
      <c r="AJ11" s="13"/>
      <c r="AK11" s="13"/>
      <c r="AL11" s="13"/>
      <c r="AM11" s="13"/>
      <c r="AN11" s="13"/>
      <c r="AO11" s="37"/>
      <c r="AP11" s="36"/>
      <c r="AQ11" s="13"/>
      <c r="AR11" s="13"/>
      <c r="AS11" s="13"/>
      <c r="AT11" s="13"/>
      <c r="AU11" s="13"/>
      <c r="AV11" s="37"/>
      <c r="AW11" s="31"/>
      <c r="AX11" s="32">
        <v>20.440000000000001</v>
      </c>
      <c r="AY11" s="43"/>
      <c r="AZ11" s="43"/>
      <c r="BA11" s="32">
        <v>9.99</v>
      </c>
      <c r="BB11" s="32">
        <f>SUM(O11:BA11)</f>
        <v>1518.91</v>
      </c>
      <c r="BC11" t="s">
        <v>123</v>
      </c>
      <c r="BD11" t="s">
        <v>34</v>
      </c>
      <c r="BE11" t="s">
        <v>41</v>
      </c>
      <c r="BF11" t="s">
        <v>30</v>
      </c>
      <c r="BH11" s="19">
        <f t="shared" si="17"/>
        <v>9.9900000000000091</v>
      </c>
    </row>
    <row r="12" spans="1:60">
      <c r="A12" s="34" t="s">
        <v>100</v>
      </c>
      <c r="B12" s="13">
        <f t="shared" si="5"/>
        <v>0</v>
      </c>
      <c r="C12" s="13">
        <f t="shared" si="6"/>
        <v>0</v>
      </c>
      <c r="D12" s="13">
        <f t="shared" si="7"/>
        <v>0</v>
      </c>
      <c r="E12" s="13">
        <f t="shared" si="8"/>
        <v>0</v>
      </c>
      <c r="F12" s="13">
        <f t="shared" si="9"/>
        <v>10.18</v>
      </c>
      <c r="G12" s="13">
        <f t="shared" si="10"/>
        <v>25</v>
      </c>
      <c r="H12" s="13">
        <f t="shared" si="11"/>
        <v>0</v>
      </c>
      <c r="I12" s="13">
        <f t="shared" si="12"/>
        <v>250</v>
      </c>
      <c r="J12" s="13">
        <f t="shared" si="13"/>
        <v>0</v>
      </c>
      <c r="K12" s="13">
        <f t="shared" si="14"/>
        <v>0</v>
      </c>
      <c r="L12" s="13">
        <f t="shared" si="15"/>
        <v>0</v>
      </c>
      <c r="M12" s="13">
        <f t="shared" si="16"/>
        <v>9.99</v>
      </c>
      <c r="N12" s="27">
        <f t="shared" si="3"/>
        <v>295.17</v>
      </c>
      <c r="O12" s="32"/>
      <c r="P12" s="36"/>
      <c r="Q12" s="37"/>
      <c r="R12" s="62"/>
      <c r="S12" s="36"/>
      <c r="T12" s="13"/>
      <c r="U12" s="13"/>
      <c r="V12" s="13"/>
      <c r="W12" s="27"/>
      <c r="X12" s="36"/>
      <c r="Y12" s="13">
        <v>10.18</v>
      </c>
      <c r="Z12" s="13"/>
      <c r="AA12" s="13"/>
      <c r="AB12" s="13"/>
      <c r="AC12" s="37"/>
      <c r="AD12" s="30"/>
      <c r="AE12" s="13"/>
      <c r="AF12" s="13"/>
      <c r="AG12" s="13"/>
      <c r="AH12" s="13"/>
      <c r="AI12" s="13"/>
      <c r="AJ12" s="13"/>
      <c r="AK12" s="13"/>
      <c r="AL12" s="13"/>
      <c r="AM12" s="13">
        <v>25</v>
      </c>
      <c r="AN12" s="13"/>
      <c r="AO12" s="37"/>
      <c r="AP12" s="36"/>
      <c r="AQ12" s="13"/>
      <c r="AR12" s="13"/>
      <c r="AS12" s="13"/>
      <c r="AT12" s="13"/>
      <c r="AU12" s="13"/>
      <c r="AV12" s="37"/>
      <c r="AW12" s="32">
        <v>250</v>
      </c>
      <c r="AX12" s="31"/>
      <c r="AY12" s="42"/>
      <c r="AZ12" s="42"/>
      <c r="BA12" s="31"/>
      <c r="BB12" s="32">
        <f>SUM(O12:BA12)</f>
        <v>285.18</v>
      </c>
      <c r="BC12" t="s">
        <v>106</v>
      </c>
      <c r="BD12" t="s">
        <v>21</v>
      </c>
      <c r="BE12" t="s">
        <v>97</v>
      </c>
      <c r="BH12" s="19">
        <f t="shared" si="17"/>
        <v>-9.9900000000000091</v>
      </c>
    </row>
    <row r="13" spans="1:60">
      <c r="A13" s="34" t="s">
        <v>101</v>
      </c>
      <c r="B13" s="13">
        <f t="shared" si="5"/>
        <v>0</v>
      </c>
      <c r="C13" s="13">
        <f t="shared" si="6"/>
        <v>0</v>
      </c>
      <c r="D13" s="13">
        <f t="shared" si="7"/>
        <v>0</v>
      </c>
      <c r="E13" s="13">
        <f t="shared" si="8"/>
        <v>0</v>
      </c>
      <c r="F13" s="13">
        <f t="shared" si="9"/>
        <v>0</v>
      </c>
      <c r="G13" s="13">
        <f t="shared" si="10"/>
        <v>18</v>
      </c>
      <c r="H13" s="13">
        <f t="shared" si="11"/>
        <v>26</v>
      </c>
      <c r="I13" s="13">
        <f t="shared" si="12"/>
        <v>50</v>
      </c>
      <c r="J13" s="13">
        <f t="shared" si="13"/>
        <v>0</v>
      </c>
      <c r="K13" s="13">
        <f t="shared" si="14"/>
        <v>0</v>
      </c>
      <c r="L13" s="13">
        <f t="shared" si="15"/>
        <v>0</v>
      </c>
      <c r="M13" s="13">
        <f t="shared" si="16"/>
        <v>0</v>
      </c>
      <c r="N13" s="27">
        <f t="shared" si="3"/>
        <v>94</v>
      </c>
      <c r="O13" s="32"/>
      <c r="P13" s="36"/>
      <c r="Q13" s="37"/>
      <c r="R13" s="62"/>
      <c r="S13" s="36"/>
      <c r="T13" s="13"/>
      <c r="U13" s="13"/>
      <c r="V13" s="13"/>
      <c r="W13" s="27"/>
      <c r="X13" s="36"/>
      <c r="Y13" s="13"/>
      <c r="Z13" s="13"/>
      <c r="AA13" s="13"/>
      <c r="AB13" s="13"/>
      <c r="AC13" s="37"/>
      <c r="AD13" s="30"/>
      <c r="AE13" s="13"/>
      <c r="AF13" s="13"/>
      <c r="AG13" s="13"/>
      <c r="AH13" s="13"/>
      <c r="AI13" s="13"/>
      <c r="AJ13" s="13"/>
      <c r="AK13" s="13"/>
      <c r="AL13" s="13"/>
      <c r="AM13" s="13">
        <v>18</v>
      </c>
      <c r="AN13" s="13"/>
      <c r="AO13" s="37"/>
      <c r="AP13" s="36"/>
      <c r="AQ13" s="13"/>
      <c r="AR13" s="13"/>
      <c r="AS13" s="13"/>
      <c r="AT13" s="13"/>
      <c r="AU13" s="13">
        <v>26</v>
      </c>
      <c r="AV13" s="37"/>
      <c r="AW13" s="32">
        <v>50</v>
      </c>
      <c r="AX13" s="32"/>
      <c r="AY13" s="43"/>
      <c r="AZ13" s="43"/>
      <c r="BA13" s="32"/>
      <c r="BB13" s="32">
        <f t="shared" si="4"/>
        <v>94</v>
      </c>
      <c r="BC13" t="s">
        <v>105</v>
      </c>
      <c r="BD13" t="s">
        <v>21</v>
      </c>
      <c r="BE13" t="s">
        <v>127</v>
      </c>
      <c r="BH13" s="19">
        <f t="shared" si="17"/>
        <v>0</v>
      </c>
    </row>
    <row r="14" spans="1:60">
      <c r="A14" s="34" t="s">
        <v>102</v>
      </c>
      <c r="B14" s="13">
        <f t="shared" si="5"/>
        <v>0</v>
      </c>
      <c r="C14" s="13">
        <f t="shared" si="6"/>
        <v>0</v>
      </c>
      <c r="D14" s="13">
        <f t="shared" si="7"/>
        <v>11.2</v>
      </c>
      <c r="E14" s="13">
        <f t="shared" si="8"/>
        <v>0</v>
      </c>
      <c r="F14" s="13">
        <f t="shared" si="9"/>
        <v>40</v>
      </c>
      <c r="G14" s="13">
        <f t="shared" si="10"/>
        <v>21.4</v>
      </c>
      <c r="H14" s="13">
        <f t="shared" si="11"/>
        <v>0</v>
      </c>
      <c r="I14" s="13">
        <f t="shared" si="12"/>
        <v>0</v>
      </c>
      <c r="J14" s="13">
        <f t="shared" si="13"/>
        <v>0</v>
      </c>
      <c r="K14" s="13">
        <f t="shared" si="14"/>
        <v>0</v>
      </c>
      <c r="L14" s="13">
        <f t="shared" si="15"/>
        <v>0</v>
      </c>
      <c r="M14" s="13">
        <f t="shared" si="16"/>
        <v>0</v>
      </c>
      <c r="N14" s="27">
        <f t="shared" si="3"/>
        <v>72.599999999999994</v>
      </c>
      <c r="O14" s="32"/>
      <c r="P14" s="36"/>
      <c r="Q14" s="37"/>
      <c r="R14" s="62">
        <v>11.2</v>
      </c>
      <c r="S14" s="36"/>
      <c r="T14" s="13"/>
      <c r="U14" s="13"/>
      <c r="V14" s="13"/>
      <c r="W14" s="27"/>
      <c r="X14" s="36"/>
      <c r="Y14" s="13"/>
      <c r="Z14" s="13"/>
      <c r="AA14" s="13"/>
      <c r="AB14" s="13"/>
      <c r="AC14" s="37">
        <v>40</v>
      </c>
      <c r="AD14" s="30"/>
      <c r="AE14" s="13">
        <v>5.2</v>
      </c>
      <c r="AF14" s="13">
        <v>16.2</v>
      </c>
      <c r="AG14" s="13"/>
      <c r="AH14" s="13"/>
      <c r="AI14" s="13"/>
      <c r="AJ14" s="13"/>
      <c r="AK14" s="13"/>
      <c r="AL14" s="13"/>
      <c r="AM14" s="13"/>
      <c r="AN14" s="13"/>
      <c r="AO14" s="37"/>
      <c r="AP14" s="36"/>
      <c r="AQ14" s="13"/>
      <c r="AR14" s="13"/>
      <c r="AS14" s="13"/>
      <c r="AT14" s="13"/>
      <c r="AU14" s="13"/>
      <c r="AV14" s="37"/>
      <c r="AW14" s="31"/>
      <c r="AX14" s="32"/>
      <c r="AY14" s="43"/>
      <c r="AZ14" s="43"/>
      <c r="BA14" s="32"/>
      <c r="BB14" s="32">
        <f t="shared" si="4"/>
        <v>72.600000000000009</v>
      </c>
      <c r="BC14" t="s">
        <v>124</v>
      </c>
      <c r="BD14" t="s">
        <v>131</v>
      </c>
      <c r="BH14" s="19">
        <f t="shared" si="17"/>
        <v>0</v>
      </c>
    </row>
    <row r="15" spans="1:60">
      <c r="A15" s="34" t="s">
        <v>76</v>
      </c>
      <c r="B15" s="13">
        <f t="shared" si="5"/>
        <v>0</v>
      </c>
      <c r="C15" s="13">
        <f t="shared" si="6"/>
        <v>0</v>
      </c>
      <c r="D15" s="13">
        <f t="shared" si="7"/>
        <v>0</v>
      </c>
      <c r="E15" s="13">
        <f t="shared" si="8"/>
        <v>0</v>
      </c>
      <c r="F15" s="13">
        <f t="shared" si="9"/>
        <v>61.58</v>
      </c>
      <c r="G15" s="13">
        <f t="shared" si="10"/>
        <v>16.07</v>
      </c>
      <c r="H15" s="13">
        <f t="shared" si="11"/>
        <v>0</v>
      </c>
      <c r="I15" s="13">
        <f t="shared" si="12"/>
        <v>0</v>
      </c>
      <c r="J15" s="13">
        <f t="shared" si="13"/>
        <v>0</v>
      </c>
      <c r="K15" s="13">
        <f t="shared" si="14"/>
        <v>0</v>
      </c>
      <c r="L15" s="13">
        <f t="shared" si="15"/>
        <v>0</v>
      </c>
      <c r="M15" s="13">
        <f t="shared" si="16"/>
        <v>0</v>
      </c>
      <c r="N15" s="27">
        <f t="shared" si="3"/>
        <v>77.650000000000006</v>
      </c>
      <c r="O15" s="32"/>
      <c r="P15" s="36"/>
      <c r="Q15" s="37"/>
      <c r="R15" s="60"/>
      <c r="S15" s="36"/>
      <c r="T15" s="13"/>
      <c r="U15" s="13"/>
      <c r="V15" s="13"/>
      <c r="W15" s="27"/>
      <c r="X15" s="36"/>
      <c r="Y15" s="13"/>
      <c r="Z15" s="13"/>
      <c r="AA15" s="13"/>
      <c r="AB15" s="13"/>
      <c r="AC15" s="37">
        <v>61.58</v>
      </c>
      <c r="AD15" s="30"/>
      <c r="AE15" s="13">
        <v>7.07</v>
      </c>
      <c r="AF15" s="13">
        <v>9</v>
      </c>
      <c r="AG15" s="13"/>
      <c r="AH15" s="13"/>
      <c r="AI15" s="13"/>
      <c r="AJ15" s="13"/>
      <c r="AK15" s="13"/>
      <c r="AL15" s="13"/>
      <c r="AM15" s="13"/>
      <c r="AN15" s="13"/>
      <c r="AO15" s="37"/>
      <c r="AP15" s="36"/>
      <c r="AQ15" s="13"/>
      <c r="AR15" s="13"/>
      <c r="AS15" s="13"/>
      <c r="AT15" s="13"/>
      <c r="AU15" s="13"/>
      <c r="AV15" s="37"/>
      <c r="AW15" s="32"/>
      <c r="AX15" s="32"/>
      <c r="AY15" s="43"/>
      <c r="AZ15" s="43"/>
      <c r="BA15" s="32"/>
      <c r="BB15" s="32">
        <f t="shared" si="4"/>
        <v>77.650000000000006</v>
      </c>
      <c r="BC15" t="s">
        <v>42</v>
      </c>
      <c r="BD15" t="s">
        <v>0</v>
      </c>
      <c r="BE15" t="s">
        <v>125</v>
      </c>
      <c r="BH15" s="19">
        <f t="shared" si="17"/>
        <v>0</v>
      </c>
    </row>
    <row r="16" spans="1:60">
      <c r="A16" s="34" t="s">
        <v>77</v>
      </c>
      <c r="B16" s="13">
        <f t="shared" si="5"/>
        <v>0</v>
      </c>
      <c r="C16" s="13">
        <f t="shared" si="6"/>
        <v>0</v>
      </c>
      <c r="D16" s="13">
        <f t="shared" si="7"/>
        <v>0</v>
      </c>
      <c r="E16" s="13">
        <f t="shared" si="8"/>
        <v>15.24</v>
      </c>
      <c r="F16" s="13">
        <f t="shared" si="9"/>
        <v>25.33</v>
      </c>
      <c r="G16" s="13">
        <f t="shared" si="10"/>
        <v>6.35</v>
      </c>
      <c r="H16" s="13">
        <f t="shared" si="11"/>
        <v>0</v>
      </c>
      <c r="I16" s="13">
        <f t="shared" si="12"/>
        <v>0</v>
      </c>
      <c r="J16" s="13">
        <f t="shared" si="13"/>
        <v>0</v>
      </c>
      <c r="K16" s="13">
        <f t="shared" si="14"/>
        <v>0</v>
      </c>
      <c r="L16" s="13">
        <f t="shared" si="15"/>
        <v>0</v>
      </c>
      <c r="M16" s="13">
        <f t="shared" si="16"/>
        <v>0</v>
      </c>
      <c r="N16" s="27">
        <f t="shared" si="3"/>
        <v>46.92</v>
      </c>
      <c r="O16" s="32"/>
      <c r="P16" s="36"/>
      <c r="Q16" s="37"/>
      <c r="R16" s="62"/>
      <c r="S16" s="36"/>
      <c r="T16" s="13"/>
      <c r="U16" s="13">
        <v>15.24</v>
      </c>
      <c r="V16" s="13"/>
      <c r="W16" s="27"/>
      <c r="X16" s="36"/>
      <c r="Y16" s="13"/>
      <c r="Z16" s="13"/>
      <c r="AA16" s="13">
        <v>25.33</v>
      </c>
      <c r="AB16" s="13"/>
      <c r="AC16" s="37"/>
      <c r="AD16" s="30"/>
      <c r="AE16" s="13"/>
      <c r="AF16" s="11"/>
      <c r="AG16" s="13"/>
      <c r="AH16" s="13">
        <v>6.35</v>
      </c>
      <c r="AI16" s="13"/>
      <c r="AJ16" s="13"/>
      <c r="AK16" s="13"/>
      <c r="AL16" s="13"/>
      <c r="AM16" s="13"/>
      <c r="AN16" s="13"/>
      <c r="AO16" s="37"/>
      <c r="AP16" s="36"/>
      <c r="AQ16" s="13"/>
      <c r="AR16" s="13"/>
      <c r="AS16" s="13"/>
      <c r="AT16" s="13"/>
      <c r="AU16" s="13"/>
      <c r="AV16" s="37"/>
      <c r="AW16" s="32"/>
      <c r="AX16" s="32"/>
      <c r="AY16" s="43"/>
      <c r="AZ16" s="43"/>
      <c r="BA16" s="32"/>
      <c r="BB16" s="32">
        <f t="shared" si="4"/>
        <v>46.92</v>
      </c>
      <c r="BC16" t="s">
        <v>107</v>
      </c>
      <c r="BD16" t="s">
        <v>19</v>
      </c>
      <c r="BE16" t="s">
        <v>28</v>
      </c>
      <c r="BH16" s="19">
        <f t="shared" si="17"/>
        <v>0</v>
      </c>
    </row>
    <row r="17" spans="1:60">
      <c r="A17" s="34" t="s">
        <v>103</v>
      </c>
      <c r="B17" s="13">
        <f t="shared" si="5"/>
        <v>0</v>
      </c>
      <c r="C17" s="13">
        <f t="shared" si="6"/>
        <v>0</v>
      </c>
      <c r="D17" s="13">
        <f t="shared" si="7"/>
        <v>0</v>
      </c>
      <c r="E17" s="13">
        <f t="shared" si="8"/>
        <v>0</v>
      </c>
      <c r="F17" s="13">
        <f t="shared" si="9"/>
        <v>0</v>
      </c>
      <c r="G17" s="13">
        <f t="shared" si="10"/>
        <v>5.93</v>
      </c>
      <c r="H17" s="13">
        <f t="shared" si="11"/>
        <v>0</v>
      </c>
      <c r="I17" s="13">
        <f t="shared" si="12"/>
        <v>0</v>
      </c>
      <c r="J17" s="13">
        <f t="shared" si="13"/>
        <v>0</v>
      </c>
      <c r="K17" s="13">
        <f t="shared" si="14"/>
        <v>0</v>
      </c>
      <c r="L17" s="13">
        <f t="shared" si="15"/>
        <v>0</v>
      </c>
      <c r="M17" s="13">
        <f t="shared" si="16"/>
        <v>0</v>
      </c>
      <c r="N17" s="27">
        <f t="shared" si="3"/>
        <v>5.93</v>
      </c>
      <c r="O17" s="32"/>
      <c r="P17" s="36"/>
      <c r="Q17" s="37"/>
      <c r="R17" s="62"/>
      <c r="S17" s="36"/>
      <c r="T17" s="13"/>
      <c r="U17" s="13"/>
      <c r="V17" s="13"/>
      <c r="W17" s="27"/>
      <c r="X17" s="36"/>
      <c r="Y17" s="13"/>
      <c r="Z17" s="13"/>
      <c r="AA17" s="13"/>
      <c r="AB17" s="13"/>
      <c r="AC17" s="37"/>
      <c r="AD17" s="30"/>
      <c r="AE17" s="13"/>
      <c r="AF17" s="13">
        <v>5.93</v>
      </c>
      <c r="AG17" s="13"/>
      <c r="AH17" s="13"/>
      <c r="AI17" s="13"/>
      <c r="AJ17" s="13"/>
      <c r="AK17" s="13"/>
      <c r="AL17" s="13"/>
      <c r="AM17" s="13"/>
      <c r="AN17" s="13"/>
      <c r="AO17" s="37"/>
      <c r="AP17" s="36"/>
      <c r="AQ17" s="13"/>
      <c r="AR17" s="13"/>
      <c r="AS17" s="13"/>
      <c r="AT17" s="13"/>
      <c r="AU17" s="13"/>
      <c r="AV17" s="37"/>
      <c r="AW17" s="32"/>
      <c r="AX17" s="32"/>
      <c r="AY17" s="43"/>
      <c r="AZ17" s="43"/>
      <c r="BA17" s="32"/>
      <c r="BB17" s="32">
        <f t="shared" si="4"/>
        <v>5.93</v>
      </c>
      <c r="BD17" t="s">
        <v>0</v>
      </c>
      <c r="BH17" s="19">
        <f t="shared" si="17"/>
        <v>0</v>
      </c>
    </row>
    <row r="18" spans="1:60">
      <c r="A18" s="34" t="s">
        <v>104</v>
      </c>
      <c r="B18" s="13">
        <f t="shared" si="5"/>
        <v>0</v>
      </c>
      <c r="C18" s="13">
        <f t="shared" si="6"/>
        <v>0</v>
      </c>
      <c r="D18" s="13">
        <f t="shared" si="7"/>
        <v>0</v>
      </c>
      <c r="E18" s="13">
        <f t="shared" si="8"/>
        <v>36.729999999999997</v>
      </c>
      <c r="F18" s="13">
        <f t="shared" si="9"/>
        <v>36.229999999999997</v>
      </c>
      <c r="G18" s="13">
        <f t="shared" si="10"/>
        <v>1.59</v>
      </c>
      <c r="H18" s="13">
        <f t="shared" si="11"/>
        <v>25.05</v>
      </c>
      <c r="I18" s="13">
        <f t="shared" si="12"/>
        <v>0</v>
      </c>
      <c r="J18" s="13">
        <f t="shared" si="13"/>
        <v>0</v>
      </c>
      <c r="K18" s="13">
        <f t="shared" si="14"/>
        <v>0</v>
      </c>
      <c r="L18" s="13">
        <f t="shared" si="15"/>
        <v>0</v>
      </c>
      <c r="M18" s="13">
        <f t="shared" si="16"/>
        <v>0</v>
      </c>
      <c r="N18" s="27">
        <f t="shared" si="3"/>
        <v>99.6</v>
      </c>
      <c r="O18" s="32"/>
      <c r="P18" s="36"/>
      <c r="Q18" s="37"/>
      <c r="R18" s="62"/>
      <c r="S18" s="36"/>
      <c r="T18" s="13">
        <v>36.729999999999997</v>
      </c>
      <c r="U18" s="13"/>
      <c r="V18" s="13"/>
      <c r="W18" s="27"/>
      <c r="X18" s="36">
        <v>36.229999999999997</v>
      </c>
      <c r="Y18" s="13"/>
      <c r="Z18" s="13"/>
      <c r="AA18" s="13"/>
      <c r="AB18" s="13"/>
      <c r="AC18" s="37"/>
      <c r="AD18" s="30">
        <v>1.59</v>
      </c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37"/>
      <c r="AP18" s="36"/>
      <c r="AQ18" s="13"/>
      <c r="AR18" s="13"/>
      <c r="AS18" s="13"/>
      <c r="AT18" s="13"/>
      <c r="AU18" s="13"/>
      <c r="AV18" s="37">
        <v>25.05</v>
      </c>
      <c r="AW18" s="32"/>
      <c r="AX18" s="32"/>
      <c r="AY18" s="43"/>
      <c r="AZ18" s="43"/>
      <c r="BA18" s="32"/>
      <c r="BB18" s="32">
        <f t="shared" si="4"/>
        <v>99.6</v>
      </c>
      <c r="BC18" t="s">
        <v>109</v>
      </c>
      <c r="BD18" t="s">
        <v>115</v>
      </c>
      <c r="BE18" t="s">
        <v>116</v>
      </c>
      <c r="BF18" t="s">
        <v>17</v>
      </c>
      <c r="BH18" s="19">
        <f t="shared" si="17"/>
        <v>0</v>
      </c>
    </row>
    <row r="19" spans="1:60">
      <c r="A19" s="34" t="s">
        <v>57</v>
      </c>
      <c r="B19" s="13">
        <f t="shared" si="5"/>
        <v>0</v>
      </c>
      <c r="C19" s="13">
        <f t="shared" si="6"/>
        <v>0</v>
      </c>
      <c r="D19" s="13">
        <f t="shared" si="7"/>
        <v>0</v>
      </c>
      <c r="E19" s="13">
        <f t="shared" si="8"/>
        <v>0</v>
      </c>
      <c r="F19" s="13">
        <f t="shared" si="9"/>
        <v>18</v>
      </c>
      <c r="G19" s="13">
        <f t="shared" si="10"/>
        <v>9.32</v>
      </c>
      <c r="H19" s="13">
        <f t="shared" si="11"/>
        <v>0</v>
      </c>
      <c r="I19" s="13">
        <f t="shared" si="12"/>
        <v>0</v>
      </c>
      <c r="J19" s="13">
        <f t="shared" si="13"/>
        <v>0</v>
      </c>
      <c r="K19" s="13">
        <f t="shared" si="14"/>
        <v>3.17</v>
      </c>
      <c r="L19" s="13">
        <f t="shared" si="15"/>
        <v>0</v>
      </c>
      <c r="M19" s="13">
        <f t="shared" si="16"/>
        <v>0</v>
      </c>
      <c r="N19" s="27">
        <f t="shared" si="3"/>
        <v>30.490000000000002</v>
      </c>
      <c r="O19" s="32"/>
      <c r="P19" s="36"/>
      <c r="Q19" s="37"/>
      <c r="R19" s="62"/>
      <c r="S19" s="36"/>
      <c r="T19" s="13"/>
      <c r="U19" s="13"/>
      <c r="V19" s="13"/>
      <c r="W19" s="27"/>
      <c r="X19" s="36"/>
      <c r="Y19" s="13">
        <v>18</v>
      </c>
      <c r="Z19" s="13"/>
      <c r="AA19" s="13"/>
      <c r="AB19" s="13"/>
      <c r="AC19" s="37"/>
      <c r="AD19" s="30"/>
      <c r="AE19" s="13"/>
      <c r="AF19" s="13">
        <v>9.32</v>
      </c>
      <c r="AG19" s="13"/>
      <c r="AH19" s="13"/>
      <c r="AI19" s="13"/>
      <c r="AJ19" s="13"/>
      <c r="AK19" s="13"/>
      <c r="AL19" s="13"/>
      <c r="AM19" s="13"/>
      <c r="AN19" s="13"/>
      <c r="AO19" s="37"/>
      <c r="AP19" s="36"/>
      <c r="AQ19" s="13"/>
      <c r="AR19" s="13"/>
      <c r="AS19" s="13"/>
      <c r="AT19" s="13"/>
      <c r="AU19" s="13"/>
      <c r="AV19" s="37"/>
      <c r="AW19" s="32"/>
      <c r="AX19" s="32"/>
      <c r="AY19" s="43">
        <v>3.17</v>
      </c>
      <c r="AZ19" s="43"/>
      <c r="BA19" s="32"/>
      <c r="BB19" s="32">
        <f t="shared" si="4"/>
        <v>30.490000000000002</v>
      </c>
      <c r="BC19" t="s">
        <v>98</v>
      </c>
      <c r="BE19" t="s">
        <v>0</v>
      </c>
      <c r="BF19" t="s">
        <v>86</v>
      </c>
      <c r="BH19" s="19">
        <f t="shared" si="17"/>
        <v>0</v>
      </c>
    </row>
    <row r="20" spans="1:60">
      <c r="A20" s="34" t="s">
        <v>80</v>
      </c>
      <c r="B20" s="13">
        <f t="shared" si="5"/>
        <v>0</v>
      </c>
      <c r="C20" s="13">
        <f t="shared" si="6"/>
        <v>0</v>
      </c>
      <c r="D20" s="13">
        <f t="shared" si="7"/>
        <v>0</v>
      </c>
      <c r="E20" s="13">
        <f t="shared" si="8"/>
        <v>0</v>
      </c>
      <c r="F20" s="13">
        <f t="shared" si="9"/>
        <v>0</v>
      </c>
      <c r="G20" s="13">
        <f t="shared" si="10"/>
        <v>23.67</v>
      </c>
      <c r="H20" s="13">
        <f t="shared" si="11"/>
        <v>0</v>
      </c>
      <c r="I20" s="13">
        <f t="shared" si="12"/>
        <v>0</v>
      </c>
      <c r="J20" s="13">
        <f t="shared" si="13"/>
        <v>0</v>
      </c>
      <c r="K20" s="13">
        <f t="shared" si="14"/>
        <v>0</v>
      </c>
      <c r="L20" s="13">
        <f t="shared" si="15"/>
        <v>0</v>
      </c>
      <c r="M20" s="13">
        <f t="shared" si="16"/>
        <v>0</v>
      </c>
      <c r="N20" s="27">
        <f t="shared" si="3"/>
        <v>23.67</v>
      </c>
      <c r="O20" s="32"/>
      <c r="P20" s="36"/>
      <c r="Q20" s="37"/>
      <c r="R20" s="62"/>
      <c r="S20" s="36"/>
      <c r="T20" s="13"/>
      <c r="U20" s="13"/>
      <c r="V20" s="13"/>
      <c r="W20" s="27"/>
      <c r="X20" s="36"/>
      <c r="Y20" s="13"/>
      <c r="Z20" s="13"/>
      <c r="AA20" s="13"/>
      <c r="AB20" s="13"/>
      <c r="AC20" s="37"/>
      <c r="AD20" s="30"/>
      <c r="AE20" s="13"/>
      <c r="AF20" s="13"/>
      <c r="AG20" s="13">
        <v>11.76</v>
      </c>
      <c r="AH20" s="13"/>
      <c r="AI20" s="13"/>
      <c r="AJ20" s="13"/>
      <c r="AK20" s="13"/>
      <c r="AL20" s="13"/>
      <c r="AM20" s="13"/>
      <c r="AN20" s="13">
        <v>11.91</v>
      </c>
      <c r="AO20" s="37"/>
      <c r="AP20" s="36"/>
      <c r="AQ20" s="13"/>
      <c r="AR20" s="13"/>
      <c r="AS20" s="13"/>
      <c r="AT20" s="13"/>
      <c r="AU20" s="13"/>
      <c r="AV20" s="37"/>
      <c r="AW20" s="32"/>
      <c r="AX20" s="32"/>
      <c r="AY20" s="43"/>
      <c r="AZ20" s="43"/>
      <c r="BA20" s="32"/>
      <c r="BB20" s="32">
        <f t="shared" si="4"/>
        <v>23.67</v>
      </c>
      <c r="BC20" t="s">
        <v>33</v>
      </c>
      <c r="BD20" t="s">
        <v>37</v>
      </c>
      <c r="BH20" s="19">
        <f t="shared" si="17"/>
        <v>0</v>
      </c>
    </row>
    <row r="21" spans="1:60">
      <c r="A21" s="34" t="s">
        <v>81</v>
      </c>
      <c r="B21" s="13">
        <f t="shared" si="5"/>
        <v>0</v>
      </c>
      <c r="C21" s="13">
        <f t="shared" si="6"/>
        <v>0</v>
      </c>
      <c r="D21" s="13">
        <f t="shared" si="7"/>
        <v>0</v>
      </c>
      <c r="E21" s="13">
        <f t="shared" si="8"/>
        <v>5.26</v>
      </c>
      <c r="F21" s="13">
        <f t="shared" si="9"/>
        <v>0</v>
      </c>
      <c r="G21" s="13">
        <f t="shared" si="10"/>
        <v>0</v>
      </c>
      <c r="H21" s="13">
        <f t="shared" si="11"/>
        <v>0</v>
      </c>
      <c r="I21" s="13">
        <f t="shared" si="12"/>
        <v>0</v>
      </c>
      <c r="J21" s="13">
        <f t="shared" si="13"/>
        <v>0</v>
      </c>
      <c r="K21" s="13">
        <f t="shared" si="14"/>
        <v>0</v>
      </c>
      <c r="L21" s="13">
        <f t="shared" si="15"/>
        <v>0</v>
      </c>
      <c r="M21" s="13">
        <f t="shared" si="16"/>
        <v>0</v>
      </c>
      <c r="N21" s="27">
        <f t="shared" si="3"/>
        <v>5.26</v>
      </c>
      <c r="O21" s="32"/>
      <c r="P21" s="36"/>
      <c r="Q21" s="37"/>
      <c r="R21" s="62"/>
      <c r="S21" s="36"/>
      <c r="T21" s="13"/>
      <c r="U21" s="13"/>
      <c r="V21" s="13">
        <v>5.26</v>
      </c>
      <c r="W21" s="27"/>
      <c r="X21" s="36"/>
      <c r="Y21" s="13"/>
      <c r="Z21" s="13"/>
      <c r="AA21" s="13"/>
      <c r="AB21" s="13"/>
      <c r="AC21" s="37"/>
      <c r="AD21" s="30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37"/>
      <c r="AP21" s="36"/>
      <c r="AQ21" s="13"/>
      <c r="AR21" s="13"/>
      <c r="AS21" s="13"/>
      <c r="AT21" s="13"/>
      <c r="AU21" s="13"/>
      <c r="AV21" s="37"/>
      <c r="AW21" s="32"/>
      <c r="AX21" s="32"/>
      <c r="AY21" s="43"/>
      <c r="AZ21" s="43"/>
      <c r="BA21" s="32"/>
      <c r="BB21" s="32">
        <f t="shared" si="4"/>
        <v>5.26</v>
      </c>
      <c r="BC21" t="s">
        <v>83</v>
      </c>
      <c r="BH21" s="19">
        <f t="shared" si="17"/>
        <v>0</v>
      </c>
    </row>
    <row r="22" spans="1:60">
      <c r="A22" s="34" t="s">
        <v>82</v>
      </c>
      <c r="B22" s="13">
        <f t="shared" si="5"/>
        <v>0</v>
      </c>
      <c r="C22" s="13">
        <f t="shared" si="6"/>
        <v>0</v>
      </c>
      <c r="D22" s="13">
        <f t="shared" si="7"/>
        <v>45</v>
      </c>
      <c r="E22" s="13">
        <f t="shared" si="8"/>
        <v>0</v>
      </c>
      <c r="F22" s="13">
        <f t="shared" si="9"/>
        <v>17.47</v>
      </c>
      <c r="G22" s="13">
        <f t="shared" si="10"/>
        <v>61.24</v>
      </c>
      <c r="H22" s="13">
        <f t="shared" si="11"/>
        <v>0</v>
      </c>
      <c r="I22" s="13">
        <f t="shared" si="12"/>
        <v>0</v>
      </c>
      <c r="J22" s="13">
        <f t="shared" si="13"/>
        <v>0</v>
      </c>
      <c r="K22" s="13">
        <f t="shared" si="14"/>
        <v>0</v>
      </c>
      <c r="L22" s="13">
        <f t="shared" si="15"/>
        <v>0</v>
      </c>
      <c r="M22" s="13">
        <f t="shared" si="16"/>
        <v>0</v>
      </c>
      <c r="N22" s="27">
        <f t="shared" si="3"/>
        <v>123.71000000000001</v>
      </c>
      <c r="O22" s="32"/>
      <c r="P22" s="36"/>
      <c r="Q22" s="37"/>
      <c r="R22" s="62">
        <v>45</v>
      </c>
      <c r="S22" s="36"/>
      <c r="T22" s="13"/>
      <c r="U22" s="13"/>
      <c r="V22" s="13"/>
      <c r="W22" s="27"/>
      <c r="X22" s="36"/>
      <c r="Y22" s="13"/>
      <c r="Z22" s="13"/>
      <c r="AA22" s="13"/>
      <c r="AB22" s="13">
        <v>17.47</v>
      </c>
      <c r="AC22" s="37"/>
      <c r="AD22" s="30"/>
      <c r="AE22" s="13"/>
      <c r="AF22" s="13"/>
      <c r="AG22" s="13">
        <v>4.24</v>
      </c>
      <c r="AH22" s="13"/>
      <c r="AI22" s="13"/>
      <c r="AJ22" s="13"/>
      <c r="AK22" s="13"/>
      <c r="AL22" s="13"/>
      <c r="AM22" s="13"/>
      <c r="AN22" s="13">
        <v>57</v>
      </c>
      <c r="AO22" s="37"/>
      <c r="AP22" s="36"/>
      <c r="AQ22" s="13"/>
      <c r="AR22" s="13"/>
      <c r="AS22" s="13"/>
      <c r="AT22" s="13"/>
      <c r="AU22" s="13"/>
      <c r="AV22" s="37"/>
      <c r="AW22" s="32"/>
      <c r="AX22" s="32"/>
      <c r="AY22" s="43"/>
      <c r="AZ22" s="43"/>
      <c r="BA22" s="32"/>
      <c r="BB22" s="32">
        <f t="shared" si="4"/>
        <v>123.71</v>
      </c>
      <c r="BC22" t="s">
        <v>84</v>
      </c>
      <c r="BD22" t="s">
        <v>37</v>
      </c>
      <c r="BE22" t="s">
        <v>132</v>
      </c>
      <c r="BH22" s="19">
        <f t="shared" si="17"/>
        <v>0</v>
      </c>
    </row>
    <row r="23" spans="1:60">
      <c r="A23" s="34" t="s">
        <v>85</v>
      </c>
      <c r="B23" s="13">
        <f t="shared" si="5"/>
        <v>0</v>
      </c>
      <c r="C23" s="13">
        <f t="shared" si="6"/>
        <v>0</v>
      </c>
      <c r="D23" s="13">
        <f t="shared" si="7"/>
        <v>0</v>
      </c>
      <c r="E23" s="13">
        <f t="shared" si="8"/>
        <v>0</v>
      </c>
      <c r="F23" s="13">
        <f t="shared" si="9"/>
        <v>80</v>
      </c>
      <c r="G23" s="13">
        <f t="shared" si="10"/>
        <v>12.39</v>
      </c>
      <c r="H23" s="13">
        <f t="shared" si="11"/>
        <v>0</v>
      </c>
      <c r="I23" s="13">
        <f t="shared" si="12"/>
        <v>0</v>
      </c>
      <c r="J23" s="13">
        <f t="shared" si="13"/>
        <v>0</v>
      </c>
      <c r="K23" s="13">
        <f t="shared" si="14"/>
        <v>0</v>
      </c>
      <c r="L23" s="13">
        <f t="shared" si="15"/>
        <v>0</v>
      </c>
      <c r="M23" s="13">
        <f t="shared" si="16"/>
        <v>0</v>
      </c>
      <c r="N23" s="27">
        <f t="shared" si="3"/>
        <v>92.39</v>
      </c>
      <c r="O23" s="32"/>
      <c r="P23" s="36"/>
      <c r="Q23" s="37"/>
      <c r="R23" s="62"/>
      <c r="S23" s="36"/>
      <c r="T23" s="13"/>
      <c r="U23" s="13"/>
      <c r="V23" s="13"/>
      <c r="W23" s="27"/>
      <c r="X23" s="36"/>
      <c r="Y23" s="13"/>
      <c r="Z23" s="13"/>
      <c r="AA23" s="13"/>
      <c r="AB23" s="13">
        <v>80</v>
      </c>
      <c r="AC23" s="37"/>
      <c r="AD23" s="30"/>
      <c r="AE23" s="13"/>
      <c r="AF23" s="13"/>
      <c r="AG23" s="13">
        <v>12.39</v>
      </c>
      <c r="AH23" s="13"/>
      <c r="AI23" s="13"/>
      <c r="AJ23" s="13"/>
      <c r="AK23" s="13"/>
      <c r="AL23" s="13"/>
      <c r="AM23" s="13"/>
      <c r="AN23" s="13"/>
      <c r="AO23" s="37"/>
      <c r="AP23" s="36"/>
      <c r="AQ23" s="13"/>
      <c r="AR23" s="13"/>
      <c r="AS23" s="13"/>
      <c r="AT23" s="13"/>
      <c r="AU23" s="13"/>
      <c r="AV23" s="37"/>
      <c r="AW23" s="32"/>
      <c r="AX23" s="32"/>
      <c r="AY23" s="43"/>
      <c r="AZ23" s="43"/>
      <c r="BA23" s="32"/>
      <c r="BB23" s="32">
        <f t="shared" si="4"/>
        <v>92.39</v>
      </c>
      <c r="BC23" t="s">
        <v>33</v>
      </c>
      <c r="BD23" t="s">
        <v>16</v>
      </c>
      <c r="BE23" t="s">
        <v>130</v>
      </c>
      <c r="BH23" s="19">
        <f t="shared" si="17"/>
        <v>0</v>
      </c>
    </row>
    <row r="24" spans="1:60">
      <c r="A24" s="34" t="s">
        <v>87</v>
      </c>
      <c r="B24" s="13">
        <f t="shared" si="5"/>
        <v>0</v>
      </c>
      <c r="C24" s="13">
        <f t="shared" si="6"/>
        <v>0</v>
      </c>
      <c r="D24" s="13">
        <f t="shared" si="7"/>
        <v>0</v>
      </c>
      <c r="E24" s="13">
        <f t="shared" si="8"/>
        <v>0</v>
      </c>
      <c r="F24" s="13">
        <f t="shared" si="9"/>
        <v>0</v>
      </c>
      <c r="G24" s="13">
        <f t="shared" si="10"/>
        <v>14.91</v>
      </c>
      <c r="H24" s="13">
        <f t="shared" si="11"/>
        <v>0</v>
      </c>
      <c r="I24" s="13">
        <f t="shared" si="12"/>
        <v>0</v>
      </c>
      <c r="J24" s="13">
        <f t="shared" si="13"/>
        <v>0</v>
      </c>
      <c r="K24" s="13">
        <f t="shared" si="14"/>
        <v>0</v>
      </c>
      <c r="L24" s="13">
        <f t="shared" si="15"/>
        <v>0</v>
      </c>
      <c r="M24" s="13">
        <f t="shared" si="16"/>
        <v>0</v>
      </c>
      <c r="N24" s="27">
        <f t="shared" si="3"/>
        <v>14.91</v>
      </c>
      <c r="O24" s="32"/>
      <c r="P24" s="36"/>
      <c r="Q24" s="37"/>
      <c r="R24" s="62"/>
      <c r="S24" s="36"/>
      <c r="T24" s="13"/>
      <c r="U24" s="13"/>
      <c r="V24" s="13"/>
      <c r="W24" s="27"/>
      <c r="X24" s="36"/>
      <c r="Y24" s="13"/>
      <c r="Z24" s="13"/>
      <c r="AA24" s="13"/>
      <c r="AB24" s="13"/>
      <c r="AC24" s="37"/>
      <c r="AD24" s="30"/>
      <c r="AE24" s="13">
        <v>14.91</v>
      </c>
      <c r="AF24" s="13"/>
      <c r="AG24" s="13"/>
      <c r="AH24" s="13"/>
      <c r="AI24" s="13"/>
      <c r="AJ24" s="13"/>
      <c r="AK24" s="13"/>
      <c r="AL24" s="13"/>
      <c r="AM24" s="13"/>
      <c r="AN24" s="13"/>
      <c r="AO24" s="37"/>
      <c r="AP24" s="36"/>
      <c r="AQ24" s="13"/>
      <c r="AR24" s="13"/>
      <c r="AS24" s="13"/>
      <c r="AT24" s="13"/>
      <c r="AU24" s="13"/>
      <c r="AV24" s="37"/>
      <c r="AW24" s="32"/>
      <c r="AX24" s="32"/>
      <c r="AY24" s="43"/>
      <c r="AZ24" s="43"/>
      <c r="BA24" s="32"/>
      <c r="BB24" s="32">
        <f t="shared" si="4"/>
        <v>14.91</v>
      </c>
      <c r="BD24" t="s">
        <v>30</v>
      </c>
      <c r="BH24" s="19">
        <f t="shared" si="17"/>
        <v>0</v>
      </c>
    </row>
    <row r="25" spans="1:60">
      <c r="A25" s="34" t="s">
        <v>91</v>
      </c>
      <c r="B25" s="13">
        <f t="shared" si="5"/>
        <v>0</v>
      </c>
      <c r="C25" s="13">
        <f t="shared" si="6"/>
        <v>0</v>
      </c>
      <c r="D25" s="13">
        <f t="shared" si="7"/>
        <v>0</v>
      </c>
      <c r="E25" s="13">
        <f t="shared" si="8"/>
        <v>0</v>
      </c>
      <c r="F25" s="13">
        <f t="shared" si="9"/>
        <v>82.98</v>
      </c>
      <c r="G25" s="13">
        <f t="shared" si="10"/>
        <v>17.78</v>
      </c>
      <c r="H25" s="13">
        <f t="shared" si="11"/>
        <v>0</v>
      </c>
      <c r="I25" s="13">
        <f t="shared" si="12"/>
        <v>0</v>
      </c>
      <c r="J25" s="13">
        <f t="shared" si="13"/>
        <v>0</v>
      </c>
      <c r="K25" s="13">
        <f t="shared" si="14"/>
        <v>0</v>
      </c>
      <c r="L25" s="13">
        <f t="shared" si="15"/>
        <v>0</v>
      </c>
      <c r="M25" s="13">
        <f t="shared" si="16"/>
        <v>0</v>
      </c>
      <c r="N25" s="27">
        <f t="shared" si="3"/>
        <v>100.76</v>
      </c>
      <c r="O25" s="32"/>
      <c r="P25" s="36"/>
      <c r="Q25" s="37"/>
      <c r="R25" s="62"/>
      <c r="S25" s="36"/>
      <c r="T25" s="13"/>
      <c r="U25" s="13"/>
      <c r="V25" s="13"/>
      <c r="W25" s="27"/>
      <c r="X25" s="36"/>
      <c r="Y25" s="13"/>
      <c r="Z25" s="13"/>
      <c r="AA25" s="13"/>
      <c r="AB25" s="13">
        <v>82.98</v>
      </c>
      <c r="AC25" s="37"/>
      <c r="AD25" s="30"/>
      <c r="AE25" s="13">
        <v>17.78</v>
      </c>
      <c r="AF25" s="13"/>
      <c r="AG25" s="13"/>
      <c r="AH25" s="13"/>
      <c r="AI25" s="13"/>
      <c r="AJ25" s="13"/>
      <c r="AK25" s="13"/>
      <c r="AL25" s="13"/>
      <c r="AM25" s="13"/>
      <c r="AN25" s="13"/>
      <c r="AO25" s="37"/>
      <c r="AP25" s="36"/>
      <c r="AQ25" s="13"/>
      <c r="AR25" s="13"/>
      <c r="AS25" s="13"/>
      <c r="AT25" s="13"/>
      <c r="AU25" s="13"/>
      <c r="AV25" s="37"/>
      <c r="AW25" s="32"/>
      <c r="AX25" s="32"/>
      <c r="AY25" s="43"/>
      <c r="AZ25" s="43"/>
      <c r="BA25" s="32"/>
      <c r="BB25" s="32">
        <f t="shared" si="4"/>
        <v>100.76</v>
      </c>
      <c r="BC25" t="s">
        <v>30</v>
      </c>
      <c r="BD25" t="s">
        <v>32</v>
      </c>
      <c r="BH25" s="19">
        <f t="shared" si="17"/>
        <v>0</v>
      </c>
    </row>
    <row r="26" spans="1:60">
      <c r="A26" s="34" t="s">
        <v>113</v>
      </c>
      <c r="B26" s="13">
        <f t="shared" si="5"/>
        <v>0</v>
      </c>
      <c r="C26" s="13">
        <f t="shared" si="6"/>
        <v>0</v>
      </c>
      <c r="D26" s="13">
        <f t="shared" si="7"/>
        <v>0</v>
      </c>
      <c r="E26" s="13">
        <f t="shared" si="8"/>
        <v>0</v>
      </c>
      <c r="F26" s="13">
        <f t="shared" si="9"/>
        <v>0</v>
      </c>
      <c r="G26" s="13">
        <f t="shared" si="10"/>
        <v>0</v>
      </c>
      <c r="H26" s="13">
        <f t="shared" si="11"/>
        <v>0</v>
      </c>
      <c r="I26" s="13">
        <f t="shared" si="12"/>
        <v>0</v>
      </c>
      <c r="J26" s="13">
        <f t="shared" si="13"/>
        <v>0</v>
      </c>
      <c r="K26" s="13">
        <f t="shared" si="14"/>
        <v>0</v>
      </c>
      <c r="L26" s="13">
        <f t="shared" si="15"/>
        <v>0</v>
      </c>
      <c r="M26" s="13">
        <f t="shared" si="16"/>
        <v>0</v>
      </c>
      <c r="N26" s="27">
        <f t="shared" si="3"/>
        <v>0</v>
      </c>
      <c r="O26" s="32"/>
      <c r="P26" s="36"/>
      <c r="Q26" s="37"/>
      <c r="R26" s="62"/>
      <c r="S26" s="36"/>
      <c r="T26" s="13"/>
      <c r="U26" s="13"/>
      <c r="V26" s="13"/>
      <c r="W26" s="27"/>
      <c r="X26" s="36"/>
      <c r="Y26" s="13"/>
      <c r="Z26" s="13"/>
      <c r="AA26" s="13"/>
      <c r="AB26" s="13"/>
      <c r="AC26" s="37"/>
      <c r="AD26" s="30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37"/>
      <c r="AP26" s="36"/>
      <c r="AQ26" s="13"/>
      <c r="AR26" s="13"/>
      <c r="AS26" s="13"/>
      <c r="AT26" s="13"/>
      <c r="AU26" s="13"/>
      <c r="AV26" s="37"/>
      <c r="AW26" s="32"/>
      <c r="AX26" s="31"/>
      <c r="AY26" s="43"/>
      <c r="AZ26" s="43"/>
      <c r="BA26" s="32"/>
      <c r="BB26" s="32">
        <f t="shared" si="4"/>
        <v>0</v>
      </c>
      <c r="BH26" s="19">
        <f t="shared" si="17"/>
        <v>0</v>
      </c>
    </row>
    <row r="27" spans="1:60">
      <c r="A27" s="34" t="s">
        <v>88</v>
      </c>
      <c r="B27" s="13">
        <f t="shared" si="5"/>
        <v>0</v>
      </c>
      <c r="C27" s="13">
        <f t="shared" si="6"/>
        <v>7.42</v>
      </c>
      <c r="D27" s="13">
        <f t="shared" si="7"/>
        <v>0</v>
      </c>
      <c r="E27" s="13">
        <f t="shared" si="8"/>
        <v>0</v>
      </c>
      <c r="F27" s="13">
        <f t="shared" si="9"/>
        <v>21.18</v>
      </c>
      <c r="G27" s="13">
        <f t="shared" si="10"/>
        <v>0</v>
      </c>
      <c r="H27" s="13">
        <f t="shared" si="11"/>
        <v>0</v>
      </c>
      <c r="I27" s="13">
        <f t="shared" si="12"/>
        <v>0</v>
      </c>
      <c r="J27" s="13">
        <f t="shared" si="13"/>
        <v>15</v>
      </c>
      <c r="K27" s="13">
        <f t="shared" si="14"/>
        <v>0</v>
      </c>
      <c r="L27" s="13">
        <f t="shared" si="15"/>
        <v>0</v>
      </c>
      <c r="M27" s="13">
        <f t="shared" si="16"/>
        <v>0</v>
      </c>
      <c r="N27" s="27">
        <f t="shared" si="3"/>
        <v>43.6</v>
      </c>
      <c r="O27" s="32"/>
      <c r="P27" s="36">
        <v>7.42</v>
      </c>
      <c r="Q27" s="37"/>
      <c r="R27" s="62"/>
      <c r="S27" s="36"/>
      <c r="T27" s="13"/>
      <c r="U27" s="13"/>
      <c r="V27" s="13"/>
      <c r="W27" s="27"/>
      <c r="X27" s="36"/>
      <c r="Y27" s="13">
        <v>21.18</v>
      </c>
      <c r="Z27" s="13"/>
      <c r="AA27" s="13"/>
      <c r="AB27" s="13"/>
      <c r="AC27" s="37"/>
      <c r="AD27" s="30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37"/>
      <c r="AP27" s="36"/>
      <c r="AQ27" s="13"/>
      <c r="AR27" s="13"/>
      <c r="AS27" s="13"/>
      <c r="AT27" s="13"/>
      <c r="AU27" s="13"/>
      <c r="AV27" s="37"/>
      <c r="AW27" s="32"/>
      <c r="AX27" s="32">
        <v>15</v>
      </c>
      <c r="AY27" s="43"/>
      <c r="AZ27" s="43"/>
      <c r="BA27" s="32"/>
      <c r="BB27" s="32">
        <f t="shared" si="4"/>
        <v>43.6</v>
      </c>
      <c r="BC27" t="s">
        <v>97</v>
      </c>
      <c r="BD27" t="s">
        <v>126</v>
      </c>
      <c r="BE27" t="s">
        <v>128</v>
      </c>
      <c r="BH27" s="19">
        <f t="shared" si="17"/>
        <v>0</v>
      </c>
    </row>
    <row r="28" spans="1:60">
      <c r="A28" s="34" t="s">
        <v>89</v>
      </c>
      <c r="B28" s="13">
        <f t="shared" si="5"/>
        <v>0</v>
      </c>
      <c r="C28" s="13">
        <f t="shared" si="6"/>
        <v>45</v>
      </c>
      <c r="D28" s="13">
        <f t="shared" si="7"/>
        <v>0</v>
      </c>
      <c r="E28" s="13">
        <f t="shared" si="8"/>
        <v>0</v>
      </c>
      <c r="F28" s="13">
        <f t="shared" si="9"/>
        <v>0</v>
      </c>
      <c r="G28" s="13">
        <f t="shared" si="10"/>
        <v>0</v>
      </c>
      <c r="H28" s="13">
        <f t="shared" si="11"/>
        <v>0</v>
      </c>
      <c r="I28" s="13">
        <f t="shared" si="12"/>
        <v>0</v>
      </c>
      <c r="J28" s="13">
        <f t="shared" si="13"/>
        <v>0</v>
      </c>
      <c r="K28" s="13">
        <f t="shared" si="14"/>
        <v>0</v>
      </c>
      <c r="L28" s="13">
        <f t="shared" si="15"/>
        <v>0</v>
      </c>
      <c r="M28" s="13">
        <f t="shared" si="16"/>
        <v>0</v>
      </c>
      <c r="N28" s="27">
        <f t="shared" si="3"/>
        <v>45</v>
      </c>
      <c r="O28" s="32"/>
      <c r="P28" s="36">
        <v>45</v>
      </c>
      <c r="Q28" s="37"/>
      <c r="R28" s="62"/>
      <c r="S28" s="36"/>
      <c r="T28" s="13"/>
      <c r="U28" s="13"/>
      <c r="V28" s="13"/>
      <c r="W28" s="27"/>
      <c r="X28" s="36"/>
      <c r="Y28" s="13"/>
      <c r="Z28" s="13"/>
      <c r="AA28" s="13"/>
      <c r="AB28" s="13"/>
      <c r="AC28" s="37"/>
      <c r="AD28" s="30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37"/>
      <c r="AP28" s="36"/>
      <c r="AQ28" s="13"/>
      <c r="AR28" s="13"/>
      <c r="AS28" s="13"/>
      <c r="AT28" s="13"/>
      <c r="AU28" s="13"/>
      <c r="AV28" s="37"/>
      <c r="AW28" s="32"/>
      <c r="AX28" s="32"/>
      <c r="AY28" s="43"/>
      <c r="AZ28" s="43"/>
      <c r="BA28" s="32"/>
      <c r="BB28" s="32">
        <f t="shared" si="4"/>
        <v>45</v>
      </c>
      <c r="BC28" t="s">
        <v>14</v>
      </c>
      <c r="BH28" s="19">
        <f t="shared" si="17"/>
        <v>0</v>
      </c>
    </row>
    <row r="29" spans="1:60">
      <c r="A29" s="34" t="s">
        <v>93</v>
      </c>
      <c r="B29" s="13">
        <f t="shared" si="5"/>
        <v>0</v>
      </c>
      <c r="C29" s="13">
        <f t="shared" si="6"/>
        <v>0</v>
      </c>
      <c r="D29" s="13">
        <f t="shared" si="7"/>
        <v>0</v>
      </c>
      <c r="E29" s="13">
        <f t="shared" si="8"/>
        <v>0</v>
      </c>
      <c r="F29" s="13">
        <f t="shared" si="9"/>
        <v>0</v>
      </c>
      <c r="G29" s="13">
        <f t="shared" si="10"/>
        <v>2.96</v>
      </c>
      <c r="H29" s="13">
        <f t="shared" si="11"/>
        <v>0</v>
      </c>
      <c r="I29" s="13">
        <f t="shared" si="12"/>
        <v>0</v>
      </c>
      <c r="J29" s="13">
        <f t="shared" si="13"/>
        <v>0</v>
      </c>
      <c r="K29" s="13">
        <f t="shared" si="14"/>
        <v>0</v>
      </c>
      <c r="L29" s="13">
        <f t="shared" si="15"/>
        <v>0</v>
      </c>
      <c r="M29" s="13">
        <f t="shared" si="16"/>
        <v>0</v>
      </c>
      <c r="N29" s="27">
        <f t="shared" si="3"/>
        <v>2.96</v>
      </c>
      <c r="O29" s="32"/>
      <c r="P29" s="36"/>
      <c r="Q29" s="37"/>
      <c r="R29" s="62"/>
      <c r="S29" s="36"/>
      <c r="T29" s="13"/>
      <c r="U29" s="13"/>
      <c r="V29" s="13"/>
      <c r="W29" s="27"/>
      <c r="X29" s="36"/>
      <c r="Y29" s="13"/>
      <c r="Z29" s="13"/>
      <c r="AA29" s="13"/>
      <c r="AB29" s="13"/>
      <c r="AC29" s="37"/>
      <c r="AD29" s="30"/>
      <c r="AE29" s="13">
        <v>2.96</v>
      </c>
      <c r="AF29" s="13"/>
      <c r="AG29" s="13"/>
      <c r="AH29" s="13"/>
      <c r="AI29" s="13"/>
      <c r="AJ29" s="13"/>
      <c r="AK29" s="13"/>
      <c r="AL29" s="13"/>
      <c r="AM29" s="13"/>
      <c r="AN29" s="13"/>
      <c r="AO29" s="37"/>
      <c r="AP29" s="36"/>
      <c r="AQ29" s="13"/>
      <c r="AR29" s="13"/>
      <c r="AS29" s="13"/>
      <c r="AT29" s="13"/>
      <c r="AU29" s="13"/>
      <c r="AV29" s="37"/>
      <c r="AW29" s="32"/>
      <c r="AX29" s="32"/>
      <c r="AY29" s="43"/>
      <c r="AZ29" s="43"/>
      <c r="BA29" s="32"/>
      <c r="BB29" s="32">
        <f>SUM(O29:BA29)</f>
        <v>2.96</v>
      </c>
      <c r="BC29" t="s">
        <v>30</v>
      </c>
      <c r="BH29" s="19">
        <f t="shared" si="17"/>
        <v>0</v>
      </c>
    </row>
    <row r="30" spans="1:60">
      <c r="A30" s="34" t="s">
        <v>114</v>
      </c>
      <c r="B30" s="13">
        <f t="shared" si="5"/>
        <v>0</v>
      </c>
      <c r="C30" s="13">
        <f t="shared" si="6"/>
        <v>0</v>
      </c>
      <c r="D30" s="13">
        <f t="shared" si="7"/>
        <v>0</v>
      </c>
      <c r="E30" s="13">
        <f t="shared" si="8"/>
        <v>0</v>
      </c>
      <c r="F30" s="13">
        <f t="shared" si="9"/>
        <v>0</v>
      </c>
      <c r="G30" s="13">
        <f t="shared" si="10"/>
        <v>0</v>
      </c>
      <c r="H30" s="13">
        <f t="shared" si="11"/>
        <v>0</v>
      </c>
      <c r="I30" s="13">
        <f t="shared" si="12"/>
        <v>0</v>
      </c>
      <c r="J30" s="13">
        <f t="shared" si="13"/>
        <v>0</v>
      </c>
      <c r="K30" s="13">
        <f t="shared" si="14"/>
        <v>0</v>
      </c>
      <c r="L30" s="13">
        <f t="shared" si="15"/>
        <v>0</v>
      </c>
      <c r="M30" s="13">
        <f>BA29</f>
        <v>0</v>
      </c>
      <c r="N30" s="27">
        <f t="shared" si="3"/>
        <v>0</v>
      </c>
      <c r="O30" s="32"/>
      <c r="P30" s="36"/>
      <c r="Q30" s="37"/>
      <c r="R30" s="62"/>
      <c r="S30" s="36"/>
      <c r="T30" s="13"/>
      <c r="U30" s="13"/>
      <c r="V30" s="13"/>
      <c r="W30" s="27"/>
      <c r="X30" s="36"/>
      <c r="Y30" s="13"/>
      <c r="Z30" s="13"/>
      <c r="AA30" s="13"/>
      <c r="AB30" s="13"/>
      <c r="AC30" s="37"/>
      <c r="AD30" s="30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37"/>
      <c r="AP30" s="36"/>
      <c r="AQ30" s="13"/>
      <c r="AR30" s="13"/>
      <c r="AS30" s="13"/>
      <c r="AT30" s="13"/>
      <c r="AU30" s="13"/>
      <c r="AV30" s="37"/>
      <c r="AW30" s="32"/>
      <c r="AX30" s="32"/>
      <c r="AY30" s="43"/>
      <c r="AZ30" s="43"/>
      <c r="BA30" s="32">
        <v>508.24</v>
      </c>
      <c r="BB30" s="32">
        <f>SUM(O30:BA30)</f>
        <v>508.24</v>
      </c>
      <c r="BC30" t="s">
        <v>15</v>
      </c>
      <c r="BH30" s="19">
        <f t="shared" si="17"/>
        <v>508.24</v>
      </c>
    </row>
    <row r="31" spans="1:60">
      <c r="A31" s="34" t="s">
        <v>92</v>
      </c>
      <c r="B31" s="13">
        <f t="shared" si="5"/>
        <v>0</v>
      </c>
      <c r="C31" s="13">
        <f t="shared" si="6"/>
        <v>0</v>
      </c>
      <c r="D31" s="13">
        <f t="shared" si="7"/>
        <v>0</v>
      </c>
      <c r="E31" s="13">
        <f t="shared" si="8"/>
        <v>23.49</v>
      </c>
      <c r="F31" s="13">
        <f t="shared" si="9"/>
        <v>59.32</v>
      </c>
      <c r="G31" s="13">
        <f t="shared" si="10"/>
        <v>11.959999999999999</v>
      </c>
      <c r="H31" s="13">
        <f t="shared" si="11"/>
        <v>0</v>
      </c>
      <c r="I31" s="13">
        <f t="shared" si="12"/>
        <v>0</v>
      </c>
      <c r="J31" s="13">
        <f t="shared" si="13"/>
        <v>0</v>
      </c>
      <c r="K31" s="13">
        <f t="shared" si="14"/>
        <v>0</v>
      </c>
      <c r="L31" s="13">
        <f t="shared" si="15"/>
        <v>0</v>
      </c>
      <c r="M31" s="13">
        <f>BA30</f>
        <v>508.24</v>
      </c>
      <c r="N31" s="27">
        <f t="shared" si="3"/>
        <v>603.01</v>
      </c>
      <c r="O31" s="32"/>
      <c r="P31" s="36"/>
      <c r="Q31" s="37"/>
      <c r="R31" s="62"/>
      <c r="S31" s="36"/>
      <c r="T31" s="13">
        <v>23.49</v>
      </c>
      <c r="U31" s="13"/>
      <c r="V31" s="13"/>
      <c r="W31" s="27"/>
      <c r="X31" s="36">
        <v>59.32</v>
      </c>
      <c r="Y31" s="11"/>
      <c r="Z31" s="13"/>
      <c r="AA31" s="13"/>
      <c r="AB31" s="13"/>
      <c r="AC31" s="37"/>
      <c r="AD31" s="30">
        <v>1.59</v>
      </c>
      <c r="AE31" s="13">
        <v>10.37</v>
      </c>
      <c r="AF31" s="13"/>
      <c r="AG31" s="13"/>
      <c r="AH31" s="13"/>
      <c r="AI31" s="13"/>
      <c r="AJ31" s="13"/>
      <c r="AK31" s="13"/>
      <c r="AL31" s="13"/>
      <c r="AM31" s="13"/>
      <c r="AN31" s="13"/>
      <c r="AO31" s="37"/>
      <c r="AP31" s="36"/>
      <c r="AQ31" s="13"/>
      <c r="AR31" s="13"/>
      <c r="AS31" s="13"/>
      <c r="AT31" s="13"/>
      <c r="AU31" s="13"/>
      <c r="AV31" s="37"/>
      <c r="AW31" s="32"/>
      <c r="AX31" s="32"/>
      <c r="AY31" s="43"/>
      <c r="AZ31" s="43"/>
      <c r="BA31" s="32"/>
      <c r="BB31" s="32">
        <f t="shared" si="4"/>
        <v>94.77000000000001</v>
      </c>
      <c r="BC31" t="s">
        <v>108</v>
      </c>
      <c r="BD31" t="s">
        <v>115</v>
      </c>
      <c r="BE31" t="s">
        <v>117</v>
      </c>
      <c r="BF31" t="s">
        <v>30</v>
      </c>
      <c r="BH31" s="19">
        <f t="shared" si="17"/>
        <v>-508.24</v>
      </c>
    </row>
    <row r="32" spans="1:60">
      <c r="A32" s="34" t="s">
        <v>90</v>
      </c>
      <c r="B32" s="13">
        <f t="shared" si="5"/>
        <v>0</v>
      </c>
      <c r="C32" s="13">
        <f t="shared" si="6"/>
        <v>0</v>
      </c>
      <c r="D32" s="13">
        <f t="shared" si="7"/>
        <v>0</v>
      </c>
      <c r="E32" s="13">
        <f t="shared" si="8"/>
        <v>0</v>
      </c>
      <c r="F32" s="13">
        <f t="shared" si="9"/>
        <v>52.32</v>
      </c>
      <c r="G32" s="13">
        <f t="shared" si="10"/>
        <v>9.5299999999999994</v>
      </c>
      <c r="H32" s="13">
        <f t="shared" si="11"/>
        <v>0</v>
      </c>
      <c r="I32" s="13">
        <f t="shared" si="12"/>
        <v>0</v>
      </c>
      <c r="J32" s="13">
        <f t="shared" si="13"/>
        <v>0</v>
      </c>
      <c r="K32" s="13">
        <f t="shared" si="14"/>
        <v>0</v>
      </c>
      <c r="L32" s="13">
        <f t="shared" si="15"/>
        <v>0</v>
      </c>
      <c r="M32" s="13">
        <f t="shared" si="16"/>
        <v>0</v>
      </c>
      <c r="N32" s="27">
        <f t="shared" si="3"/>
        <v>61.85</v>
      </c>
      <c r="O32" s="32"/>
      <c r="P32" s="36"/>
      <c r="Q32" s="37"/>
      <c r="R32" s="62"/>
      <c r="S32" s="36"/>
      <c r="T32" s="13"/>
      <c r="U32" s="13"/>
      <c r="V32" s="13"/>
      <c r="W32" s="27"/>
      <c r="X32" s="36"/>
      <c r="Y32" s="13">
        <v>52.32</v>
      </c>
      <c r="Z32" s="13"/>
      <c r="AA32" s="13"/>
      <c r="AB32" s="13"/>
      <c r="AC32" s="37"/>
      <c r="AD32" s="30"/>
      <c r="AE32" s="13">
        <v>9.5299999999999994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37"/>
      <c r="AP32" s="36"/>
      <c r="AQ32" s="13"/>
      <c r="AR32" s="13"/>
      <c r="AS32" s="13"/>
      <c r="AT32" s="13"/>
      <c r="AU32" s="13"/>
      <c r="AV32" s="37"/>
      <c r="AW32" s="32"/>
      <c r="AX32" s="32"/>
      <c r="AY32" s="43"/>
      <c r="AZ32" s="43"/>
      <c r="BA32" s="32"/>
      <c r="BB32" s="32">
        <f t="shared" si="4"/>
        <v>61.85</v>
      </c>
      <c r="BC32" t="s">
        <v>97</v>
      </c>
      <c r="BD32" t="s">
        <v>30</v>
      </c>
      <c r="BH32" s="19">
        <f t="shared" si="17"/>
        <v>0</v>
      </c>
    </row>
    <row r="33" spans="1:60">
      <c r="A33" s="34" t="s">
        <v>61</v>
      </c>
      <c r="B33" s="13">
        <f t="shared" si="5"/>
        <v>0</v>
      </c>
      <c r="C33" s="13">
        <f t="shared" si="6"/>
        <v>0</v>
      </c>
      <c r="D33" s="13">
        <f t="shared" si="7"/>
        <v>0</v>
      </c>
      <c r="E33" s="13">
        <f t="shared" si="8"/>
        <v>0</v>
      </c>
      <c r="F33" s="13">
        <f t="shared" si="9"/>
        <v>0</v>
      </c>
      <c r="G33" s="13">
        <f t="shared" si="10"/>
        <v>0</v>
      </c>
      <c r="H33" s="13">
        <f t="shared" si="11"/>
        <v>0</v>
      </c>
      <c r="I33" s="13">
        <f t="shared" si="12"/>
        <v>0</v>
      </c>
      <c r="J33" s="13">
        <f t="shared" si="13"/>
        <v>0</v>
      </c>
      <c r="K33" s="13">
        <f t="shared" si="14"/>
        <v>0</v>
      </c>
      <c r="L33" s="13">
        <f t="shared" si="15"/>
        <v>100</v>
      </c>
      <c r="M33" s="13">
        <f t="shared" si="16"/>
        <v>0</v>
      </c>
      <c r="N33" s="27">
        <f t="shared" si="3"/>
        <v>100</v>
      </c>
      <c r="O33" s="32"/>
      <c r="P33" s="36"/>
      <c r="Q33" s="37"/>
      <c r="R33" s="62"/>
      <c r="S33" s="36"/>
      <c r="T33" s="13"/>
      <c r="U33" s="13"/>
      <c r="V33" s="13"/>
      <c r="W33" s="27"/>
      <c r="X33" s="36"/>
      <c r="Y33" s="13"/>
      <c r="Z33" s="13"/>
      <c r="AA33" s="13"/>
      <c r="AB33" s="13"/>
      <c r="AC33" s="37"/>
      <c r="AD33" s="30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37"/>
      <c r="AP33" s="36"/>
      <c r="AQ33" s="13"/>
      <c r="AR33" s="13"/>
      <c r="AS33" s="13"/>
      <c r="AT33" s="13"/>
      <c r="AU33" s="13"/>
      <c r="AV33" s="37"/>
      <c r="AW33" s="32"/>
      <c r="AX33" s="32"/>
      <c r="AY33" s="43"/>
      <c r="AZ33" s="43">
        <v>100</v>
      </c>
      <c r="BA33" s="32">
        <v>21.6</v>
      </c>
      <c r="BB33" s="32">
        <f t="shared" si="4"/>
        <v>121.6</v>
      </c>
      <c r="BC33" t="s">
        <v>29</v>
      </c>
      <c r="BD33" t="s">
        <v>134</v>
      </c>
      <c r="BH33" s="19">
        <f t="shared" si="17"/>
        <v>21.599999999999994</v>
      </c>
    </row>
    <row r="34" spans="1:60">
      <c r="A34" s="34" t="s">
        <v>95</v>
      </c>
      <c r="B34" s="13">
        <f t="shared" si="5"/>
        <v>0</v>
      </c>
      <c r="C34" s="13">
        <f t="shared" si="6"/>
        <v>0</v>
      </c>
      <c r="D34" s="13">
        <f t="shared" si="7"/>
        <v>0</v>
      </c>
      <c r="E34" s="13">
        <f t="shared" si="8"/>
        <v>0</v>
      </c>
      <c r="F34" s="13">
        <f t="shared" si="9"/>
        <v>0</v>
      </c>
      <c r="G34" s="13">
        <f t="shared" si="10"/>
        <v>23.5</v>
      </c>
      <c r="H34" s="13">
        <f t="shared" si="11"/>
        <v>0</v>
      </c>
      <c r="I34" s="13">
        <f t="shared" si="12"/>
        <v>0</v>
      </c>
      <c r="J34" s="13">
        <f t="shared" si="13"/>
        <v>0</v>
      </c>
      <c r="K34" s="13">
        <f t="shared" si="14"/>
        <v>0</v>
      </c>
      <c r="L34" s="13">
        <f t="shared" si="15"/>
        <v>0</v>
      </c>
      <c r="M34" s="13">
        <f t="shared" si="16"/>
        <v>21.6</v>
      </c>
      <c r="N34" s="27">
        <f t="shared" si="3"/>
        <v>45.1</v>
      </c>
      <c r="O34" s="32"/>
      <c r="P34" s="36"/>
      <c r="Q34" s="37"/>
      <c r="R34" s="62"/>
      <c r="S34" s="36"/>
      <c r="T34" s="13"/>
      <c r="U34" s="13"/>
      <c r="V34" s="13"/>
      <c r="W34" s="27"/>
      <c r="X34" s="36"/>
      <c r="Y34" s="13"/>
      <c r="Z34" s="13"/>
      <c r="AA34" s="13"/>
      <c r="AB34" s="13"/>
      <c r="AC34" s="37"/>
      <c r="AD34" s="30"/>
      <c r="AE34" s="13"/>
      <c r="AF34" s="13">
        <v>6.56</v>
      </c>
      <c r="AG34" s="13"/>
      <c r="AH34" s="13">
        <v>16.940000000000001</v>
      </c>
      <c r="AI34" s="13"/>
      <c r="AJ34" s="13"/>
      <c r="AK34" s="13"/>
      <c r="AL34" s="13"/>
      <c r="AM34" s="13"/>
      <c r="AN34" s="13"/>
      <c r="AO34" s="37"/>
      <c r="AP34" s="36"/>
      <c r="AQ34" s="13"/>
      <c r="AR34" s="13"/>
      <c r="AS34" s="13"/>
      <c r="AT34" s="13"/>
      <c r="AU34" s="13"/>
      <c r="AV34" s="37"/>
      <c r="AW34" s="32"/>
      <c r="AX34" s="32"/>
      <c r="AY34" s="42"/>
      <c r="AZ34" s="43"/>
      <c r="BA34" s="32"/>
      <c r="BB34" s="32">
        <f t="shared" si="4"/>
        <v>23.5</v>
      </c>
      <c r="BC34" t="s">
        <v>28</v>
      </c>
      <c r="BD34" t="s">
        <v>0</v>
      </c>
      <c r="BH34" s="19">
        <f t="shared" si="17"/>
        <v>-21.6</v>
      </c>
    </row>
    <row r="35" spans="1:60">
      <c r="A35" s="34" t="s">
        <v>96</v>
      </c>
      <c r="B35" s="13">
        <f t="shared" si="5"/>
        <v>0</v>
      </c>
      <c r="C35" s="13">
        <f t="shared" si="6"/>
        <v>0</v>
      </c>
      <c r="D35" s="13">
        <f t="shared" si="7"/>
        <v>0</v>
      </c>
      <c r="E35" s="13">
        <f t="shared" si="8"/>
        <v>0</v>
      </c>
      <c r="F35" s="13">
        <f t="shared" si="9"/>
        <v>40.040000000000006</v>
      </c>
      <c r="G35" s="13">
        <f t="shared" si="10"/>
        <v>8.18</v>
      </c>
      <c r="H35" s="13">
        <f t="shared" si="11"/>
        <v>0</v>
      </c>
      <c r="I35" s="13">
        <f t="shared" si="12"/>
        <v>0</v>
      </c>
      <c r="J35" s="13">
        <f t="shared" si="13"/>
        <v>0</v>
      </c>
      <c r="K35" s="13">
        <f t="shared" si="14"/>
        <v>33.24</v>
      </c>
      <c r="L35" s="13">
        <f t="shared" si="15"/>
        <v>0</v>
      </c>
      <c r="M35" s="13">
        <f t="shared" si="16"/>
        <v>0</v>
      </c>
      <c r="N35" s="27">
        <f t="shared" si="3"/>
        <v>81.460000000000008</v>
      </c>
      <c r="O35" s="32"/>
      <c r="P35" s="36"/>
      <c r="Q35" s="37"/>
      <c r="R35" s="62"/>
      <c r="S35" s="36"/>
      <c r="T35" s="13"/>
      <c r="U35" s="13"/>
      <c r="V35" s="13"/>
      <c r="W35" s="27"/>
      <c r="X35" s="36"/>
      <c r="Y35" s="13">
        <v>40.040000000000006</v>
      </c>
      <c r="Z35" s="13"/>
      <c r="AA35" s="13"/>
      <c r="AB35" s="13"/>
      <c r="AC35" s="37"/>
      <c r="AD35" s="30"/>
      <c r="AE35" s="13"/>
      <c r="AF35" s="13">
        <v>8.18</v>
      </c>
      <c r="AG35" s="13"/>
      <c r="AH35" s="13"/>
      <c r="AI35" s="13"/>
      <c r="AJ35" s="13"/>
      <c r="AK35" s="13"/>
      <c r="AL35" s="13"/>
      <c r="AM35" s="13"/>
      <c r="AN35" s="13"/>
      <c r="AO35" s="37"/>
      <c r="AP35" s="36"/>
      <c r="AQ35" s="13"/>
      <c r="AR35" s="13"/>
      <c r="AS35" s="13"/>
      <c r="AT35" s="13"/>
      <c r="AU35" s="13"/>
      <c r="AV35" s="37"/>
      <c r="AW35" s="32"/>
      <c r="AX35" s="32"/>
      <c r="AY35" s="43">
        <v>33.24</v>
      </c>
      <c r="AZ35" s="43"/>
      <c r="BA35" s="32"/>
      <c r="BB35" s="32">
        <f t="shared" si="4"/>
        <v>81.460000000000008</v>
      </c>
      <c r="BC35" t="s">
        <v>97</v>
      </c>
      <c r="BD35" t="s">
        <v>26</v>
      </c>
      <c r="BE35" t="s">
        <v>27</v>
      </c>
      <c r="BF35" t="s">
        <v>0</v>
      </c>
      <c r="BH35" s="19">
        <f t="shared" si="17"/>
        <v>0</v>
      </c>
    </row>
    <row r="36" spans="1:60" ht="15" thickBot="1">
      <c r="A36" s="34" t="s">
        <v>110</v>
      </c>
      <c r="B36" s="13">
        <f t="shared" si="5"/>
        <v>0</v>
      </c>
      <c r="C36" s="13">
        <f t="shared" si="6"/>
        <v>28.31</v>
      </c>
      <c r="D36" s="13">
        <f t="shared" si="7"/>
        <v>0</v>
      </c>
      <c r="E36" s="13">
        <f t="shared" si="8"/>
        <v>0</v>
      </c>
      <c r="F36" s="13">
        <f>SUM(X36:AC36)</f>
        <v>29.61</v>
      </c>
      <c r="G36" s="13">
        <f t="shared" si="10"/>
        <v>0</v>
      </c>
      <c r="H36" s="13">
        <f t="shared" si="11"/>
        <v>0</v>
      </c>
      <c r="I36" s="13">
        <f t="shared" si="12"/>
        <v>0</v>
      </c>
      <c r="J36" s="13">
        <f t="shared" si="13"/>
        <v>298.37</v>
      </c>
      <c r="K36" s="13">
        <f t="shared" si="14"/>
        <v>5.99</v>
      </c>
      <c r="L36" s="13">
        <f t="shared" si="15"/>
        <v>0</v>
      </c>
      <c r="M36" s="13">
        <f t="shared" si="16"/>
        <v>0</v>
      </c>
      <c r="N36" s="27">
        <f t="shared" si="3"/>
        <v>362.28000000000003</v>
      </c>
      <c r="O36" s="32"/>
      <c r="P36" s="36"/>
      <c r="Q36" s="37">
        <v>28.31</v>
      </c>
      <c r="R36" s="62"/>
      <c r="S36" s="36"/>
      <c r="T36" s="13"/>
      <c r="U36" s="13"/>
      <c r="V36" s="13"/>
      <c r="W36" s="27"/>
      <c r="X36" s="36"/>
      <c r="Y36" s="13"/>
      <c r="Z36" s="13"/>
      <c r="AA36" s="13"/>
      <c r="AB36" s="13"/>
      <c r="AC36" s="51">
        <f>27.06+2.55</f>
        <v>29.61</v>
      </c>
      <c r="AD36" s="30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37"/>
      <c r="AP36" s="36"/>
      <c r="AQ36" s="13"/>
      <c r="AR36" s="13"/>
      <c r="AS36" s="13"/>
      <c r="AT36" s="13"/>
      <c r="AU36" s="13"/>
      <c r="AV36" s="37"/>
      <c r="AW36" s="32"/>
      <c r="AX36" s="32">
        <v>298.37</v>
      </c>
      <c r="AY36" s="43">
        <v>5.99</v>
      </c>
      <c r="AZ36" s="43"/>
      <c r="BA36" s="32"/>
      <c r="BB36" s="32">
        <f t="shared" si="4"/>
        <v>362.28000000000003</v>
      </c>
      <c r="BC36" t="s">
        <v>133</v>
      </c>
      <c r="BD36" t="s">
        <v>170</v>
      </c>
      <c r="BE36" t="s">
        <v>234</v>
      </c>
      <c r="BH36" s="19">
        <f t="shared" si="17"/>
        <v>0</v>
      </c>
    </row>
    <row r="37" spans="1:60" ht="15" thickBot="1">
      <c r="A37" s="34" t="s">
        <v>111</v>
      </c>
      <c r="B37" s="13">
        <f t="shared" si="5"/>
        <v>0</v>
      </c>
      <c r="C37" s="13">
        <f t="shared" si="6"/>
        <v>0</v>
      </c>
      <c r="D37" s="13">
        <f t="shared" si="7"/>
        <v>0</v>
      </c>
      <c r="E37" s="13">
        <f t="shared" si="8"/>
        <v>22.84</v>
      </c>
      <c r="F37" s="13">
        <f t="shared" si="9"/>
        <v>59.6</v>
      </c>
      <c r="G37" s="13">
        <f t="shared" si="10"/>
        <v>11.64</v>
      </c>
      <c r="H37" s="13">
        <f t="shared" si="11"/>
        <v>0</v>
      </c>
      <c r="I37" s="13">
        <f t="shared" si="12"/>
        <v>0</v>
      </c>
      <c r="J37" s="13">
        <f t="shared" si="13"/>
        <v>0</v>
      </c>
      <c r="K37" s="13">
        <f t="shared" si="14"/>
        <v>0</v>
      </c>
      <c r="L37" s="13">
        <f t="shared" si="15"/>
        <v>0</v>
      </c>
      <c r="M37" s="13">
        <f t="shared" si="16"/>
        <v>0</v>
      </c>
      <c r="N37" s="27">
        <f t="shared" si="3"/>
        <v>94.08</v>
      </c>
      <c r="O37" s="41"/>
      <c r="P37" s="49"/>
      <c r="Q37" s="51"/>
      <c r="R37" s="62"/>
      <c r="S37" s="49"/>
      <c r="T37" s="50">
        <v>22.84</v>
      </c>
      <c r="U37" s="50"/>
      <c r="V37" s="50"/>
      <c r="W37" s="53"/>
      <c r="X37" s="49">
        <v>59.6</v>
      </c>
      <c r="Y37" s="50"/>
      <c r="Z37" s="50"/>
      <c r="AA37" s="50"/>
      <c r="AB37" s="50"/>
      <c r="AD37" s="30">
        <v>1.59</v>
      </c>
      <c r="AE37" s="13">
        <f>1.58+8.47</f>
        <v>10.050000000000001</v>
      </c>
      <c r="AF37" s="13"/>
      <c r="AG37" s="13"/>
      <c r="AH37" s="13"/>
      <c r="AI37" s="13"/>
      <c r="AJ37" s="13"/>
      <c r="AK37" s="13"/>
      <c r="AL37" s="13"/>
      <c r="AM37" s="13"/>
      <c r="AN37" s="13"/>
      <c r="AO37" s="37"/>
      <c r="AP37" s="36"/>
      <c r="AQ37" s="13"/>
      <c r="AR37" s="13"/>
      <c r="AS37" s="13"/>
      <c r="AT37" s="13"/>
      <c r="AU37" s="13"/>
      <c r="AV37" s="37"/>
      <c r="AW37" s="32"/>
      <c r="AX37" s="32"/>
      <c r="AY37" s="43"/>
      <c r="AZ37" s="43"/>
      <c r="BA37" s="32"/>
      <c r="BB37" s="32">
        <f t="shared" si="4"/>
        <v>94.08</v>
      </c>
      <c r="BH37" s="19">
        <f t="shared" si="17"/>
        <v>0</v>
      </c>
    </row>
    <row r="38" spans="1:60" ht="15" thickBot="1">
      <c r="A38" s="58" t="s">
        <v>119</v>
      </c>
      <c r="B38" s="40">
        <f>SUM(B7:B37)</f>
        <v>1478.95</v>
      </c>
      <c r="C38" s="40">
        <f t="shared" ref="C38:N38" si="18">SUM(C7:C37)</f>
        <v>80.73</v>
      </c>
      <c r="D38" s="40">
        <f t="shared" si="18"/>
        <v>56.2</v>
      </c>
      <c r="E38" s="40">
        <f t="shared" si="18"/>
        <v>150.28</v>
      </c>
      <c r="F38" s="40">
        <f t="shared" si="18"/>
        <v>817.67000000000007</v>
      </c>
      <c r="G38" s="40">
        <f t="shared" si="18"/>
        <v>319.90999999999997</v>
      </c>
      <c r="H38" s="40">
        <f t="shared" si="18"/>
        <v>56.05</v>
      </c>
      <c r="I38" s="40">
        <f t="shared" si="18"/>
        <v>300</v>
      </c>
      <c r="J38" s="40">
        <f t="shared" si="18"/>
        <v>333.81</v>
      </c>
      <c r="K38" s="40">
        <f t="shared" si="18"/>
        <v>67.400000000000006</v>
      </c>
      <c r="L38" s="40">
        <f>SUM(L8:L37)</f>
        <v>100</v>
      </c>
      <c r="M38" s="40"/>
      <c r="N38" s="39">
        <f t="shared" si="18"/>
        <v>4300.829999999999</v>
      </c>
      <c r="O38" s="61">
        <f>SUM(O7:O37)</f>
        <v>1478.95</v>
      </c>
      <c r="P38" s="47">
        <f t="shared" ref="P38:BA38" si="19">SUM(P7:P37)</f>
        <v>52.42</v>
      </c>
      <c r="Q38" s="54">
        <f t="shared" si="19"/>
        <v>28.31</v>
      </c>
      <c r="R38" s="33">
        <f t="shared" si="19"/>
        <v>56.2</v>
      </c>
      <c r="S38" s="47">
        <f t="shared" si="19"/>
        <v>0</v>
      </c>
      <c r="T38" s="48">
        <f t="shared" si="19"/>
        <v>129.77999999999997</v>
      </c>
      <c r="U38" s="48">
        <f t="shared" si="19"/>
        <v>15.24</v>
      </c>
      <c r="V38" s="48">
        <f t="shared" si="19"/>
        <v>5.26</v>
      </c>
      <c r="W38" s="48">
        <f t="shared" si="19"/>
        <v>0</v>
      </c>
      <c r="X38" s="48">
        <f t="shared" si="19"/>
        <v>242.74999999999997</v>
      </c>
      <c r="Y38" s="48">
        <f t="shared" si="19"/>
        <v>141.72000000000003</v>
      </c>
      <c r="Z38" s="48">
        <f t="shared" si="19"/>
        <v>96.23</v>
      </c>
      <c r="AA38" s="48">
        <f t="shared" si="19"/>
        <v>25.33</v>
      </c>
      <c r="AB38" s="48">
        <f t="shared" si="19"/>
        <v>180.45</v>
      </c>
      <c r="AC38" s="54">
        <f>SUM(AC7:AC36)</f>
        <v>131.19</v>
      </c>
      <c r="AD38" s="38">
        <f t="shared" si="19"/>
        <v>6.36</v>
      </c>
      <c r="AE38" s="40">
        <f t="shared" si="19"/>
        <v>94.77</v>
      </c>
      <c r="AF38" s="40">
        <f t="shared" si="19"/>
        <v>55.190000000000005</v>
      </c>
      <c r="AG38" s="40">
        <f t="shared" si="19"/>
        <v>28.39</v>
      </c>
      <c r="AH38" s="40">
        <f t="shared" si="19"/>
        <v>23.29</v>
      </c>
      <c r="AI38" s="40">
        <f t="shared" si="19"/>
        <v>0</v>
      </c>
      <c r="AJ38" s="40">
        <f t="shared" si="19"/>
        <v>0</v>
      </c>
      <c r="AK38" s="40">
        <f t="shared" si="19"/>
        <v>0</v>
      </c>
      <c r="AL38" s="40">
        <f t="shared" si="19"/>
        <v>0</v>
      </c>
      <c r="AM38" s="40">
        <f t="shared" si="19"/>
        <v>43</v>
      </c>
      <c r="AN38" s="40">
        <f t="shared" si="19"/>
        <v>68.91</v>
      </c>
      <c r="AO38" s="39">
        <f t="shared" si="19"/>
        <v>0</v>
      </c>
      <c r="AP38" s="38">
        <f t="shared" si="19"/>
        <v>0</v>
      </c>
      <c r="AQ38" s="40">
        <f t="shared" si="19"/>
        <v>0</v>
      </c>
      <c r="AR38" s="40">
        <f t="shared" si="19"/>
        <v>0</v>
      </c>
      <c r="AS38" s="40">
        <f t="shared" si="19"/>
        <v>0</v>
      </c>
      <c r="AT38" s="40">
        <f t="shared" si="19"/>
        <v>5</v>
      </c>
      <c r="AU38" s="40">
        <f t="shared" si="19"/>
        <v>26</v>
      </c>
      <c r="AV38" s="39">
        <f t="shared" si="19"/>
        <v>25.05</v>
      </c>
      <c r="AW38" s="33">
        <f t="shared" si="19"/>
        <v>300</v>
      </c>
      <c r="AX38" s="33">
        <f t="shared" si="19"/>
        <v>333.81</v>
      </c>
      <c r="AY38" s="44">
        <f t="shared" si="19"/>
        <v>67.400000000000006</v>
      </c>
      <c r="AZ38" s="44">
        <f t="shared" si="19"/>
        <v>100</v>
      </c>
      <c r="BA38" s="33">
        <f t="shared" si="19"/>
        <v>539.83000000000004</v>
      </c>
      <c r="BB38" s="45">
        <f>SUM(BB6:BB37)</f>
        <v>4300.83</v>
      </c>
      <c r="BC38" s="19">
        <f>SUM(O38:BA38)</f>
        <v>4300.83</v>
      </c>
    </row>
    <row r="39" spans="1:60">
      <c r="A39" s="16" t="s">
        <v>122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56">
        <f>K4-N38</f>
        <v>524.41000000000076</v>
      </c>
      <c r="O39" s="19">
        <f>SUM(N7:N37)</f>
        <v>4300.829999999999</v>
      </c>
      <c r="BC39" s="28">
        <f>BC38-BB38</f>
        <v>0</v>
      </c>
    </row>
    <row r="40" spans="1:6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8">
        <f>N38-O39</f>
        <v>0</v>
      </c>
      <c r="BC40" t="s">
        <v>380</v>
      </c>
    </row>
    <row r="41" spans="1:60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t="s">
        <v>379</v>
      </c>
    </row>
    <row r="42" spans="1:60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60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60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60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60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60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</sheetData>
  <mergeCells count="5">
    <mergeCell ref="AP5:AV5"/>
    <mergeCell ref="X5:AC5"/>
    <mergeCell ref="S5:W5"/>
    <mergeCell ref="P5:Q5"/>
    <mergeCell ref="AD5:AO5"/>
  </mergeCells>
  <phoneticPr fontId="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126C-3A2D-4AE5-89E7-69B79926275B}">
  <dimension ref="A1:T48"/>
  <sheetViews>
    <sheetView zoomScale="70" zoomScaleNormal="70" workbookViewId="0">
      <selection activeCell="C32" sqref="C32"/>
    </sheetView>
  </sheetViews>
  <sheetFormatPr defaultRowHeight="14.4"/>
  <cols>
    <col min="1" max="1" width="10.44140625" bestFit="1" customWidth="1"/>
    <col min="2" max="2" width="12.44140625" bestFit="1" customWidth="1"/>
    <col min="3" max="3" width="17.6640625" bestFit="1" customWidth="1"/>
    <col min="4" max="4" width="17.109375" bestFit="1" customWidth="1"/>
    <col min="5" max="6" width="12.33203125" bestFit="1" customWidth="1"/>
    <col min="7" max="7" width="12.77734375" bestFit="1" customWidth="1"/>
    <col min="8" max="8" width="20" bestFit="1" customWidth="1"/>
    <col min="9" max="10" width="12.44140625" bestFit="1" customWidth="1"/>
    <col min="11" max="11" width="23.44140625" bestFit="1" customWidth="1"/>
    <col min="12" max="14" width="16" customWidth="1"/>
    <col min="15" max="15" width="23.44140625" bestFit="1" customWidth="1"/>
    <col min="16" max="16" width="20.109375" bestFit="1" customWidth="1"/>
    <col min="17" max="17" width="22.21875" bestFit="1" customWidth="1"/>
    <col min="18" max="18" width="16" bestFit="1" customWidth="1"/>
    <col min="19" max="19" width="13.33203125" bestFit="1" customWidth="1"/>
  </cols>
  <sheetData>
    <row r="1" spans="1:19">
      <c r="A1" s="14" t="s">
        <v>56</v>
      </c>
      <c r="B1" s="14" t="s">
        <v>59</v>
      </c>
      <c r="C1" s="14" t="s">
        <v>5</v>
      </c>
      <c r="D1" s="14" t="s">
        <v>6</v>
      </c>
      <c r="E1" s="14" t="s">
        <v>7</v>
      </c>
      <c r="F1" s="14" t="s">
        <v>10</v>
      </c>
      <c r="G1" s="14" t="s">
        <v>8</v>
      </c>
      <c r="H1" s="14" t="s">
        <v>9</v>
      </c>
      <c r="I1" s="14" t="s">
        <v>11</v>
      </c>
      <c r="J1" s="14" t="s">
        <v>12</v>
      </c>
      <c r="K1" s="14" t="s">
        <v>60</v>
      </c>
      <c r="L1" s="17"/>
      <c r="M1" s="17"/>
      <c r="N1" s="17"/>
      <c r="O1" s="17" t="s">
        <v>69</v>
      </c>
    </row>
    <row r="2" spans="1:19">
      <c r="A2" s="11" t="s">
        <v>163</v>
      </c>
      <c r="B2" s="12">
        <v>3043.08</v>
      </c>
      <c r="C2" s="13">
        <f>Scatch!B3</f>
        <v>23.08</v>
      </c>
      <c r="D2" s="13">
        <f>Scatch!B4</f>
        <v>-2.41</v>
      </c>
      <c r="E2" s="13">
        <f>Scatch!B5</f>
        <v>-8.01</v>
      </c>
      <c r="F2" s="13">
        <v>-304.31</v>
      </c>
      <c r="G2" s="13">
        <f>Scatch!B7</f>
        <v>-5.38</v>
      </c>
      <c r="H2" s="13">
        <f>Scatch!B8</f>
        <v>-12.26</v>
      </c>
      <c r="I2" s="13">
        <v>-110.21</v>
      </c>
      <c r="J2" s="13">
        <v>-300.98</v>
      </c>
      <c r="K2" s="13">
        <f>B2+C2+D2+E2+F2+G2+H2+I2+J2</f>
        <v>2322.5999999999995</v>
      </c>
      <c r="L2" s="18"/>
      <c r="M2" s="18"/>
      <c r="N2" s="18"/>
    </row>
    <row r="3" spans="1:19">
      <c r="A3" s="11" t="s">
        <v>149</v>
      </c>
      <c r="B3" s="12">
        <f>3043.08+1614.79+377.65</f>
        <v>5035.5199999999995</v>
      </c>
      <c r="C3" s="13">
        <f>Scatch!C3</f>
        <v>23.08</v>
      </c>
      <c r="D3" s="13">
        <f>Scatch!C4</f>
        <v>-2.41</v>
      </c>
      <c r="E3" s="13">
        <f>Scatch!C5</f>
        <v>-8.01</v>
      </c>
      <c r="F3" s="13">
        <v>-304.31</v>
      </c>
      <c r="G3" s="13">
        <f>Scatch!C7</f>
        <v>-5.38</v>
      </c>
      <c r="H3" s="13">
        <f>Scatch!C8</f>
        <v>-12.26</v>
      </c>
      <c r="I3" s="13">
        <v>-107.38</v>
      </c>
      <c r="J3" s="13">
        <v>-300.98</v>
      </c>
      <c r="K3" s="13">
        <f t="shared" ref="K3:K4" si="0">B3+C3+D3+E3+F3+G3+H3+I3+J3</f>
        <v>4317.869999999999</v>
      </c>
      <c r="L3" s="18"/>
      <c r="M3" s="18"/>
      <c r="N3" s="18"/>
    </row>
    <row r="4" spans="1:19">
      <c r="A4" s="11" t="s">
        <v>135</v>
      </c>
      <c r="B4" s="15">
        <f>3043.08-43.88-187.63</f>
        <v>2811.5699999999997</v>
      </c>
      <c r="C4" s="15">
        <v>23.08</v>
      </c>
      <c r="D4" s="13">
        <v>-2.41</v>
      </c>
      <c r="E4" s="13">
        <v>-8.01</v>
      </c>
      <c r="F4" s="13">
        <v>0</v>
      </c>
      <c r="G4" s="13">
        <v>-5.38</v>
      </c>
      <c r="H4" s="13">
        <v>-12.26</v>
      </c>
      <c r="I4" s="15">
        <v>-122.53</v>
      </c>
      <c r="J4" s="15">
        <v>-367.92</v>
      </c>
      <c r="K4" s="13">
        <f t="shared" si="0"/>
        <v>2316.139999999999</v>
      </c>
      <c r="L4" s="18"/>
      <c r="M4" s="18"/>
      <c r="N4" s="18"/>
    </row>
    <row r="5" spans="1:19">
      <c r="A5" s="11"/>
      <c r="B5" s="11"/>
      <c r="C5" s="11"/>
      <c r="D5" s="11"/>
      <c r="E5" s="11"/>
      <c r="F5" s="11"/>
      <c r="G5" s="11"/>
      <c r="H5" s="11"/>
      <c r="I5" s="11"/>
      <c r="J5" s="11"/>
      <c r="K5" s="15">
        <f>SUM(K2:K4)</f>
        <v>8956.6099999999969</v>
      </c>
    </row>
    <row r="6" spans="1:19">
      <c r="A6" s="16"/>
      <c r="B6" s="17" t="s">
        <v>65</v>
      </c>
      <c r="C6" s="17" t="s">
        <v>66</v>
      </c>
      <c r="D6" s="21" t="s">
        <v>67</v>
      </c>
      <c r="E6" s="21" t="s">
        <v>72</v>
      </c>
      <c r="F6" s="17" t="s">
        <v>64</v>
      </c>
      <c r="G6" s="17" t="s">
        <v>74</v>
      </c>
      <c r="H6" s="17" t="s">
        <v>79</v>
      </c>
      <c r="I6" s="17" t="s">
        <v>68</v>
      </c>
      <c r="J6" s="17" t="s">
        <v>70</v>
      </c>
      <c r="K6" s="21" t="s">
        <v>94</v>
      </c>
      <c r="L6" s="21" t="s">
        <v>118</v>
      </c>
      <c r="M6" s="21" t="s">
        <v>121</v>
      </c>
      <c r="N6" s="21" t="s">
        <v>119</v>
      </c>
    </row>
    <row r="7" spans="1:19">
      <c r="A7" s="11" t="s">
        <v>135</v>
      </c>
      <c r="B7" s="13"/>
      <c r="C7" s="13"/>
      <c r="D7" s="13"/>
      <c r="E7" s="13"/>
      <c r="F7" s="13"/>
      <c r="G7" s="13">
        <v>10.39</v>
      </c>
      <c r="H7" s="13">
        <f>12.72</f>
        <v>12.72</v>
      </c>
      <c r="I7" s="13"/>
      <c r="J7" s="13">
        <v>49</v>
      </c>
      <c r="K7" s="13"/>
      <c r="L7" s="11"/>
      <c r="M7" s="13"/>
      <c r="N7" s="13">
        <f>SUM(B7:M7)</f>
        <v>72.11</v>
      </c>
      <c r="O7" t="s">
        <v>17</v>
      </c>
      <c r="P7" t="s">
        <v>176</v>
      </c>
      <c r="Q7" t="s">
        <v>177</v>
      </c>
    </row>
    <row r="8" spans="1:19">
      <c r="A8" s="11" t="s">
        <v>136</v>
      </c>
      <c r="B8" s="11"/>
      <c r="C8" s="11"/>
      <c r="D8" s="11"/>
      <c r="E8" s="11"/>
      <c r="F8" s="11">
        <v>31.22</v>
      </c>
      <c r="G8" s="11"/>
      <c r="H8" s="11">
        <v>15.89</v>
      </c>
      <c r="I8" s="11"/>
      <c r="J8" s="11"/>
      <c r="K8" s="11"/>
      <c r="L8" s="11"/>
      <c r="M8" s="11">
        <v>24</v>
      </c>
      <c r="N8" s="13">
        <f>SUM(B8:M8)</f>
        <v>71.11</v>
      </c>
      <c r="O8" t="s">
        <v>26</v>
      </c>
      <c r="P8" t="s">
        <v>178</v>
      </c>
      <c r="Q8" t="s">
        <v>179</v>
      </c>
    </row>
    <row r="9" spans="1:19">
      <c r="A9" s="11" t="s">
        <v>137</v>
      </c>
      <c r="B9" s="13"/>
      <c r="C9" s="13"/>
      <c r="D9" s="13"/>
      <c r="E9" s="13"/>
      <c r="F9" s="13"/>
      <c r="G9" s="13"/>
      <c r="H9" s="13">
        <f>46.3+26</f>
        <v>72.3</v>
      </c>
      <c r="I9" s="13"/>
      <c r="J9" s="13"/>
      <c r="K9" s="13"/>
      <c r="L9" s="13"/>
      <c r="M9" s="13"/>
      <c r="N9" s="13">
        <f t="shared" ref="N9:N37" si="1">SUM(B9:M9)</f>
        <v>72.3</v>
      </c>
      <c r="O9" t="s">
        <v>180</v>
      </c>
      <c r="P9" t="s">
        <v>181</v>
      </c>
    </row>
    <row r="10" spans="1:19">
      <c r="A10" s="11" t="s">
        <v>138</v>
      </c>
      <c r="B10" s="13"/>
      <c r="C10" s="13"/>
      <c r="D10" s="13"/>
      <c r="E10" s="13"/>
      <c r="F10" s="13"/>
      <c r="G10" s="13"/>
      <c r="H10" s="11">
        <v>22.26</v>
      </c>
      <c r="I10" s="13"/>
      <c r="J10" s="13"/>
      <c r="K10" s="13"/>
      <c r="L10" s="13"/>
      <c r="M10" s="13"/>
      <c r="N10" s="13">
        <f>SUM(B10:M10)</f>
        <v>22.26</v>
      </c>
      <c r="O10" t="s">
        <v>182</v>
      </c>
    </row>
    <row r="11" spans="1:19">
      <c r="A11" s="11" t="s">
        <v>139</v>
      </c>
      <c r="B11" s="13">
        <v>1567.66</v>
      </c>
      <c r="C11" s="13"/>
      <c r="D11" s="13"/>
      <c r="E11" s="13">
        <v>20.28</v>
      </c>
      <c r="F11" s="13"/>
      <c r="G11" s="13"/>
      <c r="H11" s="13"/>
      <c r="I11" s="13"/>
      <c r="J11" s="13"/>
      <c r="K11" s="13">
        <v>3.17</v>
      </c>
      <c r="L11" s="13"/>
      <c r="M11" s="13">
        <v>40</v>
      </c>
      <c r="N11" s="13">
        <f>SUM(B11:M11)</f>
        <v>1631.1100000000001</v>
      </c>
      <c r="O11" t="s">
        <v>165</v>
      </c>
      <c r="P11" t="s">
        <v>166</v>
      </c>
      <c r="Q11" t="s">
        <v>167</v>
      </c>
      <c r="R11" t="s">
        <v>183</v>
      </c>
    </row>
    <row r="12" spans="1:19">
      <c r="A12" s="11" t="s">
        <v>140</v>
      </c>
      <c r="B12" s="13"/>
      <c r="C12" s="13">
        <f>45+83.16</f>
        <v>128.16</v>
      </c>
      <c r="D12" s="11"/>
      <c r="E12" s="13"/>
      <c r="F12" s="13">
        <v>15.84</v>
      </c>
      <c r="G12" s="13"/>
      <c r="H12" s="13">
        <v>15</v>
      </c>
      <c r="I12" s="13"/>
      <c r="J12" s="13"/>
      <c r="K12" s="13"/>
      <c r="L12" s="13"/>
      <c r="M12" s="13"/>
      <c r="N12" s="13">
        <f t="shared" si="1"/>
        <v>159</v>
      </c>
      <c r="O12" t="s">
        <v>168</v>
      </c>
      <c r="P12" t="s">
        <v>184</v>
      </c>
      <c r="Q12" t="s">
        <v>26</v>
      </c>
      <c r="R12" t="s">
        <v>21</v>
      </c>
    </row>
    <row r="13" spans="1:19">
      <c r="A13" s="11" t="s">
        <v>141</v>
      </c>
      <c r="B13" s="13"/>
      <c r="C13" s="13">
        <v>20.69</v>
      </c>
      <c r="D13" s="13"/>
      <c r="E13" s="13">
        <v>19.55</v>
      </c>
      <c r="F13" s="13">
        <v>16.920000000000002</v>
      </c>
      <c r="G13" s="13"/>
      <c r="H13" s="13">
        <f>2.11+2.64+6.87</f>
        <v>11.620000000000001</v>
      </c>
      <c r="I13" s="13"/>
      <c r="J13" s="13"/>
      <c r="K13" s="13">
        <v>7.83</v>
      </c>
      <c r="L13" s="13"/>
      <c r="M13" s="13"/>
      <c r="N13" s="13">
        <f t="shared" si="1"/>
        <v>76.61</v>
      </c>
      <c r="O13" t="s">
        <v>169</v>
      </c>
      <c r="P13" t="s">
        <v>30</v>
      </c>
      <c r="Q13" t="s">
        <v>133</v>
      </c>
      <c r="R13" t="s">
        <v>185</v>
      </c>
      <c r="S13" t="s">
        <v>26</v>
      </c>
    </row>
    <row r="14" spans="1:19">
      <c r="A14" s="11" t="s">
        <v>142</v>
      </c>
      <c r="B14" s="13"/>
      <c r="C14" s="11"/>
      <c r="D14" s="13"/>
      <c r="E14" s="13"/>
      <c r="F14" s="13">
        <v>28.38</v>
      </c>
      <c r="G14" s="13"/>
      <c r="H14" s="13">
        <f>1.05+4.76</f>
        <v>5.81</v>
      </c>
      <c r="I14" s="13"/>
      <c r="J14" s="13">
        <v>1.5</v>
      </c>
      <c r="K14" s="13"/>
      <c r="L14" s="13"/>
      <c r="M14" s="13"/>
      <c r="N14" s="13">
        <f t="shared" si="1"/>
        <v>35.69</v>
      </c>
      <c r="O14" t="s">
        <v>125</v>
      </c>
      <c r="P14" t="s">
        <v>17</v>
      </c>
      <c r="Q14" t="s">
        <v>38</v>
      </c>
    </row>
    <row r="15" spans="1:19">
      <c r="A15" s="11" t="s">
        <v>143</v>
      </c>
      <c r="B15" s="13"/>
      <c r="C15" s="13"/>
      <c r="D15" s="13"/>
      <c r="E15" s="13"/>
      <c r="F15" s="13"/>
      <c r="G15" s="13"/>
      <c r="H15" s="13">
        <v>51.46</v>
      </c>
      <c r="I15" s="13"/>
      <c r="J15" s="13">
        <v>1.5</v>
      </c>
      <c r="K15" s="13"/>
      <c r="L15" s="13"/>
      <c r="M15" s="13"/>
      <c r="N15" s="13">
        <f t="shared" si="1"/>
        <v>52.96</v>
      </c>
      <c r="O15" t="s">
        <v>17</v>
      </c>
      <c r="P15" t="s">
        <v>186</v>
      </c>
    </row>
    <row r="16" spans="1:19">
      <c r="A16" s="11" t="s">
        <v>144</v>
      </c>
      <c r="B16" s="13"/>
      <c r="C16" s="13"/>
      <c r="D16" s="13">
        <v>11.2</v>
      </c>
      <c r="E16" s="23"/>
      <c r="F16" s="13">
        <v>4.99</v>
      </c>
      <c r="G16" s="13"/>
      <c r="H16" s="13"/>
      <c r="I16" s="13"/>
      <c r="J16" s="13"/>
      <c r="K16" s="13"/>
      <c r="L16" s="13"/>
      <c r="M16" s="13"/>
      <c r="N16" s="13">
        <f t="shared" si="1"/>
        <v>16.189999999999998</v>
      </c>
      <c r="O16" t="s">
        <v>38</v>
      </c>
      <c r="P16" t="s">
        <v>187</v>
      </c>
    </row>
    <row r="17" spans="1:20">
      <c r="A17" s="11" t="s">
        <v>145</v>
      </c>
      <c r="B17" s="13"/>
      <c r="C17" s="13"/>
      <c r="D17" s="13"/>
      <c r="E17" s="13"/>
      <c r="F17" s="13">
        <f>3.66+126.26</f>
        <v>129.92000000000002</v>
      </c>
      <c r="G17" s="13"/>
      <c r="H17" s="13">
        <v>77</v>
      </c>
      <c r="I17" s="13"/>
      <c r="J17" s="13"/>
      <c r="K17" s="13"/>
      <c r="L17" s="13"/>
      <c r="M17" s="13"/>
      <c r="N17" s="13">
        <f t="shared" si="1"/>
        <v>206.92000000000002</v>
      </c>
      <c r="O17" t="s">
        <v>188</v>
      </c>
      <c r="P17" t="s">
        <v>38</v>
      </c>
      <c r="Q17" t="s">
        <v>189</v>
      </c>
    </row>
    <row r="18" spans="1:20">
      <c r="A18" s="11" t="s">
        <v>146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>
        <f t="shared" si="1"/>
        <v>0</v>
      </c>
    </row>
    <row r="19" spans="1:20">
      <c r="A19" s="11" t="s">
        <v>147</v>
      </c>
      <c r="B19" s="13"/>
      <c r="C19" s="13"/>
      <c r="D19" s="13"/>
      <c r="E19" s="13"/>
      <c r="F19" s="13">
        <f>37.62+16.72+15.38</f>
        <v>69.72</v>
      </c>
      <c r="G19" s="13"/>
      <c r="H19" s="13"/>
      <c r="I19" s="13"/>
      <c r="J19" s="13"/>
      <c r="K19" s="13"/>
      <c r="L19" s="13"/>
      <c r="M19" s="13"/>
      <c r="N19" s="13">
        <f t="shared" si="1"/>
        <v>69.72</v>
      </c>
      <c r="O19" t="s">
        <v>38</v>
      </c>
    </row>
    <row r="20" spans="1:20">
      <c r="A20" s="11" t="s">
        <v>148</v>
      </c>
      <c r="B20" s="13"/>
      <c r="C20" s="13"/>
      <c r="D20" s="13"/>
      <c r="E20" s="13"/>
      <c r="F20" s="13">
        <v>38.549999999999997</v>
      </c>
      <c r="G20" s="13"/>
      <c r="H20" s="11"/>
      <c r="I20" s="13"/>
      <c r="J20" s="13"/>
      <c r="K20" s="13"/>
      <c r="L20" s="13"/>
      <c r="M20" s="13"/>
      <c r="N20" s="13">
        <f t="shared" si="1"/>
        <v>38.549999999999997</v>
      </c>
      <c r="O20" t="s">
        <v>38</v>
      </c>
    </row>
    <row r="21" spans="1:20">
      <c r="A21" s="11" t="s">
        <v>149</v>
      </c>
      <c r="B21" s="13"/>
      <c r="C21" s="13"/>
      <c r="L21" s="13"/>
      <c r="M21" s="13"/>
      <c r="N21" s="13">
        <f t="shared" si="1"/>
        <v>0</v>
      </c>
    </row>
    <row r="22" spans="1:20">
      <c r="A22" s="11" t="s">
        <v>150</v>
      </c>
      <c r="B22" s="13"/>
      <c r="C22" s="11"/>
      <c r="D22" s="13">
        <v>44.8</v>
      </c>
      <c r="E22" s="13">
        <v>20.13</v>
      </c>
      <c r="F22" s="13">
        <v>17.25</v>
      </c>
      <c r="G22" s="13"/>
      <c r="H22" s="13">
        <v>2.35</v>
      </c>
      <c r="I22" s="13"/>
      <c r="J22" s="13">
        <v>1.5</v>
      </c>
      <c r="K22" s="13">
        <v>9.99</v>
      </c>
      <c r="L22" s="13"/>
      <c r="M22" s="13"/>
      <c r="N22" s="13">
        <f t="shared" si="1"/>
        <v>96.019999999999982</v>
      </c>
      <c r="O22" t="s">
        <v>17</v>
      </c>
      <c r="P22" t="s">
        <v>34</v>
      </c>
      <c r="Q22" t="s">
        <v>185</v>
      </c>
      <c r="R22" t="s">
        <v>26</v>
      </c>
      <c r="S22" t="s">
        <v>190</v>
      </c>
      <c r="T22" t="s">
        <v>130</v>
      </c>
    </row>
    <row r="23" spans="1:20">
      <c r="A23" s="11" t="s">
        <v>151</v>
      </c>
      <c r="B23" s="13"/>
      <c r="C23" s="13"/>
      <c r="D23" s="13"/>
      <c r="E23" s="13"/>
      <c r="F23">
        <v>28.84</v>
      </c>
      <c r="G23" s="13"/>
      <c r="H23" s="13"/>
      <c r="I23" s="13"/>
      <c r="J23" s="24"/>
      <c r="K23" s="13"/>
      <c r="L23" s="13"/>
      <c r="M23" s="13"/>
      <c r="N23" s="13">
        <f t="shared" si="1"/>
        <v>28.84</v>
      </c>
      <c r="O23" t="s">
        <v>38</v>
      </c>
    </row>
    <row r="24" spans="1:20">
      <c r="A24" s="11" t="s">
        <v>152</v>
      </c>
      <c r="B24" s="13"/>
      <c r="C24" s="13"/>
      <c r="D24" s="13"/>
      <c r="E24" s="13"/>
      <c r="F24" s="13"/>
      <c r="G24" s="13"/>
      <c r="H24" s="13">
        <v>16.5</v>
      </c>
      <c r="I24" s="13"/>
      <c r="J24">
        <v>25.05</v>
      </c>
      <c r="K24" s="13"/>
      <c r="L24" s="13"/>
      <c r="M24" s="13"/>
      <c r="N24" s="13">
        <f t="shared" si="1"/>
        <v>41.55</v>
      </c>
      <c r="O24" t="s">
        <v>21</v>
      </c>
      <c r="P24" t="s">
        <v>17</v>
      </c>
    </row>
    <row r="25" spans="1:20">
      <c r="A25" s="11" t="s">
        <v>153</v>
      </c>
      <c r="B25" s="13"/>
      <c r="C25" s="13"/>
      <c r="D25" s="13"/>
      <c r="E25" s="13"/>
      <c r="F25" s="13">
        <v>27.05</v>
      </c>
      <c r="G25" s="13"/>
      <c r="H25" s="13"/>
      <c r="I25" s="13"/>
      <c r="J25" s="13">
        <f>1.5+1.5+209.17</f>
        <v>212.17</v>
      </c>
      <c r="K25" s="13"/>
      <c r="L25" s="13"/>
      <c r="M25" s="13"/>
      <c r="N25" s="13">
        <f t="shared" si="1"/>
        <v>239.22</v>
      </c>
      <c r="O25" t="s">
        <v>17</v>
      </c>
      <c r="P25" t="s">
        <v>38</v>
      </c>
      <c r="Q25" t="s">
        <v>170</v>
      </c>
    </row>
    <row r="26" spans="1:20">
      <c r="A26" s="11" t="s">
        <v>154</v>
      </c>
      <c r="B26" s="13"/>
      <c r="C26" s="13"/>
      <c r="D26" s="13"/>
      <c r="E26" s="13"/>
      <c r="F26" s="25"/>
      <c r="G26" s="13"/>
      <c r="H26" s="13"/>
      <c r="I26" s="13"/>
      <c r="J26" s="13"/>
      <c r="K26" s="13"/>
      <c r="L26" s="13"/>
      <c r="M26" s="13"/>
      <c r="N26" s="13">
        <f t="shared" si="1"/>
        <v>0</v>
      </c>
    </row>
    <row r="27" spans="1:20">
      <c r="A27" s="11" t="s">
        <v>155</v>
      </c>
      <c r="B27" s="13"/>
      <c r="C27" s="13"/>
      <c r="D27" s="13"/>
      <c r="E27" s="13">
        <v>46.27</v>
      </c>
      <c r="F27" s="13"/>
      <c r="G27" s="13"/>
      <c r="H27" s="13"/>
      <c r="I27" s="13"/>
      <c r="J27" s="13"/>
      <c r="K27" s="13"/>
      <c r="L27" s="13"/>
      <c r="M27" s="13"/>
      <c r="N27" s="13">
        <f t="shared" si="1"/>
        <v>46.27</v>
      </c>
      <c r="O27" t="s">
        <v>171</v>
      </c>
    </row>
    <row r="28" spans="1:20">
      <c r="A28" s="11" t="s">
        <v>156</v>
      </c>
      <c r="B28" s="13"/>
      <c r="C28" s="13"/>
      <c r="D28" s="13"/>
      <c r="E28" s="13"/>
      <c r="F28" s="13"/>
      <c r="G28" s="13"/>
      <c r="I28" s="13"/>
      <c r="J28" s="13"/>
      <c r="K28" s="13"/>
      <c r="L28" s="13"/>
      <c r="N28" s="13">
        <f t="shared" si="1"/>
        <v>0</v>
      </c>
    </row>
    <row r="29" spans="1:20">
      <c r="A29" s="11" t="s">
        <v>157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>
        <f t="shared" si="1"/>
        <v>0</v>
      </c>
    </row>
    <row r="30" spans="1:20">
      <c r="A30" s="11" t="s">
        <v>158</v>
      </c>
      <c r="B30" s="13"/>
      <c r="I30" s="13"/>
      <c r="J30" s="13"/>
      <c r="K30" s="13"/>
      <c r="L30" s="13"/>
      <c r="M30" s="13"/>
      <c r="N30" s="13">
        <f t="shared" si="1"/>
        <v>0</v>
      </c>
    </row>
    <row r="31" spans="1:20">
      <c r="A31" s="11" t="s">
        <v>159</v>
      </c>
      <c r="B31" s="13"/>
      <c r="C31" s="13"/>
      <c r="D31" s="13"/>
      <c r="E31" s="13"/>
      <c r="F31" s="13"/>
      <c r="G31" s="13"/>
      <c r="H31" s="13">
        <f>26.06+15.89+26</f>
        <v>67.95</v>
      </c>
      <c r="I31" s="13"/>
      <c r="J31" s="13"/>
      <c r="K31" s="13"/>
      <c r="L31" s="13"/>
      <c r="M31" s="13">
        <v>52</v>
      </c>
      <c r="N31" s="13">
        <f>SUM(B31:M31)</f>
        <v>119.95</v>
      </c>
      <c r="O31" t="s">
        <v>172</v>
      </c>
      <c r="P31" t="s">
        <v>173</v>
      </c>
      <c r="Q31" t="s">
        <v>174</v>
      </c>
      <c r="R31" t="s">
        <v>175</v>
      </c>
    </row>
    <row r="32" spans="1:20">
      <c r="A32" s="11" t="s">
        <v>160</v>
      </c>
      <c r="B32" s="13"/>
      <c r="C32" s="13">
        <v>21.41</v>
      </c>
      <c r="D32" s="13"/>
      <c r="E32" s="13"/>
      <c r="F32" s="13">
        <f>34.44+3.59</f>
        <v>38.03</v>
      </c>
      <c r="G32" s="13"/>
      <c r="H32" s="13">
        <f>22.91</f>
        <v>22.91</v>
      </c>
      <c r="I32" s="13"/>
      <c r="J32" s="13"/>
      <c r="K32" s="13"/>
      <c r="L32" s="13"/>
      <c r="M32" s="13"/>
      <c r="N32" s="13">
        <f t="shared" si="1"/>
        <v>82.35</v>
      </c>
      <c r="O32" t="s">
        <v>191</v>
      </c>
      <c r="P32" t="s">
        <v>192</v>
      </c>
      <c r="Q32" t="s">
        <v>26</v>
      </c>
      <c r="R32" t="s">
        <v>193</v>
      </c>
    </row>
    <row r="33" spans="1:18">
      <c r="A33" s="11" t="s">
        <v>161</v>
      </c>
      <c r="B33" s="13"/>
      <c r="C33" s="13"/>
      <c r="D33" s="13"/>
      <c r="E33" s="13"/>
      <c r="H33">
        <f>8.99</f>
        <v>8.99</v>
      </c>
      <c r="I33" s="13"/>
      <c r="J33" s="13"/>
      <c r="K33" s="13"/>
      <c r="L33" s="13"/>
      <c r="M33" s="13"/>
      <c r="N33" s="13">
        <f t="shared" si="1"/>
        <v>8.99</v>
      </c>
      <c r="O33" t="s">
        <v>125</v>
      </c>
    </row>
    <row r="34" spans="1:18">
      <c r="A34" s="11" t="s">
        <v>162</v>
      </c>
      <c r="B34" s="13"/>
      <c r="C34" s="13"/>
      <c r="D34" s="13"/>
      <c r="E34" s="13"/>
      <c r="F34" s="11">
        <f>51.14</f>
        <v>51.14</v>
      </c>
      <c r="G34" s="13"/>
      <c r="H34" s="13">
        <f>8.99+11.66</f>
        <v>20.65</v>
      </c>
      <c r="I34" s="13"/>
      <c r="J34" s="13"/>
      <c r="K34" s="13"/>
      <c r="L34" s="13"/>
      <c r="M34" s="13"/>
      <c r="N34" s="13">
        <f t="shared" si="1"/>
        <v>71.789999999999992</v>
      </c>
      <c r="O34" t="s">
        <v>125</v>
      </c>
      <c r="P34" t="s">
        <v>38</v>
      </c>
      <c r="Q34" t="s">
        <v>194</v>
      </c>
    </row>
    <row r="35" spans="1:18">
      <c r="A35" s="11" t="s">
        <v>163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>
        <f t="shared" si="1"/>
        <v>0</v>
      </c>
    </row>
    <row r="36" spans="1:18">
      <c r="A36" s="11" t="s">
        <v>164</v>
      </c>
      <c r="B36" s="13"/>
      <c r="C36" s="13"/>
      <c r="D36" s="13"/>
      <c r="E36" s="13"/>
      <c r="F36" s="13"/>
      <c r="G36" s="13">
        <f>16.93</f>
        <v>16.93</v>
      </c>
      <c r="H36" s="13">
        <v>6.25</v>
      </c>
      <c r="I36" s="13"/>
      <c r="J36" s="13"/>
      <c r="K36" s="13">
        <v>5.99</v>
      </c>
      <c r="L36" s="13"/>
      <c r="M36" s="13"/>
      <c r="N36" s="13">
        <f t="shared" si="1"/>
        <v>29.17</v>
      </c>
      <c r="O36" t="s">
        <v>171</v>
      </c>
      <c r="P36" t="s">
        <v>195</v>
      </c>
      <c r="Q36" t="s">
        <v>196</v>
      </c>
      <c r="R36" t="s">
        <v>197</v>
      </c>
    </row>
    <row r="37" spans="1:18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>
        <f t="shared" si="1"/>
        <v>0</v>
      </c>
    </row>
    <row r="38" spans="1:18">
      <c r="A38" s="11" t="s">
        <v>119</v>
      </c>
      <c r="B38" s="15">
        <f>SUM(B7:B37)</f>
        <v>1567.66</v>
      </c>
      <c r="C38" s="15">
        <f t="shared" ref="C38:K38" si="2">SUM(C7:C37)</f>
        <v>170.26</v>
      </c>
      <c r="D38" s="15">
        <f t="shared" si="2"/>
        <v>56</v>
      </c>
      <c r="E38" s="15">
        <f t="shared" si="2"/>
        <v>106.22999999999999</v>
      </c>
      <c r="F38" s="15">
        <f t="shared" si="2"/>
        <v>497.85</v>
      </c>
      <c r="G38" s="15">
        <f t="shared" si="2"/>
        <v>27.32</v>
      </c>
      <c r="H38" s="15">
        <f t="shared" si="2"/>
        <v>429.66000000000008</v>
      </c>
      <c r="I38" s="15">
        <f t="shared" si="2"/>
        <v>0</v>
      </c>
      <c r="J38" s="15">
        <f t="shared" si="2"/>
        <v>290.71999999999997</v>
      </c>
      <c r="K38" s="15">
        <f t="shared" si="2"/>
        <v>26.980000000000004</v>
      </c>
      <c r="L38" s="15">
        <f>SUM(L9:L37)</f>
        <v>0</v>
      </c>
      <c r="M38" s="15"/>
      <c r="N38" s="15">
        <f>SUM(N7:N37)</f>
        <v>3288.68</v>
      </c>
      <c r="O38" s="19">
        <f>SUM(N7:N37)</f>
        <v>3288.68</v>
      </c>
      <c r="P38" s="20">
        <f>N38-O38</f>
        <v>0</v>
      </c>
    </row>
    <row r="39" spans="1:18">
      <c r="A39" s="11" t="s">
        <v>122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2">
        <f>K5-N38</f>
        <v>5667.9299999999967</v>
      </c>
      <c r="P39" t="s">
        <v>120</v>
      </c>
    </row>
    <row r="40" spans="1:1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8">
      <c r="P48" s="13"/>
    </row>
  </sheetData>
  <phoneticPr fontId="1" type="noConversion"/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9D0BE-1A3F-4901-9EB7-0F7FFC437B11}">
  <dimension ref="A1:U48"/>
  <sheetViews>
    <sheetView zoomScale="70" zoomScaleNormal="70" workbookViewId="0">
      <selection activeCell="A27" sqref="A27:XFD27"/>
    </sheetView>
  </sheetViews>
  <sheetFormatPr defaultRowHeight="14.4"/>
  <cols>
    <col min="1" max="1" width="10.44140625" bestFit="1" customWidth="1"/>
    <col min="2" max="2" width="12.44140625" bestFit="1" customWidth="1"/>
    <col min="3" max="3" width="17.6640625" bestFit="1" customWidth="1"/>
    <col min="4" max="4" width="17.109375" bestFit="1" customWidth="1"/>
    <col min="5" max="6" width="12.33203125" bestFit="1" customWidth="1"/>
    <col min="7" max="7" width="12.77734375" bestFit="1" customWidth="1"/>
    <col min="8" max="8" width="20" bestFit="1" customWidth="1"/>
    <col min="9" max="10" width="12.44140625" bestFit="1" customWidth="1"/>
    <col min="11" max="11" width="23.44140625" bestFit="1" customWidth="1"/>
    <col min="12" max="14" width="16" customWidth="1"/>
    <col min="15" max="15" width="25.6640625" bestFit="1" customWidth="1"/>
    <col min="16" max="16" width="20.109375" bestFit="1" customWidth="1"/>
    <col min="17" max="17" width="22.21875" bestFit="1" customWidth="1"/>
    <col min="18" max="18" width="16" bestFit="1" customWidth="1"/>
    <col min="19" max="19" width="13.33203125" bestFit="1" customWidth="1"/>
  </cols>
  <sheetData>
    <row r="1" spans="1:19">
      <c r="A1" s="14" t="s">
        <v>56</v>
      </c>
      <c r="B1" s="14" t="s">
        <v>59</v>
      </c>
      <c r="C1" s="14" t="s">
        <v>5</v>
      </c>
      <c r="D1" s="14" t="s">
        <v>6</v>
      </c>
      <c r="E1" s="14" t="s">
        <v>7</v>
      </c>
      <c r="F1" s="14" t="s">
        <v>10</v>
      </c>
      <c r="G1" s="14" t="s">
        <v>8</v>
      </c>
      <c r="H1" s="14" t="s">
        <v>9</v>
      </c>
      <c r="I1" s="14" t="s">
        <v>11</v>
      </c>
      <c r="J1" s="14" t="s">
        <v>12</v>
      </c>
      <c r="K1" s="14" t="s">
        <v>60</v>
      </c>
      <c r="L1" s="17"/>
      <c r="M1" s="17"/>
      <c r="N1" s="17"/>
      <c r="O1" s="17" t="s">
        <v>69</v>
      </c>
    </row>
    <row r="2" spans="1:19">
      <c r="A2" s="11" t="s">
        <v>199</v>
      </c>
      <c r="B2" s="12">
        <f>3043.08-187.16-43.77</f>
        <v>2812.15</v>
      </c>
      <c r="C2" s="13">
        <f>Scatch!B3</f>
        <v>23.08</v>
      </c>
      <c r="D2" s="13">
        <v>-3.44</v>
      </c>
      <c r="E2" s="13">
        <v>-11.44</v>
      </c>
      <c r="F2" s="13">
        <v>0</v>
      </c>
      <c r="G2" s="13">
        <v>-7.69</v>
      </c>
      <c r="H2" s="13">
        <v>-17.52</v>
      </c>
      <c r="I2" s="13">
        <v>-122.22</v>
      </c>
      <c r="J2" s="13">
        <v>-366.26</v>
      </c>
      <c r="K2" s="13">
        <f>B2+C2+D2+E2+F2+G2+H2+I2+J2</f>
        <v>2306.66</v>
      </c>
      <c r="L2" s="18"/>
      <c r="M2" s="18"/>
      <c r="N2" s="18"/>
    </row>
    <row r="3" spans="1:19">
      <c r="A3" s="11" t="s">
        <v>198</v>
      </c>
      <c r="B3" s="12">
        <f>3043.08-43.75-187.08</f>
        <v>2812.25</v>
      </c>
      <c r="C3" s="13">
        <f>Scatch!C3</f>
        <v>23.08</v>
      </c>
      <c r="D3" s="13">
        <v>-3.62</v>
      </c>
      <c r="E3" s="13">
        <v>-12.02</v>
      </c>
      <c r="F3" s="13">
        <v>0</v>
      </c>
      <c r="G3" s="13">
        <v>-8.07</v>
      </c>
      <c r="H3" s="13">
        <v>-18.38</v>
      </c>
      <c r="I3" s="13">
        <v>-122.17</v>
      </c>
      <c r="J3" s="13">
        <f>-365.99</f>
        <v>-365.99</v>
      </c>
      <c r="K3" s="13">
        <f t="shared" ref="K3" si="0">B3+C3+D3+E3+F3+G3+H3+I3+J3</f>
        <v>2305.08</v>
      </c>
      <c r="L3" s="18"/>
      <c r="M3" s="18"/>
      <c r="N3" s="18"/>
    </row>
    <row r="4" spans="1:19">
      <c r="A4" s="11"/>
      <c r="B4" s="15"/>
      <c r="C4" s="15"/>
      <c r="D4" s="13"/>
      <c r="E4" s="13"/>
      <c r="F4" s="13"/>
      <c r="G4" s="13"/>
      <c r="H4" s="13"/>
      <c r="I4" s="15"/>
      <c r="J4" s="15"/>
      <c r="K4" s="13"/>
      <c r="L4" s="18"/>
      <c r="M4" s="18"/>
      <c r="N4" s="18"/>
    </row>
    <row r="5" spans="1:19">
      <c r="A5" s="11"/>
      <c r="B5" s="11"/>
      <c r="C5" s="11"/>
      <c r="D5" s="11"/>
      <c r="E5" s="11"/>
      <c r="F5" s="11"/>
      <c r="G5" s="11"/>
      <c r="H5" s="11"/>
      <c r="I5" s="11"/>
      <c r="J5" s="11"/>
      <c r="K5" s="15">
        <f>SUM(K2:K4)</f>
        <v>4611.74</v>
      </c>
    </row>
    <row r="6" spans="1:19">
      <c r="A6" s="16"/>
      <c r="B6" s="17" t="s">
        <v>65</v>
      </c>
      <c r="C6" s="17" t="s">
        <v>66</v>
      </c>
      <c r="D6" s="21" t="s">
        <v>67</v>
      </c>
      <c r="E6" s="21" t="s">
        <v>72</v>
      </c>
      <c r="F6" s="17" t="s">
        <v>64</v>
      </c>
      <c r="G6" s="17" t="s">
        <v>74</v>
      </c>
      <c r="H6" s="17" t="s">
        <v>79</v>
      </c>
      <c r="I6" s="17" t="s">
        <v>68</v>
      </c>
      <c r="J6" s="17" t="s">
        <v>70</v>
      </c>
      <c r="K6" s="21" t="s">
        <v>94</v>
      </c>
      <c r="L6" s="21" t="s">
        <v>118</v>
      </c>
      <c r="M6" s="21" t="s">
        <v>121</v>
      </c>
      <c r="N6" s="21" t="s">
        <v>119</v>
      </c>
    </row>
    <row r="7" spans="1:19">
      <c r="A7" s="11" t="s">
        <v>200</v>
      </c>
      <c r="B7" s="13"/>
      <c r="C7" s="13"/>
      <c r="D7" s="13"/>
      <c r="E7" s="13"/>
      <c r="F7" s="13"/>
      <c r="G7" s="13"/>
      <c r="H7" s="13"/>
      <c r="I7" s="13"/>
      <c r="J7" s="13">
        <v>190.69</v>
      </c>
      <c r="K7" s="13"/>
      <c r="L7" s="11"/>
      <c r="M7" s="13"/>
      <c r="N7" s="13">
        <f>SUM(B7:M7)</f>
        <v>190.69</v>
      </c>
      <c r="O7" t="s">
        <v>170</v>
      </c>
    </row>
    <row r="8" spans="1:19">
      <c r="A8" s="11" t="s">
        <v>201</v>
      </c>
      <c r="B8" s="11"/>
      <c r="C8" s="11"/>
      <c r="D8" s="11"/>
      <c r="E8" s="11"/>
      <c r="F8" s="11"/>
      <c r="G8" s="11"/>
      <c r="H8" s="11">
        <f>2.11+7.94</f>
        <v>10.050000000000001</v>
      </c>
      <c r="I8" s="11"/>
      <c r="J8" s="11">
        <v>1.5</v>
      </c>
      <c r="K8" s="11"/>
      <c r="L8" s="11"/>
      <c r="M8" s="11"/>
      <c r="N8" s="13">
        <f>SUM(B8:M8)</f>
        <v>11.55</v>
      </c>
      <c r="O8" t="s">
        <v>17</v>
      </c>
      <c r="P8" t="s">
        <v>30</v>
      </c>
      <c r="Q8" t="s">
        <v>171</v>
      </c>
      <c r="R8" t="s">
        <v>1</v>
      </c>
      <c r="S8" t="s">
        <v>237</v>
      </c>
    </row>
    <row r="9" spans="1:19">
      <c r="A9" s="11" t="s">
        <v>202</v>
      </c>
      <c r="B9" s="13"/>
      <c r="C9" s="13"/>
      <c r="D9" s="13"/>
      <c r="E9" s="13">
        <v>38.24</v>
      </c>
      <c r="F9" s="13">
        <f>29.32+1.79</f>
        <v>31.11</v>
      </c>
      <c r="G9" s="13">
        <v>2.11</v>
      </c>
      <c r="H9" s="13">
        <f>2.96+3.7+9.53</f>
        <v>16.189999999999998</v>
      </c>
      <c r="I9" s="13"/>
      <c r="J9" s="13"/>
      <c r="K9" s="13"/>
      <c r="L9" s="13"/>
      <c r="M9" s="13"/>
      <c r="N9" s="13">
        <f t="shared" ref="N9:N37" si="1">SUM(B9:M9)</f>
        <v>87.649999999999991</v>
      </c>
      <c r="O9" t="s">
        <v>30</v>
      </c>
      <c r="P9" t="s">
        <v>26</v>
      </c>
    </row>
    <row r="10" spans="1:19">
      <c r="A10" s="11" t="s">
        <v>198</v>
      </c>
      <c r="B10" s="13"/>
      <c r="C10" s="13"/>
      <c r="D10" s="13"/>
      <c r="E10" s="13"/>
      <c r="F10" s="13">
        <v>7.41</v>
      </c>
      <c r="G10" s="13"/>
      <c r="H10" s="11">
        <v>42.14</v>
      </c>
      <c r="I10" s="13"/>
      <c r="J10" s="13"/>
      <c r="K10" s="13"/>
      <c r="L10" s="13"/>
      <c r="M10" s="13"/>
      <c r="N10" s="13">
        <f>SUM(B10:M10)</f>
        <v>49.55</v>
      </c>
      <c r="O10" t="s">
        <v>26</v>
      </c>
      <c r="P10" t="s">
        <v>238</v>
      </c>
    </row>
    <row r="11" spans="1:19">
      <c r="A11" s="11" t="s">
        <v>203</v>
      </c>
      <c r="B11" s="13"/>
      <c r="C11" s="13"/>
      <c r="D11" s="13"/>
      <c r="E11" s="13"/>
      <c r="F11" s="13">
        <v>30.22</v>
      </c>
      <c r="G11" s="13">
        <v>16.920000000000002</v>
      </c>
      <c r="H11" s="13"/>
      <c r="I11" s="13"/>
      <c r="J11" s="13"/>
      <c r="K11" s="13">
        <v>37.090000000000003</v>
      </c>
      <c r="L11" s="13"/>
      <c r="M11" s="13"/>
      <c r="N11" s="13">
        <f>SUM(B11:M11)</f>
        <v>84.23</v>
      </c>
      <c r="O11" t="s">
        <v>32</v>
      </c>
      <c r="P11" t="s">
        <v>239</v>
      </c>
      <c r="Q11" t="s">
        <v>195</v>
      </c>
    </row>
    <row r="12" spans="1:19">
      <c r="A12" s="11" t="s">
        <v>204</v>
      </c>
      <c r="B12" s="13"/>
      <c r="C12" s="13"/>
      <c r="D12" s="11"/>
      <c r="E12" s="13"/>
      <c r="F12" s="13">
        <v>15.61</v>
      </c>
      <c r="G12" s="13"/>
      <c r="H12" s="13"/>
      <c r="I12" s="13"/>
      <c r="J12" s="13"/>
      <c r="K12" s="13">
        <v>3.17</v>
      </c>
      <c r="L12" s="13"/>
      <c r="M12" s="13"/>
      <c r="N12" s="13">
        <f t="shared" si="1"/>
        <v>18.78</v>
      </c>
      <c r="O12" t="s">
        <v>183</v>
      </c>
      <c r="P12" t="s">
        <v>97</v>
      </c>
    </row>
    <row r="13" spans="1:19">
      <c r="A13" s="11" t="s">
        <v>205</v>
      </c>
      <c r="B13" s="13">
        <v>1598.78</v>
      </c>
      <c r="C13" s="13"/>
      <c r="D13" s="13"/>
      <c r="E13" s="13"/>
      <c r="F13" s="13">
        <v>19.260000000000002</v>
      </c>
      <c r="G13" s="13"/>
      <c r="H13" s="13"/>
      <c r="I13" s="13"/>
      <c r="J13" s="13"/>
      <c r="K13" s="13">
        <v>49.99</v>
      </c>
      <c r="L13" s="13"/>
      <c r="M13" s="13"/>
      <c r="N13" s="13">
        <f t="shared" si="1"/>
        <v>1668.03</v>
      </c>
      <c r="O13" t="s">
        <v>23</v>
      </c>
      <c r="P13" t="s">
        <v>240</v>
      </c>
      <c r="Q13" t="s">
        <v>26</v>
      </c>
      <c r="S13" t="s">
        <v>26</v>
      </c>
    </row>
    <row r="14" spans="1:19">
      <c r="A14" s="11" t="s">
        <v>206</v>
      </c>
      <c r="B14" s="13"/>
      <c r="C14" s="11"/>
      <c r="D14" s="13"/>
      <c r="E14" s="13"/>
      <c r="F14" s="13">
        <f>26.99+13.44</f>
        <v>40.43</v>
      </c>
      <c r="G14" s="13"/>
      <c r="H14" s="13">
        <v>35.01</v>
      </c>
      <c r="I14" s="13"/>
      <c r="J14" s="13"/>
      <c r="K14" s="13">
        <v>476.99</v>
      </c>
      <c r="L14" s="13"/>
      <c r="M14" s="13"/>
      <c r="N14" s="13">
        <f t="shared" si="1"/>
        <v>552.43000000000006</v>
      </c>
      <c r="O14" t="s">
        <v>16</v>
      </c>
      <c r="P14" t="s">
        <v>241</v>
      </c>
      <c r="Q14" t="s">
        <v>26</v>
      </c>
      <c r="R14" t="s">
        <v>193</v>
      </c>
    </row>
    <row r="15" spans="1:19">
      <c r="A15" s="11" t="s">
        <v>207</v>
      </c>
      <c r="B15" s="13"/>
      <c r="C15" s="13"/>
      <c r="D15" s="13"/>
      <c r="E15" s="13"/>
      <c r="F15" s="13">
        <v>9.5299999999999994</v>
      </c>
      <c r="G15" s="13">
        <v>14.81</v>
      </c>
      <c r="H15" s="13">
        <v>152</v>
      </c>
      <c r="I15" s="13"/>
      <c r="J15" s="13"/>
      <c r="K15" s="13"/>
      <c r="L15" s="13"/>
      <c r="M15" s="13"/>
      <c r="N15" s="13">
        <f t="shared" si="1"/>
        <v>176.34</v>
      </c>
      <c r="O15" t="s">
        <v>242</v>
      </c>
      <c r="P15" t="s">
        <v>42</v>
      </c>
      <c r="Q15" t="s">
        <v>243</v>
      </c>
    </row>
    <row r="16" spans="1:19">
      <c r="A16" s="11" t="s">
        <v>208</v>
      </c>
      <c r="B16" s="13"/>
      <c r="C16" s="13"/>
      <c r="D16" s="13"/>
      <c r="E16" s="23"/>
      <c r="F16" s="13"/>
      <c r="G16" s="13">
        <v>10.28</v>
      </c>
      <c r="H16" s="13"/>
      <c r="I16" s="13"/>
      <c r="J16" s="13"/>
      <c r="K16" s="13"/>
      <c r="L16" s="13"/>
      <c r="M16" s="13"/>
      <c r="N16" s="13">
        <f t="shared" si="1"/>
        <v>10.28</v>
      </c>
      <c r="O16" t="s">
        <v>244</v>
      </c>
    </row>
    <row r="17" spans="1:21">
      <c r="A17" s="11" t="s">
        <v>209</v>
      </c>
      <c r="B17" s="13"/>
      <c r="C17" s="13"/>
      <c r="D17" s="13"/>
      <c r="E17" s="13"/>
      <c r="F17" s="13">
        <v>21.83</v>
      </c>
      <c r="G17" s="13">
        <v>12.18</v>
      </c>
      <c r="H17" s="13">
        <f>2.8+47.17</f>
        <v>49.97</v>
      </c>
      <c r="I17" s="13"/>
      <c r="J17" s="11">
        <f>1.5+1.5</f>
        <v>3</v>
      </c>
      <c r="K17" s="13"/>
      <c r="L17" s="13"/>
      <c r="M17" s="13"/>
      <c r="N17" s="13">
        <f t="shared" si="1"/>
        <v>86.97999999999999</v>
      </c>
      <c r="O17" t="s">
        <v>17</v>
      </c>
      <c r="P17" t="s">
        <v>245</v>
      </c>
      <c r="Q17" t="s">
        <v>246</v>
      </c>
      <c r="R17" t="s">
        <v>193</v>
      </c>
      <c r="S17" t="s">
        <v>238</v>
      </c>
    </row>
    <row r="18" spans="1:21">
      <c r="A18" s="11" t="s">
        <v>210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>
        <f t="shared" si="1"/>
        <v>0</v>
      </c>
    </row>
    <row r="19" spans="1:21">
      <c r="A19" s="11" t="s">
        <v>211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>
        <f t="shared" si="1"/>
        <v>0</v>
      </c>
    </row>
    <row r="20" spans="1:21">
      <c r="A20" s="11" t="s">
        <v>212</v>
      </c>
      <c r="B20" s="13"/>
      <c r="C20" s="13"/>
      <c r="D20" s="13"/>
      <c r="E20" s="13"/>
      <c r="F20" s="13"/>
      <c r="G20" s="13"/>
      <c r="H20" s="11"/>
      <c r="I20" s="13"/>
      <c r="J20" s="13"/>
      <c r="K20" s="13"/>
      <c r="L20" s="13"/>
      <c r="M20" s="13">
        <v>12.71</v>
      </c>
      <c r="N20" s="13">
        <f>SUM(B20:M20)</f>
        <v>12.71</v>
      </c>
      <c r="O20" t="s">
        <v>228</v>
      </c>
    </row>
    <row r="21" spans="1:21">
      <c r="A21" s="11" t="s">
        <v>213</v>
      </c>
      <c r="B21" s="13"/>
      <c r="C21" s="13"/>
      <c r="D21" s="11">
        <v>44.8</v>
      </c>
      <c r="E21" s="11"/>
      <c r="F21" s="11">
        <v>22.74</v>
      </c>
      <c r="G21" s="11">
        <f>12.65+8.36</f>
        <v>21.009999999999998</v>
      </c>
      <c r="H21" s="11"/>
      <c r="I21" s="11"/>
      <c r="J21" s="11">
        <f>190.69+1.5</f>
        <v>192.19</v>
      </c>
      <c r="K21" s="11">
        <v>42.67</v>
      </c>
      <c r="L21" s="13"/>
      <c r="N21" s="13">
        <f t="shared" si="1"/>
        <v>323.41000000000003</v>
      </c>
      <c r="O21" t="s">
        <v>170</v>
      </c>
      <c r="P21" t="s">
        <v>17</v>
      </c>
      <c r="Q21" t="s">
        <v>247</v>
      </c>
      <c r="R21" t="s">
        <v>248</v>
      </c>
      <c r="S21" t="s">
        <v>193</v>
      </c>
      <c r="T21" t="s">
        <v>130</v>
      </c>
      <c r="U21" t="s">
        <v>249</v>
      </c>
    </row>
    <row r="22" spans="1:21">
      <c r="A22" s="11" t="s">
        <v>214</v>
      </c>
      <c r="B22" s="13"/>
      <c r="C22" s="11"/>
      <c r="D22" s="13"/>
      <c r="E22" s="13">
        <v>6.3</v>
      </c>
      <c r="F22" s="13">
        <v>63.88</v>
      </c>
      <c r="G22" s="13"/>
      <c r="H22" s="13">
        <f>0.94+2.64+5.07+8.46</f>
        <v>17.11</v>
      </c>
      <c r="I22" s="13"/>
      <c r="J22" s="13">
        <v>1395.95</v>
      </c>
      <c r="K22" s="13">
        <f>79+9.99</f>
        <v>88.99</v>
      </c>
      <c r="L22" s="13"/>
      <c r="M22" s="13"/>
      <c r="N22" s="13">
        <f t="shared" si="1"/>
        <v>1572.23</v>
      </c>
      <c r="O22" t="s">
        <v>229</v>
      </c>
      <c r="P22" t="s">
        <v>30</v>
      </c>
      <c r="Q22" t="s">
        <v>250</v>
      </c>
      <c r="R22" t="s">
        <v>34</v>
      </c>
      <c r="S22" t="s">
        <v>185</v>
      </c>
      <c r="T22" t="s">
        <v>193</v>
      </c>
    </row>
    <row r="23" spans="1:21">
      <c r="A23" s="11" t="s">
        <v>215</v>
      </c>
      <c r="B23" s="13"/>
      <c r="C23" s="13"/>
      <c r="D23" s="13"/>
      <c r="E23" s="13">
        <v>12.5</v>
      </c>
      <c r="F23" s="11">
        <v>13.2</v>
      </c>
      <c r="G23" s="13"/>
      <c r="H23" s="13"/>
      <c r="I23" s="13"/>
      <c r="J23" s="24">
        <v>25.05</v>
      </c>
      <c r="K23" s="13"/>
      <c r="L23" s="13"/>
      <c r="M23" s="13"/>
      <c r="N23" s="13">
        <f t="shared" si="1"/>
        <v>50.75</v>
      </c>
      <c r="O23" t="s">
        <v>17</v>
      </c>
      <c r="P23" t="s">
        <v>97</v>
      </c>
    </row>
    <row r="24" spans="1:21">
      <c r="A24" s="11" t="s">
        <v>199</v>
      </c>
      <c r="B24" s="13"/>
      <c r="C24" s="13"/>
      <c r="D24" s="13"/>
      <c r="E24" s="13"/>
      <c r="F24" s="13"/>
      <c r="G24" s="13"/>
      <c r="H24" s="13"/>
      <c r="I24" s="13"/>
      <c r="J24" s="11"/>
      <c r="K24" s="13"/>
      <c r="L24" s="13"/>
      <c r="M24" s="13"/>
      <c r="N24" s="13">
        <f t="shared" si="1"/>
        <v>0</v>
      </c>
      <c r="O24" t="s">
        <v>251</v>
      </c>
    </row>
    <row r="25" spans="1:21">
      <c r="A25" s="11" t="s">
        <v>216</v>
      </c>
      <c r="B25" s="13"/>
      <c r="C25" s="13"/>
      <c r="D25" s="13"/>
      <c r="E25" s="13"/>
      <c r="F25" s="13"/>
      <c r="G25" s="13"/>
      <c r="H25" s="13">
        <v>14.83</v>
      </c>
      <c r="I25" s="13"/>
      <c r="J25" s="13"/>
      <c r="K25" s="13"/>
      <c r="L25" s="13"/>
      <c r="M25" s="13"/>
      <c r="N25" s="13">
        <f t="shared" si="1"/>
        <v>14.83</v>
      </c>
      <c r="O25" t="s">
        <v>252</v>
      </c>
    </row>
    <row r="26" spans="1:21">
      <c r="A26" s="11" t="s">
        <v>217</v>
      </c>
      <c r="B26" s="13"/>
      <c r="C26" s="13"/>
      <c r="D26" s="13"/>
      <c r="E26" s="13"/>
      <c r="F26" s="23"/>
      <c r="G26" s="13"/>
      <c r="H26" s="13"/>
      <c r="I26" s="13"/>
      <c r="J26" s="13"/>
      <c r="K26" s="13"/>
      <c r="L26" s="13"/>
      <c r="M26" s="13"/>
      <c r="N26" s="13">
        <f t="shared" si="1"/>
        <v>0</v>
      </c>
    </row>
    <row r="27" spans="1:21">
      <c r="A27" s="11" t="s">
        <v>218</v>
      </c>
      <c r="B27" s="13"/>
      <c r="C27" s="13">
        <f>45+80.91</f>
        <v>125.91</v>
      </c>
      <c r="D27" s="13"/>
      <c r="E27" s="13">
        <v>43.17</v>
      </c>
      <c r="F27" s="13">
        <f>58.5+29.97</f>
        <v>88.47</v>
      </c>
      <c r="G27" s="13"/>
      <c r="H27" s="13">
        <v>16</v>
      </c>
      <c r="I27" s="13"/>
      <c r="J27" s="13"/>
      <c r="K27" s="13"/>
      <c r="L27" s="13"/>
      <c r="M27" s="13"/>
      <c r="N27" s="13">
        <f t="shared" si="1"/>
        <v>273.54999999999995</v>
      </c>
      <c r="O27" t="s">
        <v>184</v>
      </c>
      <c r="P27" t="s">
        <v>253</v>
      </c>
      <c r="Q27" t="s">
        <v>14</v>
      </c>
      <c r="R27" t="s">
        <v>21</v>
      </c>
      <c r="S27" t="s">
        <v>193</v>
      </c>
    </row>
    <row r="28" spans="1:21">
      <c r="A28" s="11" t="s">
        <v>219</v>
      </c>
      <c r="B28" s="13"/>
      <c r="C28" s="13"/>
      <c r="D28" s="13"/>
      <c r="E28" s="13"/>
      <c r="F28" s="13">
        <f>11.99+15.32+19.98</f>
        <v>47.290000000000006</v>
      </c>
      <c r="G28" s="13"/>
      <c r="H28" s="11"/>
      <c r="I28" s="13"/>
      <c r="J28" s="13">
        <v>100.16</v>
      </c>
      <c r="K28" s="13"/>
      <c r="L28" s="13"/>
      <c r="M28" s="11"/>
      <c r="N28" s="13">
        <f t="shared" si="1"/>
        <v>147.44999999999999</v>
      </c>
      <c r="O28" t="s">
        <v>229</v>
      </c>
      <c r="P28" t="s">
        <v>193</v>
      </c>
    </row>
    <row r="29" spans="1:21">
      <c r="A29" s="11" t="s">
        <v>220</v>
      </c>
      <c r="B29" s="13"/>
      <c r="C29" s="13"/>
      <c r="D29" s="13"/>
      <c r="E29" s="13"/>
      <c r="F29" s="13"/>
      <c r="G29" s="13"/>
      <c r="H29" s="13">
        <v>3.17</v>
      </c>
      <c r="I29" s="13"/>
      <c r="J29" s="13"/>
      <c r="K29" s="13"/>
      <c r="L29" s="13"/>
      <c r="M29" s="13" t="s">
        <v>232</v>
      </c>
      <c r="N29" s="13">
        <f t="shared" si="1"/>
        <v>3.17</v>
      </c>
      <c r="O29" t="s">
        <v>230</v>
      </c>
      <c r="P29" t="s">
        <v>231</v>
      </c>
      <c r="Q29" s="26" t="s">
        <v>30</v>
      </c>
      <c r="R29" s="26" t="s">
        <v>254</v>
      </c>
    </row>
    <row r="30" spans="1:21">
      <c r="A30" s="11" t="s">
        <v>221</v>
      </c>
      <c r="B30" s="13"/>
      <c r="C30" s="11"/>
      <c r="D30" s="11"/>
      <c r="E30" s="11"/>
      <c r="F30" s="11"/>
      <c r="G30" s="11"/>
      <c r="H30" s="11">
        <f>24+1.05+1.05+3.17+4.76+18.5</f>
        <v>52.53</v>
      </c>
      <c r="I30" s="13"/>
      <c r="J30" s="13">
        <v>892</v>
      </c>
      <c r="K30" s="13"/>
      <c r="L30" s="13"/>
      <c r="M30" s="13"/>
      <c r="N30" s="13">
        <f t="shared" si="1"/>
        <v>944.53</v>
      </c>
      <c r="O30" t="s">
        <v>233</v>
      </c>
      <c r="P30" t="s">
        <v>235</v>
      </c>
      <c r="Q30" s="26" t="s">
        <v>30</v>
      </c>
      <c r="R30" s="26" t="s">
        <v>254</v>
      </c>
    </row>
    <row r="31" spans="1:21">
      <c r="A31" s="11" t="s">
        <v>222</v>
      </c>
      <c r="B31" s="13"/>
      <c r="C31" s="13"/>
      <c r="D31" s="13"/>
      <c r="E31" s="13"/>
      <c r="F31" s="13"/>
      <c r="G31" s="13"/>
      <c r="H31" s="13">
        <f>5.94+4.19</f>
        <v>10.130000000000001</v>
      </c>
      <c r="I31" s="13"/>
      <c r="J31" s="11">
        <v>1.5</v>
      </c>
      <c r="K31" s="13"/>
      <c r="L31" s="13"/>
      <c r="M31" s="13"/>
      <c r="N31" s="13">
        <f>SUM(B31:M31)</f>
        <v>11.63</v>
      </c>
      <c r="O31" t="s">
        <v>17</v>
      </c>
      <c r="P31" t="s">
        <v>255</v>
      </c>
      <c r="Q31" t="s">
        <v>256</v>
      </c>
    </row>
    <row r="32" spans="1:21">
      <c r="A32" s="11" t="s">
        <v>223</v>
      </c>
      <c r="B32" s="13"/>
      <c r="C32" s="13"/>
      <c r="D32" s="13"/>
      <c r="E32" s="13"/>
      <c r="F32" s="13">
        <f>3.65+25.09+37.58</f>
        <v>66.319999999999993</v>
      </c>
      <c r="G32" s="13"/>
      <c r="H32" s="13">
        <f>25+24.49</f>
        <v>49.489999999999995</v>
      </c>
      <c r="I32" s="13"/>
      <c r="J32" s="13"/>
      <c r="K32" s="13"/>
      <c r="L32" s="13"/>
      <c r="M32" s="13"/>
      <c r="N32" s="13">
        <f t="shared" si="1"/>
        <v>115.80999999999999</v>
      </c>
      <c r="O32" t="s">
        <v>26</v>
      </c>
      <c r="P32" t="s">
        <v>257</v>
      </c>
      <c r="Q32" t="s">
        <v>258</v>
      </c>
      <c r="R32" t="s">
        <v>193</v>
      </c>
    </row>
    <row r="33" spans="1:18">
      <c r="A33" s="11" t="s">
        <v>224</v>
      </c>
      <c r="B33" s="13"/>
      <c r="C33" s="13"/>
      <c r="D33" s="13"/>
      <c r="E33" s="13"/>
      <c r="F33" s="11"/>
      <c r="G33" s="11">
        <v>12.71</v>
      </c>
      <c r="H33" s="11"/>
      <c r="I33" s="13"/>
      <c r="J33" s="13"/>
      <c r="K33" s="13"/>
      <c r="L33" s="13"/>
      <c r="M33" s="13"/>
      <c r="N33" s="13">
        <f t="shared" si="1"/>
        <v>12.71</v>
      </c>
      <c r="O33" t="s">
        <v>195</v>
      </c>
    </row>
    <row r="34" spans="1:18">
      <c r="A34" s="11" t="s">
        <v>225</v>
      </c>
      <c r="B34" s="13"/>
      <c r="C34" s="13"/>
      <c r="D34" s="13"/>
      <c r="E34" s="13"/>
      <c r="F34" s="11">
        <v>82.51</v>
      </c>
      <c r="G34" s="13"/>
      <c r="H34" s="13"/>
      <c r="I34" s="13"/>
      <c r="J34" s="13">
        <v>163.5</v>
      </c>
      <c r="K34" s="13"/>
      <c r="L34" s="13"/>
      <c r="M34" s="13"/>
      <c r="N34" s="13">
        <f t="shared" si="1"/>
        <v>246.01</v>
      </c>
      <c r="O34" t="s">
        <v>236</v>
      </c>
      <c r="P34" t="s">
        <v>32</v>
      </c>
    </row>
    <row r="35" spans="1:18">
      <c r="A35" s="11" t="s">
        <v>226</v>
      </c>
      <c r="B35" s="13"/>
      <c r="C35" s="13"/>
      <c r="D35" s="13"/>
      <c r="E35" s="13">
        <v>20.49</v>
      </c>
      <c r="F35" s="13">
        <v>23.96</v>
      </c>
      <c r="G35" s="13"/>
      <c r="H35" s="13">
        <v>9.5299999999999994</v>
      </c>
      <c r="I35" s="13"/>
      <c r="J35" s="13"/>
      <c r="K35" s="13">
        <v>5.99</v>
      </c>
      <c r="L35" s="13"/>
      <c r="M35" s="13"/>
      <c r="N35" s="13">
        <f t="shared" si="1"/>
        <v>59.970000000000006</v>
      </c>
      <c r="O35" t="s">
        <v>30</v>
      </c>
      <c r="P35" t="s">
        <v>185</v>
      </c>
      <c r="Q35" t="s">
        <v>196</v>
      </c>
      <c r="R35" t="s">
        <v>193</v>
      </c>
    </row>
    <row r="36" spans="1:18">
      <c r="A36" s="11" t="s">
        <v>227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>
        <f t="shared" si="1"/>
        <v>0</v>
      </c>
    </row>
    <row r="37" spans="1:18">
      <c r="A37" s="11" t="s">
        <v>259</v>
      </c>
      <c r="B37" s="13"/>
      <c r="C37" s="13"/>
      <c r="D37" s="13"/>
      <c r="E37" s="13"/>
      <c r="F37" s="13"/>
      <c r="G37" s="13"/>
      <c r="H37" s="13">
        <v>9</v>
      </c>
      <c r="I37" s="13"/>
      <c r="J37" s="13"/>
      <c r="K37" s="13">
        <v>9.99</v>
      </c>
      <c r="L37" s="13"/>
      <c r="M37" s="13"/>
      <c r="N37" s="13">
        <f t="shared" si="1"/>
        <v>18.990000000000002</v>
      </c>
      <c r="O37" t="s">
        <v>30</v>
      </c>
      <c r="P37" t="s">
        <v>260</v>
      </c>
    </row>
    <row r="38" spans="1:18">
      <c r="A38" s="11" t="s">
        <v>119</v>
      </c>
      <c r="B38" s="15">
        <f>SUM(B7:B37)</f>
        <v>1598.78</v>
      </c>
      <c r="C38" s="15">
        <f t="shared" ref="C38:K38" si="2">SUM(C7:C37)</f>
        <v>125.91</v>
      </c>
      <c r="D38" s="15">
        <f t="shared" si="2"/>
        <v>44.8</v>
      </c>
      <c r="E38" s="15">
        <f t="shared" si="2"/>
        <v>120.7</v>
      </c>
      <c r="F38" s="15">
        <f t="shared" si="2"/>
        <v>583.77</v>
      </c>
      <c r="G38" s="15">
        <f t="shared" si="2"/>
        <v>90.02000000000001</v>
      </c>
      <c r="H38" s="15">
        <f t="shared" si="2"/>
        <v>487.15</v>
      </c>
      <c r="I38" s="15">
        <f t="shared" si="2"/>
        <v>0</v>
      </c>
      <c r="J38" s="15">
        <f t="shared" si="2"/>
        <v>2965.54</v>
      </c>
      <c r="K38" s="15">
        <f t="shared" si="2"/>
        <v>714.88</v>
      </c>
      <c r="L38" s="15">
        <f>SUM(L9:L37)</f>
        <v>0</v>
      </c>
      <c r="M38" s="15"/>
      <c r="N38" s="15">
        <f>SUM(N7:N37)</f>
        <v>6744.2600000000011</v>
      </c>
      <c r="O38" s="19">
        <f>SUM(N7:N37)</f>
        <v>6744.2600000000011</v>
      </c>
      <c r="P38" s="20">
        <f>N38-O38</f>
        <v>0</v>
      </c>
    </row>
    <row r="39" spans="1:18">
      <c r="A39" s="11" t="s">
        <v>122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2">
        <f>K5-N38</f>
        <v>-2132.5200000000013</v>
      </c>
      <c r="P39" t="s">
        <v>120</v>
      </c>
    </row>
    <row r="40" spans="1:1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8">
      <c r="P48" s="13"/>
    </row>
  </sheetData>
  <phoneticPr fontId="1" type="noConversion"/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6D7B0-9C3C-4940-A45F-50AFA5EC19B5}">
  <dimension ref="A1:V48"/>
  <sheetViews>
    <sheetView zoomScale="70" zoomScaleNormal="70" workbookViewId="0">
      <selection activeCell="C9" sqref="C9"/>
    </sheetView>
  </sheetViews>
  <sheetFormatPr defaultRowHeight="14.4"/>
  <cols>
    <col min="1" max="1" width="10.44140625" bestFit="1" customWidth="1"/>
    <col min="2" max="2" width="12.44140625" bestFit="1" customWidth="1"/>
    <col min="3" max="3" width="17.6640625" bestFit="1" customWidth="1"/>
    <col min="4" max="4" width="17.109375" bestFit="1" customWidth="1"/>
    <col min="5" max="6" width="12.33203125" bestFit="1" customWidth="1"/>
    <col min="7" max="7" width="12.77734375" bestFit="1" customWidth="1"/>
    <col min="8" max="8" width="20" bestFit="1" customWidth="1"/>
    <col min="9" max="10" width="12.44140625" bestFit="1" customWidth="1"/>
    <col min="11" max="11" width="23.44140625" bestFit="1" customWidth="1"/>
    <col min="12" max="14" width="16" customWidth="1"/>
    <col min="15" max="15" width="25.6640625" bestFit="1" customWidth="1"/>
    <col min="16" max="16" width="20.109375" bestFit="1" customWidth="1"/>
    <col min="17" max="17" width="22.21875" bestFit="1" customWidth="1"/>
    <col min="18" max="18" width="16" bestFit="1" customWidth="1"/>
    <col min="19" max="19" width="13.33203125" bestFit="1" customWidth="1"/>
  </cols>
  <sheetData>
    <row r="1" spans="1:20">
      <c r="A1" s="14" t="s">
        <v>56</v>
      </c>
      <c r="B1" s="14" t="s">
        <v>59</v>
      </c>
      <c r="C1" s="14" t="s">
        <v>5</v>
      </c>
      <c r="D1" s="14" t="s">
        <v>6</v>
      </c>
      <c r="E1" s="14" t="s">
        <v>7</v>
      </c>
      <c r="F1" s="14" t="s">
        <v>10</v>
      </c>
      <c r="G1" s="14" t="s">
        <v>8</v>
      </c>
      <c r="H1" s="14" t="s">
        <v>9</v>
      </c>
      <c r="I1" s="14" t="s">
        <v>11</v>
      </c>
      <c r="J1" s="14" t="s">
        <v>12</v>
      </c>
      <c r="K1" s="14" t="s">
        <v>60</v>
      </c>
      <c r="L1" s="17"/>
      <c r="M1" s="17"/>
      <c r="N1" s="17"/>
      <c r="O1" s="17" t="s">
        <v>69</v>
      </c>
    </row>
    <row r="2" spans="1:20">
      <c r="A2" s="11" t="s">
        <v>261</v>
      </c>
      <c r="B2" s="12">
        <f>3043.08-187.08-43.76</f>
        <v>2812.24</v>
      </c>
      <c r="C2" s="13">
        <f>Scatch!B3</f>
        <v>23.08</v>
      </c>
      <c r="D2" s="13">
        <v>-3.61</v>
      </c>
      <c r="E2" s="13">
        <v>-12.01</v>
      </c>
      <c r="F2" s="13">
        <v>0</v>
      </c>
      <c r="G2" s="13">
        <v>-8.07</v>
      </c>
      <c r="H2" s="13">
        <v>-18.399999999999999</v>
      </c>
      <c r="I2" s="13">
        <v>-122.17</v>
      </c>
      <c r="J2" s="13">
        <v>-365.98</v>
      </c>
      <c r="K2" s="13">
        <f>B2+C2+D2+E2+F2+G2+H2+I2+J2</f>
        <v>2305.079999999999</v>
      </c>
      <c r="L2" s="18"/>
      <c r="M2" s="18"/>
      <c r="N2" s="18"/>
    </row>
    <row r="3" spans="1:20">
      <c r="A3" s="11" t="s">
        <v>262</v>
      </c>
      <c r="B3" s="12">
        <f>3043.08-43.75-187.08</f>
        <v>2812.25</v>
      </c>
      <c r="C3" s="13">
        <f>Scatch!C3</f>
        <v>23.08</v>
      </c>
      <c r="D3" s="13">
        <v>-3.62</v>
      </c>
      <c r="E3" s="13">
        <v>-12.02</v>
      </c>
      <c r="F3" s="13">
        <v>0</v>
      </c>
      <c r="G3" s="13">
        <v>-8.07</v>
      </c>
      <c r="H3" s="13">
        <v>-18.38</v>
      </c>
      <c r="I3" s="13">
        <v>-122.17</v>
      </c>
      <c r="J3" s="13">
        <f>-365.99</f>
        <v>-365.99</v>
      </c>
      <c r="K3" s="13">
        <f t="shared" ref="K3" si="0">B3+C3+D3+E3+F3+G3+H3+I3+J3</f>
        <v>2305.08</v>
      </c>
      <c r="L3" s="18"/>
      <c r="M3" s="18"/>
      <c r="N3" s="18"/>
    </row>
    <row r="4" spans="1:20">
      <c r="A4" s="11"/>
      <c r="B4" s="15"/>
      <c r="C4" s="15"/>
      <c r="D4" s="13"/>
      <c r="E4" s="13"/>
      <c r="F4" s="13"/>
      <c r="G4" s="13"/>
      <c r="H4" s="13"/>
      <c r="I4" s="15"/>
      <c r="J4" s="15"/>
      <c r="K4" s="13"/>
      <c r="L4" s="18"/>
      <c r="M4" s="18"/>
      <c r="N4" s="18"/>
    </row>
    <row r="5" spans="1:20">
      <c r="A5" s="11"/>
      <c r="B5" s="11"/>
      <c r="C5" s="11"/>
      <c r="D5" s="11"/>
      <c r="E5" s="11"/>
      <c r="F5" s="11"/>
      <c r="G5" s="11"/>
      <c r="H5" s="11"/>
      <c r="I5" s="11"/>
      <c r="J5" s="11"/>
      <c r="K5" s="15">
        <f>SUM(K2:K4)</f>
        <v>4610.1599999999989</v>
      </c>
    </row>
    <row r="6" spans="1:20">
      <c r="A6" s="16"/>
      <c r="B6" s="17" t="s">
        <v>65</v>
      </c>
      <c r="C6" s="17" t="s">
        <v>66</v>
      </c>
      <c r="D6" s="21" t="s">
        <v>67</v>
      </c>
      <c r="E6" s="21" t="s">
        <v>72</v>
      </c>
      <c r="F6" s="17" t="s">
        <v>64</v>
      </c>
      <c r="G6" s="17" t="s">
        <v>74</v>
      </c>
      <c r="H6" s="17" t="s">
        <v>79</v>
      </c>
      <c r="I6" s="17" t="s">
        <v>68</v>
      </c>
      <c r="J6" s="17" t="s">
        <v>70</v>
      </c>
      <c r="K6" s="21" t="s">
        <v>94</v>
      </c>
      <c r="L6" s="21" t="s">
        <v>118</v>
      </c>
      <c r="M6" s="21" t="s">
        <v>121</v>
      </c>
      <c r="N6" s="21" t="s">
        <v>119</v>
      </c>
    </row>
    <row r="7" spans="1:20">
      <c r="A7" s="11" t="s">
        <v>263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1"/>
      <c r="M7" s="13"/>
      <c r="N7" s="13">
        <f>SUM(B7:M7)</f>
        <v>0</v>
      </c>
    </row>
    <row r="8" spans="1:20">
      <c r="A8" s="11" t="s">
        <v>264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3">
        <f>SUM(B8:M8)</f>
        <v>0</v>
      </c>
    </row>
    <row r="9" spans="1:20">
      <c r="A9" s="11" t="s">
        <v>265</v>
      </c>
      <c r="B9" s="13"/>
      <c r="C9" s="13">
        <f>23.13+41.54</f>
        <v>64.67</v>
      </c>
      <c r="D9" s="13"/>
      <c r="E9" s="13"/>
      <c r="F9" s="13">
        <v>42</v>
      </c>
      <c r="G9" s="13"/>
      <c r="H9" s="13"/>
      <c r="I9" s="13"/>
      <c r="J9" s="13"/>
      <c r="K9" s="13">
        <v>4.99</v>
      </c>
      <c r="L9" s="13">
        <v>100</v>
      </c>
      <c r="M9" s="13">
        <v>50</v>
      </c>
      <c r="N9" s="13">
        <f t="shared" ref="N9:N37" si="1">SUM(B9:M9)</f>
        <v>261.65999999999997</v>
      </c>
      <c r="O9" t="s">
        <v>292</v>
      </c>
      <c r="P9" t="s">
        <v>184</v>
      </c>
      <c r="Q9" t="s">
        <v>26</v>
      </c>
      <c r="R9" t="s">
        <v>134</v>
      </c>
      <c r="S9" t="s">
        <v>300</v>
      </c>
      <c r="T9" t="s">
        <v>301</v>
      </c>
    </row>
    <row r="10" spans="1:20">
      <c r="A10" s="11" t="s">
        <v>266</v>
      </c>
      <c r="B10" s="13"/>
      <c r="C10" s="13"/>
      <c r="D10" s="13"/>
      <c r="E10" s="13"/>
      <c r="F10" s="13"/>
      <c r="G10" s="13"/>
      <c r="H10" s="11">
        <f>2.1+14.83</f>
        <v>16.93</v>
      </c>
      <c r="I10" s="13"/>
      <c r="J10" s="13"/>
      <c r="K10" s="13"/>
      <c r="L10" s="13"/>
      <c r="M10" s="13"/>
      <c r="N10" s="13">
        <f>SUM(B10:M10)</f>
        <v>16.93</v>
      </c>
      <c r="O10" t="s">
        <v>293</v>
      </c>
      <c r="P10" t="s">
        <v>294</v>
      </c>
    </row>
    <row r="11" spans="1:20">
      <c r="A11" s="11" t="s">
        <v>267</v>
      </c>
      <c r="B11" s="13"/>
      <c r="C11" s="13"/>
      <c r="D11" s="13"/>
      <c r="E11" s="13"/>
      <c r="F11" s="13">
        <f>5.29+58.2</f>
        <v>63.49</v>
      </c>
      <c r="G11" s="13"/>
      <c r="H11" s="13">
        <f>10.58+8.96+33+22</f>
        <v>74.539999999999992</v>
      </c>
      <c r="I11" s="13"/>
      <c r="J11" s="13"/>
      <c r="K11" s="13"/>
      <c r="L11" s="13"/>
      <c r="M11" s="13"/>
      <c r="N11" s="13">
        <f>SUM(B11:M11)</f>
        <v>138.03</v>
      </c>
      <c r="O11" t="s">
        <v>295</v>
      </c>
      <c r="P11" t="s">
        <v>302</v>
      </c>
      <c r="Q11" t="s">
        <v>32</v>
      </c>
      <c r="R11" t="s">
        <v>26</v>
      </c>
      <c r="S11" t="s">
        <v>303</v>
      </c>
    </row>
    <row r="12" spans="1:20">
      <c r="A12" s="11" t="s">
        <v>268</v>
      </c>
      <c r="B12" s="13">
        <v>1478.95</v>
      </c>
      <c r="C12" s="13"/>
      <c r="D12" s="11"/>
      <c r="E12" s="13"/>
      <c r="F12" s="13">
        <v>5.98</v>
      </c>
      <c r="G12" s="13"/>
      <c r="H12" s="13">
        <f>45.98+13.66</f>
        <v>59.64</v>
      </c>
      <c r="I12" s="13"/>
      <c r="J12" s="13">
        <v>54.06</v>
      </c>
      <c r="K12" s="13"/>
      <c r="L12" s="13"/>
      <c r="M12" s="13"/>
      <c r="N12" s="13">
        <f t="shared" si="1"/>
        <v>1598.63</v>
      </c>
      <c r="O12" t="s">
        <v>186</v>
      </c>
      <c r="P12" t="s">
        <v>304</v>
      </c>
      <c r="Q12" t="s">
        <v>305</v>
      </c>
      <c r="R12" t="s">
        <v>23</v>
      </c>
      <c r="S12" t="s">
        <v>26</v>
      </c>
    </row>
    <row r="13" spans="1:20">
      <c r="A13" s="11" t="s">
        <v>262</v>
      </c>
      <c r="B13" s="13"/>
      <c r="C13" s="13"/>
      <c r="D13" s="13"/>
      <c r="E13" s="13"/>
      <c r="F13" s="13"/>
      <c r="G13" s="13"/>
      <c r="H13" s="13"/>
      <c r="I13" s="13"/>
      <c r="J13" s="13"/>
      <c r="K13" s="13">
        <v>79</v>
      </c>
      <c r="L13" s="13"/>
      <c r="M13" s="13"/>
      <c r="N13" s="13">
        <f t="shared" si="1"/>
        <v>79</v>
      </c>
      <c r="O13" t="s">
        <v>250</v>
      </c>
    </row>
    <row r="14" spans="1:20">
      <c r="A14" s="11" t="s">
        <v>269</v>
      </c>
      <c r="B14" s="13"/>
      <c r="C14" s="11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>
        <f t="shared" si="1"/>
        <v>0</v>
      </c>
    </row>
    <row r="15" spans="1:20">
      <c r="A15" s="11" t="s">
        <v>270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>
        <f t="shared" si="1"/>
        <v>0</v>
      </c>
    </row>
    <row r="16" spans="1:20">
      <c r="A16" s="11" t="s">
        <v>271</v>
      </c>
      <c r="B16" s="13"/>
      <c r="C16" s="13"/>
      <c r="D16" s="13"/>
      <c r="E16" s="23"/>
      <c r="F16" s="13"/>
      <c r="G16" s="13">
        <v>24.45</v>
      </c>
      <c r="H16" s="13">
        <f>2.96+27.6+33</f>
        <v>63.56</v>
      </c>
      <c r="I16" s="13"/>
      <c r="J16" s="13"/>
      <c r="K16" s="13">
        <f>16.93+10.8</f>
        <v>27.73</v>
      </c>
      <c r="L16" s="13"/>
      <c r="M16" s="13"/>
      <c r="N16" s="13">
        <f t="shared" si="1"/>
        <v>115.74000000000001</v>
      </c>
      <c r="O16" t="s">
        <v>295</v>
      </c>
      <c r="P16" t="s">
        <v>191</v>
      </c>
      <c r="Q16" t="s">
        <v>306</v>
      </c>
      <c r="R16" t="s">
        <v>307</v>
      </c>
      <c r="S16" t="s">
        <v>308</v>
      </c>
    </row>
    <row r="17" spans="1:22">
      <c r="A17" s="11" t="s">
        <v>272</v>
      </c>
      <c r="B17" s="13"/>
      <c r="C17" s="13"/>
      <c r="D17" s="13"/>
      <c r="E17" s="13">
        <v>45.88</v>
      </c>
      <c r="F17" s="13">
        <v>93.3</v>
      </c>
      <c r="G17" s="13">
        <v>4.2300000000000004</v>
      </c>
      <c r="I17" s="13"/>
      <c r="J17" s="11"/>
      <c r="K17" s="13"/>
      <c r="L17" s="13"/>
      <c r="M17" s="13"/>
      <c r="N17" s="13">
        <f t="shared" si="1"/>
        <v>143.41</v>
      </c>
      <c r="O17" t="s">
        <v>309</v>
      </c>
      <c r="P17" t="s">
        <v>1</v>
      </c>
      <c r="Q17" t="s">
        <v>310</v>
      </c>
    </row>
    <row r="18" spans="1:22">
      <c r="A18" s="11" t="s">
        <v>273</v>
      </c>
      <c r="B18" s="13"/>
      <c r="C18" s="13"/>
      <c r="D18" s="13"/>
      <c r="E18" s="13"/>
      <c r="F18" s="13"/>
      <c r="G18" s="13"/>
      <c r="H18" s="13">
        <v>15</v>
      </c>
      <c r="I18" s="13"/>
      <c r="J18" s="13"/>
      <c r="K18" s="13">
        <v>41.21</v>
      </c>
      <c r="L18" s="13"/>
      <c r="M18" s="13">
        <f>24+409.58</f>
        <v>433.58</v>
      </c>
      <c r="N18" s="13">
        <f t="shared" si="1"/>
        <v>489.78999999999996</v>
      </c>
      <c r="O18" t="s">
        <v>39</v>
      </c>
      <c r="P18" t="s">
        <v>16</v>
      </c>
      <c r="Q18" t="s">
        <v>307</v>
      </c>
      <c r="R18" t="s">
        <v>311</v>
      </c>
    </row>
    <row r="19" spans="1:22">
      <c r="A19" s="11" t="s">
        <v>274</v>
      </c>
      <c r="B19" s="13"/>
      <c r="C19" s="13"/>
      <c r="D19" s="13">
        <v>0.22</v>
      </c>
      <c r="E19" s="13"/>
      <c r="F19" s="13">
        <v>5.29</v>
      </c>
      <c r="G19" s="13">
        <v>8.69</v>
      </c>
      <c r="H19" s="13">
        <v>12.17</v>
      </c>
      <c r="I19" s="13"/>
      <c r="J19" s="13"/>
      <c r="K19" s="13">
        <v>79</v>
      </c>
      <c r="L19" s="13"/>
      <c r="M19" s="13"/>
      <c r="N19" s="13">
        <f t="shared" si="1"/>
        <v>105.37</v>
      </c>
      <c r="O19" t="s">
        <v>295</v>
      </c>
      <c r="P19" t="s">
        <v>26</v>
      </c>
      <c r="Q19" t="s">
        <v>244</v>
      </c>
      <c r="R19" t="s">
        <v>312</v>
      </c>
      <c r="S19" t="s">
        <v>250</v>
      </c>
    </row>
    <row r="20" spans="1:22">
      <c r="A20" s="11" t="s">
        <v>275</v>
      </c>
      <c r="B20" s="13"/>
      <c r="C20" s="13"/>
      <c r="D20" s="13"/>
      <c r="E20" s="13"/>
      <c r="F20" s="13"/>
      <c r="G20" s="13"/>
      <c r="H20" s="11">
        <f>11.64+2.96</f>
        <v>14.600000000000001</v>
      </c>
      <c r="I20" s="13"/>
      <c r="J20" s="13"/>
      <c r="K20" s="13"/>
      <c r="L20" s="13"/>
      <c r="M20" s="13"/>
      <c r="N20" s="13">
        <f>SUM(B20:M20)</f>
        <v>14.600000000000001</v>
      </c>
      <c r="O20" t="s">
        <v>295</v>
      </c>
    </row>
    <row r="21" spans="1:22">
      <c r="A21" s="11" t="s">
        <v>276</v>
      </c>
      <c r="B21" s="13"/>
      <c r="C21" s="13"/>
      <c r="D21" s="11"/>
      <c r="E21" s="11"/>
      <c r="F21" s="11"/>
      <c r="G21" s="11"/>
      <c r="H21" s="11"/>
      <c r="I21" s="11"/>
      <c r="J21" s="11"/>
      <c r="K21" s="11"/>
      <c r="L21" s="13"/>
      <c r="N21" s="13">
        <f t="shared" si="1"/>
        <v>0</v>
      </c>
    </row>
    <row r="22" spans="1:22">
      <c r="A22" s="11" t="s">
        <v>277</v>
      </c>
      <c r="B22" s="13"/>
      <c r="C22" s="11"/>
      <c r="D22" s="13"/>
      <c r="E22" s="13"/>
      <c r="F22" s="13"/>
      <c r="G22" s="13"/>
      <c r="H22" s="13">
        <v>6.31</v>
      </c>
      <c r="I22" s="13"/>
      <c r="J22" s="13"/>
      <c r="K22" s="13"/>
      <c r="L22" s="13"/>
      <c r="M22" s="13"/>
      <c r="N22" s="13">
        <f t="shared" si="1"/>
        <v>6.31</v>
      </c>
      <c r="O22" t="s">
        <v>197</v>
      </c>
    </row>
    <row r="23" spans="1:22">
      <c r="A23" s="11" t="s">
        <v>278</v>
      </c>
      <c r="B23" s="13"/>
      <c r="C23" s="13"/>
      <c r="D23" s="13">
        <v>44.8</v>
      </c>
      <c r="E23" s="13"/>
      <c r="F23" s="11">
        <v>19.57</v>
      </c>
      <c r="G23" s="13">
        <f>11.87+24.57</f>
        <v>36.44</v>
      </c>
      <c r="H23" s="13">
        <v>34.6</v>
      </c>
      <c r="I23" s="13"/>
      <c r="J23" s="24"/>
      <c r="K23" s="13">
        <f>30.96+9.99</f>
        <v>40.950000000000003</v>
      </c>
      <c r="L23" s="13"/>
      <c r="M23" s="13">
        <v>47</v>
      </c>
      <c r="N23" s="13">
        <f t="shared" si="1"/>
        <v>223.36</v>
      </c>
      <c r="O23" t="s">
        <v>244</v>
      </c>
      <c r="P23" t="s">
        <v>193</v>
      </c>
      <c r="Q23" t="s">
        <v>249</v>
      </c>
      <c r="R23" t="s">
        <v>300</v>
      </c>
      <c r="S23" t="s">
        <v>312</v>
      </c>
      <c r="T23" t="s">
        <v>313</v>
      </c>
      <c r="U23" t="s">
        <v>245</v>
      </c>
      <c r="V23" t="s">
        <v>34</v>
      </c>
    </row>
    <row r="24" spans="1:22">
      <c r="A24" s="11" t="s">
        <v>279</v>
      </c>
      <c r="B24" s="13"/>
      <c r="C24" s="13"/>
      <c r="D24" s="13"/>
      <c r="E24" s="13"/>
      <c r="F24" s="13"/>
      <c r="G24" s="13"/>
      <c r="H24" s="13"/>
      <c r="I24" s="13"/>
      <c r="J24" s="11"/>
      <c r="K24" s="13"/>
      <c r="L24" s="13"/>
      <c r="M24" s="13"/>
      <c r="N24" s="13">
        <f t="shared" si="1"/>
        <v>0</v>
      </c>
    </row>
    <row r="25" spans="1:22">
      <c r="A25" s="11" t="s">
        <v>280</v>
      </c>
      <c r="B25" s="13"/>
      <c r="C25" s="13"/>
      <c r="D25" s="13"/>
      <c r="E25" s="13"/>
      <c r="F25" s="13"/>
      <c r="G25" s="13"/>
      <c r="H25" s="13">
        <f>2.96+6.88</f>
        <v>9.84</v>
      </c>
      <c r="I25" s="13"/>
      <c r="J25" s="13">
        <v>1</v>
      </c>
      <c r="K25" s="13">
        <v>23.03</v>
      </c>
      <c r="L25" s="13"/>
      <c r="M25" s="13"/>
      <c r="N25" s="13">
        <f t="shared" si="1"/>
        <v>33.870000000000005</v>
      </c>
      <c r="O25" t="s">
        <v>295</v>
      </c>
      <c r="P25" t="s">
        <v>17</v>
      </c>
      <c r="Q25" t="s">
        <v>307</v>
      </c>
    </row>
    <row r="26" spans="1:22">
      <c r="A26" s="11" t="s">
        <v>281</v>
      </c>
      <c r="B26" s="13"/>
      <c r="C26" s="13"/>
      <c r="D26" s="13">
        <v>45</v>
      </c>
      <c r="E26" s="13">
        <v>43.43</v>
      </c>
      <c r="F26" s="23">
        <v>61.18</v>
      </c>
      <c r="G26" s="13">
        <v>3.7</v>
      </c>
      <c r="H26" s="13">
        <f>2.43+10.58</f>
        <v>13.01</v>
      </c>
      <c r="I26" s="13"/>
      <c r="J26" s="13"/>
      <c r="K26" s="13"/>
      <c r="L26" s="13"/>
      <c r="M26" s="13"/>
      <c r="N26" s="13">
        <f t="shared" si="1"/>
        <v>166.32</v>
      </c>
      <c r="O26" t="s">
        <v>295</v>
      </c>
      <c r="P26" t="s">
        <v>312</v>
      </c>
      <c r="Q26" t="s">
        <v>309</v>
      </c>
      <c r="R26" t="s">
        <v>1</v>
      </c>
      <c r="S26" t="s">
        <v>310</v>
      </c>
    </row>
    <row r="27" spans="1:22">
      <c r="A27" s="11" t="s">
        <v>261</v>
      </c>
      <c r="B27" s="13"/>
      <c r="C27" s="13"/>
      <c r="D27" s="13"/>
      <c r="E27" s="13"/>
      <c r="F27" s="13"/>
      <c r="G27" s="13"/>
      <c r="H27" s="13">
        <v>58.97</v>
      </c>
      <c r="I27" s="13"/>
      <c r="J27" s="13"/>
      <c r="K27" s="13"/>
      <c r="L27" s="13"/>
      <c r="M27" s="13"/>
      <c r="N27" s="13">
        <f t="shared" si="1"/>
        <v>58.97</v>
      </c>
      <c r="O27" t="s">
        <v>296</v>
      </c>
    </row>
    <row r="28" spans="1:22">
      <c r="A28" s="11" t="s">
        <v>282</v>
      </c>
      <c r="B28" s="13"/>
      <c r="C28" s="13"/>
      <c r="D28" s="13"/>
      <c r="E28" s="13"/>
      <c r="F28" s="13"/>
      <c r="G28" s="13"/>
      <c r="H28" s="11">
        <v>14.75</v>
      </c>
      <c r="I28" s="13"/>
      <c r="J28" s="13"/>
      <c r="K28" s="13"/>
      <c r="L28" s="13"/>
      <c r="M28" s="11"/>
      <c r="N28" s="13">
        <f t="shared" si="1"/>
        <v>14.75</v>
      </c>
      <c r="O28" t="s">
        <v>297</v>
      </c>
    </row>
    <row r="29" spans="1:22">
      <c r="A29" s="11" t="s">
        <v>283</v>
      </c>
      <c r="B29" s="13"/>
      <c r="C29" s="13"/>
      <c r="D29" s="13"/>
      <c r="E29" s="13"/>
      <c r="F29" s="13"/>
      <c r="G29" s="13"/>
      <c r="H29" s="13">
        <v>39.99</v>
      </c>
      <c r="I29" s="13"/>
      <c r="J29" s="13"/>
      <c r="K29" s="13">
        <f>79+92.81</f>
        <v>171.81</v>
      </c>
      <c r="L29" s="13"/>
      <c r="M29" s="13">
        <v>12.71</v>
      </c>
      <c r="N29" s="13">
        <f t="shared" si="1"/>
        <v>224.51000000000002</v>
      </c>
      <c r="O29" t="s">
        <v>180</v>
      </c>
      <c r="P29" t="s">
        <v>314</v>
      </c>
      <c r="Q29" s="26" t="s">
        <v>228</v>
      </c>
      <c r="R29" s="26" t="s">
        <v>315</v>
      </c>
    </row>
    <row r="30" spans="1:22">
      <c r="A30" s="11" t="s">
        <v>284</v>
      </c>
      <c r="B30" s="13"/>
      <c r="C30" s="11"/>
      <c r="D30" s="11"/>
      <c r="E30" s="11"/>
      <c r="F30" s="11"/>
      <c r="G30" s="11">
        <v>12.71</v>
      </c>
      <c r="I30" s="13"/>
      <c r="J30" s="13">
        <v>1.5</v>
      </c>
      <c r="K30" s="13"/>
      <c r="L30" s="13"/>
      <c r="M30" s="13">
        <v>-12.71</v>
      </c>
      <c r="N30" s="13">
        <f t="shared" si="1"/>
        <v>1.5</v>
      </c>
      <c r="O30" t="s">
        <v>17</v>
      </c>
      <c r="P30" t="s">
        <v>298</v>
      </c>
      <c r="Q30" s="26" t="s">
        <v>316</v>
      </c>
      <c r="R30" s="26"/>
    </row>
    <row r="31" spans="1:22">
      <c r="A31" s="11" t="s">
        <v>285</v>
      </c>
      <c r="B31" s="13"/>
      <c r="C31" s="13"/>
      <c r="D31" s="13"/>
      <c r="E31" s="13"/>
      <c r="F31" s="13">
        <v>76.8</v>
      </c>
      <c r="G31" s="13"/>
      <c r="H31" s="13"/>
      <c r="I31" s="13"/>
      <c r="J31" s="11"/>
      <c r="K31" s="13"/>
      <c r="L31" s="13"/>
      <c r="M31" s="13"/>
      <c r="N31" s="13">
        <f>SUM(B31:M31)</f>
        <v>76.8</v>
      </c>
      <c r="O31" t="s">
        <v>299</v>
      </c>
    </row>
    <row r="32" spans="1:22">
      <c r="A32" s="11" t="s">
        <v>286</v>
      </c>
      <c r="B32" s="13"/>
      <c r="C32" s="13"/>
      <c r="D32" s="13"/>
      <c r="E32" s="13"/>
      <c r="F32" s="11"/>
      <c r="G32" s="11"/>
      <c r="H32" s="11">
        <f>2.96+5.82</f>
        <v>8.7800000000000011</v>
      </c>
      <c r="I32" s="13"/>
      <c r="J32" s="13"/>
      <c r="K32" s="13"/>
      <c r="L32" s="13"/>
      <c r="M32" s="13"/>
      <c r="N32" s="13">
        <f t="shared" si="1"/>
        <v>8.7800000000000011</v>
      </c>
      <c r="O32" t="s">
        <v>295</v>
      </c>
    </row>
    <row r="33" spans="1:17">
      <c r="A33" s="11" t="s">
        <v>287</v>
      </c>
      <c r="B33" s="13"/>
      <c r="C33" s="13"/>
      <c r="D33" s="13"/>
      <c r="E33" s="13"/>
      <c r="F33" s="11"/>
      <c r="G33" s="13"/>
      <c r="H33" s="13">
        <f>2.11+2.64+2.96+9.53</f>
        <v>17.239999999999998</v>
      </c>
      <c r="I33" s="13"/>
      <c r="J33" s="13"/>
      <c r="K33" s="13"/>
      <c r="L33" s="13"/>
      <c r="M33" s="13"/>
      <c r="N33" s="13">
        <f t="shared" si="1"/>
        <v>17.239999999999998</v>
      </c>
      <c r="O33" t="s">
        <v>295</v>
      </c>
    </row>
    <row r="34" spans="1:17">
      <c r="A34" s="11" t="s">
        <v>288</v>
      </c>
      <c r="B34" s="13"/>
      <c r="C34" s="13"/>
      <c r="D34" s="13"/>
      <c r="E34" s="13"/>
      <c r="F34">
        <v>23.7</v>
      </c>
      <c r="G34">
        <v>15.72</v>
      </c>
      <c r="H34">
        <f>2.64+12.7</f>
        <v>15.34</v>
      </c>
      <c r="I34" s="13"/>
      <c r="J34" s="13"/>
      <c r="K34" s="13"/>
      <c r="L34" s="13"/>
      <c r="M34" s="13"/>
      <c r="N34" s="13">
        <f t="shared" si="1"/>
        <v>54.760000000000005</v>
      </c>
      <c r="O34" t="s">
        <v>295</v>
      </c>
      <c r="P34" t="s">
        <v>298</v>
      </c>
      <c r="Q34" t="s">
        <v>193</v>
      </c>
    </row>
    <row r="35" spans="1:17">
      <c r="A35" s="11" t="s">
        <v>289</v>
      </c>
      <c r="B35" s="13"/>
      <c r="C35" s="13"/>
      <c r="D35" s="13"/>
      <c r="E35" s="13"/>
      <c r="F35" s="13">
        <v>70.819999999999993</v>
      </c>
      <c r="G35" s="13"/>
      <c r="H35" s="13"/>
      <c r="I35" s="13"/>
      <c r="J35" s="13"/>
      <c r="K35" s="13"/>
      <c r="L35" s="13"/>
      <c r="M35" s="13"/>
      <c r="N35" s="13">
        <f t="shared" si="1"/>
        <v>70.819999999999993</v>
      </c>
      <c r="O35" t="s">
        <v>32</v>
      </c>
    </row>
    <row r="36" spans="1:17">
      <c r="A36" s="11" t="s">
        <v>290</v>
      </c>
      <c r="B36" s="13"/>
      <c r="C36" s="13">
        <v>21.3</v>
      </c>
      <c r="D36" s="13"/>
      <c r="E36" s="13"/>
      <c r="F36" s="13">
        <v>33.97</v>
      </c>
      <c r="G36" s="13"/>
      <c r="H36" s="13"/>
      <c r="I36" s="13"/>
      <c r="J36" s="13"/>
      <c r="K36" s="13">
        <v>36.72</v>
      </c>
      <c r="L36" s="13"/>
      <c r="M36" s="13"/>
      <c r="N36" s="13">
        <f t="shared" si="1"/>
        <v>91.99</v>
      </c>
      <c r="O36" t="s">
        <v>26</v>
      </c>
      <c r="P36" t="s">
        <v>133</v>
      </c>
      <c r="Q36" t="s">
        <v>249</v>
      </c>
    </row>
    <row r="37" spans="1:17">
      <c r="A37" s="11" t="s">
        <v>291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>
        <f t="shared" si="1"/>
        <v>0</v>
      </c>
    </row>
    <row r="38" spans="1:17">
      <c r="A38" s="11" t="s">
        <v>119</v>
      </c>
      <c r="B38" s="15">
        <f>SUM(B7:B37)</f>
        <v>1478.95</v>
      </c>
      <c r="C38" s="15">
        <f t="shared" ref="C38:K38" si="2">SUM(C7:C37)</f>
        <v>85.97</v>
      </c>
      <c r="D38" s="15">
        <f t="shared" si="2"/>
        <v>90.02</v>
      </c>
      <c r="E38" s="15">
        <f t="shared" si="2"/>
        <v>89.31</v>
      </c>
      <c r="F38" s="15">
        <f t="shared" si="2"/>
        <v>496.1</v>
      </c>
      <c r="G38" s="15">
        <f t="shared" si="2"/>
        <v>105.94</v>
      </c>
      <c r="H38" s="15">
        <f t="shared" si="2"/>
        <v>475.26999999999992</v>
      </c>
      <c r="I38" s="15">
        <f t="shared" si="2"/>
        <v>0</v>
      </c>
      <c r="J38" s="15">
        <f t="shared" si="2"/>
        <v>56.56</v>
      </c>
      <c r="K38" s="15">
        <f t="shared" si="2"/>
        <v>504.43999999999994</v>
      </c>
      <c r="L38" s="15">
        <f>SUM(L9:L37)</f>
        <v>100</v>
      </c>
      <c r="M38" s="15"/>
      <c r="N38" s="15">
        <f>SUM(N7:N37)</f>
        <v>4013.14</v>
      </c>
      <c r="O38" s="19">
        <f>SUM(N7:N37)</f>
        <v>4013.14</v>
      </c>
      <c r="P38" s="20">
        <f>N38-O38</f>
        <v>0</v>
      </c>
    </row>
    <row r="39" spans="1:17">
      <c r="A39" s="11" t="s">
        <v>122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2">
        <f>K5-N38</f>
        <v>597.01999999999907</v>
      </c>
      <c r="P39" t="s">
        <v>120</v>
      </c>
    </row>
    <row r="40" spans="1:17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7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7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7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7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7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7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7">
      <c r="P48" s="13"/>
    </row>
  </sheetData>
  <phoneticPr fontId="1" type="noConversion"/>
  <pageMargins left="0.7" right="0.7" top="0.75" bottom="0.75" header="0.3" footer="0.3"/>
  <pageSetup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030E-0E6E-4CE4-8DA1-200084167A35}">
  <dimension ref="A1:W48"/>
  <sheetViews>
    <sheetView zoomScale="70" zoomScaleNormal="70" workbookViewId="0">
      <selection activeCell="C26" sqref="C26"/>
    </sheetView>
  </sheetViews>
  <sheetFormatPr defaultRowHeight="14.4"/>
  <cols>
    <col min="1" max="1" width="10.44140625" bestFit="1" customWidth="1"/>
    <col min="2" max="2" width="12.44140625" bestFit="1" customWidth="1"/>
    <col min="3" max="3" width="17.6640625" bestFit="1" customWidth="1"/>
    <col min="4" max="4" width="17.109375" bestFit="1" customWidth="1"/>
    <col min="5" max="6" width="12.33203125" bestFit="1" customWidth="1"/>
    <col min="7" max="7" width="12.77734375" bestFit="1" customWidth="1"/>
    <col min="8" max="8" width="20" bestFit="1" customWidth="1"/>
    <col min="9" max="10" width="12.44140625" bestFit="1" customWidth="1"/>
    <col min="11" max="11" width="23.44140625" bestFit="1" customWidth="1"/>
    <col min="12" max="14" width="16" customWidth="1"/>
    <col min="15" max="15" width="25.6640625" bestFit="1" customWidth="1"/>
    <col min="16" max="16" width="20.109375" bestFit="1" customWidth="1"/>
    <col min="17" max="17" width="22.21875" bestFit="1" customWidth="1"/>
    <col min="18" max="18" width="16" bestFit="1" customWidth="1"/>
    <col min="19" max="19" width="13.33203125" bestFit="1" customWidth="1"/>
  </cols>
  <sheetData>
    <row r="1" spans="1:19">
      <c r="A1" s="14" t="s">
        <v>56</v>
      </c>
      <c r="B1" s="14" t="s">
        <v>59</v>
      </c>
      <c r="C1" s="14" t="s">
        <v>5</v>
      </c>
      <c r="D1" s="14" t="s">
        <v>6</v>
      </c>
      <c r="E1" s="14" t="s">
        <v>7</v>
      </c>
      <c r="F1" s="14" t="s">
        <v>10</v>
      </c>
      <c r="G1" s="14" t="s">
        <v>8</v>
      </c>
      <c r="H1" s="14" t="s">
        <v>9</v>
      </c>
      <c r="I1" s="14" t="s">
        <v>11</v>
      </c>
      <c r="J1" s="14" t="s">
        <v>12</v>
      </c>
      <c r="K1" s="14" t="s">
        <v>60</v>
      </c>
      <c r="L1" s="17"/>
      <c r="M1" s="17"/>
      <c r="N1" s="17"/>
      <c r="O1" s="17" t="s">
        <v>69</v>
      </c>
    </row>
    <row r="2" spans="1:19">
      <c r="A2" s="11" t="s">
        <v>261</v>
      </c>
      <c r="B2" s="12">
        <f>3043.08-187.08-43.76</f>
        <v>2812.24</v>
      </c>
      <c r="C2" s="13">
        <f>Scatch!B3</f>
        <v>23.08</v>
      </c>
      <c r="D2" s="13">
        <v>-3.61</v>
      </c>
      <c r="E2" s="13">
        <v>-12.01</v>
      </c>
      <c r="F2" s="13">
        <v>0</v>
      </c>
      <c r="G2" s="13">
        <v>-8.07</v>
      </c>
      <c r="H2" s="13">
        <v>-18.399999999999999</v>
      </c>
      <c r="I2" s="13">
        <v>-122.17</v>
      </c>
      <c r="J2" s="13">
        <v>-365.98</v>
      </c>
      <c r="K2" s="13">
        <f>B2+C2+D2+E2+F2+G2+H2+I2+J2</f>
        <v>2305.079999999999</v>
      </c>
      <c r="L2" s="18"/>
      <c r="M2" s="18"/>
      <c r="N2" s="18"/>
    </row>
    <row r="3" spans="1:19">
      <c r="A3" s="11" t="s">
        <v>262</v>
      </c>
      <c r="B3" s="12">
        <f>3043.08-43.75-187.08</f>
        <v>2812.25</v>
      </c>
      <c r="C3" s="13">
        <f>Scatch!C3</f>
        <v>23.08</v>
      </c>
      <c r="D3" s="13">
        <v>-3.62</v>
      </c>
      <c r="E3" s="13">
        <v>-12.02</v>
      </c>
      <c r="F3" s="13">
        <v>0</v>
      </c>
      <c r="G3" s="13">
        <v>-8.07</v>
      </c>
      <c r="H3" s="13">
        <v>-18.38</v>
      </c>
      <c r="I3" s="13">
        <v>-122.17</v>
      </c>
      <c r="J3" s="13">
        <f>-365.99</f>
        <v>-365.99</v>
      </c>
      <c r="K3" s="13">
        <f t="shared" ref="K3" si="0">B3+C3+D3+E3+F3+G3+H3+I3+J3</f>
        <v>2305.08</v>
      </c>
      <c r="L3" s="18"/>
      <c r="M3" s="18"/>
      <c r="N3" s="18"/>
    </row>
    <row r="4" spans="1:19">
      <c r="A4" s="11"/>
      <c r="B4" s="15"/>
      <c r="C4" s="15"/>
      <c r="D4" s="13"/>
      <c r="E4" s="13"/>
      <c r="F4" s="13"/>
      <c r="G4" s="13"/>
      <c r="H4" s="13"/>
      <c r="I4" s="15"/>
      <c r="J4" s="15"/>
      <c r="K4" s="13"/>
      <c r="L4" s="18"/>
      <c r="M4" s="18"/>
      <c r="N4" s="18"/>
    </row>
    <row r="5" spans="1:19">
      <c r="A5" s="11"/>
      <c r="B5" s="11"/>
      <c r="C5" s="11"/>
      <c r="D5" s="11"/>
      <c r="E5" s="11"/>
      <c r="F5" s="11"/>
      <c r="G5" s="11"/>
      <c r="H5" s="11"/>
      <c r="I5" s="11"/>
      <c r="J5" s="11"/>
      <c r="K5" s="15">
        <f>SUM(K2:K4)</f>
        <v>4610.1599999999989</v>
      </c>
    </row>
    <row r="6" spans="1:19">
      <c r="A6" s="16"/>
      <c r="B6" s="17" t="s">
        <v>65</v>
      </c>
      <c r="C6" s="17" t="s">
        <v>66</v>
      </c>
      <c r="D6" s="21" t="s">
        <v>67</v>
      </c>
      <c r="E6" s="21" t="s">
        <v>72</v>
      </c>
      <c r="F6" s="17" t="s">
        <v>64</v>
      </c>
      <c r="G6" s="17" t="s">
        <v>74</v>
      </c>
      <c r="H6" s="17" t="s">
        <v>79</v>
      </c>
      <c r="I6" s="17" t="s">
        <v>68</v>
      </c>
      <c r="J6" s="17" t="s">
        <v>70</v>
      </c>
      <c r="K6" s="21" t="s">
        <v>94</v>
      </c>
      <c r="L6" s="21" t="s">
        <v>118</v>
      </c>
      <c r="M6" s="21" t="s">
        <v>121</v>
      </c>
      <c r="N6" s="21" t="s">
        <v>119</v>
      </c>
    </row>
    <row r="7" spans="1:19">
      <c r="A7" s="11" t="s">
        <v>317</v>
      </c>
      <c r="B7" s="13"/>
      <c r="C7" s="13"/>
      <c r="D7" s="13"/>
      <c r="E7" s="13">
        <v>29.2</v>
      </c>
      <c r="F7" s="13">
        <v>67.62</v>
      </c>
      <c r="G7" s="13"/>
      <c r="H7" s="13"/>
      <c r="I7" s="13"/>
      <c r="J7" s="13"/>
      <c r="K7" s="13"/>
      <c r="L7" s="11"/>
      <c r="M7" s="13">
        <v>21.01</v>
      </c>
      <c r="N7" s="13">
        <f>SUM(B7:M7)</f>
        <v>117.83000000000001</v>
      </c>
      <c r="O7" t="s">
        <v>347</v>
      </c>
      <c r="P7" t="s">
        <v>1</v>
      </c>
      <c r="Q7" t="s">
        <v>108</v>
      </c>
    </row>
    <row r="8" spans="1:19">
      <c r="A8" s="11" t="s">
        <v>318</v>
      </c>
      <c r="B8" s="11"/>
      <c r="C8" s="11"/>
      <c r="D8" s="11"/>
      <c r="E8" s="11"/>
      <c r="F8" s="11"/>
      <c r="G8" s="11"/>
      <c r="H8" s="11">
        <f>2.96+13.35</f>
        <v>16.309999999999999</v>
      </c>
      <c r="I8" s="11"/>
      <c r="J8" s="11"/>
      <c r="K8" s="11"/>
      <c r="L8" s="11"/>
      <c r="M8" s="11"/>
      <c r="N8" s="13">
        <f>SUM(B8:M8)</f>
        <v>16.309999999999999</v>
      </c>
      <c r="O8" t="s">
        <v>125</v>
      </c>
    </row>
    <row r="9" spans="1:19">
      <c r="A9" s="11" t="s">
        <v>319</v>
      </c>
      <c r="B9" s="13"/>
      <c r="C9" s="13"/>
      <c r="D9" s="13"/>
      <c r="E9" s="13"/>
      <c r="F9" s="13">
        <v>5.82</v>
      </c>
      <c r="G9" s="13">
        <v>20.96</v>
      </c>
      <c r="H9" s="13">
        <f>4.75+2.64+33.92</f>
        <v>41.31</v>
      </c>
      <c r="I9" s="13"/>
      <c r="J9" s="13"/>
      <c r="K9" s="13">
        <f>41.09+42.28</f>
        <v>83.37</v>
      </c>
      <c r="L9" s="13"/>
      <c r="M9" s="13">
        <v>24</v>
      </c>
      <c r="N9" s="13">
        <f t="shared" ref="N9:N37" si="1">SUM(B9:M9)</f>
        <v>175.46</v>
      </c>
      <c r="O9" t="s">
        <v>348</v>
      </c>
      <c r="P9" t="s">
        <v>39</v>
      </c>
      <c r="Q9" t="s">
        <v>306</v>
      </c>
      <c r="R9" t="s">
        <v>16</v>
      </c>
      <c r="S9" t="s">
        <v>125</v>
      </c>
    </row>
    <row r="10" spans="1:19">
      <c r="A10" s="11" t="s">
        <v>320</v>
      </c>
      <c r="B10" s="13"/>
      <c r="C10" s="13"/>
      <c r="D10" s="13"/>
      <c r="E10" s="13"/>
      <c r="F10" s="13"/>
      <c r="G10" s="13"/>
      <c r="I10" s="13"/>
      <c r="J10" s="13"/>
      <c r="K10" s="13"/>
      <c r="L10" s="13"/>
      <c r="M10" s="13"/>
      <c r="N10" s="13">
        <f>SUM(B10:M10)</f>
        <v>0</v>
      </c>
    </row>
    <row r="11" spans="1:19">
      <c r="A11" s="11" t="s">
        <v>321</v>
      </c>
      <c r="B11" s="13"/>
      <c r="C11" s="13"/>
      <c r="D11" s="13"/>
      <c r="F11">
        <v>12.9</v>
      </c>
      <c r="G11">
        <v>13.66</v>
      </c>
      <c r="H11" s="13">
        <v>10.58</v>
      </c>
      <c r="I11" s="13"/>
      <c r="J11" s="13"/>
      <c r="K11" s="13"/>
      <c r="L11" s="13"/>
      <c r="N11" s="13">
        <f>SUM(B11:M11)</f>
        <v>37.14</v>
      </c>
      <c r="O11" t="s">
        <v>97</v>
      </c>
      <c r="P11" t="s">
        <v>360</v>
      </c>
      <c r="Q11" t="s">
        <v>361</v>
      </c>
    </row>
    <row r="12" spans="1:19">
      <c r="A12" s="11" t="s">
        <v>322</v>
      </c>
      <c r="B12" s="13"/>
      <c r="C12" s="13"/>
      <c r="E12" s="13"/>
      <c r="F12" s="13"/>
      <c r="G12" s="13"/>
      <c r="H12" s="11">
        <v>38</v>
      </c>
      <c r="I12" s="13"/>
      <c r="J12" s="13"/>
      <c r="K12" s="13"/>
      <c r="L12" s="13"/>
      <c r="M12" s="13"/>
      <c r="N12" s="13">
        <f t="shared" si="1"/>
        <v>38</v>
      </c>
      <c r="O12" t="s">
        <v>349</v>
      </c>
    </row>
    <row r="13" spans="1:19">
      <c r="A13" s="11" t="s">
        <v>323</v>
      </c>
      <c r="B13" s="13"/>
      <c r="H13">
        <f>1.58+3.49+11.11+16.94</f>
        <v>33.120000000000005</v>
      </c>
      <c r="L13" s="13"/>
      <c r="M13" s="13"/>
      <c r="N13" s="13">
        <f t="shared" si="1"/>
        <v>33.120000000000005</v>
      </c>
      <c r="O13" t="s">
        <v>125</v>
      </c>
      <c r="P13" t="s">
        <v>360</v>
      </c>
    </row>
    <row r="14" spans="1:19">
      <c r="A14" s="11" t="s">
        <v>324</v>
      </c>
      <c r="B14" s="13"/>
      <c r="C14" s="11"/>
      <c r="D14" s="13"/>
      <c r="E14" s="13"/>
      <c r="F14" s="13"/>
      <c r="G14" s="13"/>
      <c r="H14" s="13">
        <f>2.96+2.96</f>
        <v>5.92</v>
      </c>
      <c r="I14" s="13"/>
      <c r="J14" s="13"/>
      <c r="K14" s="13"/>
      <c r="L14" s="13"/>
      <c r="M14" s="13"/>
      <c r="N14" s="13">
        <f t="shared" si="1"/>
        <v>5.92</v>
      </c>
      <c r="O14" t="s">
        <v>125</v>
      </c>
    </row>
    <row r="15" spans="1:19">
      <c r="A15" s="11" t="s">
        <v>325</v>
      </c>
      <c r="B15" s="13"/>
      <c r="C15" s="13"/>
      <c r="D15" s="13"/>
      <c r="E15" s="13"/>
      <c r="F15" s="13"/>
      <c r="G15" s="13"/>
      <c r="H15" s="13">
        <v>78.63</v>
      </c>
      <c r="I15" s="13"/>
      <c r="J15" s="13"/>
      <c r="K15" s="13"/>
      <c r="L15" s="13"/>
      <c r="M15" s="13"/>
      <c r="N15" s="13">
        <f t="shared" si="1"/>
        <v>78.63</v>
      </c>
      <c r="O15" t="s">
        <v>362</v>
      </c>
    </row>
    <row r="16" spans="1:19">
      <c r="A16" s="11" t="s">
        <v>326</v>
      </c>
      <c r="B16" s="13"/>
      <c r="C16" s="13"/>
      <c r="D16" s="13"/>
      <c r="E16" s="23"/>
      <c r="F16" s="13"/>
      <c r="G16" s="13"/>
      <c r="H16" s="13"/>
      <c r="I16" s="13"/>
      <c r="J16" s="13"/>
      <c r="K16" s="13"/>
      <c r="L16" s="13"/>
      <c r="M16" s="13"/>
      <c r="N16" s="13">
        <f t="shared" si="1"/>
        <v>0</v>
      </c>
    </row>
    <row r="17" spans="1:23">
      <c r="A17" s="11" t="s">
        <v>327</v>
      </c>
      <c r="B17" s="13"/>
      <c r="C17" s="13">
        <v>16.079999999999998</v>
      </c>
      <c r="D17" s="13"/>
      <c r="E17" s="13"/>
      <c r="F17" s="13"/>
      <c r="G17" s="13"/>
      <c r="I17" s="13"/>
      <c r="J17" s="11"/>
      <c r="K17" s="13"/>
      <c r="L17" s="13"/>
      <c r="M17" s="13"/>
      <c r="N17" s="13">
        <f t="shared" si="1"/>
        <v>16.079999999999998</v>
      </c>
      <c r="O17" t="s">
        <v>184</v>
      </c>
    </row>
    <row r="18" spans="1:23">
      <c r="A18" s="11" t="s">
        <v>328</v>
      </c>
      <c r="B18" s="13"/>
      <c r="C18" s="13"/>
      <c r="D18" s="13"/>
      <c r="E18" s="13">
        <v>30.19</v>
      </c>
      <c r="F18" s="13">
        <v>127.38</v>
      </c>
      <c r="G18" s="13">
        <v>1.59</v>
      </c>
      <c r="H18" s="13"/>
      <c r="I18" s="13"/>
      <c r="J18" s="13"/>
      <c r="K18" s="13"/>
      <c r="L18" s="13"/>
      <c r="M18" s="13">
        <v>32</v>
      </c>
      <c r="N18" s="13">
        <f>SUM(B18:M18)</f>
        <v>191.16</v>
      </c>
      <c r="O18" t="s">
        <v>171</v>
      </c>
      <c r="P18" t="s">
        <v>1</v>
      </c>
      <c r="Q18" t="s">
        <v>350</v>
      </c>
      <c r="R18" t="s">
        <v>300</v>
      </c>
    </row>
    <row r="19" spans="1:23">
      <c r="A19" s="11" t="s">
        <v>329</v>
      </c>
      <c r="B19" s="13"/>
      <c r="C19" s="13"/>
      <c r="D19" s="13"/>
      <c r="E19" s="13"/>
      <c r="F19" s="13"/>
      <c r="G19" s="13">
        <v>13.56</v>
      </c>
      <c r="H19" s="13">
        <v>13.78</v>
      </c>
      <c r="I19" s="13"/>
      <c r="J19" s="13"/>
      <c r="K19" s="13"/>
      <c r="L19" s="13"/>
      <c r="M19" s="13"/>
      <c r="N19" s="13">
        <f t="shared" si="1"/>
        <v>27.34</v>
      </c>
      <c r="O19" t="s">
        <v>363</v>
      </c>
      <c r="P19" t="s">
        <v>364</v>
      </c>
    </row>
    <row r="20" spans="1:23">
      <c r="A20" s="11" t="s">
        <v>330</v>
      </c>
      <c r="B20" s="13"/>
      <c r="C20" s="13"/>
      <c r="D20" s="13"/>
      <c r="E20" s="13"/>
      <c r="F20" s="13"/>
      <c r="G20" s="13"/>
      <c r="H20" s="11">
        <f>2.11+2.43+2.85+2.96</f>
        <v>10.350000000000001</v>
      </c>
      <c r="I20" s="13"/>
      <c r="J20" s="13"/>
      <c r="K20" s="13"/>
      <c r="L20" s="13"/>
      <c r="M20" s="13"/>
      <c r="N20" s="13">
        <f>SUM(B20:M20)</f>
        <v>10.350000000000001</v>
      </c>
      <c r="O20" t="s">
        <v>125</v>
      </c>
    </row>
    <row r="21" spans="1:23">
      <c r="A21" s="11" t="s">
        <v>331</v>
      </c>
      <c r="B21" s="13"/>
      <c r="C21" s="13"/>
      <c r="D21" s="11"/>
      <c r="E21" s="11"/>
      <c r="F21" s="11"/>
      <c r="G21" s="11"/>
      <c r="H21" s="11">
        <f>1.05+10.58+34</f>
        <v>45.63</v>
      </c>
      <c r="I21" s="11"/>
      <c r="J21" s="11"/>
      <c r="K21" s="11"/>
      <c r="L21" s="13"/>
      <c r="N21" s="13">
        <f t="shared" si="1"/>
        <v>45.63</v>
      </c>
      <c r="O21" t="s">
        <v>125</v>
      </c>
      <c r="P21" t="s">
        <v>16</v>
      </c>
    </row>
    <row r="22" spans="1:23">
      <c r="A22" s="11" t="s">
        <v>332</v>
      </c>
      <c r="B22" s="13"/>
      <c r="C22" s="11"/>
      <c r="D22" s="11">
        <v>44.8</v>
      </c>
      <c r="E22" s="13"/>
      <c r="F22" s="13"/>
      <c r="G22" s="13"/>
      <c r="H22" s="13">
        <f>3.7+9.53</f>
        <v>13.23</v>
      </c>
      <c r="I22" s="13"/>
      <c r="J22" s="13"/>
      <c r="K22" s="13"/>
      <c r="L22" s="13"/>
      <c r="M22" s="13"/>
      <c r="N22" s="13">
        <f t="shared" si="1"/>
        <v>58.03</v>
      </c>
      <c r="O22" t="s">
        <v>312</v>
      </c>
    </row>
    <row r="23" spans="1:23">
      <c r="A23" s="11" t="s">
        <v>333</v>
      </c>
      <c r="B23" s="13"/>
      <c r="C23" s="13"/>
      <c r="D23" s="13"/>
      <c r="E23" s="13"/>
      <c r="F23" s="11"/>
      <c r="G23" s="13">
        <v>14.42</v>
      </c>
      <c r="H23" s="13">
        <f>33.96+13</f>
        <v>46.96</v>
      </c>
      <c r="I23" s="13"/>
      <c r="J23" s="24"/>
      <c r="K23" s="13"/>
      <c r="L23" s="13"/>
      <c r="M23" s="13"/>
      <c r="N23" s="13">
        <f t="shared" si="1"/>
        <v>61.38</v>
      </c>
      <c r="O23" t="s">
        <v>125</v>
      </c>
      <c r="P23" t="s">
        <v>365</v>
      </c>
      <c r="Q23" t="s">
        <v>366</v>
      </c>
      <c r="R23" t="s">
        <v>367</v>
      </c>
    </row>
    <row r="24" spans="1:23">
      <c r="A24" s="11" t="s">
        <v>334</v>
      </c>
      <c r="B24" s="13"/>
      <c r="C24" s="13"/>
      <c r="D24" s="13"/>
      <c r="E24" s="13"/>
      <c r="F24" s="13"/>
      <c r="G24" s="13">
        <v>12.71</v>
      </c>
      <c r="H24" s="13">
        <v>11.87</v>
      </c>
      <c r="I24" s="13"/>
      <c r="J24" s="11"/>
      <c r="K24" s="13"/>
      <c r="L24" s="13"/>
      <c r="M24" s="13"/>
      <c r="N24" s="13">
        <f t="shared" si="1"/>
        <v>24.58</v>
      </c>
      <c r="O24" t="s">
        <v>368</v>
      </c>
      <c r="P24" t="s">
        <v>361</v>
      </c>
    </row>
    <row r="25" spans="1:23">
      <c r="A25" s="11" t="s">
        <v>335</v>
      </c>
      <c r="B25" s="13"/>
      <c r="C25" s="13"/>
      <c r="D25" s="13"/>
      <c r="E25" s="13"/>
      <c r="F25" s="13"/>
      <c r="G25" s="13"/>
      <c r="H25" s="13">
        <v>21.01</v>
      </c>
      <c r="I25" s="13"/>
      <c r="J25" s="13"/>
      <c r="K25" s="13"/>
      <c r="L25" s="13"/>
      <c r="M25" s="13"/>
      <c r="N25" s="13">
        <f t="shared" si="1"/>
        <v>21.01</v>
      </c>
      <c r="O25" t="s">
        <v>369</v>
      </c>
      <c r="P25" t="s">
        <v>365</v>
      </c>
    </row>
    <row r="26" spans="1:23">
      <c r="A26" s="11" t="s">
        <v>336</v>
      </c>
      <c r="B26" s="13"/>
      <c r="C26" s="13">
        <v>89.95</v>
      </c>
      <c r="D26" s="13"/>
      <c r="E26" s="13"/>
      <c r="F26" s="13"/>
      <c r="G26" s="13">
        <v>11.87</v>
      </c>
      <c r="H26" s="13">
        <f>11+33+33+304.75+82.98+86.81+1.05+2.96+9</f>
        <v>564.54999999999995</v>
      </c>
      <c r="I26" s="13"/>
      <c r="J26" s="13"/>
      <c r="K26" s="13">
        <f>9.99+52.98</f>
        <v>62.97</v>
      </c>
      <c r="L26" s="13"/>
      <c r="M26" s="13"/>
      <c r="N26" s="13">
        <f t="shared" si="1"/>
        <v>729.34</v>
      </c>
      <c r="O26" t="s">
        <v>34</v>
      </c>
      <c r="P26" t="s">
        <v>302</v>
      </c>
      <c r="Q26" t="s">
        <v>351</v>
      </c>
      <c r="R26" t="s">
        <v>353</v>
      </c>
      <c r="S26" t="s">
        <v>352</v>
      </c>
      <c r="T26" t="s">
        <v>307</v>
      </c>
      <c r="U26" t="s">
        <v>14</v>
      </c>
      <c r="V26" t="s">
        <v>244</v>
      </c>
      <c r="W26" t="s">
        <v>125</v>
      </c>
    </row>
    <row r="27" spans="1:23">
      <c r="A27" s="11" t="s">
        <v>337</v>
      </c>
      <c r="B27" s="13"/>
      <c r="C27" s="13"/>
      <c r="D27" s="13"/>
      <c r="E27" s="13">
        <v>43.35</v>
      </c>
      <c r="F27" s="13">
        <v>172.58</v>
      </c>
      <c r="G27" s="13"/>
      <c r="H27" s="13">
        <f>1.58+12.16+6</f>
        <v>19.740000000000002</v>
      </c>
      <c r="I27" s="13"/>
      <c r="J27" s="13"/>
      <c r="K27" s="13"/>
      <c r="L27" s="13"/>
      <c r="M27" s="13"/>
      <c r="N27" s="13">
        <f t="shared" si="1"/>
        <v>235.67000000000002</v>
      </c>
      <c r="O27" t="s">
        <v>171</v>
      </c>
      <c r="P27" t="s">
        <v>1</v>
      </c>
      <c r="Q27" t="s">
        <v>125</v>
      </c>
      <c r="R27" t="s">
        <v>370</v>
      </c>
    </row>
    <row r="28" spans="1:23">
      <c r="A28" s="11" t="s">
        <v>338</v>
      </c>
      <c r="B28" s="13"/>
      <c r="C28" s="13"/>
      <c r="D28" s="13"/>
      <c r="E28" s="13"/>
      <c r="F28" s="13">
        <v>53.34</v>
      </c>
      <c r="G28" s="13"/>
      <c r="H28" s="11">
        <v>39</v>
      </c>
      <c r="I28" s="13"/>
      <c r="J28" s="13"/>
      <c r="K28" s="13">
        <f>79</f>
        <v>79</v>
      </c>
      <c r="L28" s="13"/>
      <c r="M28" s="11"/>
      <c r="N28" s="13">
        <f t="shared" si="1"/>
        <v>171.34</v>
      </c>
      <c r="O28" t="s">
        <v>314</v>
      </c>
      <c r="P28" t="s">
        <v>180</v>
      </c>
      <c r="Q28" t="s">
        <v>32</v>
      </c>
    </row>
    <row r="29" spans="1:23">
      <c r="A29" s="11" t="s">
        <v>339</v>
      </c>
      <c r="B29" s="13"/>
      <c r="C29" s="13"/>
      <c r="D29" s="13"/>
      <c r="E29" s="13">
        <v>14.08</v>
      </c>
      <c r="F29" s="13"/>
      <c r="G29" s="13"/>
      <c r="H29" s="13"/>
      <c r="I29" s="13"/>
      <c r="J29" s="13"/>
      <c r="K29" s="13"/>
      <c r="L29" s="13"/>
      <c r="M29" s="13">
        <v>-100</v>
      </c>
      <c r="N29" s="13">
        <f t="shared" si="1"/>
        <v>-85.92</v>
      </c>
      <c r="O29" t="s">
        <v>354</v>
      </c>
      <c r="P29" t="s">
        <v>42</v>
      </c>
      <c r="Q29" s="26"/>
      <c r="R29" s="26"/>
    </row>
    <row r="30" spans="1:23">
      <c r="A30" s="11" t="s">
        <v>340</v>
      </c>
      <c r="B30" s="13"/>
      <c r="C30" s="11"/>
      <c r="D30" s="11"/>
      <c r="E30" s="11"/>
      <c r="F30" s="11">
        <f>28.25+4.38</f>
        <v>32.630000000000003</v>
      </c>
      <c r="G30" s="11"/>
      <c r="H30">
        <f>2.96+198.75</f>
        <v>201.71</v>
      </c>
      <c r="I30" s="13"/>
      <c r="J30" s="13"/>
      <c r="K30" s="13"/>
      <c r="L30" s="13"/>
      <c r="M30" s="13"/>
      <c r="N30" s="13">
        <f t="shared" si="1"/>
        <v>234.34</v>
      </c>
      <c r="O30" t="s">
        <v>125</v>
      </c>
      <c r="P30" t="s">
        <v>355</v>
      </c>
      <c r="Q30" s="26" t="s">
        <v>356</v>
      </c>
      <c r="R30" s="26" t="s">
        <v>193</v>
      </c>
    </row>
    <row r="31" spans="1:23">
      <c r="A31" s="11" t="s">
        <v>341</v>
      </c>
      <c r="B31" s="13"/>
      <c r="C31" s="13"/>
      <c r="D31" s="13"/>
      <c r="E31" s="13"/>
      <c r="F31" s="13"/>
      <c r="G31" s="13"/>
      <c r="H31" s="13"/>
      <c r="I31" s="13"/>
      <c r="J31" s="11">
        <v>1078.6500000000001</v>
      </c>
      <c r="K31" s="13">
        <f>40.26</f>
        <v>40.26</v>
      </c>
      <c r="L31" s="13"/>
      <c r="M31" s="13"/>
      <c r="N31" s="13">
        <f>SUM(B31:M31)</f>
        <v>1118.9100000000001</v>
      </c>
      <c r="O31" t="s">
        <v>348</v>
      </c>
      <c r="P31" t="s">
        <v>357</v>
      </c>
    </row>
    <row r="32" spans="1:23">
      <c r="A32" s="11" t="s">
        <v>342</v>
      </c>
      <c r="B32" s="13"/>
      <c r="C32" s="13"/>
      <c r="D32" s="13"/>
      <c r="F32">
        <v>61.04</v>
      </c>
      <c r="G32" s="11"/>
      <c r="H32" s="11"/>
      <c r="I32" s="13"/>
      <c r="J32" s="13"/>
      <c r="K32" s="13">
        <v>25.4</v>
      </c>
      <c r="L32" s="13"/>
      <c r="M32" s="13"/>
      <c r="N32" s="13">
        <f t="shared" si="1"/>
        <v>86.44</v>
      </c>
      <c r="O32" t="s">
        <v>358</v>
      </c>
      <c r="P32" t="s">
        <v>26</v>
      </c>
    </row>
    <row r="33" spans="1:18">
      <c r="A33" s="11" t="s">
        <v>343</v>
      </c>
      <c r="B33" s="13"/>
      <c r="C33" s="13"/>
      <c r="D33" s="13"/>
      <c r="E33" s="13">
        <v>35.200000000000003</v>
      </c>
      <c r="F33" s="11">
        <v>50.52</v>
      </c>
      <c r="H33" s="13"/>
      <c r="I33" s="13"/>
      <c r="J33" s="13"/>
      <c r="K33" s="13"/>
      <c r="L33" s="13"/>
      <c r="M33" s="13"/>
      <c r="N33" s="13">
        <f t="shared" si="1"/>
        <v>85.72</v>
      </c>
      <c r="O33" t="s">
        <v>171</v>
      </c>
      <c r="P33" t="s">
        <v>1</v>
      </c>
    </row>
    <row r="34" spans="1:18">
      <c r="A34" s="11" t="s">
        <v>344</v>
      </c>
      <c r="B34" s="13"/>
      <c r="C34" s="13"/>
      <c r="D34" s="13"/>
      <c r="E34" s="13"/>
      <c r="G34">
        <v>7.41</v>
      </c>
      <c r="H34">
        <v>11.64</v>
      </c>
      <c r="I34" s="13"/>
      <c r="J34" s="13"/>
      <c r="K34" s="13"/>
      <c r="L34" s="13"/>
      <c r="M34" s="13"/>
      <c r="N34" s="13">
        <f t="shared" si="1"/>
        <v>19.05</v>
      </c>
      <c r="O34" t="s">
        <v>371</v>
      </c>
      <c r="P34" t="s">
        <v>125</v>
      </c>
    </row>
    <row r="35" spans="1:18">
      <c r="A35" s="11" t="s">
        <v>345</v>
      </c>
      <c r="B35" s="13"/>
      <c r="C35" s="13"/>
      <c r="D35" s="13"/>
      <c r="E35" s="13"/>
      <c r="F35" s="13"/>
      <c r="G35" s="13"/>
      <c r="H35" s="13">
        <f>2.96+9.53</f>
        <v>12.489999999999998</v>
      </c>
      <c r="I35" s="13"/>
      <c r="J35" s="13"/>
      <c r="K35" s="13"/>
      <c r="L35" s="13"/>
      <c r="M35" s="13"/>
      <c r="N35" s="13">
        <f t="shared" si="1"/>
        <v>12.489999999999998</v>
      </c>
      <c r="O35" t="s">
        <v>125</v>
      </c>
    </row>
    <row r="36" spans="1:18">
      <c r="A36" s="11" t="s">
        <v>346</v>
      </c>
      <c r="B36" s="13"/>
      <c r="C36" s="13"/>
      <c r="D36" s="13"/>
      <c r="E36" s="13">
        <v>2.99</v>
      </c>
      <c r="F36" s="13"/>
      <c r="G36" s="13"/>
      <c r="H36" s="13">
        <f>10.8+13.35</f>
        <v>24.15</v>
      </c>
      <c r="I36" s="13"/>
      <c r="J36" s="13"/>
      <c r="K36" s="13"/>
      <c r="L36" s="13"/>
      <c r="M36" s="13">
        <f>20+3</f>
        <v>23</v>
      </c>
      <c r="N36" s="13">
        <f t="shared" si="1"/>
        <v>50.14</v>
      </c>
      <c r="O36" t="s">
        <v>359</v>
      </c>
      <c r="P36" t="s">
        <v>300</v>
      </c>
      <c r="Q36" t="s">
        <v>372</v>
      </c>
      <c r="R36" t="s">
        <v>373</v>
      </c>
    </row>
    <row r="37" spans="1:18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>
        <f t="shared" si="1"/>
        <v>0</v>
      </c>
    </row>
    <row r="38" spans="1:18">
      <c r="A38" s="11" t="s">
        <v>119</v>
      </c>
      <c r="B38" s="15">
        <f>SUM(B7:B37)</f>
        <v>0</v>
      </c>
      <c r="C38" s="15">
        <f t="shared" ref="C38:K38" si="2">SUM(C7:C37)</f>
        <v>106.03</v>
      </c>
      <c r="D38" s="15">
        <f t="shared" si="2"/>
        <v>44.8</v>
      </c>
      <c r="E38" s="15">
        <f t="shared" si="2"/>
        <v>155.01000000000002</v>
      </c>
      <c r="F38" s="15">
        <f t="shared" si="2"/>
        <v>583.82999999999993</v>
      </c>
      <c r="G38" s="15">
        <f t="shared" si="2"/>
        <v>96.18</v>
      </c>
      <c r="H38" s="15">
        <f t="shared" si="2"/>
        <v>1259.9800000000002</v>
      </c>
      <c r="I38" s="15">
        <f t="shared" si="2"/>
        <v>0</v>
      </c>
      <c r="J38" s="15">
        <f t="shared" si="2"/>
        <v>1078.6500000000001</v>
      </c>
      <c r="K38" s="15">
        <f t="shared" si="2"/>
        <v>291</v>
      </c>
      <c r="L38" s="15">
        <f>SUM(L9:L37)</f>
        <v>0</v>
      </c>
      <c r="M38" s="15"/>
      <c r="N38" s="15">
        <f>SUM(N7:N37)</f>
        <v>3615.4900000000002</v>
      </c>
      <c r="O38" s="19">
        <f>SUM(N7:N37)</f>
        <v>3615.4900000000002</v>
      </c>
      <c r="P38" s="20">
        <f>N38-O38</f>
        <v>0</v>
      </c>
    </row>
    <row r="39" spans="1:18">
      <c r="A39" s="11" t="s">
        <v>122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22">
        <f>K5-N38</f>
        <v>994.66999999999871</v>
      </c>
      <c r="P39" t="s">
        <v>120</v>
      </c>
    </row>
    <row r="40" spans="1:18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8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8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8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8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8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8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8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8">
      <c r="P48" s="13"/>
    </row>
  </sheetData>
  <phoneticPr fontId="1" type="noConversion"/>
  <pageMargins left="0.7" right="0.7" top="0.75" bottom="0.75" header="0.3" footer="0.3"/>
  <pageSetup orientation="portrait" verticalDpi="0" r:id="rId1"/>
  <legacyDrawing r:id="rId2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Scatch</vt:lpstr>
      <vt:lpstr>Nov</vt:lpstr>
      <vt:lpstr>Oct</vt:lpstr>
      <vt:lpstr>Sep</vt:lpstr>
      <vt:lpstr>Aug</vt:lpstr>
      <vt:lpstr>July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Zheyuan Wu</dc:creator>
  <cp:lastModifiedBy>Zheyuan Wu</cp:lastModifiedBy>
  <dcterms:created xsi:type="dcterms:W3CDTF">2023-10-30T02:06:23Z</dcterms:created>
  <dcterms:modified xsi:type="dcterms:W3CDTF">2023-11-08T19:15:31Z</dcterms:modified>
</cp:coreProperties>
</file>