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work\2013-2018 UAB PhD Work\00 Publication\03 Dendrite Analysis\Dendrite Analysis\10 Analysis\"/>
    </mc:Choice>
  </mc:AlternateContent>
  <bookViews>
    <workbookView xWindow="0" yWindow="0" windowWidth="23715" windowHeight="11865" tabRatio="759" firstSheet="3" activeTab="4"/>
  </bookViews>
  <sheets>
    <sheet name="Means Plot" sheetId="10" r:id="rId1"/>
    <sheet name="Means Plot Reduced" sheetId="5" r:id="rId2"/>
    <sheet name="Correlation of Means Plot" sheetId="4" r:id="rId3"/>
    <sheet name="AI" sheetId="2" r:id="rId4"/>
    <sheet name="AF" sheetId="1" r:id="rId5"/>
    <sheet name="Model Comparison" sheetId="6" r:id="rId6"/>
    <sheet name="Example Crossover Chart" sheetId="8" r:id="rId7"/>
    <sheet name="S-Curve Example Plot" sheetId="9" r:id="rId8"/>
    <sheet name="Example Crossover" sheetId="7" r:id="rId9"/>
    <sheet name="Systematic Difference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  <c r="L67" i="1"/>
  <c r="M68" i="1" s="1"/>
  <c r="L62" i="1"/>
  <c r="M66" i="1"/>
  <c r="L66" i="1"/>
  <c r="L61" i="1"/>
  <c r="L65" i="1"/>
  <c r="P62" i="1" l="1"/>
  <c r="P61" i="1"/>
  <c r="P60" i="1"/>
  <c r="M61" i="1"/>
  <c r="L60" i="1"/>
  <c r="P57" i="1"/>
  <c r="P58" i="1" s="1"/>
  <c r="Q58" i="1" s="1"/>
  <c r="P56" i="1"/>
  <c r="P55" i="1"/>
  <c r="L57" i="1"/>
  <c r="L56" i="1"/>
  <c r="L55" i="1"/>
  <c r="L31" i="1"/>
  <c r="P63" i="1" l="1"/>
  <c r="Q63" i="1" s="1"/>
  <c r="L63" i="1"/>
  <c r="M63" i="1" s="1"/>
  <c r="Q61" i="1"/>
  <c r="L58" i="1"/>
  <c r="M58" i="1" s="1"/>
  <c r="M56" i="1"/>
  <c r="Q56" i="1"/>
  <c r="AE13" i="2"/>
  <c r="L40" i="1"/>
  <c r="O43" i="2"/>
  <c r="O42" i="2"/>
  <c r="M35" i="1"/>
  <c r="M34" i="1"/>
  <c r="O35" i="1"/>
  <c r="O34" i="1"/>
  <c r="Q35" i="1"/>
  <c r="Q34" i="1"/>
  <c r="S35" i="1"/>
  <c r="S34" i="1"/>
  <c r="Q43" i="2"/>
  <c r="Q42" i="2"/>
  <c r="M43" i="2"/>
  <c r="M42" i="2"/>
  <c r="S43" i="2"/>
  <c r="S42" i="2"/>
  <c r="J12" i="11" l="1"/>
  <c r="J11" i="11"/>
  <c r="J10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B3" i="11"/>
  <c r="C3" i="11"/>
  <c r="D3" i="11"/>
  <c r="E3" i="11"/>
  <c r="F3" i="11"/>
  <c r="G3" i="11"/>
  <c r="H3" i="11"/>
  <c r="I3" i="11"/>
  <c r="B4" i="11"/>
  <c r="C4" i="11"/>
  <c r="D4" i="11"/>
  <c r="E4" i="11"/>
  <c r="E8" i="11" s="1"/>
  <c r="F4" i="11"/>
  <c r="G4" i="11"/>
  <c r="H4" i="11"/>
  <c r="I4" i="11"/>
  <c r="B2" i="11"/>
  <c r="B7" i="11" s="1"/>
  <c r="C2" i="11"/>
  <c r="D2" i="11"/>
  <c r="E2" i="11"/>
  <c r="F2" i="11"/>
  <c r="F7" i="11" s="1"/>
  <c r="G2" i="11"/>
  <c r="H2" i="11"/>
  <c r="I2" i="11"/>
  <c r="B5" i="11"/>
  <c r="C5" i="11"/>
  <c r="D5" i="11"/>
  <c r="E5" i="11"/>
  <c r="F5" i="11"/>
  <c r="G5" i="11"/>
  <c r="H5" i="11"/>
  <c r="I5" i="11"/>
  <c r="C7" i="11"/>
  <c r="I7" i="11"/>
  <c r="G7" i="11"/>
  <c r="E7" i="11"/>
  <c r="S32" i="1"/>
  <c r="Q32" i="1"/>
  <c r="O32" i="1"/>
  <c r="M32" i="1"/>
  <c r="N32" i="1"/>
  <c r="P32" i="1"/>
  <c r="S40" i="2"/>
  <c r="Q40" i="2"/>
  <c r="O40" i="2"/>
  <c r="M40" i="2"/>
  <c r="I8" i="11" l="1"/>
  <c r="F8" i="11"/>
  <c r="B8" i="11"/>
  <c r="H7" i="11"/>
  <c r="D8" i="11"/>
  <c r="G8" i="11"/>
  <c r="C8" i="11"/>
  <c r="D7" i="11"/>
  <c r="H8" i="11"/>
  <c r="P120" i="7"/>
  <c r="P119" i="7"/>
  <c r="Q119" i="7" s="1"/>
  <c r="R119" i="7" s="1"/>
  <c r="R120" i="7" s="1"/>
  <c r="N47" i="7"/>
  <c r="N46" i="7"/>
  <c r="M46" i="7"/>
  <c r="L46" i="7"/>
  <c r="N45" i="7"/>
  <c r="M45" i="7"/>
  <c r="L45" i="7"/>
  <c r="M44" i="7"/>
  <c r="L44" i="7"/>
  <c r="N44" i="7" s="1"/>
  <c r="N43" i="7"/>
  <c r="M43" i="7"/>
  <c r="L43" i="7"/>
  <c r="M42" i="7"/>
  <c r="L42" i="7"/>
  <c r="N42" i="7" s="1"/>
  <c r="N41" i="7"/>
  <c r="M41" i="7"/>
  <c r="L41" i="7"/>
  <c r="M40" i="7"/>
  <c r="L40" i="7"/>
  <c r="N40" i="7" s="1"/>
  <c r="N39" i="7"/>
  <c r="M39" i="7"/>
  <c r="L39" i="7"/>
  <c r="M38" i="7"/>
  <c r="L38" i="7"/>
  <c r="N38" i="7" s="1"/>
  <c r="N37" i="7"/>
  <c r="M37" i="7"/>
  <c r="L37" i="7"/>
  <c r="M36" i="7"/>
  <c r="L36" i="7"/>
  <c r="N36" i="7" s="1"/>
  <c r="N35" i="7"/>
  <c r="M35" i="7"/>
  <c r="L35" i="7"/>
  <c r="M34" i="7"/>
  <c r="L34" i="7"/>
  <c r="N34" i="7" s="1"/>
  <c r="N33" i="7"/>
  <c r="M33" i="7"/>
  <c r="L33" i="7"/>
  <c r="M32" i="7"/>
  <c r="L32" i="7"/>
  <c r="N32" i="7" s="1"/>
  <c r="N31" i="7"/>
  <c r="M31" i="7"/>
  <c r="L31" i="7"/>
  <c r="M30" i="7"/>
  <c r="L30" i="7"/>
  <c r="N30" i="7" s="1"/>
  <c r="N29" i="7"/>
  <c r="M29" i="7"/>
  <c r="L29" i="7"/>
  <c r="M28" i="7"/>
  <c r="L28" i="7"/>
  <c r="N28" i="7" s="1"/>
  <c r="N27" i="7"/>
  <c r="M27" i="7"/>
  <c r="L27" i="7"/>
  <c r="M26" i="7"/>
  <c r="L26" i="7"/>
  <c r="N26" i="7" s="1"/>
  <c r="N25" i="7"/>
  <c r="M25" i="7"/>
  <c r="L25" i="7"/>
  <c r="M24" i="7"/>
  <c r="L24" i="7"/>
  <c r="N24" i="7" s="1"/>
  <c r="N23" i="7"/>
  <c r="M23" i="7"/>
  <c r="L23" i="7"/>
  <c r="M22" i="7"/>
  <c r="L22" i="7"/>
  <c r="N22" i="7" s="1"/>
  <c r="N21" i="7"/>
  <c r="M21" i="7"/>
  <c r="L21" i="7"/>
  <c r="M20" i="7"/>
  <c r="L20" i="7"/>
  <c r="N20" i="7" s="1"/>
  <c r="N19" i="7"/>
  <c r="M19" i="7"/>
  <c r="L19" i="7"/>
  <c r="M18" i="7"/>
  <c r="L18" i="7"/>
  <c r="N18" i="7" s="1"/>
  <c r="L17" i="7"/>
  <c r="N17" i="7" s="1"/>
  <c r="N16" i="7"/>
  <c r="M16" i="7"/>
  <c r="L16" i="7"/>
  <c r="L15" i="7"/>
  <c r="N15" i="7" s="1"/>
  <c r="N14" i="7"/>
  <c r="M14" i="7"/>
  <c r="L14" i="7"/>
  <c r="Q13" i="7"/>
  <c r="Q14" i="7" s="1"/>
  <c r="P13" i="7"/>
  <c r="N13" i="7"/>
  <c r="L13" i="7"/>
  <c r="M13" i="7" s="1"/>
  <c r="P12" i="7"/>
  <c r="N12" i="7"/>
  <c r="L12" i="7"/>
  <c r="J12" i="7"/>
  <c r="I12" i="7"/>
  <c r="D12" i="7"/>
  <c r="C12" i="7"/>
  <c r="J11" i="7"/>
  <c r="I11" i="7"/>
  <c r="D11" i="7"/>
  <c r="C11" i="7"/>
  <c r="I8" i="7"/>
  <c r="L47" i="7" s="1"/>
  <c r="C8" i="7"/>
  <c r="I7" i="7"/>
  <c r="C7" i="7"/>
  <c r="I4" i="7"/>
  <c r="C4" i="7"/>
  <c r="I3" i="7"/>
  <c r="C3" i="7"/>
  <c r="G11" i="6"/>
  <c r="G9" i="6"/>
  <c r="G14" i="6" s="1"/>
  <c r="F9" i="6"/>
  <c r="G8" i="6"/>
  <c r="G13" i="6" s="1"/>
  <c r="F8" i="6"/>
  <c r="G7" i="6"/>
  <c r="G12" i="6" s="1"/>
  <c r="F7" i="6"/>
  <c r="B7" i="6"/>
  <c r="B11" i="6" s="1"/>
  <c r="G6" i="6"/>
  <c r="F6" i="6"/>
  <c r="B6" i="6"/>
  <c r="B10" i="6" s="1"/>
  <c r="D5" i="6"/>
  <c r="D9" i="6" s="1"/>
  <c r="C5" i="6"/>
  <c r="C9" i="6" s="1"/>
  <c r="G4" i="6"/>
  <c r="F4" i="6"/>
  <c r="G3" i="6"/>
  <c r="F3" i="6"/>
  <c r="B3" i="6"/>
  <c r="G2" i="6"/>
  <c r="F2" i="6"/>
  <c r="B2" i="6"/>
  <c r="G1" i="6"/>
  <c r="F1" i="6"/>
  <c r="D1" i="6"/>
  <c r="C1" i="6"/>
  <c r="L38" i="1"/>
  <c r="P36" i="1"/>
  <c r="R36" i="1" s="1"/>
  <c r="R38" i="1" s="1"/>
  <c r="N36" i="1"/>
  <c r="N38" i="1" s="1"/>
  <c r="K25" i="1"/>
  <c r="L23" i="1"/>
  <c r="L25" i="1" s="1"/>
  <c r="X19" i="1"/>
  <c r="H9" i="6" s="1"/>
  <c r="X18" i="1"/>
  <c r="H8" i="6" s="1"/>
  <c r="X17" i="1"/>
  <c r="H7" i="6" s="1"/>
  <c r="R17" i="1"/>
  <c r="K17" i="1"/>
  <c r="X16" i="1"/>
  <c r="R16" i="1"/>
  <c r="Q16" i="1"/>
  <c r="K16" i="1"/>
  <c r="R15" i="1"/>
  <c r="Q15" i="1"/>
  <c r="K15" i="1"/>
  <c r="R14" i="1"/>
  <c r="Q14" i="1"/>
  <c r="K14" i="1"/>
  <c r="R13" i="1"/>
  <c r="Q13" i="1"/>
  <c r="K13" i="1"/>
  <c r="R12" i="1"/>
  <c r="Q12" i="1"/>
  <c r="M12" i="1"/>
  <c r="K12" i="1"/>
  <c r="R11" i="1"/>
  <c r="Q11" i="1"/>
  <c r="M11" i="1"/>
  <c r="L11" i="1"/>
  <c r="K11" i="1"/>
  <c r="R10" i="1"/>
  <c r="Q10" i="1"/>
  <c r="N10" i="1"/>
  <c r="M10" i="1"/>
  <c r="L10" i="1"/>
  <c r="K10" i="1"/>
  <c r="R9" i="1"/>
  <c r="Q9" i="1"/>
  <c r="P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Q20" i="1" s="1"/>
  <c r="P6" i="1"/>
  <c r="P20" i="1" s="1"/>
  <c r="O6" i="1"/>
  <c r="N6" i="1"/>
  <c r="M6" i="1"/>
  <c r="M19" i="1" s="1"/>
  <c r="L6" i="1"/>
  <c r="L20" i="1" s="1"/>
  <c r="K6" i="1"/>
  <c r="X5" i="1"/>
  <c r="R5" i="1"/>
  <c r="R32" i="1" s="1"/>
  <c r="Q5" i="1"/>
  <c r="Q19" i="1" s="1"/>
  <c r="P5" i="1"/>
  <c r="O5" i="1"/>
  <c r="N5" i="1"/>
  <c r="N18" i="1" s="1"/>
  <c r="M5" i="1"/>
  <c r="M20" i="1" s="1"/>
  <c r="L5" i="1"/>
  <c r="K5" i="1"/>
  <c r="X4" i="1"/>
  <c r="W10" i="1" s="1"/>
  <c r="W14" i="1" s="1"/>
  <c r="R4" i="1"/>
  <c r="Q4" i="1"/>
  <c r="P4" i="1"/>
  <c r="O4" i="1"/>
  <c r="N4" i="1"/>
  <c r="M4" i="1"/>
  <c r="L4" i="1"/>
  <c r="K4" i="1"/>
  <c r="R3" i="1"/>
  <c r="R31" i="1" s="1"/>
  <c r="Q3" i="1"/>
  <c r="P3" i="1"/>
  <c r="O3" i="1"/>
  <c r="P31" i="1" s="1"/>
  <c r="N3" i="1"/>
  <c r="N19" i="1" s="1"/>
  <c r="M3" i="1"/>
  <c r="L3" i="1"/>
  <c r="K3" i="1"/>
  <c r="L46" i="2"/>
  <c r="R44" i="2"/>
  <c r="R46" i="2" s="1"/>
  <c r="N44" i="2"/>
  <c r="P44" i="2" s="1"/>
  <c r="P46" i="2" s="1"/>
  <c r="K33" i="2"/>
  <c r="L31" i="2"/>
  <c r="L33" i="2" s="1"/>
  <c r="M25" i="2"/>
  <c r="X24" i="2"/>
  <c r="M24" i="2"/>
  <c r="M23" i="2"/>
  <c r="M22" i="2"/>
  <c r="K22" i="2"/>
  <c r="M21" i="2"/>
  <c r="K21" i="2"/>
  <c r="N20" i="2"/>
  <c r="M20" i="2"/>
  <c r="K20" i="2"/>
  <c r="X19" i="2"/>
  <c r="H4" i="6" s="1"/>
  <c r="N19" i="2"/>
  <c r="M19" i="2"/>
  <c r="K19" i="2"/>
  <c r="X18" i="2"/>
  <c r="H3" i="6" s="1"/>
  <c r="N18" i="2"/>
  <c r="M18" i="2"/>
  <c r="K18" i="2"/>
  <c r="X17" i="2"/>
  <c r="H2" i="6" s="1"/>
  <c r="N17" i="2"/>
  <c r="M17" i="2"/>
  <c r="K17" i="2"/>
  <c r="X16" i="2"/>
  <c r="H1" i="6" s="1"/>
  <c r="N16" i="2"/>
  <c r="M16" i="2"/>
  <c r="K16" i="2"/>
  <c r="R15" i="2"/>
  <c r="N15" i="2"/>
  <c r="M15" i="2"/>
  <c r="K15" i="2"/>
  <c r="R14" i="2"/>
  <c r="Q14" i="2"/>
  <c r="N14" i="2"/>
  <c r="M14" i="2"/>
  <c r="K14" i="2"/>
  <c r="R13" i="2"/>
  <c r="Q13" i="2"/>
  <c r="N13" i="2"/>
  <c r="M13" i="2"/>
  <c r="K13" i="2"/>
  <c r="R12" i="2"/>
  <c r="Q12" i="2"/>
  <c r="P12" i="2"/>
  <c r="N12" i="2"/>
  <c r="M12" i="2"/>
  <c r="K12" i="2"/>
  <c r="R11" i="2"/>
  <c r="Q11" i="2"/>
  <c r="P11" i="2"/>
  <c r="O11" i="2"/>
  <c r="N11" i="2"/>
  <c r="M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X5" i="2"/>
  <c r="R5" i="2"/>
  <c r="Q5" i="2"/>
  <c r="P5" i="2"/>
  <c r="O5" i="2"/>
  <c r="N5" i="2"/>
  <c r="M5" i="2"/>
  <c r="M28" i="2" s="1"/>
  <c r="L5" i="2"/>
  <c r="K5" i="2"/>
  <c r="X4" i="2"/>
  <c r="R4" i="2"/>
  <c r="R28" i="2" s="1"/>
  <c r="Q4" i="2"/>
  <c r="P4" i="2"/>
  <c r="O4" i="2"/>
  <c r="N4" i="2"/>
  <c r="M4" i="2"/>
  <c r="L4" i="2"/>
  <c r="K4" i="2"/>
  <c r="X3" i="2"/>
  <c r="W10" i="2" s="1"/>
  <c r="W14" i="2" s="1"/>
  <c r="R3" i="2"/>
  <c r="R27" i="2" s="1"/>
  <c r="Q3" i="2"/>
  <c r="R41" i="2" s="1"/>
  <c r="P3" i="2"/>
  <c r="O3" i="2"/>
  <c r="O26" i="2" s="1"/>
  <c r="N3" i="2"/>
  <c r="N27" i="2" s="1"/>
  <c r="M3" i="2"/>
  <c r="L3" i="2"/>
  <c r="L28" i="2" s="1"/>
  <c r="K3" i="2"/>
  <c r="K27" i="2" s="1"/>
  <c r="M23" i="1" l="1"/>
  <c r="M25" i="1" s="1"/>
  <c r="M31" i="2"/>
  <c r="L29" i="2"/>
  <c r="L35" i="2" s="1"/>
  <c r="AB10" i="1"/>
  <c r="AB14" i="1" s="1"/>
  <c r="AB24" i="1"/>
  <c r="AB28" i="1" s="1"/>
  <c r="X9" i="2"/>
  <c r="X13" i="2" s="1"/>
  <c r="D3" i="6"/>
  <c r="X28" i="2"/>
  <c r="P28" i="2"/>
  <c r="L26" i="2"/>
  <c r="P26" i="2"/>
  <c r="L27" i="2"/>
  <c r="P27" i="2"/>
  <c r="N28" i="2"/>
  <c r="R40" i="2"/>
  <c r="L19" i="1"/>
  <c r="P19" i="1"/>
  <c r="O18" i="1"/>
  <c r="R33" i="1"/>
  <c r="R34" i="1" s="1"/>
  <c r="R40" i="1" s="1"/>
  <c r="L41" i="2"/>
  <c r="L40" i="2"/>
  <c r="L39" i="2"/>
  <c r="X10" i="2"/>
  <c r="X14" i="2" s="1"/>
  <c r="O27" i="2"/>
  <c r="P40" i="2"/>
  <c r="P33" i="1"/>
  <c r="P34" i="1" s="1"/>
  <c r="P40" i="1" s="1"/>
  <c r="O20" i="1"/>
  <c r="O21" i="1" s="1"/>
  <c r="O27" i="1" s="1"/>
  <c r="O19" i="1"/>
  <c r="X9" i="1"/>
  <c r="X13" i="1" s="1"/>
  <c r="W9" i="1"/>
  <c r="W13" i="1" s="1"/>
  <c r="N41" i="2"/>
  <c r="N42" i="2" s="1"/>
  <c r="N48" i="2" s="1"/>
  <c r="N40" i="2"/>
  <c r="N39" i="2"/>
  <c r="W23" i="2"/>
  <c r="M26" i="2"/>
  <c r="M29" i="2" s="1"/>
  <c r="M35" i="2" s="1"/>
  <c r="Q26" i="2"/>
  <c r="M27" i="2"/>
  <c r="Q27" i="2"/>
  <c r="K28" i="2"/>
  <c r="K29" i="2" s="1"/>
  <c r="K35" i="2" s="1"/>
  <c r="O28" i="2"/>
  <c r="O29" i="2" s="1"/>
  <c r="O35" i="2" s="1"/>
  <c r="P39" i="2"/>
  <c r="P41" i="2"/>
  <c r="N33" i="1"/>
  <c r="Q18" i="1"/>
  <c r="Q21" i="1" s="1"/>
  <c r="Q27" i="1" s="1"/>
  <c r="X10" i="1"/>
  <c r="X14" i="1" s="1"/>
  <c r="AF14" i="1" s="1"/>
  <c r="R18" i="1"/>
  <c r="K26" i="2"/>
  <c r="K20" i="1"/>
  <c r="L33" i="1"/>
  <c r="L34" i="1" s="1"/>
  <c r="L32" i="1"/>
  <c r="K19" i="1"/>
  <c r="W9" i="2"/>
  <c r="W13" i="2" s="1"/>
  <c r="X23" i="2"/>
  <c r="W24" i="2"/>
  <c r="N26" i="2"/>
  <c r="R26" i="2"/>
  <c r="R29" i="2" s="1"/>
  <c r="R35" i="2" s="1"/>
  <c r="Q28" i="2"/>
  <c r="Q29" i="2" s="1"/>
  <c r="Q35" i="2" s="1"/>
  <c r="R39" i="2"/>
  <c r="R42" i="2" s="1"/>
  <c r="R48" i="2" s="1"/>
  <c r="N20" i="1"/>
  <c r="N21" i="1" s="1"/>
  <c r="N27" i="1" s="1"/>
  <c r="R20" i="1"/>
  <c r="R21" i="1" s="1"/>
  <c r="R27" i="1" s="1"/>
  <c r="H6" i="6"/>
  <c r="X24" i="1"/>
  <c r="X23" i="1"/>
  <c r="W24" i="1"/>
  <c r="W23" i="1"/>
  <c r="K18" i="1"/>
  <c r="R19" i="1"/>
  <c r="N23" i="1"/>
  <c r="R14" i="7"/>
  <c r="P14" i="7"/>
  <c r="Q15" i="7"/>
  <c r="N46" i="2"/>
  <c r="L18" i="1"/>
  <c r="L21" i="1" s="1"/>
  <c r="L27" i="1" s="1"/>
  <c r="P18" i="1"/>
  <c r="P21" i="1" s="1"/>
  <c r="P27" i="1" s="1"/>
  <c r="R13" i="7"/>
  <c r="R12" i="7" s="1"/>
  <c r="M15" i="7"/>
  <c r="M17" i="7"/>
  <c r="M18" i="1"/>
  <c r="M21" i="1" s="1"/>
  <c r="M27" i="1" s="1"/>
  <c r="N31" i="1"/>
  <c r="P38" i="1"/>
  <c r="N31" i="2" l="1"/>
  <c r="M33" i="2"/>
  <c r="AF14" i="2"/>
  <c r="AB24" i="2"/>
  <c r="AB28" i="2" s="1"/>
  <c r="AB10" i="2"/>
  <c r="AB14" i="2" s="1"/>
  <c r="D7" i="6"/>
  <c r="D11" i="6" s="1"/>
  <c r="X28" i="1"/>
  <c r="AF28" i="1" s="1"/>
  <c r="K21" i="1"/>
  <c r="K27" i="1" s="1"/>
  <c r="C2" i="6"/>
  <c r="W27" i="2"/>
  <c r="AE13" i="1"/>
  <c r="AA10" i="1"/>
  <c r="AA14" i="1" s="1"/>
  <c r="AE14" i="1" s="1"/>
  <c r="AA24" i="1"/>
  <c r="AA28" i="1" s="1"/>
  <c r="AB23" i="1"/>
  <c r="AB27" i="1" s="1"/>
  <c r="AB9" i="1"/>
  <c r="AB13" i="1" s="1"/>
  <c r="AF13" i="1" s="1"/>
  <c r="C6" i="6"/>
  <c r="C10" i="6" s="1"/>
  <c r="W27" i="1"/>
  <c r="C3" i="6"/>
  <c r="W28" i="2"/>
  <c r="N34" i="1"/>
  <c r="N40" i="1" s="1"/>
  <c r="AB9" i="2"/>
  <c r="AB13" i="2" s="1"/>
  <c r="AB23" i="2"/>
  <c r="AB27" i="2" s="1"/>
  <c r="AA23" i="2"/>
  <c r="AA27" i="2" s="1"/>
  <c r="AA9" i="2"/>
  <c r="AA13" i="2" s="1"/>
  <c r="P29" i="2"/>
  <c r="P35" i="2" s="1"/>
  <c r="X27" i="1"/>
  <c r="D6" i="6"/>
  <c r="P15" i="7"/>
  <c r="Q16" i="7"/>
  <c r="R15" i="7"/>
  <c r="O23" i="1"/>
  <c r="N25" i="1"/>
  <c r="C7" i="6"/>
  <c r="C11" i="6" s="1"/>
  <c r="W28" i="1"/>
  <c r="D2" i="6"/>
  <c r="X27" i="2"/>
  <c r="AF27" i="2" s="1"/>
  <c r="AA23" i="1"/>
  <c r="AA27" i="1" s="1"/>
  <c r="AA9" i="1"/>
  <c r="AA13" i="1" s="1"/>
  <c r="P42" i="2"/>
  <c r="P48" i="2" s="1"/>
  <c r="AA24" i="2"/>
  <c r="AA28" i="2" s="1"/>
  <c r="AA10" i="2"/>
  <c r="AA14" i="2" s="1"/>
  <c r="AE14" i="2" s="1"/>
  <c r="L42" i="2"/>
  <c r="L48" i="2" s="1"/>
  <c r="AF28" i="2"/>
  <c r="N29" i="2"/>
  <c r="N35" i="2" s="1"/>
  <c r="AF13" i="2"/>
  <c r="AE28" i="1" l="1"/>
  <c r="O31" i="2"/>
  <c r="N33" i="2"/>
  <c r="P23" i="1"/>
  <c r="O25" i="1"/>
  <c r="D10" i="6"/>
  <c r="AE27" i="2"/>
  <c r="AF27" i="1"/>
  <c r="AE27" i="1"/>
  <c r="Q17" i="7"/>
  <c r="R16" i="7"/>
  <c r="P16" i="7"/>
  <c r="AE28" i="2"/>
  <c r="O33" i="2" l="1"/>
  <c r="P31" i="2"/>
  <c r="P17" i="7"/>
  <c r="Q18" i="7"/>
  <c r="R17" i="7"/>
  <c r="P25" i="1"/>
  <c r="Q23" i="1"/>
  <c r="P33" i="2" l="1"/>
  <c r="Q31" i="2"/>
  <c r="Q19" i="7"/>
  <c r="P18" i="7"/>
  <c r="R18" i="7"/>
  <c r="Q25" i="1"/>
  <c r="R23" i="1"/>
  <c r="R25" i="1" s="1"/>
  <c r="Q33" i="2" l="1"/>
  <c r="R31" i="2"/>
  <c r="R33" i="2" s="1"/>
  <c r="Q20" i="7"/>
  <c r="R19" i="7"/>
  <c r="P19" i="7"/>
  <c r="Q21" i="7" l="1"/>
  <c r="R20" i="7"/>
  <c r="P20" i="7"/>
  <c r="P21" i="7" l="1"/>
  <c r="Q22" i="7"/>
  <c r="R21" i="7"/>
  <c r="Q23" i="7" l="1"/>
  <c r="P22" i="7"/>
  <c r="R22" i="7"/>
  <c r="Q24" i="7" l="1"/>
  <c r="R23" i="7"/>
  <c r="P23" i="7"/>
  <c r="Q25" i="7" l="1"/>
  <c r="R24" i="7"/>
  <c r="P24" i="7"/>
  <c r="P25" i="7" l="1"/>
  <c r="Q26" i="7"/>
  <c r="R25" i="7"/>
  <c r="Q27" i="7" l="1"/>
  <c r="P26" i="7"/>
  <c r="R26" i="7"/>
  <c r="Q28" i="7" l="1"/>
  <c r="R27" i="7"/>
  <c r="P27" i="7"/>
  <c r="Q29" i="7" l="1"/>
  <c r="R28" i="7"/>
  <c r="P28" i="7"/>
  <c r="P29" i="7" l="1"/>
  <c r="Q30" i="7"/>
  <c r="R29" i="7"/>
  <c r="Q31" i="7" l="1"/>
  <c r="P30" i="7"/>
  <c r="R30" i="7"/>
  <c r="Q32" i="7" l="1"/>
  <c r="R31" i="7"/>
  <c r="P31" i="7"/>
  <c r="Q33" i="7" l="1"/>
  <c r="R32" i="7"/>
  <c r="P32" i="7"/>
  <c r="P33" i="7" l="1"/>
  <c r="Q34" i="7"/>
  <c r="R33" i="7"/>
  <c r="Q35" i="7" l="1"/>
  <c r="P34" i="7"/>
  <c r="R34" i="7"/>
  <c r="Q36" i="7" l="1"/>
  <c r="R35" i="7"/>
  <c r="P35" i="7"/>
  <c r="Q37" i="7" l="1"/>
  <c r="R36" i="7"/>
  <c r="P36" i="7"/>
  <c r="P37" i="7" l="1"/>
  <c r="Q38" i="7"/>
  <c r="R37" i="7"/>
  <c r="Q39" i="7" l="1"/>
  <c r="P38" i="7"/>
  <c r="R38" i="7"/>
  <c r="Q40" i="7" l="1"/>
  <c r="R39" i="7"/>
  <c r="P39" i="7"/>
  <c r="Q41" i="7" l="1"/>
  <c r="R40" i="7"/>
  <c r="P40" i="7"/>
  <c r="P41" i="7" l="1"/>
  <c r="Q42" i="7"/>
  <c r="R41" i="7"/>
  <c r="Q43" i="7" l="1"/>
  <c r="P42" i="7"/>
  <c r="R42" i="7"/>
  <c r="Q44" i="7" l="1"/>
  <c r="R43" i="7"/>
  <c r="P43" i="7"/>
  <c r="Q45" i="7" l="1"/>
  <c r="R44" i="7"/>
  <c r="P44" i="7"/>
  <c r="P45" i="7" l="1"/>
  <c r="Q46" i="7"/>
  <c r="R45" i="7"/>
  <c r="R46" i="7" l="1"/>
  <c r="Q47" i="7"/>
  <c r="P46" i="7"/>
  <c r="R47" i="7" l="1"/>
  <c r="Q48" i="7"/>
  <c r="P47" i="7"/>
  <c r="P48" i="7" l="1"/>
  <c r="Q49" i="7"/>
  <c r="R48" i="7"/>
  <c r="Q50" i="7" l="1"/>
  <c r="P49" i="7"/>
  <c r="R49" i="7"/>
  <c r="P50" i="7" l="1"/>
  <c r="Q51" i="7"/>
  <c r="R50" i="7"/>
  <c r="R51" i="7" l="1"/>
  <c r="P51" i="7"/>
  <c r="Q52" i="7"/>
  <c r="P52" i="7" l="1"/>
  <c r="Q53" i="7"/>
  <c r="R52" i="7"/>
  <c r="Q54" i="7" l="1"/>
  <c r="P53" i="7"/>
  <c r="R53" i="7"/>
  <c r="Q55" i="7" l="1"/>
  <c r="P54" i="7"/>
  <c r="R54" i="7"/>
  <c r="R55" i="7" l="1"/>
  <c r="Q56" i="7"/>
  <c r="P55" i="7"/>
  <c r="Q57" i="7" l="1"/>
  <c r="R56" i="7"/>
  <c r="P56" i="7"/>
  <c r="Q58" i="7" l="1"/>
  <c r="P57" i="7"/>
  <c r="R57" i="7"/>
  <c r="R58" i="7" l="1"/>
  <c r="Q59" i="7"/>
  <c r="P58" i="7"/>
  <c r="R59" i="7" l="1"/>
  <c r="Q60" i="7"/>
  <c r="P59" i="7"/>
  <c r="Q61" i="7" l="1"/>
  <c r="P60" i="7"/>
  <c r="R60" i="7"/>
  <c r="Q62" i="7" l="1"/>
  <c r="P61" i="7"/>
  <c r="R61" i="7"/>
  <c r="R62" i="7" l="1"/>
  <c r="Q63" i="7"/>
  <c r="P62" i="7"/>
  <c r="R63" i="7" l="1"/>
  <c r="Q64" i="7"/>
  <c r="P63" i="7"/>
  <c r="Q65" i="7" l="1"/>
  <c r="P64" i="7"/>
  <c r="R64" i="7"/>
  <c r="Q66" i="7" l="1"/>
  <c r="P65" i="7"/>
  <c r="R65" i="7"/>
  <c r="R66" i="7" l="1"/>
  <c r="Q67" i="7"/>
  <c r="P66" i="7"/>
  <c r="R67" i="7" l="1"/>
  <c r="P67" i="7"/>
  <c r="Q68" i="7"/>
  <c r="Q69" i="7" l="1"/>
  <c r="P68" i="7"/>
  <c r="R68" i="7"/>
  <c r="Q70" i="7" l="1"/>
  <c r="P69" i="7"/>
  <c r="R69" i="7"/>
  <c r="R70" i="7" l="1"/>
  <c r="Q71" i="7"/>
  <c r="P70" i="7"/>
  <c r="R71" i="7" l="1"/>
  <c r="Q72" i="7"/>
  <c r="P71" i="7"/>
  <c r="Q73" i="7" l="1"/>
  <c r="P72" i="7"/>
  <c r="R72" i="7"/>
  <c r="Q74" i="7" l="1"/>
  <c r="P73" i="7"/>
  <c r="R73" i="7"/>
  <c r="R74" i="7" l="1"/>
  <c r="Q75" i="7"/>
  <c r="P74" i="7"/>
  <c r="R75" i="7" l="1"/>
  <c r="Q76" i="7"/>
  <c r="P75" i="7"/>
  <c r="Q77" i="7" l="1"/>
  <c r="P76" i="7"/>
  <c r="R76" i="7"/>
  <c r="Q78" i="7" l="1"/>
  <c r="P77" i="7"/>
  <c r="R77" i="7"/>
  <c r="R78" i="7" l="1"/>
  <c r="Q79" i="7"/>
  <c r="P78" i="7"/>
  <c r="R79" i="7" l="1"/>
  <c r="Q80" i="7"/>
  <c r="P79" i="7"/>
  <c r="Q81" i="7" l="1"/>
  <c r="P80" i="7"/>
  <c r="R80" i="7"/>
  <c r="Q82" i="7" l="1"/>
  <c r="P81" i="7"/>
  <c r="R81" i="7"/>
  <c r="R82" i="7" l="1"/>
  <c r="Q83" i="7"/>
  <c r="P82" i="7"/>
  <c r="R83" i="7" l="1"/>
  <c r="P83" i="7"/>
  <c r="Q84" i="7"/>
  <c r="Q85" i="7" l="1"/>
  <c r="P84" i="7"/>
  <c r="R84" i="7"/>
  <c r="Q86" i="7" l="1"/>
  <c r="P85" i="7"/>
  <c r="R85" i="7"/>
  <c r="R86" i="7" l="1"/>
  <c r="Q87" i="7"/>
  <c r="P86" i="7"/>
  <c r="R87" i="7" l="1"/>
  <c r="Q88" i="7"/>
  <c r="P87" i="7"/>
  <c r="Q89" i="7" l="1"/>
  <c r="P88" i="7"/>
  <c r="R88" i="7"/>
  <c r="Q90" i="7" l="1"/>
  <c r="P89" i="7"/>
  <c r="R89" i="7"/>
  <c r="R90" i="7" l="1"/>
  <c r="Q91" i="7"/>
  <c r="P90" i="7"/>
  <c r="R91" i="7" l="1"/>
  <c r="Q92" i="7"/>
  <c r="P91" i="7"/>
  <c r="Q93" i="7" l="1"/>
  <c r="P92" i="7"/>
  <c r="R92" i="7"/>
  <c r="Q94" i="7" l="1"/>
  <c r="P93" i="7"/>
  <c r="R93" i="7"/>
  <c r="R94" i="7" l="1"/>
  <c r="Q95" i="7"/>
  <c r="P94" i="7"/>
  <c r="R95" i="7" l="1"/>
  <c r="Q96" i="7"/>
  <c r="P95" i="7"/>
  <c r="Q97" i="7" l="1"/>
  <c r="P96" i="7"/>
  <c r="R96" i="7"/>
  <c r="Q98" i="7" l="1"/>
  <c r="P97" i="7"/>
  <c r="R97" i="7"/>
  <c r="R98" i="7" l="1"/>
  <c r="Q99" i="7"/>
  <c r="P98" i="7"/>
  <c r="R99" i="7" l="1"/>
  <c r="P99" i="7"/>
  <c r="Q100" i="7"/>
  <c r="Q101" i="7" l="1"/>
  <c r="P100" i="7"/>
  <c r="R100" i="7"/>
  <c r="Q102" i="7" l="1"/>
  <c r="P101" i="7"/>
  <c r="R101" i="7"/>
  <c r="R102" i="7" l="1"/>
  <c r="Q103" i="7"/>
  <c r="P102" i="7"/>
  <c r="R103" i="7" l="1"/>
  <c r="Q104" i="7"/>
  <c r="P103" i="7"/>
  <c r="Q105" i="7" l="1"/>
  <c r="P104" i="7"/>
  <c r="R104" i="7"/>
  <c r="Q106" i="7" l="1"/>
  <c r="P105" i="7"/>
  <c r="R105" i="7"/>
  <c r="R106" i="7" l="1"/>
  <c r="Q107" i="7"/>
  <c r="P106" i="7"/>
  <c r="R107" i="7" l="1"/>
  <c r="Q108" i="7"/>
  <c r="P107" i="7"/>
  <c r="Q109" i="7" l="1"/>
  <c r="P108" i="7"/>
  <c r="R108" i="7"/>
  <c r="Q110" i="7" l="1"/>
  <c r="P109" i="7"/>
  <c r="R109" i="7"/>
  <c r="R110" i="7" l="1"/>
  <c r="Q111" i="7"/>
  <c r="P110" i="7"/>
  <c r="R111" i="7" l="1"/>
  <c r="Q112" i="7"/>
  <c r="P111" i="7"/>
  <c r="Q113" i="7" l="1"/>
  <c r="P112" i="7"/>
  <c r="R112" i="7"/>
  <c r="Q114" i="7" l="1"/>
  <c r="P113" i="7"/>
  <c r="R113" i="7"/>
  <c r="R114" i="7" l="1"/>
  <c r="Q115" i="7"/>
  <c r="P114" i="7"/>
  <c r="R115" i="7" l="1"/>
  <c r="P115" i="7"/>
  <c r="Q116" i="7"/>
  <c r="Q117" i="7" l="1"/>
  <c r="P116" i="7"/>
  <c r="R116" i="7"/>
  <c r="Q118" i="7" l="1"/>
  <c r="P117" i="7"/>
  <c r="R117" i="7"/>
  <c r="R118" i="7" l="1"/>
  <c r="P118" i="7"/>
</calcChain>
</file>

<file path=xl/sharedStrings.xml><?xml version="1.0" encoding="utf-8"?>
<sst xmlns="http://schemas.openxmlformats.org/spreadsheetml/2006/main" count="147" uniqueCount="41">
  <si>
    <t>000</t>
  </si>
  <si>
    <t>001</t>
  </si>
  <si>
    <t>010</t>
  </si>
  <si>
    <t>011</t>
  </si>
  <si>
    <t>100</t>
  </si>
  <si>
    <t>101</t>
  </si>
  <si>
    <t>110</t>
  </si>
  <si>
    <t>111</t>
  </si>
  <si>
    <t>All radius in um</t>
  </si>
  <si>
    <t>Log Scale</t>
  </si>
  <si>
    <t>MEAN</t>
  </si>
  <si>
    <t>COUNT</t>
  </si>
  <si>
    <t>STDEV</t>
  </si>
  <si>
    <t>CI 99%</t>
  </si>
  <si>
    <t>X</t>
  </si>
  <si>
    <t>OFFSET</t>
  </si>
  <si>
    <t>X_OFFSET</t>
  </si>
  <si>
    <t>WEIGHT</t>
  </si>
  <si>
    <t>Summary of Fit</t>
  </si>
  <si>
    <t>Intercept</t>
  </si>
  <si>
    <t>C</t>
  </si>
  <si>
    <t>V</t>
  </si>
  <si>
    <t>ACTUAL</t>
  </si>
  <si>
    <t>PREDICTED</t>
  </si>
  <si>
    <t>% ERROR</t>
  </si>
  <si>
    <t>CV</t>
  </si>
  <si>
    <t>AI</t>
  </si>
  <si>
    <t>AF</t>
  </si>
  <si>
    <t>Absolute % Difference</t>
  </si>
  <si>
    <t>Scale</t>
  </si>
  <si>
    <t>TT Dimension</t>
  </si>
  <si>
    <t>Field 000 1 1</t>
  </si>
  <si>
    <t>Field 100 2 1</t>
  </si>
  <si>
    <t>a</t>
  </si>
  <si>
    <t>b</t>
  </si>
  <si>
    <t>c</t>
  </si>
  <si>
    <t>d</t>
  </si>
  <si>
    <t>Sigmoid Best-Fit</t>
  </si>
  <si>
    <t>Count</t>
  </si>
  <si>
    <t>a/b</t>
  </si>
  <si>
    <t>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</si>
</sst>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C040"/>
      <color rgb="FF00FFFF"/>
      <color rgb="FF40C0C0"/>
      <color rgb="FF8040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Individual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AI!$K$2:$R$2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AI!$K$27:$R$27</c:f>
              <c:numCache>
                <c:formatCode>General</c:formatCode>
                <c:ptCount val="8"/>
                <c:pt idx="0">
                  <c:v>2.0093724292027075</c:v>
                </c:pt>
                <c:pt idx="1">
                  <c:v>1.9931783702984296</c:v>
                </c:pt>
                <c:pt idx="2">
                  <c:v>1.9306429505894946</c:v>
                </c:pt>
                <c:pt idx="3">
                  <c:v>1.83648256826788</c:v>
                </c:pt>
                <c:pt idx="4">
                  <c:v>1.7428781215982272</c:v>
                </c:pt>
                <c:pt idx="5">
                  <c:v>1.6390075421871497</c:v>
                </c:pt>
                <c:pt idx="6">
                  <c:v>1.6898178632336442</c:v>
                </c:pt>
                <c:pt idx="7">
                  <c:v>1.615572970963616</c:v>
                </c:pt>
              </c:numCache>
            </c:numRef>
          </c:val>
        </c:ser>
        <c:ser>
          <c:idx val="1"/>
          <c:order val="1"/>
          <c:tx>
            <c:v>Full-Field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AF!$K$19:$R$19</c:f>
              <c:numCache>
                <c:formatCode>General</c:formatCode>
                <c:ptCount val="8"/>
                <c:pt idx="0">
                  <c:v>2.0320846445359328</c:v>
                </c:pt>
                <c:pt idx="1">
                  <c:v>2.0729303168807993</c:v>
                </c:pt>
                <c:pt idx="2">
                  <c:v>1.9530082077964188</c:v>
                </c:pt>
                <c:pt idx="3">
                  <c:v>1.866875966224415</c:v>
                </c:pt>
                <c:pt idx="4">
                  <c:v>1.7519035632516522</c:v>
                </c:pt>
                <c:pt idx="5">
                  <c:v>1.7013626869417779</c:v>
                </c:pt>
                <c:pt idx="6">
                  <c:v>1.7145274498486469</c:v>
                </c:pt>
                <c:pt idx="7">
                  <c:v>1.6536125707801876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63336"/>
        <c:axId val="447563728"/>
      </c:barChart>
      <c:scatterChart>
        <c:scatterStyle val="lineMarker"/>
        <c:varyColors val="0"/>
        <c:ser>
          <c:idx val="2"/>
          <c:order val="2"/>
          <c:tx>
            <c:v>Individual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AI!$K$29:$R$29</c:f>
                <c:numCache>
                  <c:formatCode>General</c:formatCode>
                  <c:ptCount val="8"/>
                  <c:pt idx="0">
                    <c:v>1.8427890216566104E-2</c:v>
                  </c:pt>
                  <c:pt idx="1">
                    <c:v>6.6752815948294519E-2</c:v>
                  </c:pt>
                  <c:pt idx="2">
                    <c:v>1.7117866157927729E-2</c:v>
                  </c:pt>
                  <c:pt idx="3">
                    <c:v>3.1200986282150883E-2</c:v>
                  </c:pt>
                  <c:pt idx="4">
                    <c:v>2.5197935340790019E-2</c:v>
                  </c:pt>
                  <c:pt idx="5">
                    <c:v>4.6024584583077725E-2</c:v>
                  </c:pt>
                  <c:pt idx="6">
                    <c:v>1.8107272177549729E-2</c:v>
                  </c:pt>
                  <c:pt idx="7">
                    <c:v>2.385834970014834E-2</c:v>
                  </c:pt>
                </c:numCache>
              </c:numRef>
            </c:plus>
            <c:minus>
              <c:numRef>
                <c:f>AI!$K$29:$R$29</c:f>
                <c:numCache>
                  <c:formatCode>General</c:formatCode>
                  <c:ptCount val="8"/>
                  <c:pt idx="0">
                    <c:v>1.8427890216566104E-2</c:v>
                  </c:pt>
                  <c:pt idx="1">
                    <c:v>6.6752815948294519E-2</c:v>
                  </c:pt>
                  <c:pt idx="2">
                    <c:v>1.7117866157927729E-2</c:v>
                  </c:pt>
                  <c:pt idx="3">
                    <c:v>3.1200986282150883E-2</c:v>
                  </c:pt>
                  <c:pt idx="4">
                    <c:v>2.5197935340790019E-2</c:v>
                  </c:pt>
                  <c:pt idx="5">
                    <c:v>4.6024584583077725E-2</c:v>
                  </c:pt>
                  <c:pt idx="6">
                    <c:v>1.8107272177549729E-2</c:v>
                  </c:pt>
                  <c:pt idx="7">
                    <c:v>2.385834970014834E-2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AI!$K$33:$R$33</c:f>
              <c:numCache>
                <c:formatCode>General</c:formatCode>
                <c:ptCount val="8"/>
                <c:pt idx="0">
                  <c:v>0.8</c:v>
                </c:pt>
                <c:pt idx="1">
                  <c:v>1.8</c:v>
                </c:pt>
                <c:pt idx="2">
                  <c:v>2.8</c:v>
                </c:pt>
                <c:pt idx="3">
                  <c:v>3.8</c:v>
                </c:pt>
                <c:pt idx="4">
                  <c:v>4.8</c:v>
                </c:pt>
                <c:pt idx="5">
                  <c:v>5.8</c:v>
                </c:pt>
                <c:pt idx="6">
                  <c:v>6.8</c:v>
                </c:pt>
                <c:pt idx="7">
                  <c:v>7.8</c:v>
                </c:pt>
              </c:numCache>
            </c:numRef>
          </c:xVal>
          <c:yVal>
            <c:numRef>
              <c:f>AI!$K$27:$R$27</c:f>
              <c:numCache>
                <c:formatCode>General</c:formatCode>
                <c:ptCount val="8"/>
                <c:pt idx="0">
                  <c:v>2.0093724292027075</c:v>
                </c:pt>
                <c:pt idx="1">
                  <c:v>1.9931783702984296</c:v>
                </c:pt>
                <c:pt idx="2">
                  <c:v>1.9306429505894946</c:v>
                </c:pt>
                <c:pt idx="3">
                  <c:v>1.83648256826788</c:v>
                </c:pt>
                <c:pt idx="4">
                  <c:v>1.7428781215982272</c:v>
                </c:pt>
                <c:pt idx="5">
                  <c:v>1.6390075421871497</c:v>
                </c:pt>
                <c:pt idx="6">
                  <c:v>1.6898178632336442</c:v>
                </c:pt>
                <c:pt idx="7">
                  <c:v>1.615572970963616</c:v>
                </c:pt>
              </c:numCache>
            </c:numRef>
          </c:yVal>
          <c:smooth val="0"/>
        </c:ser>
        <c:ser>
          <c:idx val="3"/>
          <c:order val="3"/>
          <c:tx>
            <c:v>Full-Field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AF!$K$21:$R$21</c:f>
                <c:numCache>
                  <c:formatCode>General</c:formatCode>
                  <c:ptCount val="8"/>
                  <c:pt idx="0">
                    <c:v>2.7287415902193364E-2</c:v>
                  </c:pt>
                  <c:pt idx="1">
                    <c:v>2.3794946352488813E-2</c:v>
                  </c:pt>
                  <c:pt idx="2">
                    <c:v>5.3270680087609774E-2</c:v>
                  </c:pt>
                  <c:pt idx="3">
                    <c:v>2.639026095370485E-2</c:v>
                  </c:pt>
                  <c:pt idx="4">
                    <c:v>3.9045776692200433E-2</c:v>
                  </c:pt>
                  <c:pt idx="5">
                    <c:v>5.022454609907287E-2</c:v>
                  </c:pt>
                  <c:pt idx="6">
                    <c:v>2.8032407367539296E-2</c:v>
                  </c:pt>
                  <c:pt idx="7">
                    <c:v>2.3227007235104787E-2</c:v>
                  </c:pt>
                </c:numCache>
              </c:numRef>
            </c:plus>
            <c:minus>
              <c:numRef>
                <c:f>AF!$K$21:$R$21</c:f>
                <c:numCache>
                  <c:formatCode>General</c:formatCode>
                  <c:ptCount val="8"/>
                  <c:pt idx="0">
                    <c:v>2.7287415902193364E-2</c:v>
                  </c:pt>
                  <c:pt idx="1">
                    <c:v>2.3794946352488813E-2</c:v>
                  </c:pt>
                  <c:pt idx="2">
                    <c:v>5.3270680087609774E-2</c:v>
                  </c:pt>
                  <c:pt idx="3">
                    <c:v>2.639026095370485E-2</c:v>
                  </c:pt>
                  <c:pt idx="4">
                    <c:v>3.9045776692200433E-2</c:v>
                  </c:pt>
                  <c:pt idx="5">
                    <c:v>5.022454609907287E-2</c:v>
                  </c:pt>
                  <c:pt idx="6">
                    <c:v>2.8032407367539296E-2</c:v>
                  </c:pt>
                  <c:pt idx="7">
                    <c:v>2.3227007235104787E-2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AF!$K$25:$R$25</c:f>
              <c:numCache>
                <c:formatCode>General</c:formatCode>
                <c:ptCount val="8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4.2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  <c:pt idx="7">
                  <c:v>8.1999999999999993</c:v>
                </c:pt>
              </c:numCache>
            </c:numRef>
          </c:xVal>
          <c:yVal>
            <c:numRef>
              <c:f>AF!$K$19:$R$19</c:f>
              <c:numCache>
                <c:formatCode>General</c:formatCode>
                <c:ptCount val="8"/>
                <c:pt idx="0">
                  <c:v>2.0320846445359328</c:v>
                </c:pt>
                <c:pt idx="1">
                  <c:v>2.0729303168807993</c:v>
                </c:pt>
                <c:pt idx="2">
                  <c:v>1.9530082077964188</c:v>
                </c:pt>
                <c:pt idx="3">
                  <c:v>1.866875966224415</c:v>
                </c:pt>
                <c:pt idx="4">
                  <c:v>1.7519035632516522</c:v>
                </c:pt>
                <c:pt idx="5">
                  <c:v>1.7013626869417779</c:v>
                </c:pt>
                <c:pt idx="6">
                  <c:v>1.7145274498486469</c:v>
                </c:pt>
                <c:pt idx="7">
                  <c:v>1.6536125707801876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63336"/>
        <c:axId val="447563728"/>
      </c:scatterChart>
      <c:catAx>
        <c:axId val="44756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3728"/>
        <c:crosses val="autoZero"/>
        <c:auto val="1"/>
        <c:lblAlgn val="ctr"/>
        <c:lblOffset val="100"/>
        <c:noMultiLvlLbl val="0"/>
      </c:catAx>
      <c:valAx>
        <c:axId val="44756372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Log Cross-over Length Scale (log um)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Crossover</a:t>
            </a:r>
            <a:r>
              <a:rPr lang="en-US" baseline="0"/>
              <a:t> Point Mean Value by CV Treatment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 Means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AI!$L$42:$R$42</c:f>
                <c:numCache>
                  <c:formatCode>General</c:formatCode>
                  <c:ptCount val="7"/>
                  <c:pt idx="0">
                    <c:v>1.9550305084933158E-2</c:v>
                  </c:pt>
                  <c:pt idx="1">
                    <c:v>105.75377046126755</c:v>
                  </c:pt>
                  <c:pt idx="2">
                    <c:v>2.5311306176671017E-2</c:v>
                  </c:pt>
                  <c:pt idx="3">
                    <c:v>82.151510352445314</c:v>
                  </c:pt>
                  <c:pt idx="4">
                    <c:v>4.211648362265092E-2</c:v>
                  </c:pt>
                  <c:pt idx="5">
                    <c:v>53.743491725641725</c:v>
                  </c:pt>
                  <c:pt idx="6">
                    <c:v>2.5120820507196592E-2</c:v>
                  </c:pt>
                </c:numCache>
              </c:numRef>
            </c:plus>
            <c:minus>
              <c:numRef>
                <c:f>AI!$L$42:$R$42</c:f>
                <c:numCache>
                  <c:formatCode>General</c:formatCode>
                  <c:ptCount val="7"/>
                  <c:pt idx="0">
                    <c:v>1.9550305084933158E-2</c:v>
                  </c:pt>
                  <c:pt idx="1">
                    <c:v>105.75377046126755</c:v>
                  </c:pt>
                  <c:pt idx="2">
                    <c:v>2.5311306176671017E-2</c:v>
                  </c:pt>
                  <c:pt idx="3">
                    <c:v>82.151510352445314</c:v>
                  </c:pt>
                  <c:pt idx="4">
                    <c:v>4.211648362265092E-2</c:v>
                  </c:pt>
                  <c:pt idx="5">
                    <c:v>53.743491725641725</c:v>
                  </c:pt>
                  <c:pt idx="6">
                    <c:v>2.5120820507196592E-2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AI!$L$46:$R$46</c:f>
              <c:numCache>
                <c:formatCode>General</c:formatCode>
                <c:ptCount val="7"/>
                <c:pt idx="0">
                  <c:v>0.92</c:v>
                </c:pt>
                <c:pt idx="2">
                  <c:v>1.92</c:v>
                </c:pt>
                <c:pt idx="4">
                  <c:v>2.92</c:v>
                </c:pt>
                <c:pt idx="6">
                  <c:v>3.92</c:v>
                </c:pt>
              </c:numCache>
            </c:numRef>
          </c:xVal>
          <c:yVal>
            <c:numRef>
              <c:f>AI!$L$40:$R$40</c:f>
              <c:numCache>
                <c:formatCode>General</c:formatCode>
                <c:ptCount val="7"/>
                <c:pt idx="0">
                  <c:v>2.0047455552300568</c:v>
                </c:pt>
                <c:pt idx="1">
                  <c:v>101.09869629280495</c:v>
                </c:pt>
                <c:pt idx="2">
                  <c:v>1.8893042461556147</c:v>
                </c:pt>
                <c:pt idx="3">
                  <c:v>77.50045391642449</c:v>
                </c:pt>
                <c:pt idx="4">
                  <c:v>1.6882093955923967</c:v>
                </c:pt>
                <c:pt idx="5">
                  <c:v>48.77636092120207</c:v>
                </c:pt>
                <c:pt idx="6">
                  <c:v>1.6512105192532298</c:v>
                </c:pt>
              </c:numCache>
            </c:numRef>
          </c:yVal>
          <c:smooth val="0"/>
        </c:ser>
        <c:ser>
          <c:idx val="1"/>
          <c:order val="1"/>
          <c:tx>
            <c:v>AF Means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AF!$L$34:$R$34</c:f>
                <c:numCache>
                  <c:formatCode>General</c:formatCode>
                  <c:ptCount val="7"/>
                  <c:pt idx="0">
                    <c:v>2.0919268369470376E-2</c:v>
                  </c:pt>
                  <c:pt idx="1">
                    <c:v>117.0364230311348</c:v>
                  </c:pt>
                  <c:pt idx="2">
                    <c:v>4.0697897353805045E-2</c:v>
                  </c:pt>
                  <c:pt idx="3">
                    <c:v>90.245407203864048</c:v>
                  </c:pt>
                  <c:pt idx="4">
                    <c:v>3.3508753650626215E-2</c:v>
                  </c:pt>
                  <c:pt idx="5">
                    <c:v>57.305723355593862</c:v>
                  </c:pt>
                  <c:pt idx="6">
                    <c:v>2.28277824567217E-2</c:v>
                  </c:pt>
                </c:numCache>
              </c:numRef>
            </c:plus>
            <c:minus>
              <c:numRef>
                <c:f>AF!$L$34:$R$34</c:f>
                <c:numCache>
                  <c:formatCode>General</c:formatCode>
                  <c:ptCount val="7"/>
                  <c:pt idx="0">
                    <c:v>2.0919268369470376E-2</c:v>
                  </c:pt>
                  <c:pt idx="1">
                    <c:v>117.0364230311348</c:v>
                  </c:pt>
                  <c:pt idx="2">
                    <c:v>4.0697897353805045E-2</c:v>
                  </c:pt>
                  <c:pt idx="3">
                    <c:v>90.245407203864048</c:v>
                  </c:pt>
                  <c:pt idx="4">
                    <c:v>3.3508753650626215E-2</c:v>
                  </c:pt>
                  <c:pt idx="5">
                    <c:v>57.305723355593862</c:v>
                  </c:pt>
                  <c:pt idx="6">
                    <c:v>2.28277824567217E-2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AF!$L$38:$R$38</c:f>
              <c:numCache>
                <c:formatCode>General</c:formatCode>
                <c:ptCount val="7"/>
                <c:pt idx="0">
                  <c:v>1.08</c:v>
                </c:pt>
                <c:pt idx="2">
                  <c:v>2.08</c:v>
                </c:pt>
                <c:pt idx="4">
                  <c:v>3.08</c:v>
                </c:pt>
                <c:pt idx="6">
                  <c:v>4.08</c:v>
                </c:pt>
              </c:numCache>
            </c:numRef>
          </c:xVal>
          <c:yVal>
            <c:numRef>
              <c:f>AF!$L$32:$R$32</c:f>
              <c:numCache>
                <c:formatCode>General</c:formatCode>
                <c:ptCount val="7"/>
                <c:pt idx="0">
                  <c:v>2.0474017716652573</c:v>
                </c:pt>
                <c:pt idx="1">
                  <c:v>111.53258594220506</c:v>
                </c:pt>
                <c:pt idx="2">
                  <c:v>1.9147272115421947</c:v>
                </c:pt>
                <c:pt idx="3">
                  <c:v>82.17263461819114</c:v>
                </c:pt>
                <c:pt idx="4">
                  <c:v>1.7246892452386429</c:v>
                </c:pt>
                <c:pt idx="5">
                  <c:v>53.050471143049734</c:v>
                </c:pt>
                <c:pt idx="6">
                  <c:v>1.6830197537787541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64512"/>
        <c:axId val="447564904"/>
      </c:scatterChart>
      <c:valAx>
        <c:axId val="447564512"/>
        <c:scaling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4904"/>
        <c:crosses val="autoZero"/>
        <c:crossBetween val="midCat"/>
        <c:majorUnit val="1"/>
      </c:valAx>
      <c:valAx>
        <c:axId val="447564904"/>
        <c:scaling>
          <c:orientation val="minMax"/>
          <c:max val="2.1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Crossover Point (log um)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64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AI and 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AI v AF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C04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8169786095022309E-2"/>
                  <c:y val="8.91677407326345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1.0195x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0.9806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FFFF00">
                    <a:alpha val="20000"/>
                  </a:srgb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AI!$K$27:$R$27</c:f>
              <c:numCache>
                <c:formatCode>General</c:formatCode>
                <c:ptCount val="8"/>
                <c:pt idx="0">
                  <c:v>2.0093724292027075</c:v>
                </c:pt>
                <c:pt idx="1">
                  <c:v>1.9931783702984296</c:v>
                </c:pt>
                <c:pt idx="2">
                  <c:v>1.9306429505894946</c:v>
                </c:pt>
                <c:pt idx="3">
                  <c:v>1.83648256826788</c:v>
                </c:pt>
                <c:pt idx="4">
                  <c:v>1.7428781215982272</c:v>
                </c:pt>
                <c:pt idx="5">
                  <c:v>1.6390075421871497</c:v>
                </c:pt>
                <c:pt idx="6">
                  <c:v>1.6898178632336442</c:v>
                </c:pt>
                <c:pt idx="7">
                  <c:v>1.615572970963616</c:v>
                </c:pt>
              </c:numCache>
            </c:numRef>
          </c:xVal>
          <c:yVal>
            <c:numRef>
              <c:f>AF!$K$19:$R$19</c:f>
              <c:numCache>
                <c:formatCode>General</c:formatCode>
                <c:ptCount val="8"/>
                <c:pt idx="0">
                  <c:v>2.0320846445359328</c:v>
                </c:pt>
                <c:pt idx="1">
                  <c:v>2.0729303168807993</c:v>
                </c:pt>
                <c:pt idx="2">
                  <c:v>1.9530082077964188</c:v>
                </c:pt>
                <c:pt idx="3">
                  <c:v>1.866875966224415</c:v>
                </c:pt>
                <c:pt idx="4">
                  <c:v>1.7519035632516522</c:v>
                </c:pt>
                <c:pt idx="5">
                  <c:v>1.7013626869417779</c:v>
                </c:pt>
                <c:pt idx="6">
                  <c:v>1.7145274498486469</c:v>
                </c:pt>
                <c:pt idx="7">
                  <c:v>1.6536125707801876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3144"/>
        <c:axId val="447553536"/>
      </c:scatterChart>
      <c:valAx>
        <c:axId val="447553144"/>
        <c:scaling>
          <c:orientation val="minMax"/>
          <c:max val="2.2000000000000002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3536"/>
        <c:crosses val="autoZero"/>
        <c:crossBetween val="midCat"/>
      </c:valAx>
      <c:valAx>
        <c:axId val="447553536"/>
        <c:scaling>
          <c:orientation val="minMax"/>
          <c:max val="2.1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31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000 Example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'Example Crossover'!$A$3:$A$60</c:f>
              <c:numCache>
                <c:formatCode>General</c:formatCode>
                <c:ptCount val="58"/>
                <c:pt idx="0">
                  <c:v>2.9161079999999999</c:v>
                </c:pt>
                <c:pt idx="1">
                  <c:v>5.0508480000000002</c:v>
                </c:pt>
                <c:pt idx="2">
                  <c:v>7.1429780000000003</c:v>
                </c:pt>
                <c:pt idx="3">
                  <c:v>9.2215439999999997</c:v>
                </c:pt>
                <c:pt idx="4">
                  <c:v>11.294039</c:v>
                </c:pt>
                <c:pt idx="5">
                  <c:v>13.363287</c:v>
                </c:pt>
                <c:pt idx="6">
                  <c:v>15.430595</c:v>
                </c:pt>
                <c:pt idx="7">
                  <c:v>17.496649999999999</c:v>
                </c:pt>
                <c:pt idx="8">
                  <c:v>19.56185</c:v>
                </c:pt>
                <c:pt idx="9">
                  <c:v>21.626438</c:v>
                </c:pt>
                <c:pt idx="10">
                  <c:v>23.690576</c:v>
                </c:pt>
                <c:pt idx="11">
                  <c:v>25.754372</c:v>
                </c:pt>
                <c:pt idx="12">
                  <c:v>27.817900999999999</c:v>
                </c:pt>
                <c:pt idx="13">
                  <c:v>29.881219000000002</c:v>
                </c:pt>
                <c:pt idx="14">
                  <c:v>31.944367</c:v>
                </c:pt>
                <c:pt idx="15">
                  <c:v>34.007375000000003</c:v>
                </c:pt>
                <c:pt idx="16">
                  <c:v>36.070267999999999</c:v>
                </c:pt>
                <c:pt idx="17">
                  <c:v>39.123699000000002</c:v>
                </c:pt>
                <c:pt idx="18">
                  <c:v>42.258425000000003</c:v>
                </c:pt>
                <c:pt idx="19">
                  <c:v>45.317112000000002</c:v>
                </c:pt>
                <c:pt idx="20">
                  <c:v>49.445022999999999</c:v>
                </c:pt>
                <c:pt idx="21">
                  <c:v>53.572330999999998</c:v>
                </c:pt>
                <c:pt idx="22">
                  <c:v>57.699167000000003</c:v>
                </c:pt>
                <c:pt idx="23">
                  <c:v>61.825623999999998</c:v>
                </c:pt>
                <c:pt idx="24">
                  <c:v>65.951773000000003</c:v>
                </c:pt>
                <c:pt idx="25">
                  <c:v>71.071729000000005</c:v>
                </c:pt>
                <c:pt idx="26">
                  <c:v>77.263114999999999</c:v>
                </c:pt>
                <c:pt idx="27">
                  <c:v>83.453703000000004</c:v>
                </c:pt>
                <c:pt idx="28">
                  <c:v>89.643657000000005</c:v>
                </c:pt>
                <c:pt idx="29">
                  <c:v>95.833100000000002</c:v>
                </c:pt>
                <c:pt idx="30">
                  <c:v>103.017487</c:v>
                </c:pt>
                <c:pt idx="31">
                  <c:v>111.271603</c:v>
                </c:pt>
                <c:pt idx="32">
                  <c:v>119.52487499999999</c:v>
                </c:pt>
                <c:pt idx="33">
                  <c:v>128.77185900000001</c:v>
                </c:pt>
                <c:pt idx="34">
                  <c:v>139.08950400000001</c:v>
                </c:pt>
                <c:pt idx="35">
                  <c:v>150.39883699999999</c:v>
                </c:pt>
                <c:pt idx="36">
                  <c:v>161.78489300000001</c:v>
                </c:pt>
                <c:pt idx="37">
                  <c:v>174.089471</c:v>
                </c:pt>
                <c:pt idx="38">
                  <c:v>188.534919</c:v>
                </c:pt>
                <c:pt idx="39">
                  <c:v>202.97873899999999</c:v>
                </c:pt>
                <c:pt idx="40">
                  <c:v>218.41632200000001</c:v>
                </c:pt>
                <c:pt idx="41">
                  <c:v>234.92325399999999</c:v>
                </c:pt>
                <c:pt idx="42">
                  <c:v>252.42451199999999</c:v>
                </c:pt>
                <c:pt idx="43">
                  <c:v>271.98866500000003</c:v>
                </c:pt>
                <c:pt idx="44">
                  <c:v>293.61605700000001</c:v>
                </c:pt>
                <c:pt idx="45">
                  <c:v>316.31375700000001</c:v>
                </c:pt>
                <c:pt idx="46">
                  <c:v>353.64953200000002</c:v>
                </c:pt>
                <c:pt idx="47">
                  <c:v>395.64079299999997</c:v>
                </c:pt>
                <c:pt idx="48">
                  <c:v>426.51511799999997</c:v>
                </c:pt>
                <c:pt idx="49">
                  <c:v>459.530012</c:v>
                </c:pt>
                <c:pt idx="50">
                  <c:v>513.05278299999998</c:v>
                </c:pt>
                <c:pt idx="51">
                  <c:v>573.85871199999997</c:v>
                </c:pt>
                <c:pt idx="52">
                  <c:v>666.94783600000005</c:v>
                </c:pt>
                <c:pt idx="53">
                  <c:v>865.77975600000002</c:v>
                </c:pt>
                <c:pt idx="54">
                  <c:v>1042.6361850000001</c:v>
                </c:pt>
                <c:pt idx="55">
                  <c:v>1257.1437530000001</c:v>
                </c:pt>
                <c:pt idx="56">
                  <c:v>1825.4884950000001</c:v>
                </c:pt>
                <c:pt idx="57">
                  <c:v>2650.0061569999998</c:v>
                </c:pt>
              </c:numCache>
            </c:numRef>
          </c:xVal>
          <c:yVal>
            <c:numRef>
              <c:f>'Example Crossover'!$B$3:$B$60</c:f>
              <c:numCache>
                <c:formatCode>General</c:formatCode>
                <c:ptCount val="58"/>
                <c:pt idx="0">
                  <c:v>2.158795</c:v>
                </c:pt>
                <c:pt idx="1">
                  <c:v>1.7802279999999999</c:v>
                </c:pt>
                <c:pt idx="2">
                  <c:v>1.5755079999999999</c:v>
                </c:pt>
                <c:pt idx="3">
                  <c:v>1.551139</c:v>
                </c:pt>
                <c:pt idx="4">
                  <c:v>1.4802489999999999</c:v>
                </c:pt>
                <c:pt idx="5">
                  <c:v>1.4322220000000001</c:v>
                </c:pt>
                <c:pt idx="6">
                  <c:v>1.434409</c:v>
                </c:pt>
                <c:pt idx="7">
                  <c:v>1.4423189999999999</c:v>
                </c:pt>
                <c:pt idx="8">
                  <c:v>1.4499919999999999</c:v>
                </c:pt>
                <c:pt idx="9">
                  <c:v>1.428579</c:v>
                </c:pt>
                <c:pt idx="10">
                  <c:v>1.4103380000000001</c:v>
                </c:pt>
                <c:pt idx="11">
                  <c:v>1.430139</c:v>
                </c:pt>
                <c:pt idx="12">
                  <c:v>1.427632</c:v>
                </c:pt>
                <c:pt idx="13">
                  <c:v>1.433481</c:v>
                </c:pt>
                <c:pt idx="14">
                  <c:v>1.4206589999999999</c:v>
                </c:pt>
                <c:pt idx="15">
                  <c:v>1.422585</c:v>
                </c:pt>
                <c:pt idx="16">
                  <c:v>1.422129</c:v>
                </c:pt>
                <c:pt idx="17">
                  <c:v>1.433716</c:v>
                </c:pt>
                <c:pt idx="18">
                  <c:v>1.426439</c:v>
                </c:pt>
                <c:pt idx="19">
                  <c:v>1.4366989999999999</c:v>
                </c:pt>
                <c:pt idx="20">
                  <c:v>1.4474290000000001</c:v>
                </c:pt>
                <c:pt idx="21">
                  <c:v>1.4557990000000001</c:v>
                </c:pt>
                <c:pt idx="22">
                  <c:v>1.460572</c:v>
                </c:pt>
                <c:pt idx="23">
                  <c:v>1.4701280000000001</c:v>
                </c:pt>
                <c:pt idx="24">
                  <c:v>1.485201</c:v>
                </c:pt>
                <c:pt idx="25">
                  <c:v>1.5038720000000001</c:v>
                </c:pt>
                <c:pt idx="26">
                  <c:v>1.530875</c:v>
                </c:pt>
                <c:pt idx="27">
                  <c:v>1.549984</c:v>
                </c:pt>
                <c:pt idx="28">
                  <c:v>1.5775030000000001</c:v>
                </c:pt>
                <c:pt idx="29">
                  <c:v>1.5957920000000001</c:v>
                </c:pt>
                <c:pt idx="30">
                  <c:v>1.6323700000000001</c:v>
                </c:pt>
                <c:pt idx="31">
                  <c:v>1.660501</c:v>
                </c:pt>
                <c:pt idx="32">
                  <c:v>1.684723</c:v>
                </c:pt>
                <c:pt idx="33">
                  <c:v>1.716343</c:v>
                </c:pt>
                <c:pt idx="34">
                  <c:v>1.739169</c:v>
                </c:pt>
                <c:pt idx="35">
                  <c:v>1.763333</c:v>
                </c:pt>
                <c:pt idx="36">
                  <c:v>1.7793129999999999</c:v>
                </c:pt>
                <c:pt idx="37">
                  <c:v>1.797693</c:v>
                </c:pt>
                <c:pt idx="38">
                  <c:v>1.81328</c:v>
                </c:pt>
                <c:pt idx="39">
                  <c:v>1.8223659999999999</c:v>
                </c:pt>
                <c:pt idx="40">
                  <c:v>1.8294969999999999</c:v>
                </c:pt>
                <c:pt idx="41">
                  <c:v>1.838023</c:v>
                </c:pt>
                <c:pt idx="42">
                  <c:v>1.8435760000000001</c:v>
                </c:pt>
                <c:pt idx="43">
                  <c:v>1.8483240000000001</c:v>
                </c:pt>
                <c:pt idx="44">
                  <c:v>1.849674</c:v>
                </c:pt>
                <c:pt idx="45">
                  <c:v>1.849926</c:v>
                </c:pt>
                <c:pt idx="46">
                  <c:v>1.8482339999999999</c:v>
                </c:pt>
                <c:pt idx="47">
                  <c:v>1.844975</c:v>
                </c:pt>
                <c:pt idx="48">
                  <c:v>1.8401259999999999</c:v>
                </c:pt>
                <c:pt idx="49">
                  <c:v>1.8355429999999999</c:v>
                </c:pt>
                <c:pt idx="50">
                  <c:v>1.8200190000000001</c:v>
                </c:pt>
                <c:pt idx="51">
                  <c:v>1.8099700000000001</c:v>
                </c:pt>
                <c:pt idx="52">
                  <c:v>1.7737989999999999</c:v>
                </c:pt>
                <c:pt idx="53">
                  <c:v>1.7109909999999999</c:v>
                </c:pt>
                <c:pt idx="54">
                  <c:v>1.690345</c:v>
                </c:pt>
                <c:pt idx="55">
                  <c:v>1.583602</c:v>
                </c:pt>
                <c:pt idx="56">
                  <c:v>1.296038</c:v>
                </c:pt>
                <c:pt idx="57">
                  <c:v>1.000996</c:v>
                </c:pt>
              </c:numCache>
            </c:numRef>
          </c:yVal>
          <c:smooth val="0"/>
        </c:ser>
        <c:ser>
          <c:idx val="6"/>
          <c:order val="1"/>
          <c:tx>
            <c:v>000 Middle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'Example Crossover'!$C$11:$C$12</c:f>
              <c:numCache>
                <c:formatCode>General</c:formatCode>
                <c:ptCount val="2"/>
                <c:pt idx="0">
                  <c:v>77.263114999999999</c:v>
                </c:pt>
                <c:pt idx="1">
                  <c:v>128.77185900000001</c:v>
                </c:pt>
              </c:numCache>
            </c:numRef>
          </c:xVal>
          <c:yVal>
            <c:numRef>
              <c:f>'Example Crossover'!$D$11:$D$12</c:f>
              <c:numCache>
                <c:formatCode>General</c:formatCode>
                <c:ptCount val="2"/>
                <c:pt idx="0">
                  <c:v>1.6301320000000001</c:v>
                </c:pt>
                <c:pt idx="1">
                  <c:v>1.6301320000000001</c:v>
                </c:pt>
              </c:numCache>
            </c:numRef>
          </c:yVal>
          <c:smooth val="0"/>
        </c:ser>
        <c:ser>
          <c:idx val="8"/>
          <c:order val="2"/>
          <c:tx>
            <c:v>000 Mid Val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'Example Crossover'!$C$15:$C$16</c:f>
              <c:numCache>
                <c:formatCode>General</c:formatCode>
                <c:ptCount val="2"/>
                <c:pt idx="0">
                  <c:v>102.577915177976</c:v>
                </c:pt>
                <c:pt idx="1">
                  <c:v>102.577915177976</c:v>
                </c:pt>
              </c:numCache>
            </c:numRef>
          </c:xVal>
          <c:yVal>
            <c:numRef>
              <c:f>'Example Crossover'!$D$15:$D$16</c:f>
              <c:numCache>
                <c:formatCode>General</c:formatCode>
                <c:ptCount val="2"/>
                <c:pt idx="0">
                  <c:v>1.6301319999999999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3"/>
          <c:tx>
            <c:v>100 Example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'Example Crossover'!$G$3:$G$61</c:f>
              <c:numCache>
                <c:formatCode>General</c:formatCode>
                <c:ptCount val="59"/>
                <c:pt idx="0">
                  <c:v>2.9161079999999999</c:v>
                </c:pt>
                <c:pt idx="1">
                  <c:v>5.0508480000000002</c:v>
                </c:pt>
                <c:pt idx="2">
                  <c:v>7.1429780000000003</c:v>
                </c:pt>
                <c:pt idx="3">
                  <c:v>9.2215439999999997</c:v>
                </c:pt>
                <c:pt idx="4">
                  <c:v>11.294039</c:v>
                </c:pt>
                <c:pt idx="5">
                  <c:v>13.363287</c:v>
                </c:pt>
                <c:pt idx="6">
                  <c:v>15.430595</c:v>
                </c:pt>
                <c:pt idx="7">
                  <c:v>17.496649999999999</c:v>
                </c:pt>
                <c:pt idx="8">
                  <c:v>19.56185</c:v>
                </c:pt>
                <c:pt idx="9">
                  <c:v>21.626438</c:v>
                </c:pt>
                <c:pt idx="10">
                  <c:v>23.690576</c:v>
                </c:pt>
                <c:pt idx="11">
                  <c:v>25.754372</c:v>
                </c:pt>
                <c:pt idx="12">
                  <c:v>27.817900999999999</c:v>
                </c:pt>
                <c:pt idx="13">
                  <c:v>29.881219000000002</c:v>
                </c:pt>
                <c:pt idx="14">
                  <c:v>31.944367</c:v>
                </c:pt>
                <c:pt idx="15">
                  <c:v>34.007375000000003</c:v>
                </c:pt>
                <c:pt idx="16">
                  <c:v>36.070267999999999</c:v>
                </c:pt>
                <c:pt idx="17">
                  <c:v>39.123699000000002</c:v>
                </c:pt>
                <c:pt idx="18">
                  <c:v>42.258425000000003</c:v>
                </c:pt>
                <c:pt idx="19">
                  <c:v>45.317112000000002</c:v>
                </c:pt>
                <c:pt idx="20">
                  <c:v>49.445022999999999</c:v>
                </c:pt>
                <c:pt idx="21">
                  <c:v>53.572330999999998</c:v>
                </c:pt>
                <c:pt idx="22">
                  <c:v>57.699167000000003</c:v>
                </c:pt>
                <c:pt idx="23">
                  <c:v>61.825623999999998</c:v>
                </c:pt>
                <c:pt idx="24">
                  <c:v>65.951773000000003</c:v>
                </c:pt>
                <c:pt idx="25">
                  <c:v>71.071729000000005</c:v>
                </c:pt>
                <c:pt idx="26">
                  <c:v>77.263114999999999</c:v>
                </c:pt>
                <c:pt idx="27">
                  <c:v>83.453703000000004</c:v>
                </c:pt>
                <c:pt idx="28">
                  <c:v>89.643657000000005</c:v>
                </c:pt>
                <c:pt idx="29">
                  <c:v>95.833100000000002</c:v>
                </c:pt>
                <c:pt idx="30">
                  <c:v>103.017487</c:v>
                </c:pt>
                <c:pt idx="31">
                  <c:v>111.271603</c:v>
                </c:pt>
                <c:pt idx="32">
                  <c:v>119.52487499999999</c:v>
                </c:pt>
                <c:pt idx="33">
                  <c:v>128.77185900000001</c:v>
                </c:pt>
                <c:pt idx="34">
                  <c:v>139.08950400000001</c:v>
                </c:pt>
                <c:pt idx="35">
                  <c:v>150.39883699999999</c:v>
                </c:pt>
                <c:pt idx="36">
                  <c:v>161.78489300000001</c:v>
                </c:pt>
                <c:pt idx="37">
                  <c:v>174.089471</c:v>
                </c:pt>
                <c:pt idx="38">
                  <c:v>188.534919</c:v>
                </c:pt>
                <c:pt idx="39">
                  <c:v>202.97873899999999</c:v>
                </c:pt>
                <c:pt idx="40">
                  <c:v>218.41632200000001</c:v>
                </c:pt>
                <c:pt idx="41">
                  <c:v>234.92325399999999</c:v>
                </c:pt>
                <c:pt idx="42">
                  <c:v>252.42451199999999</c:v>
                </c:pt>
                <c:pt idx="43">
                  <c:v>271.98866500000003</c:v>
                </c:pt>
                <c:pt idx="44">
                  <c:v>293.61605700000001</c:v>
                </c:pt>
                <c:pt idx="45">
                  <c:v>316.31375700000001</c:v>
                </c:pt>
                <c:pt idx="46">
                  <c:v>340.99769800000001</c:v>
                </c:pt>
                <c:pt idx="47">
                  <c:v>367.82288699999998</c:v>
                </c:pt>
                <c:pt idx="48">
                  <c:v>395.64079299999997</c:v>
                </c:pt>
                <c:pt idx="49">
                  <c:v>426.51511799999997</c:v>
                </c:pt>
                <c:pt idx="50">
                  <c:v>459.530012</c:v>
                </c:pt>
                <c:pt idx="51">
                  <c:v>513.05278299999998</c:v>
                </c:pt>
                <c:pt idx="52">
                  <c:v>573.85871199999997</c:v>
                </c:pt>
                <c:pt idx="53">
                  <c:v>666.94783600000005</c:v>
                </c:pt>
                <c:pt idx="54">
                  <c:v>865.77975600000002</c:v>
                </c:pt>
                <c:pt idx="55">
                  <c:v>1042.6361850000001</c:v>
                </c:pt>
                <c:pt idx="56">
                  <c:v>1257.1437530000001</c:v>
                </c:pt>
                <c:pt idx="57">
                  <c:v>1825.4884950000001</c:v>
                </c:pt>
                <c:pt idx="58">
                  <c:v>2650.0061569999998</c:v>
                </c:pt>
              </c:numCache>
            </c:numRef>
          </c:xVal>
          <c:yVal>
            <c:numRef>
              <c:f>'Example Crossover'!$H$3:$H$61</c:f>
              <c:numCache>
                <c:formatCode>General</c:formatCode>
                <c:ptCount val="59"/>
                <c:pt idx="0">
                  <c:v>2.12269</c:v>
                </c:pt>
                <c:pt idx="1">
                  <c:v>1.717273</c:v>
                </c:pt>
                <c:pt idx="2">
                  <c:v>1.5231730000000001</c:v>
                </c:pt>
                <c:pt idx="3">
                  <c:v>1.479698</c:v>
                </c:pt>
                <c:pt idx="4">
                  <c:v>1.4108940000000001</c:v>
                </c:pt>
                <c:pt idx="5">
                  <c:v>1.3678049999999999</c:v>
                </c:pt>
                <c:pt idx="6">
                  <c:v>1.3678049999999999</c:v>
                </c:pt>
                <c:pt idx="7">
                  <c:v>1.376034</c:v>
                </c:pt>
                <c:pt idx="8">
                  <c:v>1.3847799999999999</c:v>
                </c:pt>
                <c:pt idx="9">
                  <c:v>1.369632</c:v>
                </c:pt>
                <c:pt idx="10">
                  <c:v>1.358495</c:v>
                </c:pt>
                <c:pt idx="11">
                  <c:v>1.382803</c:v>
                </c:pt>
                <c:pt idx="12">
                  <c:v>1.387248</c:v>
                </c:pt>
                <c:pt idx="13">
                  <c:v>1.400496</c:v>
                </c:pt>
                <c:pt idx="14">
                  <c:v>1.3965460000000001</c:v>
                </c:pt>
                <c:pt idx="15">
                  <c:v>1.407286</c:v>
                </c:pt>
                <c:pt idx="16">
                  <c:v>1.4171830000000001</c:v>
                </c:pt>
                <c:pt idx="17">
                  <c:v>1.4534830000000001</c:v>
                </c:pt>
                <c:pt idx="18">
                  <c:v>1.4594780000000001</c:v>
                </c:pt>
                <c:pt idx="19">
                  <c:v>1.499946</c:v>
                </c:pt>
                <c:pt idx="20">
                  <c:v>1.5421910000000001</c:v>
                </c:pt>
                <c:pt idx="21">
                  <c:v>1.5774490000000001</c:v>
                </c:pt>
                <c:pt idx="22">
                  <c:v>1.605011</c:v>
                </c:pt>
                <c:pt idx="23">
                  <c:v>1.6358079999999999</c:v>
                </c:pt>
                <c:pt idx="24">
                  <c:v>1.666836</c:v>
                </c:pt>
                <c:pt idx="25">
                  <c:v>1.699705</c:v>
                </c:pt>
                <c:pt idx="26">
                  <c:v>1.734605</c:v>
                </c:pt>
                <c:pt idx="27">
                  <c:v>1.7522200000000001</c:v>
                </c:pt>
                <c:pt idx="28">
                  <c:v>1.7718579999999999</c:v>
                </c:pt>
                <c:pt idx="29">
                  <c:v>1.7760910000000001</c:v>
                </c:pt>
                <c:pt idx="30">
                  <c:v>1.7898259999999999</c:v>
                </c:pt>
                <c:pt idx="31">
                  <c:v>1.793804</c:v>
                </c:pt>
                <c:pt idx="32">
                  <c:v>1.796953</c:v>
                </c:pt>
                <c:pt idx="33">
                  <c:v>1.8071619999999999</c:v>
                </c:pt>
                <c:pt idx="34">
                  <c:v>1.809275</c:v>
                </c:pt>
                <c:pt idx="35">
                  <c:v>1.8149789999999999</c:v>
                </c:pt>
                <c:pt idx="36">
                  <c:v>1.819958</c:v>
                </c:pt>
                <c:pt idx="37">
                  <c:v>1.8246469999999999</c:v>
                </c:pt>
                <c:pt idx="38">
                  <c:v>1.8255570000000001</c:v>
                </c:pt>
                <c:pt idx="39">
                  <c:v>1.8272079999999999</c:v>
                </c:pt>
                <c:pt idx="40">
                  <c:v>1.828873</c:v>
                </c:pt>
                <c:pt idx="41">
                  <c:v>1.8292980000000001</c:v>
                </c:pt>
                <c:pt idx="42">
                  <c:v>1.828719</c:v>
                </c:pt>
                <c:pt idx="43">
                  <c:v>1.8306899999999999</c:v>
                </c:pt>
                <c:pt idx="44">
                  <c:v>1.828713</c:v>
                </c:pt>
                <c:pt idx="45">
                  <c:v>1.8270839999999999</c:v>
                </c:pt>
                <c:pt idx="46">
                  <c:v>1.825526</c:v>
                </c:pt>
                <c:pt idx="47">
                  <c:v>1.824252</c:v>
                </c:pt>
                <c:pt idx="48">
                  <c:v>1.822754</c:v>
                </c:pt>
                <c:pt idx="49">
                  <c:v>1.819941</c:v>
                </c:pt>
                <c:pt idx="50">
                  <c:v>1.816079</c:v>
                </c:pt>
                <c:pt idx="51">
                  <c:v>1.8054079999999999</c:v>
                </c:pt>
                <c:pt idx="52">
                  <c:v>1.797242</c:v>
                </c:pt>
                <c:pt idx="53">
                  <c:v>1.765895</c:v>
                </c:pt>
                <c:pt idx="54">
                  <c:v>1.7070829999999999</c:v>
                </c:pt>
                <c:pt idx="55">
                  <c:v>1.6855150000000001</c:v>
                </c:pt>
                <c:pt idx="56">
                  <c:v>1.580438</c:v>
                </c:pt>
                <c:pt idx="57">
                  <c:v>1.286141</c:v>
                </c:pt>
                <c:pt idx="58">
                  <c:v>1.0015449999999999</c:v>
                </c:pt>
              </c:numCache>
            </c:numRef>
          </c:yVal>
          <c:smooth val="0"/>
        </c:ser>
        <c:ser>
          <c:idx val="7"/>
          <c:order val="4"/>
          <c:tx>
            <c:v>100 Middle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'Example Crossover'!$I$11:$I$12</c:f>
              <c:numCache>
                <c:formatCode>General</c:formatCode>
                <c:ptCount val="2"/>
                <c:pt idx="0">
                  <c:v>42.258425000000003</c:v>
                </c:pt>
                <c:pt idx="1">
                  <c:v>71.071729000000005</c:v>
                </c:pt>
              </c:numCache>
            </c:numRef>
          </c:xVal>
          <c:yVal>
            <c:numRef>
              <c:f>'Example Crossover'!$J$11:$J$12</c:f>
              <c:numCache>
                <c:formatCode>General</c:formatCode>
                <c:ptCount val="2"/>
                <c:pt idx="0">
                  <c:v>1.5945925000000001</c:v>
                </c:pt>
                <c:pt idx="1">
                  <c:v>1.5945925000000001</c:v>
                </c:pt>
              </c:numCache>
            </c:numRef>
          </c:yVal>
          <c:smooth val="0"/>
        </c:ser>
        <c:ser>
          <c:idx val="9"/>
          <c:order val="5"/>
          <c:tx>
            <c:v>100 Mid val</c:v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'Example Crossover'!$I$15:$I$16</c:f>
              <c:numCache>
                <c:formatCode>General</c:formatCode>
                <c:ptCount val="2"/>
                <c:pt idx="0">
                  <c:v>56.139213410000004</c:v>
                </c:pt>
                <c:pt idx="1">
                  <c:v>56.139213410000004</c:v>
                </c:pt>
              </c:numCache>
            </c:numRef>
          </c:xVal>
          <c:yVal>
            <c:numRef>
              <c:f>'Example Crossover'!$J$15:$J$16</c:f>
              <c:numCache>
                <c:formatCode>General</c:formatCode>
                <c:ptCount val="2"/>
                <c:pt idx="0">
                  <c:v>1.5945925000000001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4320"/>
        <c:axId val="447554712"/>
      </c:scatterChart>
      <c:valAx>
        <c:axId val="447554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Radius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4712"/>
        <c:crosses val="autoZero"/>
        <c:crossBetween val="midCat"/>
      </c:valAx>
      <c:valAx>
        <c:axId val="447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 baseline="-25000"/>
                  <a:t>TT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5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38269372650352E-2"/>
          <c:y val="2.2172906771259722E-2"/>
          <c:w val="0.72568932816217646"/>
          <c:h val="0.8883225124680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Crossover'!$G$1</c:f>
              <c:strCache>
                <c:ptCount val="1"/>
                <c:pt idx="0">
                  <c:v>Field 100 2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'Example Crossover'!$G$3:$G$61</c:f>
              <c:numCache>
                <c:formatCode>General</c:formatCode>
                <c:ptCount val="59"/>
                <c:pt idx="0">
                  <c:v>2.9161079999999999</c:v>
                </c:pt>
                <c:pt idx="1">
                  <c:v>5.0508480000000002</c:v>
                </c:pt>
                <c:pt idx="2">
                  <c:v>7.1429780000000003</c:v>
                </c:pt>
                <c:pt idx="3">
                  <c:v>9.2215439999999997</c:v>
                </c:pt>
                <c:pt idx="4">
                  <c:v>11.294039</c:v>
                </c:pt>
                <c:pt idx="5">
                  <c:v>13.363287</c:v>
                </c:pt>
                <c:pt idx="6">
                  <c:v>15.430595</c:v>
                </c:pt>
                <c:pt idx="7">
                  <c:v>17.496649999999999</c:v>
                </c:pt>
                <c:pt idx="8">
                  <c:v>19.56185</c:v>
                </c:pt>
                <c:pt idx="9">
                  <c:v>21.626438</c:v>
                </c:pt>
                <c:pt idx="10">
                  <c:v>23.690576</c:v>
                </c:pt>
                <c:pt idx="11">
                  <c:v>25.754372</c:v>
                </c:pt>
                <c:pt idx="12">
                  <c:v>27.817900999999999</c:v>
                </c:pt>
                <c:pt idx="13">
                  <c:v>29.881219000000002</c:v>
                </c:pt>
                <c:pt idx="14">
                  <c:v>31.944367</c:v>
                </c:pt>
                <c:pt idx="15">
                  <c:v>34.007375000000003</c:v>
                </c:pt>
                <c:pt idx="16">
                  <c:v>36.070267999999999</c:v>
                </c:pt>
                <c:pt idx="17">
                  <c:v>39.123699000000002</c:v>
                </c:pt>
                <c:pt idx="18">
                  <c:v>42.258425000000003</c:v>
                </c:pt>
                <c:pt idx="19">
                  <c:v>45.317112000000002</c:v>
                </c:pt>
                <c:pt idx="20">
                  <c:v>49.445022999999999</c:v>
                </c:pt>
                <c:pt idx="21">
                  <c:v>53.572330999999998</c:v>
                </c:pt>
                <c:pt idx="22">
                  <c:v>57.699167000000003</c:v>
                </c:pt>
                <c:pt idx="23">
                  <c:v>61.825623999999998</c:v>
                </c:pt>
                <c:pt idx="24">
                  <c:v>65.951773000000003</c:v>
                </c:pt>
                <c:pt idx="25">
                  <c:v>71.071729000000005</c:v>
                </c:pt>
                <c:pt idx="26">
                  <c:v>77.263114999999999</c:v>
                </c:pt>
                <c:pt idx="27">
                  <c:v>83.453703000000004</c:v>
                </c:pt>
                <c:pt idx="28">
                  <c:v>89.643657000000005</c:v>
                </c:pt>
                <c:pt idx="29">
                  <c:v>95.833100000000002</c:v>
                </c:pt>
                <c:pt idx="30">
                  <c:v>103.017487</c:v>
                </c:pt>
                <c:pt idx="31">
                  <c:v>111.271603</c:v>
                </c:pt>
                <c:pt idx="32">
                  <c:v>119.52487499999999</c:v>
                </c:pt>
                <c:pt idx="33">
                  <c:v>128.77185900000001</c:v>
                </c:pt>
                <c:pt idx="34">
                  <c:v>139.08950400000001</c:v>
                </c:pt>
                <c:pt idx="35">
                  <c:v>150.39883699999999</c:v>
                </c:pt>
                <c:pt idx="36">
                  <c:v>161.78489300000001</c:v>
                </c:pt>
                <c:pt idx="37">
                  <c:v>174.089471</c:v>
                </c:pt>
                <c:pt idx="38">
                  <c:v>188.534919</c:v>
                </c:pt>
                <c:pt idx="39">
                  <c:v>202.97873899999999</c:v>
                </c:pt>
                <c:pt idx="40">
                  <c:v>218.41632200000001</c:v>
                </c:pt>
                <c:pt idx="41">
                  <c:v>234.92325399999999</c:v>
                </c:pt>
                <c:pt idx="42">
                  <c:v>252.42451199999999</c:v>
                </c:pt>
                <c:pt idx="43">
                  <c:v>271.98866500000003</c:v>
                </c:pt>
                <c:pt idx="44">
                  <c:v>293.61605700000001</c:v>
                </c:pt>
                <c:pt idx="45">
                  <c:v>316.31375700000001</c:v>
                </c:pt>
                <c:pt idx="46">
                  <c:v>340.99769800000001</c:v>
                </c:pt>
                <c:pt idx="47">
                  <c:v>367.82288699999998</c:v>
                </c:pt>
                <c:pt idx="48">
                  <c:v>395.64079299999997</c:v>
                </c:pt>
                <c:pt idx="49">
                  <c:v>426.51511799999997</c:v>
                </c:pt>
                <c:pt idx="50">
                  <c:v>459.530012</c:v>
                </c:pt>
                <c:pt idx="51">
                  <c:v>513.05278299999998</c:v>
                </c:pt>
                <c:pt idx="52">
                  <c:v>573.85871199999997</c:v>
                </c:pt>
                <c:pt idx="53">
                  <c:v>666.94783600000005</c:v>
                </c:pt>
                <c:pt idx="54">
                  <c:v>865.77975600000002</c:v>
                </c:pt>
                <c:pt idx="55">
                  <c:v>1042.6361850000001</c:v>
                </c:pt>
                <c:pt idx="56">
                  <c:v>1257.1437530000001</c:v>
                </c:pt>
                <c:pt idx="57">
                  <c:v>1825.4884950000001</c:v>
                </c:pt>
                <c:pt idx="58">
                  <c:v>2650.0061569999998</c:v>
                </c:pt>
              </c:numCache>
            </c:numRef>
          </c:xVal>
          <c:yVal>
            <c:numRef>
              <c:f>'Example Crossover'!$H$3:$H$61</c:f>
              <c:numCache>
                <c:formatCode>General</c:formatCode>
                <c:ptCount val="59"/>
                <c:pt idx="0">
                  <c:v>2.12269</c:v>
                </c:pt>
                <c:pt idx="1">
                  <c:v>1.717273</c:v>
                </c:pt>
                <c:pt idx="2">
                  <c:v>1.5231730000000001</c:v>
                </c:pt>
                <c:pt idx="3">
                  <c:v>1.479698</c:v>
                </c:pt>
                <c:pt idx="4">
                  <c:v>1.4108940000000001</c:v>
                </c:pt>
                <c:pt idx="5">
                  <c:v>1.3678049999999999</c:v>
                </c:pt>
                <c:pt idx="6">
                  <c:v>1.3678049999999999</c:v>
                </c:pt>
                <c:pt idx="7">
                  <c:v>1.376034</c:v>
                </c:pt>
                <c:pt idx="8">
                  <c:v>1.3847799999999999</c:v>
                </c:pt>
                <c:pt idx="9">
                  <c:v>1.369632</c:v>
                </c:pt>
                <c:pt idx="10">
                  <c:v>1.358495</c:v>
                </c:pt>
                <c:pt idx="11">
                  <c:v>1.382803</c:v>
                </c:pt>
                <c:pt idx="12">
                  <c:v>1.387248</c:v>
                </c:pt>
                <c:pt idx="13">
                  <c:v>1.400496</c:v>
                </c:pt>
                <c:pt idx="14">
                  <c:v>1.3965460000000001</c:v>
                </c:pt>
                <c:pt idx="15">
                  <c:v>1.407286</c:v>
                </c:pt>
                <c:pt idx="16">
                  <c:v>1.4171830000000001</c:v>
                </c:pt>
                <c:pt idx="17">
                  <c:v>1.4534830000000001</c:v>
                </c:pt>
                <c:pt idx="18">
                  <c:v>1.4594780000000001</c:v>
                </c:pt>
                <c:pt idx="19">
                  <c:v>1.499946</c:v>
                </c:pt>
                <c:pt idx="20">
                  <c:v>1.5421910000000001</c:v>
                </c:pt>
                <c:pt idx="21">
                  <c:v>1.5774490000000001</c:v>
                </c:pt>
                <c:pt idx="22">
                  <c:v>1.605011</c:v>
                </c:pt>
                <c:pt idx="23">
                  <c:v>1.6358079999999999</c:v>
                </c:pt>
                <c:pt idx="24">
                  <c:v>1.666836</c:v>
                </c:pt>
                <c:pt idx="25">
                  <c:v>1.699705</c:v>
                </c:pt>
                <c:pt idx="26">
                  <c:v>1.734605</c:v>
                </c:pt>
                <c:pt idx="27">
                  <c:v>1.7522200000000001</c:v>
                </c:pt>
                <c:pt idx="28">
                  <c:v>1.7718579999999999</c:v>
                </c:pt>
                <c:pt idx="29">
                  <c:v>1.7760910000000001</c:v>
                </c:pt>
                <c:pt idx="30">
                  <c:v>1.7898259999999999</c:v>
                </c:pt>
                <c:pt idx="31">
                  <c:v>1.793804</c:v>
                </c:pt>
                <c:pt idx="32">
                  <c:v>1.796953</c:v>
                </c:pt>
                <c:pt idx="33">
                  <c:v>1.8071619999999999</c:v>
                </c:pt>
                <c:pt idx="34">
                  <c:v>1.809275</c:v>
                </c:pt>
                <c:pt idx="35">
                  <c:v>1.8149789999999999</c:v>
                </c:pt>
                <c:pt idx="36">
                  <c:v>1.819958</c:v>
                </c:pt>
                <c:pt idx="37">
                  <c:v>1.8246469999999999</c:v>
                </c:pt>
                <c:pt idx="38">
                  <c:v>1.8255570000000001</c:v>
                </c:pt>
                <c:pt idx="39">
                  <c:v>1.8272079999999999</c:v>
                </c:pt>
                <c:pt idx="40">
                  <c:v>1.828873</c:v>
                </c:pt>
                <c:pt idx="41">
                  <c:v>1.8292980000000001</c:v>
                </c:pt>
                <c:pt idx="42">
                  <c:v>1.828719</c:v>
                </c:pt>
                <c:pt idx="43">
                  <c:v>1.8306899999999999</c:v>
                </c:pt>
                <c:pt idx="44">
                  <c:v>1.828713</c:v>
                </c:pt>
                <c:pt idx="45">
                  <c:v>1.8270839999999999</c:v>
                </c:pt>
                <c:pt idx="46">
                  <c:v>1.825526</c:v>
                </c:pt>
                <c:pt idx="47">
                  <c:v>1.824252</c:v>
                </c:pt>
                <c:pt idx="48">
                  <c:v>1.822754</c:v>
                </c:pt>
                <c:pt idx="49">
                  <c:v>1.819941</c:v>
                </c:pt>
                <c:pt idx="50">
                  <c:v>1.816079</c:v>
                </c:pt>
                <c:pt idx="51">
                  <c:v>1.8054079999999999</c:v>
                </c:pt>
                <c:pt idx="52">
                  <c:v>1.797242</c:v>
                </c:pt>
                <c:pt idx="53">
                  <c:v>1.765895</c:v>
                </c:pt>
                <c:pt idx="54">
                  <c:v>1.7070829999999999</c:v>
                </c:pt>
                <c:pt idx="55">
                  <c:v>1.6855150000000001</c:v>
                </c:pt>
                <c:pt idx="56">
                  <c:v>1.580438</c:v>
                </c:pt>
                <c:pt idx="57">
                  <c:v>1.286141</c:v>
                </c:pt>
                <c:pt idx="58">
                  <c:v>1.0015449999999999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'Example Crossover'!$L$1</c:f>
              <c:strCache>
                <c:ptCount val="1"/>
                <c:pt idx="0">
                  <c:v>Sigmoid Best-Fit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'Example Crossover'!$L$5:$L$59</c:f>
              <c:numCache>
                <c:formatCode>General</c:formatCode>
                <c:ptCount val="55"/>
                <c:pt idx="7">
                  <c:v>2.9161079999999999</c:v>
                </c:pt>
                <c:pt idx="8">
                  <c:v>23.690576</c:v>
                </c:pt>
                <c:pt idx="9">
                  <c:v>25.754372</c:v>
                </c:pt>
                <c:pt idx="10">
                  <c:v>27.817900999999999</c:v>
                </c:pt>
                <c:pt idx="11">
                  <c:v>29.881219000000002</c:v>
                </c:pt>
                <c:pt idx="12">
                  <c:v>31.944367</c:v>
                </c:pt>
                <c:pt idx="13">
                  <c:v>34.007375000000003</c:v>
                </c:pt>
                <c:pt idx="14">
                  <c:v>36.070267999999999</c:v>
                </c:pt>
                <c:pt idx="15">
                  <c:v>39.123699000000002</c:v>
                </c:pt>
                <c:pt idx="16">
                  <c:v>42.258425000000003</c:v>
                </c:pt>
                <c:pt idx="17">
                  <c:v>45.317112000000002</c:v>
                </c:pt>
                <c:pt idx="18">
                  <c:v>49.445022999999999</c:v>
                </c:pt>
                <c:pt idx="19">
                  <c:v>53.572330999999998</c:v>
                </c:pt>
                <c:pt idx="20">
                  <c:v>57.699167000000003</c:v>
                </c:pt>
                <c:pt idx="21">
                  <c:v>61.825623999999998</c:v>
                </c:pt>
                <c:pt idx="22">
                  <c:v>65.951773000000003</c:v>
                </c:pt>
                <c:pt idx="23">
                  <c:v>71.071729000000005</c:v>
                </c:pt>
                <c:pt idx="24">
                  <c:v>77.263114999999999</c:v>
                </c:pt>
                <c:pt idx="25">
                  <c:v>83.453703000000004</c:v>
                </c:pt>
                <c:pt idx="26">
                  <c:v>89.643657000000005</c:v>
                </c:pt>
                <c:pt idx="27">
                  <c:v>95.833100000000002</c:v>
                </c:pt>
                <c:pt idx="28">
                  <c:v>103.017487</c:v>
                </c:pt>
                <c:pt idx="29">
                  <c:v>111.271603</c:v>
                </c:pt>
                <c:pt idx="30">
                  <c:v>119.52487499999999</c:v>
                </c:pt>
                <c:pt idx="31">
                  <c:v>128.77185900000001</c:v>
                </c:pt>
                <c:pt idx="32">
                  <c:v>139.08950400000001</c:v>
                </c:pt>
                <c:pt idx="33">
                  <c:v>150.39883699999999</c:v>
                </c:pt>
                <c:pt idx="34">
                  <c:v>161.78489300000001</c:v>
                </c:pt>
                <c:pt idx="35">
                  <c:v>174.089471</c:v>
                </c:pt>
                <c:pt idx="36">
                  <c:v>188.534919</c:v>
                </c:pt>
                <c:pt idx="37">
                  <c:v>202.97873899999999</c:v>
                </c:pt>
                <c:pt idx="38">
                  <c:v>218.41632200000001</c:v>
                </c:pt>
                <c:pt idx="39">
                  <c:v>234.92325399999999</c:v>
                </c:pt>
                <c:pt idx="40">
                  <c:v>252.42451199999999</c:v>
                </c:pt>
                <c:pt idx="41">
                  <c:v>271.98866500000003</c:v>
                </c:pt>
                <c:pt idx="42">
                  <c:v>2650.0061569999998</c:v>
                </c:pt>
              </c:numCache>
            </c:numRef>
          </c:xVal>
          <c:yVal>
            <c:numRef>
              <c:f>'Example Crossover'!$N$5:$N$59</c:f>
              <c:numCache>
                <c:formatCode>General</c:formatCode>
                <c:ptCount val="55"/>
                <c:pt idx="7">
                  <c:v>1.358495</c:v>
                </c:pt>
                <c:pt idx="8">
                  <c:v>1.358495</c:v>
                </c:pt>
                <c:pt idx="9">
                  <c:v>1.3741086536398319</c:v>
                </c:pt>
                <c:pt idx="10">
                  <c:v>1.3815918474037145</c:v>
                </c:pt>
                <c:pt idx="11">
                  <c:v>1.3904600342063536</c:v>
                </c:pt>
                <c:pt idx="12">
                  <c:v>1.40074797345038</c:v>
                </c:pt>
                <c:pt idx="13">
                  <c:v>1.4124467767900777</c:v>
                </c:pt>
                <c:pt idx="14">
                  <c:v>1.4255008961810414</c:v>
                </c:pt>
                <c:pt idx="15">
                  <c:v>1.4470837714778533</c:v>
                </c:pt>
                <c:pt idx="16">
                  <c:v>1.4715668112328515</c:v>
                </c:pt>
                <c:pt idx="17">
                  <c:v>1.497061102733672</c:v>
                </c:pt>
                <c:pt idx="18">
                  <c:v>1.5326792285746584</c:v>
                </c:pt>
                <c:pt idx="19">
                  <c:v>1.5680941783361262</c:v>
                </c:pt>
                <c:pt idx="20">
                  <c:v>1.6018546502960018</c:v>
                </c:pt>
                <c:pt idx="21">
                  <c:v>1.6329517589671161</c:v>
                </c:pt>
                <c:pt idx="22">
                  <c:v>1.660831544495883</c:v>
                </c:pt>
                <c:pt idx="23">
                  <c:v>1.6907172878855186</c:v>
                </c:pt>
                <c:pt idx="24">
                  <c:v>1.7202320371327349</c:v>
                </c:pt>
                <c:pt idx="25">
                  <c:v>1.7434360536709392</c:v>
                </c:pt>
                <c:pt idx="26">
                  <c:v>1.7615070687187822</c:v>
                </c:pt>
                <c:pt idx="27">
                  <c:v>1.7755450263544958</c:v>
                </c:pt>
                <c:pt idx="28">
                  <c:v>1.7879896166704954</c:v>
                </c:pt>
                <c:pt idx="29">
                  <c:v>1.7985394925591407</c:v>
                </c:pt>
                <c:pt idx="30">
                  <c:v>1.8062388719488618</c:v>
                </c:pt>
                <c:pt idx="31">
                  <c:v>1.8125141066971602</c:v>
                </c:pt>
                <c:pt idx="32">
                  <c:v>1.8175090963040088</c:v>
                </c:pt>
                <c:pt idx="33">
                  <c:v>1.8213594014673316</c:v>
                </c:pt>
                <c:pt idx="34">
                  <c:v>1.8240972458847091</c:v>
                </c:pt>
                <c:pt idx="35">
                  <c:v>1.8262044129125794</c:v>
                </c:pt>
                <c:pt idx="36">
                  <c:v>1.8279352244387046</c:v>
                </c:pt>
                <c:pt idx="37">
                  <c:v>1.8291409979298152</c:v>
                </c:pt>
                <c:pt idx="38">
                  <c:v>1.8300516072820781</c:v>
                </c:pt>
                <c:pt idx="39">
                  <c:v>1.8307404462061343</c:v>
                </c:pt>
                <c:pt idx="40">
                  <c:v>1.831258465958348</c:v>
                </c:pt>
                <c:pt idx="41">
                  <c:v>1.8306899999999999</c:v>
                </c:pt>
                <c:pt idx="42">
                  <c:v>1.8306899999999999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4704"/>
        <c:axId val="447584896"/>
      </c:scatterChart>
      <c:valAx>
        <c:axId val="4475747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 Radius </a:t>
                </a:r>
                <a:r>
                  <a:rPr lang="en-US" baseline="0"/>
                  <a:t>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84896"/>
        <c:crosses val="autoZero"/>
        <c:crossBetween val="midCat"/>
      </c:valAx>
      <c:valAx>
        <c:axId val="4475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</a:t>
                </a:r>
                <a:r>
                  <a:rPr lang="en-US" sz="1000" baseline="-25000"/>
                  <a:t>TT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76606853557578"/>
          <c:y val="0.46598450721706691"/>
          <c:w val="0.15745246078243597"/>
          <c:h val="6.803098556586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"/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9525</xdr:colOff>
      <xdr:row>1</xdr:row>
      <xdr:rowOff>9525</xdr:rowOff>
    </xdr:from>
    <xdr:ext cx="2297424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811125" y="200025"/>
              <a:ext cx="2297424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2.029+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−6.775</m:t>
                            </m:r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−0.05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+(−1.003)(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−0.03)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811125" y="200025"/>
              <a:ext cx="2297424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〖10〗^(2.029+(−6.775)(𝐶−0.05)+(−1.003)(𝑉−0.03))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0.80161</cdr:x>
      <cdr:y>0.5254</cdr:y>
    </cdr:from>
    <cdr:to>
      <cdr:x>1</cdr:x>
      <cdr:y>0.72543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6955872" y="3310273"/>
              <a:ext cx="1721489" cy="126028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𝑇𝑇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n-US" sz="1100" b="0"/>
            </a:p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=1.15×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−7</m:t>
                        </m:r>
                      </m:sup>
                    </m:sSup>
                  </m:oMath>
                </m:oMathPara>
              </a14:m>
              <a:endParaRPr lang="en-US" sz="1100" b="0"/>
            </a:p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=2.39×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−7</m:t>
                        </m:r>
                      </m:sup>
                    </m:sSup>
                  </m:oMath>
                </m:oMathPara>
              </a14:m>
              <a:endParaRPr lang="en-US" sz="1100" b="0"/>
            </a:p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=8.71</m:t>
                    </m:r>
                  </m:oMath>
                </m:oMathPara>
              </a14:m>
              <a:endParaRPr lang="en-US" sz="1100"/>
            </a:p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=1.35</m:t>
                    </m:r>
                  </m:oMath>
                </m:oMathPara>
              </a14:m>
              <a:endParaRPr lang="en-US" sz="1100" b="0"/>
            </a:p>
            <a:p xmlns:a="http://schemas.openxmlformats.org/drawingml/2006/main"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=0.9984</m:t>
                    </m:r>
                  </m:oMath>
                </m:oMathPara>
              </a14:m>
              <a:endParaRPr lang="en-US" sz="1100" b="0"/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6955872" y="3310273"/>
              <a:ext cx="1721489" cy="1260281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r>
                <a:rPr lang="en-US" sz="1100" b="0" i="0">
                  <a:latin typeface="Cambria Math" panose="02040503050406030204" pitchFamily="18" charset="0"/>
                </a:rPr>
                <a:t>𝐷_𝑇𝑇 (𝑟)=(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𝑎/(𝑏+𝑒^(−𝑐𝑟) ))</a:t>
              </a:r>
              <a:r>
                <a:rPr lang="en-US" sz="1100" b="0" i="0">
                  <a:latin typeface="Cambria Math" panose="02040503050406030204" pitchFamily="18" charset="0"/>
                </a:rPr>
                <a:t>+𝑑</a:t>
              </a:r>
              <a:endParaRPr lang="en-US" sz="1100" b="0"/>
            </a:p>
            <a:p xmlns:a="http://schemas.openxmlformats.org/drawingml/2006/main">
              <a:pPr algn="l"/>
              <a:r>
                <a:rPr lang="en-US" sz="1100" b="0" i="0">
                  <a:latin typeface="Cambria Math" panose="02040503050406030204" pitchFamily="18" charset="0"/>
                </a:rPr>
                <a:t>𝑎=1.15×〖10〗^(−7)</a:t>
              </a:r>
              <a:endParaRPr lang="en-US" sz="1100" b="0"/>
            </a:p>
            <a:p xmlns:a="http://schemas.openxmlformats.org/drawingml/2006/main">
              <a:pPr algn="l"/>
              <a:r>
                <a:rPr lang="en-US" sz="1100" b="0" i="0">
                  <a:latin typeface="Cambria Math" panose="02040503050406030204" pitchFamily="18" charset="0"/>
                </a:rPr>
                <a:t>𝑏=2.39×〖10〗^(−7)</a:t>
              </a:r>
              <a:endParaRPr lang="en-US" sz="1100" b="0"/>
            </a:p>
            <a:p xmlns:a="http://schemas.openxmlformats.org/drawingml/2006/main">
              <a:pPr algn="l"/>
              <a:r>
                <a:rPr lang="en-US" sz="1100" b="0" i="0">
                  <a:latin typeface="Cambria Math" panose="02040503050406030204" pitchFamily="18" charset="0"/>
                </a:rPr>
                <a:t>𝑐=8.71</a:t>
              </a:r>
              <a:endParaRPr lang="en-US" sz="1100"/>
            </a:p>
            <a:p xmlns:a="http://schemas.openxmlformats.org/drawingml/2006/main">
              <a:pPr algn="l"/>
              <a:r>
                <a:rPr lang="en-US" sz="1100" b="0" i="0">
                  <a:latin typeface="Cambria Math" panose="02040503050406030204" pitchFamily="18" charset="0"/>
                </a:rPr>
                <a:t>𝑑=1.35</a:t>
              </a:r>
              <a:endParaRPr lang="en-US" sz="1100" b="0"/>
            </a:p>
            <a:p xmlns:a="http://schemas.openxmlformats.org/drawingml/2006/main">
              <a:pPr algn="l"/>
              <a:r>
                <a:rPr lang="en-US" sz="1100" b="0" i="0">
                  <a:latin typeface="Cambria Math" panose="02040503050406030204" pitchFamily="18" charset="0"/>
                </a:rPr>
                <a:t>𝑅^2=0.9984</a:t>
              </a:r>
              <a:endParaRPr lang="en-US" sz="1100" b="0"/>
            </a:p>
          </cdr:txBody>
        </cdr:sp>
      </mc:Fallback>
    </mc:AlternateContent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47626</xdr:colOff>
      <xdr:row>1</xdr:row>
      <xdr:rowOff>152399</xdr:rowOff>
    </xdr:from>
    <xdr:ext cx="1562100" cy="1301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630026" y="342899"/>
              <a:ext cx="1562100" cy="130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𝑐𝑟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n-US" sz="11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=1.15×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−7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=2.39×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−7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=8.71</m:t>
                    </m:r>
                  </m:oMath>
                </m:oMathPara>
              </a14:m>
              <a:endParaRPr lang="en-US" sz="110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=1.35</m:t>
                    </m:r>
                  </m:oMath>
                </m:oMathPara>
              </a14:m>
              <a:endParaRPr lang="en-US" sz="1100" b="0"/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=0.9984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630026" y="342899"/>
              <a:ext cx="1562100" cy="130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𝐹(𝑟)=(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𝑏+𝑒^(−𝑐𝑟)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+𝑑</a:t>
              </a:r>
              <a:endParaRPr lang="en-US" sz="1100" b="0"/>
            </a:p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𝑎=1.15×〖10〗^(−7)</a:t>
              </a:r>
              <a:endParaRPr lang="en-US" sz="1100" b="0"/>
            </a:p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𝑏=2.39×〖10〗^(−7)</a:t>
              </a:r>
              <a:endParaRPr lang="en-US" sz="1100" b="0"/>
            </a:p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𝑐=8.71</a:t>
              </a:r>
              <a:endParaRPr lang="en-US" sz="1100"/>
            </a:p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𝑑=1.35</a:t>
              </a:r>
              <a:endParaRPr lang="en-US" sz="1100" b="0"/>
            </a:p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𝑅^2=0.9984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F74"/>
  <sheetViews>
    <sheetView topLeftCell="M13" workbookViewId="0">
      <selection activeCell="AE14" sqref="AE14"/>
    </sheetView>
  </sheetViews>
  <sheetFormatPr defaultRowHeight="15" x14ac:dyDescent="0.25"/>
  <sheetData>
    <row r="1" spans="2:32" x14ac:dyDescent="0.25">
      <c r="B1" t="s">
        <v>8</v>
      </c>
      <c r="V1" t="s">
        <v>18</v>
      </c>
    </row>
    <row r="2" spans="2:3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</row>
    <row r="3" spans="2:32" x14ac:dyDescent="0.25">
      <c r="B3">
        <v>105.6207641</v>
      </c>
      <c r="C3">
        <v>108.263233614501</v>
      </c>
      <c r="D3">
        <v>87.030383009999994</v>
      </c>
      <c r="E3">
        <v>79.291581059999999</v>
      </c>
      <c r="F3">
        <v>55.402731860000003</v>
      </c>
      <c r="G3">
        <v>39.591084180000003</v>
      </c>
      <c r="H3">
        <v>50.781900159999999</v>
      </c>
      <c r="I3">
        <v>44.008574209999999</v>
      </c>
      <c r="K3">
        <f>LOG10(B3)</f>
        <v>2.0237493050120978</v>
      </c>
      <c r="L3">
        <f t="shared" ref="L3:R18" si="0">LOG10(C3)</f>
        <v>2.0344809944894013</v>
      </c>
      <c r="M3">
        <f t="shared" si="0"/>
        <v>1.9396708948030745</v>
      </c>
      <c r="N3">
        <f t="shared" si="0"/>
        <v>1.8992270776923075</v>
      </c>
      <c r="O3">
        <f t="shared" si="0"/>
        <v>1.7435311799355038</v>
      </c>
      <c r="P3">
        <f t="shared" si="0"/>
        <v>1.5975973948298581</v>
      </c>
      <c r="Q3">
        <f t="shared" si="0"/>
        <v>1.7057089472971227</v>
      </c>
      <c r="R3">
        <f t="shared" si="0"/>
        <v>1.6435372985161405</v>
      </c>
      <c r="V3" t="s">
        <v>19</v>
      </c>
      <c r="W3">
        <v>1.9864033999999999</v>
      </c>
      <c r="X3">
        <f>W3</f>
        <v>1.9864033999999999</v>
      </c>
    </row>
    <row r="4" spans="2:32" x14ac:dyDescent="0.25">
      <c r="B4">
        <v>109.4743816</v>
      </c>
      <c r="C4">
        <v>93.022625460686498</v>
      </c>
      <c r="D4">
        <v>91.50574143</v>
      </c>
      <c r="E4">
        <v>77.648528859999999</v>
      </c>
      <c r="F4">
        <v>50.883202740000002</v>
      </c>
      <c r="G4">
        <v>38.454819880000002</v>
      </c>
      <c r="H4">
        <v>51.487464350000003</v>
      </c>
      <c r="I4">
        <v>42.749981839999997</v>
      </c>
      <c r="K4">
        <f t="shared" ref="K4:K22" si="1">LOG10(B4)</f>
        <v>2.0393125006240065</v>
      </c>
      <c r="L4">
        <f t="shared" si="0"/>
        <v>1.9685885928297406</v>
      </c>
      <c r="M4">
        <f t="shared" si="0"/>
        <v>1.961448344264705</v>
      </c>
      <c r="N4">
        <f t="shared" si="0"/>
        <v>1.8901332319379001</v>
      </c>
      <c r="O4">
        <f t="shared" si="0"/>
        <v>1.70657443928606</v>
      </c>
      <c r="P4">
        <f t="shared" si="0"/>
        <v>1.5849507814872399</v>
      </c>
      <c r="Q4">
        <f t="shared" si="0"/>
        <v>1.7117015042584067</v>
      </c>
      <c r="R4">
        <f t="shared" si="0"/>
        <v>1.630935934577888</v>
      </c>
      <c r="V4" t="s">
        <v>20</v>
      </c>
      <c r="W4">
        <v>-0.27116299999999999</v>
      </c>
      <c r="X4">
        <f>W4/(0.09-0.05)</f>
        <v>-6.7790750000000006</v>
      </c>
    </row>
    <row r="5" spans="2:32" x14ac:dyDescent="0.25">
      <c r="B5">
        <v>104.5555588</v>
      </c>
      <c r="C5">
        <v>114.685361939429</v>
      </c>
      <c r="D5">
        <v>81.047181929999994</v>
      </c>
      <c r="E5">
        <v>65.851806420000003</v>
      </c>
      <c r="F5">
        <v>53.089334350000001</v>
      </c>
      <c r="G5">
        <v>44.327412359999997</v>
      </c>
      <c r="H5">
        <v>50.40844139</v>
      </c>
      <c r="I5">
        <v>45.403901529999999</v>
      </c>
      <c r="K5">
        <f t="shared" si="1"/>
        <v>2.019347127464445</v>
      </c>
      <c r="L5">
        <f t="shared" si="0"/>
        <v>2.0595079895261819</v>
      </c>
      <c r="M5">
        <f t="shared" si="0"/>
        <v>1.9087379187091749</v>
      </c>
      <c r="N5">
        <f t="shared" si="0"/>
        <v>1.8185676928509933</v>
      </c>
      <c r="O5">
        <f t="shared" si="0"/>
        <v>1.725007280060799</v>
      </c>
      <c r="P5">
        <f t="shared" si="0"/>
        <v>1.646672379831396</v>
      </c>
      <c r="Q5">
        <f t="shared" si="0"/>
        <v>1.7025032694241253</v>
      </c>
      <c r="R5">
        <f t="shared" si="0"/>
        <v>1.6570931731246799</v>
      </c>
      <c r="V5" t="s">
        <v>21</v>
      </c>
      <c r="W5">
        <v>-8.4572999999999995E-2</v>
      </c>
      <c r="X5">
        <f>W5/(0.12-0.03)</f>
        <v>-0.93969999999999998</v>
      </c>
    </row>
    <row r="6" spans="2:32" x14ac:dyDescent="0.25">
      <c r="B6">
        <v>97.560935630000003</v>
      </c>
      <c r="C6">
        <v>92.630477097184198</v>
      </c>
      <c r="D6">
        <v>87.062839909999994</v>
      </c>
      <c r="E6">
        <v>63.366684880000001</v>
      </c>
      <c r="F6">
        <v>55.96808257</v>
      </c>
      <c r="G6">
        <v>43.34137028</v>
      </c>
      <c r="H6">
        <v>49.019062169999998</v>
      </c>
      <c r="I6">
        <v>41.785024200000002</v>
      </c>
      <c r="K6">
        <f t="shared" si="1"/>
        <v>1.9892759566375691</v>
      </c>
      <c r="L6">
        <f t="shared" si="0"/>
        <v>1.9667539009092083</v>
      </c>
      <c r="M6">
        <f t="shared" si="0"/>
        <v>1.9398328293401756</v>
      </c>
      <c r="N6">
        <f t="shared" si="0"/>
        <v>1.8018609869740136</v>
      </c>
      <c r="O6">
        <f t="shared" si="0"/>
        <v>1.7479404285159374</v>
      </c>
      <c r="P6">
        <f t="shared" si="0"/>
        <v>1.6369026378475544</v>
      </c>
      <c r="Q6">
        <f t="shared" si="0"/>
        <v>1.6903649980974116</v>
      </c>
      <c r="R6">
        <f t="shared" si="0"/>
        <v>1.621020658027027</v>
      </c>
    </row>
    <row r="7" spans="2:32" x14ac:dyDescent="0.25">
      <c r="B7">
        <v>106.75653130000001</v>
      </c>
      <c r="C7">
        <v>116.507707229264</v>
      </c>
      <c r="D7">
        <v>82.952162630000004</v>
      </c>
      <c r="E7">
        <v>71.213299910000003</v>
      </c>
      <c r="F7">
        <v>53.375648529999999</v>
      </c>
      <c r="G7">
        <v>42.997619409999999</v>
      </c>
      <c r="H7">
        <v>50.107777239999997</v>
      </c>
      <c r="I7">
        <v>39.325577600000003</v>
      </c>
      <c r="K7">
        <f t="shared" si="1"/>
        <v>2.0283944543835251</v>
      </c>
      <c r="L7">
        <f t="shared" si="0"/>
        <v>2.0663546558034565</v>
      </c>
      <c r="M7">
        <f t="shared" si="0"/>
        <v>1.9188277129165241</v>
      </c>
      <c r="N7">
        <f t="shared" si="0"/>
        <v>1.8525611107452058</v>
      </c>
      <c r="O7">
        <f t="shared" si="0"/>
        <v>1.7273431648722233</v>
      </c>
      <c r="P7">
        <f t="shared" si="0"/>
        <v>1.6334444112604989</v>
      </c>
      <c r="Q7">
        <f t="shared" si="0"/>
        <v>1.6999051380485404</v>
      </c>
      <c r="R7">
        <f t="shared" si="0"/>
        <v>1.5946751101039844</v>
      </c>
      <c r="V7" t="s">
        <v>23</v>
      </c>
      <c r="Z7" t="s">
        <v>22</v>
      </c>
    </row>
    <row r="8" spans="2:32" x14ac:dyDescent="0.25">
      <c r="B8">
        <v>104.3393356</v>
      </c>
      <c r="C8">
        <v>82.264360831943804</v>
      </c>
      <c r="D8">
        <v>90.747998460000005</v>
      </c>
      <c r="E8">
        <v>71.618476749999999</v>
      </c>
      <c r="F8">
        <v>54.059116359999997</v>
      </c>
      <c r="G8">
        <v>38.700992120000002</v>
      </c>
      <c r="H8">
        <v>47.940953790000002</v>
      </c>
      <c r="I8">
        <v>36.228847350000002</v>
      </c>
      <c r="K8">
        <f t="shared" si="1"/>
        <v>2.0184480669447953</v>
      </c>
      <c r="L8">
        <f t="shared" si="0"/>
        <v>1.9152117277242311</v>
      </c>
      <c r="M8">
        <f t="shared" si="0"/>
        <v>1.9578370550044211</v>
      </c>
      <c r="N8">
        <f t="shared" si="0"/>
        <v>1.8550250797852861</v>
      </c>
      <c r="O8">
        <f t="shared" si="0"/>
        <v>1.7328689425259991</v>
      </c>
      <c r="P8">
        <f t="shared" si="0"/>
        <v>1.58772209852585</v>
      </c>
      <c r="Q8">
        <f t="shared" si="0"/>
        <v>1.6807066701151014</v>
      </c>
      <c r="R8">
        <f t="shared" si="0"/>
        <v>1.5590545168251024</v>
      </c>
      <c r="W8">
        <v>0.05</v>
      </c>
      <c r="X8">
        <v>0.09</v>
      </c>
      <c r="AA8">
        <v>0.05</v>
      </c>
      <c r="AB8">
        <v>0.09</v>
      </c>
    </row>
    <row r="9" spans="2:32" x14ac:dyDescent="0.25">
      <c r="B9">
        <v>100.4234079</v>
      </c>
      <c r="C9">
        <v>90.676132127817596</v>
      </c>
      <c r="D9">
        <v>83.920633280000004</v>
      </c>
      <c r="E9">
        <v>75.005197420000002</v>
      </c>
      <c r="F9">
        <v>59.419165530000001</v>
      </c>
      <c r="G9">
        <v>42.744085030000001</v>
      </c>
      <c r="H9">
        <v>47.948503010000003</v>
      </c>
      <c r="I9">
        <v>41.51677239</v>
      </c>
      <c r="K9">
        <f t="shared" si="1"/>
        <v>2.0018349552085324</v>
      </c>
      <c r="L9">
        <f t="shared" si="0"/>
        <v>1.9574929866268262</v>
      </c>
      <c r="M9">
        <f t="shared" si="0"/>
        <v>1.9238687524611424</v>
      </c>
      <c r="N9">
        <f t="shared" si="0"/>
        <v>1.8750913584932813</v>
      </c>
      <c r="O9">
        <f t="shared" si="0"/>
        <v>1.7739265483720363</v>
      </c>
      <c r="P9">
        <f t="shared" si="0"/>
        <v>1.6308760251095087</v>
      </c>
      <c r="Q9">
        <f t="shared" si="0"/>
        <v>1.6807750527028198</v>
      </c>
      <c r="R9">
        <f t="shared" si="0"/>
        <v>1.6182235830942955</v>
      </c>
      <c r="V9">
        <v>0.03</v>
      </c>
      <c r="W9">
        <f>$X$3+($X$4*(W$8-$W$8))+($X$5*($V9-$V$9))</f>
        <v>1.9864033999999999</v>
      </c>
      <c r="X9">
        <f>$X$3+($X$4*(X$8-$W$8))+($X$5*($V9-$V$9))</f>
        <v>1.7152403999999999</v>
      </c>
      <c r="Z9">
        <v>0.03</v>
      </c>
      <c r="AA9">
        <f>L40</f>
        <v>2.0047455552300568</v>
      </c>
      <c r="AB9">
        <f>P40</f>
        <v>1.6882093955923967</v>
      </c>
    </row>
    <row r="10" spans="2:32" x14ac:dyDescent="0.25">
      <c r="B10">
        <v>98.376852850000006</v>
      </c>
      <c r="C10">
        <v>94.849733389145797</v>
      </c>
      <c r="D10">
        <v>90.412283360000004</v>
      </c>
      <c r="E10">
        <v>76.928010970000003</v>
      </c>
      <c r="F10">
        <v>59.367447329999997</v>
      </c>
      <c r="G10">
        <v>45.482713410000002</v>
      </c>
      <c r="H10">
        <v>47.355082350000004</v>
      </c>
      <c r="I10">
        <v>43.754847349999999</v>
      </c>
      <c r="K10">
        <f t="shared" si="1"/>
        <v>1.9928929250362744</v>
      </c>
      <c r="L10">
        <f t="shared" si="0"/>
        <v>1.9770361144783921</v>
      </c>
      <c r="M10">
        <f t="shared" si="0"/>
        <v>1.9562274374783866</v>
      </c>
      <c r="N10">
        <f t="shared" si="0"/>
        <v>1.886084503581376</v>
      </c>
      <c r="O10">
        <f t="shared" si="0"/>
        <v>1.7735483756175074</v>
      </c>
      <c r="P10">
        <f t="shared" si="0"/>
        <v>1.6578463659505773</v>
      </c>
      <c r="Q10">
        <f t="shared" si="0"/>
        <v>1.675366596182182</v>
      </c>
      <c r="R10">
        <f t="shared" si="0"/>
        <v>1.6410261730324407</v>
      </c>
      <c r="V10">
        <v>0.12</v>
      </c>
      <c r="W10">
        <f>$X$3+($X$4*(W$8-$W$8))+($X$5*($V10-$V$9))</f>
        <v>1.9018303999999999</v>
      </c>
      <c r="X10">
        <f>$X$3+($X$4*(X$8-$W$8))+($X$5*($V10-$V$9))</f>
        <v>1.6306673999999999</v>
      </c>
      <c r="Z10">
        <v>0.12</v>
      </c>
      <c r="AA10">
        <f>N40</f>
        <v>1.8893042461556147</v>
      </c>
      <c r="AB10">
        <f>R40</f>
        <v>1.6512105192532298</v>
      </c>
    </row>
    <row r="11" spans="2:32" x14ac:dyDescent="0.25">
      <c r="B11">
        <v>105.2491163</v>
      </c>
      <c r="D11">
        <v>83.292529650000006</v>
      </c>
      <c r="E11">
        <v>75.479861380000003</v>
      </c>
      <c r="F11">
        <v>56.90661266</v>
      </c>
      <c r="G11">
        <v>48.3630955</v>
      </c>
      <c r="H11">
        <v>51.447709609999997</v>
      </c>
      <c r="I11">
        <v>39.854950119999998</v>
      </c>
      <c r="K11">
        <f t="shared" si="1"/>
        <v>2.022218458069275</v>
      </c>
      <c r="M11">
        <f t="shared" si="0"/>
        <v>1.9206060520998545</v>
      </c>
      <c r="N11">
        <f t="shared" si="0"/>
        <v>1.8778310939047067</v>
      </c>
      <c r="O11">
        <f t="shared" si="0"/>
        <v>1.7551627351979784</v>
      </c>
      <c r="P11">
        <f t="shared" si="0"/>
        <v>1.6845140902769209</v>
      </c>
      <c r="Q11">
        <f t="shared" si="0"/>
        <v>1.7113660452621138</v>
      </c>
      <c r="R11">
        <f t="shared" si="0"/>
        <v>1.6004822699300834</v>
      </c>
      <c r="V11" t="s">
        <v>23</v>
      </c>
      <c r="Z11" t="s">
        <v>22</v>
      </c>
      <c r="AD11" t="s">
        <v>24</v>
      </c>
    </row>
    <row r="12" spans="2:32" x14ac:dyDescent="0.25">
      <c r="B12">
        <v>112.82675450000001</v>
      </c>
      <c r="D12">
        <v>95.999077810000003</v>
      </c>
      <c r="E12">
        <v>63.125541929999997</v>
      </c>
      <c r="G12">
        <v>53.647468910000001</v>
      </c>
      <c r="H12">
        <v>49.75129647</v>
      </c>
      <c r="I12">
        <v>41.835129029999997</v>
      </c>
      <c r="K12">
        <f t="shared" si="1"/>
        <v>2.0524120956931275</v>
      </c>
      <c r="M12">
        <f t="shared" si="0"/>
        <v>1.9822670611234026</v>
      </c>
      <c r="N12">
        <f t="shared" si="0"/>
        <v>1.8002051195417406</v>
      </c>
      <c r="P12">
        <f t="shared" si="0"/>
        <v>1.7295492367520937</v>
      </c>
      <c r="Q12">
        <f t="shared" si="0"/>
        <v>1.6968044025175357</v>
      </c>
      <c r="R12">
        <f t="shared" si="0"/>
        <v>1.6215411127965866</v>
      </c>
      <c r="W12">
        <v>0.05</v>
      </c>
      <c r="X12">
        <v>0.09</v>
      </c>
      <c r="AA12">
        <v>0.05</v>
      </c>
      <c r="AB12">
        <v>0.09</v>
      </c>
      <c r="AE12">
        <v>0.05</v>
      </c>
      <c r="AF12">
        <v>0.09</v>
      </c>
    </row>
    <row r="13" spans="2:32" x14ac:dyDescent="0.25">
      <c r="B13">
        <v>109.9867838</v>
      </c>
      <c r="D13">
        <v>90.801071890000003</v>
      </c>
      <c r="E13">
        <v>68.342233480000004</v>
      </c>
      <c r="H13">
        <v>43.568546089999998</v>
      </c>
      <c r="I13">
        <v>38.602614539999998</v>
      </c>
      <c r="K13">
        <f t="shared" si="1"/>
        <v>2.0413405027258125</v>
      </c>
      <c r="M13">
        <f t="shared" si="0"/>
        <v>1.9580909753180513</v>
      </c>
      <c r="N13">
        <f t="shared" si="0"/>
        <v>1.8346891677929937</v>
      </c>
      <c r="Q13">
        <f t="shared" si="0"/>
        <v>1.6391730674954144</v>
      </c>
      <c r="R13">
        <f t="shared" si="0"/>
        <v>1.5866167202634913</v>
      </c>
      <c r="V13">
        <v>0.03</v>
      </c>
      <c r="W13">
        <f>10^W9</f>
        <v>96.917767140539013</v>
      </c>
      <c r="X13">
        <f>10^X9</f>
        <v>51.90872957550134</v>
      </c>
      <c r="Z13">
        <v>0.03</v>
      </c>
      <c r="AA13">
        <f>10^AA9</f>
        <v>101.09869629280495</v>
      </c>
      <c r="AB13">
        <f>10^AB9</f>
        <v>48.77636092120207</v>
      </c>
      <c r="AD13">
        <v>0.03</v>
      </c>
      <c r="AE13" s="3">
        <f>(W13-AA13)/((W13+AA13)/2)</f>
        <v>-4.2228096389301598E-2</v>
      </c>
      <c r="AF13" s="3">
        <f>(X13-AB13)/((X13+AB13)/2)</f>
        <v>6.2221102227679459E-2</v>
      </c>
    </row>
    <row r="14" spans="2:32" x14ac:dyDescent="0.25">
      <c r="B14">
        <v>103.3082079</v>
      </c>
      <c r="D14">
        <v>81.513136860000003</v>
      </c>
      <c r="E14">
        <v>65.010098310000004</v>
      </c>
      <c r="H14">
        <v>48.243484410000001</v>
      </c>
      <c r="I14">
        <v>43.665391249999999</v>
      </c>
      <c r="K14">
        <f t="shared" si="1"/>
        <v>2.01413482785135</v>
      </c>
      <c r="M14">
        <f t="shared" si="0"/>
        <v>1.9112276063601659</v>
      </c>
      <c r="N14">
        <f t="shared" si="0"/>
        <v>1.8129808227916453</v>
      </c>
      <c r="Q14">
        <f t="shared" si="0"/>
        <v>1.6834386674029571</v>
      </c>
      <c r="R14">
        <f t="shared" si="0"/>
        <v>1.6401373558709902</v>
      </c>
      <c r="V14">
        <v>0.12</v>
      </c>
      <c r="W14">
        <f>10^W10</f>
        <v>79.768311647517109</v>
      </c>
      <c r="X14">
        <f>10^X10</f>
        <v>42.723556682862409</v>
      </c>
      <c r="Z14">
        <v>0.12</v>
      </c>
      <c r="AA14">
        <f>10^AA10</f>
        <v>77.50045391642449</v>
      </c>
      <c r="AB14">
        <f>10^AB10</f>
        <v>44.793038065770894</v>
      </c>
      <c r="AD14">
        <v>0.12</v>
      </c>
      <c r="AE14" s="3">
        <f>(W14-AA14)/((W14+AA14)/2)</f>
        <v>2.8840535791839272E-2</v>
      </c>
      <c r="AF14" s="3">
        <f>(X14-AB14)/((X14+AB14)/2)</f>
        <v>-4.729346220228256E-2</v>
      </c>
    </row>
    <row r="15" spans="2:32" x14ac:dyDescent="0.25">
      <c r="B15">
        <v>96.574204600000002</v>
      </c>
      <c r="D15">
        <v>92.428598230000006</v>
      </c>
      <c r="E15">
        <v>72.041391559999994</v>
      </c>
      <c r="I15">
        <v>38.735103109999997</v>
      </c>
      <c r="K15">
        <f t="shared" si="1"/>
        <v>1.9848611399154503</v>
      </c>
      <c r="M15">
        <f t="shared" si="0"/>
        <v>1.9658063665864003</v>
      </c>
      <c r="N15">
        <f t="shared" si="0"/>
        <v>1.8575820931118541</v>
      </c>
      <c r="R15">
        <f t="shared" si="0"/>
        <v>1.5881047163643001</v>
      </c>
    </row>
    <row r="16" spans="2:32" x14ac:dyDescent="0.25">
      <c r="B16">
        <v>93.304418089999999</v>
      </c>
      <c r="D16">
        <v>82.557287810000005</v>
      </c>
      <c r="E16">
        <v>66.127742060000003</v>
      </c>
      <c r="K16">
        <f t="shared" si="1"/>
        <v>1.9699022086626745</v>
      </c>
      <c r="M16">
        <f t="shared" si="0"/>
        <v>1.9167554169805829</v>
      </c>
      <c r="N16">
        <f t="shared" si="0"/>
        <v>1.8203836939178963</v>
      </c>
      <c r="V16" t="s">
        <v>19</v>
      </c>
      <c r="W16">
        <v>2.0047456000000001</v>
      </c>
      <c r="X16">
        <f>W16</f>
        <v>2.0047456000000001</v>
      </c>
    </row>
    <row r="17" spans="2:32" x14ac:dyDescent="0.25">
      <c r="B17">
        <v>87.311656139999997</v>
      </c>
      <c r="D17">
        <v>88.372626049999994</v>
      </c>
      <c r="E17">
        <v>57.942761240000003</v>
      </c>
      <c r="K17">
        <f t="shared" si="1"/>
        <v>1.9410722260579707</v>
      </c>
      <c r="M17">
        <f t="shared" si="0"/>
        <v>1.9463177605279209</v>
      </c>
      <c r="N17">
        <f t="shared" si="0"/>
        <v>1.7629991874973816</v>
      </c>
      <c r="V17" t="s">
        <v>20</v>
      </c>
      <c r="W17">
        <v>-0.31653599999999998</v>
      </c>
      <c r="X17">
        <f>W17/(0.09-0.05)</f>
        <v>-7.9134000000000011</v>
      </c>
    </row>
    <row r="18" spans="2:32" x14ac:dyDescent="0.25">
      <c r="B18">
        <v>98.237426420000006</v>
      </c>
      <c r="D18">
        <v>87.394585570000004</v>
      </c>
      <c r="E18">
        <v>70.47595106</v>
      </c>
      <c r="K18">
        <f t="shared" si="1"/>
        <v>1.9922769764942321</v>
      </c>
      <c r="M18">
        <f t="shared" si="0"/>
        <v>1.9414845272578465</v>
      </c>
      <c r="N18">
        <f t="shared" si="0"/>
        <v>1.8480409453073574</v>
      </c>
      <c r="V18" t="s">
        <v>21</v>
      </c>
      <c r="W18">
        <v>-0.115441</v>
      </c>
      <c r="X18">
        <f>W18/(0.12-0.03)</f>
        <v>-1.2826777777777778</v>
      </c>
    </row>
    <row r="19" spans="2:32" x14ac:dyDescent="0.25">
      <c r="B19">
        <v>108.7783582</v>
      </c>
      <c r="D19">
        <v>89.687196200000002</v>
      </c>
      <c r="E19">
        <v>69.157291229999998</v>
      </c>
      <c r="K19">
        <f t="shared" si="1"/>
        <v>2.0365424996891059</v>
      </c>
      <c r="M19">
        <f t="shared" ref="M19:M25" si="2">LOG10(D19)</f>
        <v>1.9527304473184814</v>
      </c>
      <c r="N19">
        <f>LOG10(E19)</f>
        <v>1.8398379743806257</v>
      </c>
      <c r="V19" t="s">
        <v>25</v>
      </c>
      <c r="W19">
        <v>7.8442399999999995E-2</v>
      </c>
      <c r="X19">
        <f>W19/(0.09-0.05)/(0.12-0.03)</f>
        <v>21.789555555555559</v>
      </c>
    </row>
    <row r="20" spans="2:32" x14ac:dyDescent="0.25">
      <c r="B20">
        <v>92.726777429999999</v>
      </c>
      <c r="D20">
        <v>82.589669569999998</v>
      </c>
      <c r="E20">
        <v>52.915766150000003</v>
      </c>
      <c r="K20">
        <f t="shared" si="1"/>
        <v>1.9672051668390687</v>
      </c>
      <c r="M20">
        <f t="shared" si="2"/>
        <v>1.9169257285634984</v>
      </c>
      <c r="N20">
        <f>LOG10(E20)</f>
        <v>1.7235850885152748</v>
      </c>
    </row>
    <row r="21" spans="2:32" x14ac:dyDescent="0.25">
      <c r="B21">
        <v>104.22864319999999</v>
      </c>
      <c r="D21">
        <v>86.159640179999997</v>
      </c>
      <c r="K21">
        <f t="shared" si="1"/>
        <v>2.0179870843596563</v>
      </c>
      <c r="M21">
        <f t="shared" si="2"/>
        <v>1.9353038765925392</v>
      </c>
      <c r="V21" t="s">
        <v>23</v>
      </c>
      <c r="Z21" t="s">
        <v>22</v>
      </c>
    </row>
    <row r="22" spans="2:32" x14ac:dyDescent="0.25">
      <c r="B22">
        <v>108.2032004</v>
      </c>
      <c r="D22">
        <v>71.798096540000003</v>
      </c>
      <c r="K22">
        <f t="shared" si="1"/>
        <v>2.034240106385194</v>
      </c>
      <c r="M22">
        <f t="shared" si="2"/>
        <v>1.8561129306889248</v>
      </c>
      <c r="W22">
        <v>0.05</v>
      </c>
      <c r="X22">
        <v>0.09</v>
      </c>
      <c r="AA22">
        <v>0.05</v>
      </c>
      <c r="AB22">
        <v>0.09</v>
      </c>
    </row>
    <row r="23" spans="2:32" x14ac:dyDescent="0.25">
      <c r="D23">
        <v>81.714415160000001</v>
      </c>
      <c r="M23">
        <f t="shared" si="2"/>
        <v>1.9122986767553483</v>
      </c>
      <c r="V23">
        <v>0.03</v>
      </c>
      <c r="W23">
        <f>$X$16+($X$17*(W$22-$W$22))+($X$18*($V23-$V$23))+($X$19*(W$22-$W$22)*($V23-$V$23))</f>
        <v>2.0047456000000001</v>
      </c>
      <c r="X23">
        <f>$X$16+($X$17*(X$22-$W$22))+($X$18*($V23-$V$23))+($X$19*(X$22-$W$22)*($V23-$V$23))</f>
        <v>1.6882096000000002</v>
      </c>
      <c r="Z23">
        <v>0.03</v>
      </c>
      <c r="AA23">
        <f>L40</f>
        <v>2.0047455552300568</v>
      </c>
      <c r="AB23">
        <f>P40</f>
        <v>1.6882093955923967</v>
      </c>
    </row>
    <row r="24" spans="2:32" x14ac:dyDescent="0.25">
      <c r="D24">
        <v>76.594324670000006</v>
      </c>
      <c r="M24">
        <f t="shared" si="2"/>
        <v>1.8841965913582663</v>
      </c>
      <c r="V24">
        <v>0.12</v>
      </c>
      <c r="W24">
        <f>$X$16+($X$17*(W$22-$W$22))+($X$18*($V24-$V$23))+($X$19*(W$22-$W$22)*($V24-$V$23))</f>
        <v>1.8893046000000002</v>
      </c>
      <c r="X24">
        <f>$X$16+($X$17*(X$22-$W$22))+($X$18*($V24-$V$23))+($X$19*(X$22-$W$22)*($V24-$V$23))</f>
        <v>1.6512110000000002</v>
      </c>
      <c r="Z24">
        <v>0.12</v>
      </c>
      <c r="AA24">
        <f>N40</f>
        <v>1.8893042461556147</v>
      </c>
      <c r="AB24">
        <f>R40</f>
        <v>1.6512105192532298</v>
      </c>
    </row>
    <row r="25" spans="2:32" x14ac:dyDescent="0.25">
      <c r="D25">
        <v>79.106633169999995</v>
      </c>
      <c r="M25">
        <f t="shared" si="2"/>
        <v>1.8982129010494884</v>
      </c>
      <c r="V25" t="s">
        <v>23</v>
      </c>
      <c r="Z25" t="s">
        <v>22</v>
      </c>
      <c r="AD25" t="s">
        <v>24</v>
      </c>
    </row>
    <row r="26" spans="2:32" x14ac:dyDescent="0.25">
      <c r="J26" t="s">
        <v>11</v>
      </c>
      <c r="K26">
        <f>COUNT(K3:K25)</f>
        <v>20</v>
      </c>
      <c r="L26">
        <f t="shared" ref="L26:R26" si="3">COUNT(L3:L25)</f>
        <v>8</v>
      </c>
      <c r="M26">
        <f t="shared" si="3"/>
        <v>23</v>
      </c>
      <c r="N26">
        <f t="shared" si="3"/>
        <v>18</v>
      </c>
      <c r="O26">
        <f t="shared" si="3"/>
        <v>9</v>
      </c>
      <c r="P26">
        <f t="shared" si="3"/>
        <v>10</v>
      </c>
      <c r="Q26">
        <f t="shared" si="3"/>
        <v>12</v>
      </c>
      <c r="R26">
        <f t="shared" si="3"/>
        <v>13</v>
      </c>
      <c r="W26">
        <v>0.05</v>
      </c>
      <c r="X26">
        <v>0.09</v>
      </c>
      <c r="AA26">
        <v>0.05</v>
      </c>
      <c r="AB26">
        <v>0.09</v>
      </c>
      <c r="AE26">
        <v>0.05</v>
      </c>
      <c r="AF26">
        <v>0.09</v>
      </c>
    </row>
    <row r="27" spans="2:32" x14ac:dyDescent="0.25">
      <c r="J27" t="s">
        <v>10</v>
      </c>
      <c r="K27">
        <f>AVERAGE(K3:K25)</f>
        <v>2.0093724292027075</v>
      </c>
      <c r="L27">
        <f t="shared" ref="L27:R27" si="4">AVERAGE(L3:L25)</f>
        <v>1.9931783702984296</v>
      </c>
      <c r="M27">
        <f t="shared" si="4"/>
        <v>1.9306429505894946</v>
      </c>
      <c r="N27">
        <f t="shared" si="4"/>
        <v>1.83648256826788</v>
      </c>
      <c r="O27">
        <f t="shared" si="4"/>
        <v>1.7428781215982272</v>
      </c>
      <c r="P27">
        <f t="shared" si="4"/>
        <v>1.6390075421871497</v>
      </c>
      <c r="Q27">
        <f t="shared" si="4"/>
        <v>1.6898178632336442</v>
      </c>
      <c r="R27">
        <f t="shared" si="4"/>
        <v>1.615572970963616</v>
      </c>
      <c r="V27">
        <v>0.03</v>
      </c>
      <c r="W27">
        <f>10^W23</f>
        <v>101.09870671472677</v>
      </c>
      <c r="X27">
        <f>10^X23</f>
        <v>48.776383878577327</v>
      </c>
      <c r="Z27">
        <v>0.03</v>
      </c>
      <c r="AA27">
        <f>10^AA23</f>
        <v>101.09869629280495</v>
      </c>
      <c r="AB27">
        <f>10^AB23</f>
        <v>48.77636092120207</v>
      </c>
      <c r="AD27">
        <v>0.03</v>
      </c>
      <c r="AE27" s="3">
        <f>(W27-AA27)/((W27+AA27)/2)</f>
        <v>1.0308660421581615E-7</v>
      </c>
      <c r="AF27" s="3">
        <f>(X27-AB27)/((X27+AB27)/2)</f>
        <v>4.7066590088925581E-7</v>
      </c>
    </row>
    <row r="28" spans="2:32" x14ac:dyDescent="0.25">
      <c r="J28" t="s">
        <v>12</v>
      </c>
      <c r="K28">
        <f>_xlfn.STDEV.S(K3:K25)</f>
        <v>2.8805981872518222E-2</v>
      </c>
      <c r="L28">
        <f t="shared" ref="L28:R28" si="5">_xlfn.STDEV.S(L3:L25)</f>
        <v>5.3952386463536901E-2</v>
      </c>
      <c r="M28">
        <f t="shared" si="5"/>
        <v>2.9124337249161955E-2</v>
      </c>
      <c r="N28">
        <f t="shared" si="5"/>
        <v>4.5674273657720539E-2</v>
      </c>
      <c r="O28">
        <f t="shared" si="5"/>
        <v>2.2529084888786858E-2</v>
      </c>
      <c r="P28">
        <f t="shared" si="5"/>
        <v>4.4784578721880186E-2</v>
      </c>
      <c r="Q28">
        <f t="shared" si="5"/>
        <v>2.0196181082805645E-2</v>
      </c>
      <c r="R28">
        <f t="shared" si="5"/>
        <v>2.816218309644922E-2</v>
      </c>
      <c r="V28">
        <v>0.12</v>
      </c>
      <c r="W28">
        <f>10^W24</f>
        <v>77.500517060472646</v>
      </c>
      <c r="X28">
        <f>10^X24</f>
        <v>44.7930876499153</v>
      </c>
      <c r="Z28">
        <v>0.12</v>
      </c>
      <c r="AA28">
        <f>10^AA24</f>
        <v>77.50045391642449</v>
      </c>
      <c r="AB28">
        <f>10^AB24</f>
        <v>44.793038065770894</v>
      </c>
      <c r="AD28">
        <v>0.12</v>
      </c>
      <c r="AE28" s="3">
        <f>(W28-AA28)/((W28+AA28)/2)</f>
        <v>8.14756807748794E-7</v>
      </c>
      <c r="AF28" s="3">
        <f>(X28-AB28)/((X28+AB28)/2)</f>
        <v>1.1069603470459079E-6</v>
      </c>
    </row>
    <row r="29" spans="2:32" x14ac:dyDescent="0.25">
      <c r="J29" t="s">
        <v>13</v>
      </c>
      <c r="K29">
        <f>_xlfn.CONFIDENCE.T(0.01,K28,K26)</f>
        <v>1.8427890216566104E-2</v>
      </c>
      <c r="L29">
        <f t="shared" ref="L29:R29" si="6">_xlfn.CONFIDENCE.T(0.01,L28,L26)</f>
        <v>6.6752815948294519E-2</v>
      </c>
      <c r="M29">
        <f t="shared" si="6"/>
        <v>1.7117866157927729E-2</v>
      </c>
      <c r="N29">
        <f t="shared" si="6"/>
        <v>3.1200986282150883E-2</v>
      </c>
      <c r="O29">
        <f t="shared" si="6"/>
        <v>2.5197935340790019E-2</v>
      </c>
      <c r="P29">
        <f t="shared" si="6"/>
        <v>4.6024584583077725E-2</v>
      </c>
      <c r="Q29">
        <f t="shared" si="6"/>
        <v>1.8107272177549729E-2</v>
      </c>
      <c r="R29">
        <f t="shared" si="6"/>
        <v>2.385834970014834E-2</v>
      </c>
    </row>
    <row r="31" spans="2:32" x14ac:dyDescent="0.25">
      <c r="J31" s="2" t="s">
        <v>15</v>
      </c>
      <c r="K31">
        <v>-0.2</v>
      </c>
      <c r="L31">
        <f>K31</f>
        <v>-0.2</v>
      </c>
      <c r="M31">
        <f t="shared" ref="M31:R31" si="7">L31</f>
        <v>-0.2</v>
      </c>
      <c r="N31">
        <f t="shared" si="7"/>
        <v>-0.2</v>
      </c>
      <c r="O31">
        <f t="shared" si="7"/>
        <v>-0.2</v>
      </c>
      <c r="P31">
        <f t="shared" si="7"/>
        <v>-0.2</v>
      </c>
      <c r="Q31">
        <f t="shared" si="7"/>
        <v>-0.2</v>
      </c>
      <c r="R31">
        <f t="shared" si="7"/>
        <v>-0.2</v>
      </c>
    </row>
    <row r="32" spans="2:32" x14ac:dyDescent="0.25">
      <c r="J32" s="2" t="s">
        <v>14</v>
      </c>
      <c r="K32">
        <v>1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</row>
    <row r="33" spans="10:19" x14ac:dyDescent="0.25">
      <c r="J33" s="2" t="s">
        <v>16</v>
      </c>
      <c r="K33">
        <f>K32+K31</f>
        <v>0.8</v>
      </c>
      <c r="L33">
        <f t="shared" ref="L33:R33" si="8">L32+L31</f>
        <v>1.8</v>
      </c>
      <c r="M33">
        <f t="shared" si="8"/>
        <v>2.8</v>
      </c>
      <c r="N33">
        <f t="shared" si="8"/>
        <v>3.8</v>
      </c>
      <c r="O33">
        <f t="shared" si="8"/>
        <v>4.8</v>
      </c>
      <c r="P33">
        <f t="shared" si="8"/>
        <v>5.8</v>
      </c>
      <c r="Q33">
        <f t="shared" si="8"/>
        <v>6.8</v>
      </c>
      <c r="R33">
        <f t="shared" si="8"/>
        <v>7.8</v>
      </c>
    </row>
    <row r="35" spans="10:19" x14ac:dyDescent="0.25">
      <c r="J35" s="2" t="s">
        <v>17</v>
      </c>
      <c r="K35">
        <f>K29*K26</f>
        <v>0.36855780433132207</v>
      </c>
      <c r="L35">
        <f t="shared" ref="L35:R35" si="9">L29*L26</f>
        <v>0.53402252758635615</v>
      </c>
      <c r="M35">
        <f t="shared" si="9"/>
        <v>0.39371092163233778</v>
      </c>
      <c r="N35">
        <f t="shared" si="9"/>
        <v>0.56161775307871586</v>
      </c>
      <c r="O35">
        <f t="shared" si="9"/>
        <v>0.22678141806711016</v>
      </c>
      <c r="P35">
        <f t="shared" si="9"/>
        <v>0.46024584583077727</v>
      </c>
      <c r="Q35">
        <f t="shared" si="9"/>
        <v>0.21728726613059673</v>
      </c>
      <c r="R35">
        <f t="shared" si="9"/>
        <v>0.31015854610192839</v>
      </c>
    </row>
    <row r="39" spans="10:19" x14ac:dyDescent="0.25">
      <c r="J39" t="s">
        <v>11</v>
      </c>
      <c r="L39">
        <f>COUNT(K3:L25)</f>
        <v>28</v>
      </c>
      <c r="N39">
        <f>COUNT(M3:N25)</f>
        <v>41</v>
      </c>
      <c r="P39">
        <f>COUNT(O3:P25)</f>
        <v>19</v>
      </c>
      <c r="R39">
        <f>COUNT(Q3:R25)</f>
        <v>25</v>
      </c>
    </row>
    <row r="40" spans="10:19" x14ac:dyDescent="0.25">
      <c r="J40" t="s">
        <v>10</v>
      </c>
      <c r="L40">
        <f>AVERAGE(K3:L25)</f>
        <v>2.0047455552300568</v>
      </c>
      <c r="M40">
        <f>10^L40</f>
        <v>101.09869629280495</v>
      </c>
      <c r="N40">
        <f>AVERAGE(M3:N25)</f>
        <v>1.8893042461556147</v>
      </c>
      <c r="O40">
        <f>10^N40</f>
        <v>77.50045391642449</v>
      </c>
      <c r="P40">
        <f>AVERAGE(O3:P25)</f>
        <v>1.6882093955923967</v>
      </c>
      <c r="Q40">
        <f>10^P40</f>
        <v>48.77636092120207</v>
      </c>
      <c r="R40">
        <f>AVERAGE(Q3:R25)</f>
        <v>1.6512105192532298</v>
      </c>
      <c r="S40">
        <f>10^R40</f>
        <v>44.793038065770894</v>
      </c>
    </row>
    <row r="41" spans="10:19" x14ac:dyDescent="0.25">
      <c r="J41" t="s">
        <v>12</v>
      </c>
      <c r="L41">
        <f>_xlfn.STDEV.S(K3:L25)</f>
        <v>3.7337541761832904E-2</v>
      </c>
      <c r="N41">
        <f>_xlfn.STDEV.S(M3:N25)</f>
        <v>5.9927483476114631E-2</v>
      </c>
      <c r="P41">
        <f>_xlfn.STDEV.S(O3:P25)</f>
        <v>6.3778110996944817E-2</v>
      </c>
      <c r="R41">
        <f>_xlfn.STDEV.S(Q3:R25)</f>
        <v>4.4907693685034368E-2</v>
      </c>
    </row>
    <row r="42" spans="10:19" x14ac:dyDescent="0.25">
      <c r="J42" t="s">
        <v>13</v>
      </c>
      <c r="L42">
        <f>_xlfn.CONFIDENCE.T(0.01,L41,L39)</f>
        <v>1.9550305084933158E-2</v>
      </c>
      <c r="M42">
        <f>10^(L40+L42)</f>
        <v>105.75377046126755</v>
      </c>
      <c r="N42">
        <f>_xlfn.CONFIDENCE.T(0.01,N41,N39)</f>
        <v>2.5311306176671017E-2</v>
      </c>
      <c r="O42">
        <f>10^(N40+N42)</f>
        <v>82.151510352445314</v>
      </c>
      <c r="P42">
        <f>_xlfn.CONFIDENCE.T(0.01,P41,P39)</f>
        <v>4.211648362265092E-2</v>
      </c>
      <c r="Q42">
        <f>10^(P40+P42)</f>
        <v>53.743491725641725</v>
      </c>
      <c r="R42">
        <f>_xlfn.CONFIDENCE.T(0.01,R41,R39)</f>
        <v>2.5120820507196592E-2</v>
      </c>
      <c r="S42">
        <f>10^(R40+R42)</f>
        <v>47.460394054587333</v>
      </c>
    </row>
    <row r="43" spans="10:19" x14ac:dyDescent="0.25">
      <c r="M43">
        <f>10^(L40-L42)</f>
        <v>96.648529385987686</v>
      </c>
      <c r="O43">
        <f>10^(N40-N42)</f>
        <v>73.112719796429786</v>
      </c>
      <c r="Q43">
        <f>10^(P40-P42)</f>
        <v>44.268306883757099</v>
      </c>
      <c r="S43">
        <f>10^(R40-R42)</f>
        <v>42.275592083240774</v>
      </c>
    </row>
    <row r="44" spans="10:19" x14ac:dyDescent="0.25">
      <c r="J44" s="2" t="s">
        <v>15</v>
      </c>
      <c r="L44">
        <v>-0.08</v>
      </c>
      <c r="N44">
        <f>L44</f>
        <v>-0.08</v>
      </c>
      <c r="P44">
        <f>N44</f>
        <v>-0.08</v>
      </c>
      <c r="R44">
        <f>P44</f>
        <v>-0.08</v>
      </c>
    </row>
    <row r="45" spans="10:19" x14ac:dyDescent="0.25">
      <c r="J45" s="2" t="s">
        <v>14</v>
      </c>
      <c r="L45">
        <v>1</v>
      </c>
      <c r="N45">
        <v>2</v>
      </c>
      <c r="P45">
        <v>3</v>
      </c>
      <c r="R45">
        <v>4</v>
      </c>
    </row>
    <row r="46" spans="10:19" x14ac:dyDescent="0.25">
      <c r="J46" s="2" t="s">
        <v>16</v>
      </c>
      <c r="L46">
        <f t="shared" ref="L46:R46" si="10">L45+L44</f>
        <v>0.92</v>
      </c>
      <c r="N46">
        <f t="shared" si="10"/>
        <v>1.92</v>
      </c>
      <c r="P46">
        <f t="shared" si="10"/>
        <v>2.92</v>
      </c>
      <c r="R46">
        <f t="shared" si="10"/>
        <v>3.92</v>
      </c>
    </row>
    <row r="48" spans="10:19" x14ac:dyDescent="0.25">
      <c r="J48" s="2" t="s">
        <v>17</v>
      </c>
      <c r="L48">
        <f t="shared" ref="L48:R48" si="11">L42*L39</f>
        <v>0.54740854237812842</v>
      </c>
      <c r="N48">
        <f t="shared" si="11"/>
        <v>1.0377635532435117</v>
      </c>
      <c r="P48">
        <f t="shared" si="11"/>
        <v>0.80021318883036752</v>
      </c>
      <c r="R48">
        <f t="shared" si="11"/>
        <v>0.62802051267991477</v>
      </c>
    </row>
    <row r="51" spans="10:20" x14ac:dyDescent="0.25">
      <c r="K51">
        <v>2.0093724292027075</v>
      </c>
      <c r="L51">
        <v>1.9931783702984296</v>
      </c>
      <c r="M51">
        <v>1.9306429505894946</v>
      </c>
      <c r="N51">
        <v>1.83648256826788</v>
      </c>
      <c r="O51">
        <v>1.7428781215982272</v>
      </c>
      <c r="P51">
        <v>1.6390075421871497</v>
      </c>
      <c r="Q51">
        <v>1.6898178632336442</v>
      </c>
      <c r="R51">
        <v>1.615572970963616</v>
      </c>
    </row>
    <row r="52" spans="10:20" x14ac:dyDescent="0.25">
      <c r="K52">
        <v>2.0093724292027075</v>
      </c>
    </row>
    <row r="53" spans="10:20" x14ac:dyDescent="0.25">
      <c r="K53">
        <v>1.9931783702984296</v>
      </c>
      <c r="M53">
        <v>1.8427890216566104E-2</v>
      </c>
      <c r="N53">
        <v>6.6752815948294519E-2</v>
      </c>
      <c r="O53">
        <v>1.7117866157927729E-2</v>
      </c>
      <c r="P53">
        <v>3.1200986282150883E-2</v>
      </c>
      <c r="Q53">
        <v>2.5197935340790019E-2</v>
      </c>
      <c r="R53">
        <v>4.6024584583077725E-2</v>
      </c>
      <c r="S53">
        <v>1.8107272177549729E-2</v>
      </c>
      <c r="T53">
        <v>2.385834970014834E-2</v>
      </c>
    </row>
    <row r="54" spans="10:20" x14ac:dyDescent="0.25">
      <c r="K54">
        <v>1.9306429505894946</v>
      </c>
    </row>
    <row r="55" spans="10:20" x14ac:dyDescent="0.25">
      <c r="K55">
        <v>1.83648256826788</v>
      </c>
      <c r="M55">
        <v>1.8427890216566104E-2</v>
      </c>
    </row>
    <row r="56" spans="10:20" x14ac:dyDescent="0.25">
      <c r="K56">
        <v>1.7428781215982272</v>
      </c>
      <c r="M56">
        <v>6.6752815948294519E-2</v>
      </c>
    </row>
    <row r="57" spans="10:20" x14ac:dyDescent="0.25">
      <c r="J57" s="2"/>
      <c r="K57">
        <v>1.6390075421871497</v>
      </c>
      <c r="M57">
        <v>1.7117866157927729E-2</v>
      </c>
    </row>
    <row r="58" spans="10:20" x14ac:dyDescent="0.25">
      <c r="J58" s="2"/>
      <c r="K58">
        <v>1.6898178632336442</v>
      </c>
      <c r="M58">
        <v>3.1200986282150883E-2</v>
      </c>
    </row>
    <row r="59" spans="10:20" x14ac:dyDescent="0.25">
      <c r="J59" s="2"/>
      <c r="K59">
        <v>1.615572970963616</v>
      </c>
      <c r="M59">
        <v>2.5197935340790019E-2</v>
      </c>
    </row>
    <row r="60" spans="10:20" x14ac:dyDescent="0.25">
      <c r="M60">
        <v>4.6024584583077725E-2</v>
      </c>
    </row>
    <row r="61" spans="10:20" x14ac:dyDescent="0.25">
      <c r="J61" s="2"/>
      <c r="M61">
        <v>1.8107272177549729E-2</v>
      </c>
    </row>
    <row r="62" spans="10:20" x14ac:dyDescent="0.25">
      <c r="M62">
        <v>2.385834970014834E-2</v>
      </c>
    </row>
    <row r="70" spans="10:10" x14ac:dyDescent="0.25">
      <c r="J70" s="2"/>
    </row>
    <row r="71" spans="10:10" x14ac:dyDescent="0.25">
      <c r="J71" s="2"/>
    </row>
    <row r="72" spans="10:10" x14ac:dyDescent="0.25">
      <c r="J72" s="2"/>
    </row>
    <row r="74" spans="10:10" x14ac:dyDescent="0.25">
      <c r="J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68"/>
  <sheetViews>
    <sheetView tabSelected="1" topLeftCell="A40" workbookViewId="0">
      <selection activeCell="M66" sqref="M66"/>
    </sheetView>
  </sheetViews>
  <sheetFormatPr defaultRowHeight="15" x14ac:dyDescent="0.25"/>
  <sheetData>
    <row r="1" spans="2:32" x14ac:dyDescent="0.25">
      <c r="B1" t="s">
        <v>8</v>
      </c>
      <c r="K1" t="s">
        <v>9</v>
      </c>
      <c r="V1" t="s">
        <v>18</v>
      </c>
    </row>
    <row r="2" spans="2:3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</row>
    <row r="3" spans="2:32" x14ac:dyDescent="0.25">
      <c r="B3">
        <v>102.577915177976</v>
      </c>
      <c r="C3">
        <v>124.756974</v>
      </c>
      <c r="D3">
        <v>114.689735</v>
      </c>
      <c r="E3">
        <v>79.625071689999999</v>
      </c>
      <c r="F3">
        <v>56.139213410000004</v>
      </c>
      <c r="G3">
        <v>45.603776089999997</v>
      </c>
      <c r="H3">
        <v>57.455986379999999</v>
      </c>
      <c r="I3">
        <v>43.04214357</v>
      </c>
      <c r="K3">
        <f>LOG10(B3)</f>
        <v>2.0110538680978203</v>
      </c>
      <c r="L3">
        <f t="shared" ref="L3:R3" si="0">LOG10(C3)</f>
        <v>2.0960648323319813</v>
      </c>
      <c r="M3">
        <f t="shared" si="0"/>
        <v>2.0595245492669783</v>
      </c>
      <c r="N3">
        <f t="shared" si="0"/>
        <v>1.9010498363582564</v>
      </c>
      <c r="O3">
        <f t="shared" si="0"/>
        <v>1.7492663232594154</v>
      </c>
      <c r="P3">
        <f t="shared" si="0"/>
        <v>1.6590008046634095</v>
      </c>
      <c r="Q3">
        <f t="shared" si="0"/>
        <v>1.7593352848320616</v>
      </c>
      <c r="R3">
        <f t="shared" si="0"/>
        <v>1.6338938917810324</v>
      </c>
      <c r="V3" t="s">
        <v>19</v>
      </c>
      <c r="W3">
        <v>2.0292265</v>
      </c>
      <c r="X3">
        <v>2.0292270000000001</v>
      </c>
    </row>
    <row r="4" spans="2:32" x14ac:dyDescent="0.25">
      <c r="B4">
        <v>111.87002532112901</v>
      </c>
      <c r="C4">
        <v>109.628539</v>
      </c>
      <c r="D4">
        <v>103.7667324</v>
      </c>
      <c r="E4">
        <v>75.564770899999999</v>
      </c>
      <c r="F4">
        <v>56.447060239999999</v>
      </c>
      <c r="G4">
        <v>50.150805050000002</v>
      </c>
      <c r="H4">
        <v>57.933204379999999</v>
      </c>
      <c r="I4">
        <v>49.309585030000001</v>
      </c>
      <c r="K4">
        <f t="shared" ref="K4:K17" si="1">LOG10(B4)</f>
        <v>2.0487137363810084</v>
      </c>
      <c r="L4">
        <f t="shared" ref="L4:L11" si="2">LOG10(C4)</f>
        <v>2.0399236263819711</v>
      </c>
      <c r="M4">
        <f t="shared" ref="M4:M12" si="3">LOG10(D4)</f>
        <v>2.016058141076392</v>
      </c>
      <c r="N4">
        <f t="shared" ref="N4:N10" si="4">LOG10(E4)</f>
        <v>1.8783193699768159</v>
      </c>
      <c r="O4">
        <f>LOG10(F4)</f>
        <v>1.751641328815613</v>
      </c>
      <c r="P4">
        <f t="shared" ref="P4:P9" si="5">LOG10(G4)</f>
        <v>1.7002779089609519</v>
      </c>
      <c r="Q4">
        <f t="shared" ref="Q4:Q16" si="6">LOG10(H4)</f>
        <v>1.7629275506993705</v>
      </c>
      <c r="R4">
        <f t="shared" ref="R4:R17" si="7">LOG10(I4)</f>
        <v>1.692931347695618</v>
      </c>
      <c r="V4" t="s">
        <v>20</v>
      </c>
      <c r="W4">
        <v>-0.27098299999999997</v>
      </c>
      <c r="X4">
        <f>W4/(0.09-0.05)</f>
        <v>-6.7745750000000005</v>
      </c>
    </row>
    <row r="5" spans="2:32" x14ac:dyDescent="0.25">
      <c r="B5">
        <v>116.05455479248</v>
      </c>
      <c r="C5">
        <v>121.7530186</v>
      </c>
      <c r="D5">
        <v>94.692279360000001</v>
      </c>
      <c r="E5">
        <v>74.628182609999996</v>
      </c>
      <c r="F5">
        <v>54.477311870000001</v>
      </c>
      <c r="G5">
        <v>51.129725350000001</v>
      </c>
      <c r="H5">
        <v>57.102609049999998</v>
      </c>
      <c r="I5">
        <v>44.068074709999998</v>
      </c>
      <c r="K5">
        <f t="shared" si="1"/>
        <v>2.0646621898795896</v>
      </c>
      <c r="L5">
        <f t="shared" si="2"/>
        <v>2.0854797374026615</v>
      </c>
      <c r="M5">
        <f t="shared" si="3"/>
        <v>1.9763145706818577</v>
      </c>
      <c r="N5">
        <f t="shared" si="4"/>
        <v>1.8729028655510005</v>
      </c>
      <c r="O5">
        <f>LOG10(F5)</f>
        <v>1.7362156695943716</v>
      </c>
      <c r="P5">
        <f t="shared" si="5"/>
        <v>1.7086734598632509</v>
      </c>
      <c r="Q5">
        <f t="shared" si="6"/>
        <v>1.7566559518558607</v>
      </c>
      <c r="R5">
        <f t="shared" si="7"/>
        <v>1.6441240770339054</v>
      </c>
      <c r="V5" t="s">
        <v>21</v>
      </c>
      <c r="W5">
        <v>-9.0265999999999999E-2</v>
      </c>
      <c r="X5">
        <f>W5/(0.12-0.03)</f>
        <v>-1.0029555555555556</v>
      </c>
    </row>
    <row r="6" spans="2:32" x14ac:dyDescent="0.25">
      <c r="B6">
        <v>114.29333009759</v>
      </c>
      <c r="C6">
        <v>118.0607821</v>
      </c>
      <c r="D6">
        <v>87.217665530000005</v>
      </c>
      <c r="E6">
        <v>75.711543129999995</v>
      </c>
      <c r="F6">
        <v>61.55264846</v>
      </c>
      <c r="G6">
        <v>44.52550883</v>
      </c>
      <c r="H6">
        <v>57.729288220000001</v>
      </c>
      <c r="I6">
        <v>47.223184740000001</v>
      </c>
      <c r="K6">
        <f t="shared" si="1"/>
        <v>2.0580208866828378</v>
      </c>
      <c r="L6">
        <f t="shared" si="2"/>
        <v>2.072105655901856</v>
      </c>
      <c r="M6">
        <f t="shared" si="3"/>
        <v>1.9406044581570892</v>
      </c>
      <c r="N6">
        <f t="shared" si="4"/>
        <v>1.8791620979345325</v>
      </c>
      <c r="O6">
        <f>LOG10(F6)</f>
        <v>1.7892467442993056</v>
      </c>
      <c r="P6">
        <f t="shared" si="5"/>
        <v>1.6486088912076797</v>
      </c>
      <c r="Q6">
        <f t="shared" si="6"/>
        <v>1.7613962028471153</v>
      </c>
      <c r="R6">
        <f t="shared" si="7"/>
        <v>1.6741552726276825</v>
      </c>
    </row>
    <row r="7" spans="2:32" x14ac:dyDescent="0.25">
      <c r="B7">
        <v>111.48552941582901</v>
      </c>
      <c r="C7">
        <v>123.9077015</v>
      </c>
      <c r="D7">
        <v>90.634957909999997</v>
      </c>
      <c r="E7">
        <v>73.982139480000001</v>
      </c>
      <c r="F7">
        <v>52.514722460000002</v>
      </c>
      <c r="G7">
        <v>55.373552099999998</v>
      </c>
      <c r="H7">
        <v>53.354239999999997</v>
      </c>
      <c r="I7">
        <v>49.20880562</v>
      </c>
      <c r="K7">
        <f t="shared" si="1"/>
        <v>2.0472185005438677</v>
      </c>
      <c r="L7">
        <f t="shared" si="2"/>
        <v>2.0930983008474477</v>
      </c>
      <c r="M7">
        <f t="shared" si="3"/>
        <v>1.9572957374028708</v>
      </c>
      <c r="N7">
        <f t="shared" si="4"/>
        <v>1.8691268864673831</v>
      </c>
      <c r="O7">
        <f>LOG10(F7)</f>
        <v>1.7202810745829911</v>
      </c>
      <c r="P7">
        <f t="shared" si="5"/>
        <v>1.7433023835073993</v>
      </c>
      <c r="Q7">
        <f t="shared" si="6"/>
        <v>1.7271689380141724</v>
      </c>
      <c r="R7">
        <f t="shared" si="7"/>
        <v>1.6920428241086947</v>
      </c>
      <c r="V7" t="s">
        <v>23</v>
      </c>
      <c r="Z7" t="s">
        <v>22</v>
      </c>
    </row>
    <row r="8" spans="2:32" x14ac:dyDescent="0.25">
      <c r="B8">
        <v>107.769233806714</v>
      </c>
      <c r="C8">
        <v>117.4512632</v>
      </c>
      <c r="D8">
        <v>88.005050850000003</v>
      </c>
      <c r="E8">
        <v>71.973018350000004</v>
      </c>
      <c r="F8">
        <v>58.179534080000003</v>
      </c>
      <c r="G8">
        <v>51.817552849999998</v>
      </c>
      <c r="H8">
        <v>52.231243849999998</v>
      </c>
      <c r="I8">
        <v>47.099608689999997</v>
      </c>
      <c r="K8">
        <f t="shared" si="1"/>
        <v>2.0324947952195576</v>
      </c>
      <c r="L8">
        <f t="shared" si="2"/>
        <v>2.0698576920190259</v>
      </c>
      <c r="M8">
        <f t="shared" si="3"/>
        <v>1.9445075982108007</v>
      </c>
      <c r="N8">
        <f t="shared" si="4"/>
        <v>1.8571697161828702</v>
      </c>
      <c r="O8">
        <f>LOG10(F8)</f>
        <v>1.7647702389582176</v>
      </c>
      <c r="P8">
        <f t="shared" si="5"/>
        <v>1.7144768990234716</v>
      </c>
      <c r="Q8">
        <f t="shared" si="6"/>
        <v>1.7179303683749805</v>
      </c>
      <c r="R8">
        <f t="shared" si="7"/>
        <v>1.6730172989658458</v>
      </c>
      <c r="W8">
        <v>0.05</v>
      </c>
      <c r="X8">
        <v>0.09</v>
      </c>
      <c r="AA8">
        <v>0.05</v>
      </c>
      <c r="AB8">
        <v>0.09</v>
      </c>
    </row>
    <row r="9" spans="2:32" x14ac:dyDescent="0.25">
      <c r="B9">
        <v>109.893670859802</v>
      </c>
      <c r="C9">
        <v>110.8809806</v>
      </c>
      <c r="D9">
        <v>81.188547229999998</v>
      </c>
      <c r="E9">
        <v>68.725454319999997</v>
      </c>
      <c r="G9">
        <v>54.34986396</v>
      </c>
      <c r="H9">
        <v>50.199902969999997</v>
      </c>
      <c r="I9">
        <v>41.608989049999998</v>
      </c>
      <c r="K9">
        <f t="shared" si="1"/>
        <v>2.0409726806872275</v>
      </c>
      <c r="L9">
        <f t="shared" si="2"/>
        <v>2.0448570580621563</v>
      </c>
      <c r="M9">
        <f t="shared" si="3"/>
        <v>1.9094947703050422</v>
      </c>
      <c r="N9">
        <f t="shared" si="4"/>
        <v>1.8371176194942889</v>
      </c>
      <c r="P9">
        <f t="shared" si="5"/>
        <v>1.7351984613662828</v>
      </c>
      <c r="Q9">
        <f t="shared" si="6"/>
        <v>1.700702877710073</v>
      </c>
      <c r="R9">
        <f t="shared" si="7"/>
        <v>1.6191871641145019</v>
      </c>
      <c r="V9">
        <v>0.03</v>
      </c>
      <c r="W9">
        <f>$X$3+($X$4*(W$8-$W$8))+($X$5*($V9-$V$9))</f>
        <v>2.0292270000000001</v>
      </c>
      <c r="X9">
        <f>$X$3+($X$4*(X$8-$W$8))+($X$5*($V9-$V$9))</f>
        <v>1.7582440000000001</v>
      </c>
      <c r="Z9">
        <v>0.03</v>
      </c>
      <c r="AA9">
        <f>L32</f>
        <v>2.0474017716652573</v>
      </c>
      <c r="AB9">
        <f>P32</f>
        <v>1.7246892452386429</v>
      </c>
    </row>
    <row r="10" spans="2:32" x14ac:dyDescent="0.25">
      <c r="B10">
        <v>96.801523814853894</v>
      </c>
      <c r="C10">
        <v>114.8910231</v>
      </c>
      <c r="D10">
        <v>80.912259629999994</v>
      </c>
      <c r="E10">
        <v>69.208484260000006</v>
      </c>
      <c r="H10">
        <v>48.347674230000003</v>
      </c>
      <c r="I10">
        <v>48.22928898</v>
      </c>
      <c r="K10">
        <f t="shared" si="1"/>
        <v>1.9858821938701052</v>
      </c>
      <c r="L10">
        <f t="shared" si="2"/>
        <v>2.0602860968306871</v>
      </c>
      <c r="M10">
        <f t="shared" si="3"/>
        <v>1.9080143298480825</v>
      </c>
      <c r="N10">
        <f t="shared" si="4"/>
        <v>1.840159337830173</v>
      </c>
      <c r="Q10">
        <f t="shared" si="6"/>
        <v>1.6843755871393613</v>
      </c>
      <c r="R10">
        <f t="shared" si="7"/>
        <v>1.6833108593853143</v>
      </c>
      <c r="V10">
        <v>0.12</v>
      </c>
      <c r="W10">
        <f>$X$3+($X$4*(W$8-$W$8))+($X$5*($V10-$V$9))</f>
        <v>1.9389610000000002</v>
      </c>
      <c r="X10">
        <f>$X$3+($X$4*(X$8-$W$8))+($X$5*($V10-$V$9))</f>
        <v>1.6679780000000002</v>
      </c>
      <c r="Z10">
        <v>0.12</v>
      </c>
      <c r="AA10">
        <f>N32</f>
        <v>1.9147272115421947</v>
      </c>
      <c r="AB10">
        <f>R32</f>
        <v>1.6830197537787541</v>
      </c>
    </row>
    <row r="11" spans="2:32" x14ac:dyDescent="0.25">
      <c r="B11">
        <v>118.329394170965</v>
      </c>
      <c r="C11">
        <v>124.3654805</v>
      </c>
      <c r="D11">
        <v>83.463805609999994</v>
      </c>
      <c r="H11">
        <v>53.717824440000001</v>
      </c>
      <c r="I11">
        <v>43.579693849999998</v>
      </c>
      <c r="K11">
        <f t="shared" si="1"/>
        <v>2.0730926409977841</v>
      </c>
      <c r="L11">
        <f t="shared" si="2"/>
        <v>2.094699852149406</v>
      </c>
      <c r="M11">
        <f t="shared" si="3"/>
        <v>1.9214981828887889</v>
      </c>
      <c r="Q11">
        <f t="shared" si="6"/>
        <v>1.7301184155224489</v>
      </c>
      <c r="R11">
        <f t="shared" si="7"/>
        <v>1.6392841749758023</v>
      </c>
      <c r="V11" t="s">
        <v>23</v>
      </c>
      <c r="Z11" t="s">
        <v>22</v>
      </c>
      <c r="AD11" t="s">
        <v>24</v>
      </c>
    </row>
    <row r="12" spans="2:32" x14ac:dyDescent="0.25">
      <c r="B12">
        <v>105.052610565081</v>
      </c>
      <c r="D12">
        <v>78.844198039999995</v>
      </c>
      <c r="H12">
        <v>48.228604490000002</v>
      </c>
      <c r="I12">
        <v>43.193703450000001</v>
      </c>
      <c r="K12">
        <f t="shared" si="1"/>
        <v>2.0214068491258104</v>
      </c>
      <c r="M12">
        <f t="shared" si="3"/>
        <v>1.8967697401262844</v>
      </c>
      <c r="Q12">
        <f t="shared" si="6"/>
        <v>1.6833046956548152</v>
      </c>
      <c r="R12">
        <f t="shared" si="7"/>
        <v>1.6354204422726673</v>
      </c>
      <c r="W12">
        <v>0.05</v>
      </c>
      <c r="X12">
        <v>0.09</v>
      </c>
      <c r="AA12">
        <v>0.05</v>
      </c>
      <c r="AB12">
        <v>0.09</v>
      </c>
      <c r="AE12">
        <v>0.05</v>
      </c>
      <c r="AF12">
        <v>0.09</v>
      </c>
    </row>
    <row r="13" spans="2:32" x14ac:dyDescent="0.25">
      <c r="B13">
        <v>113.74052658713499</v>
      </c>
      <c r="H13">
        <v>48.00289892</v>
      </c>
      <c r="I13">
        <v>48.386050769999997</v>
      </c>
      <c r="K13">
        <f t="shared" si="1"/>
        <v>2.0559152345839662</v>
      </c>
      <c r="Q13">
        <f t="shared" si="6"/>
        <v>1.6812674654369066</v>
      </c>
      <c r="R13">
        <f t="shared" si="7"/>
        <v>1.6847201767937123</v>
      </c>
      <c r="V13">
        <v>0.03</v>
      </c>
      <c r="W13">
        <f>10^W9</f>
        <v>106.9613806172875</v>
      </c>
      <c r="X13">
        <f>10^X9</f>
        <v>57.311793583634085</v>
      </c>
      <c r="Z13">
        <v>0.03</v>
      </c>
      <c r="AA13">
        <f>10^AA9</f>
        <v>111.53258594220506</v>
      </c>
      <c r="AB13">
        <f>10^AB9</f>
        <v>53.050471143049734</v>
      </c>
      <c r="AD13">
        <v>0.03</v>
      </c>
      <c r="AE13" s="3">
        <f>(W13-AA13)/((W13+AA13)/2)</f>
        <v>-4.184285174458479E-2</v>
      </c>
      <c r="AF13" s="3">
        <f>(X13-AB13)/((X13+AB13)/2)</f>
        <v>7.7224265941581965E-2</v>
      </c>
    </row>
    <row r="14" spans="2:32" x14ac:dyDescent="0.25">
      <c r="B14">
        <v>89.5169058327279</v>
      </c>
      <c r="H14">
        <v>46.756837150000003</v>
      </c>
      <c r="I14">
        <v>44.990336560000003</v>
      </c>
      <c r="K14">
        <f t="shared" si="1"/>
        <v>1.9519050623161371</v>
      </c>
      <c r="Q14">
        <f t="shared" si="6"/>
        <v>1.6698451257840783</v>
      </c>
      <c r="R14">
        <f t="shared" si="7"/>
        <v>1.6531192420120686</v>
      </c>
      <c r="V14">
        <v>0.12</v>
      </c>
      <c r="W14">
        <f>10^W10</f>
        <v>86.888239943202294</v>
      </c>
      <c r="X14">
        <f>10^X10</f>
        <v>46.556250898515785</v>
      </c>
      <c r="Z14">
        <v>0.12</v>
      </c>
      <c r="AA14">
        <f>10^AA10</f>
        <v>82.17263461819114</v>
      </c>
      <c r="AB14">
        <f>10^AB10</f>
        <v>48.196971940189272</v>
      </c>
      <c r="AD14">
        <v>0.12</v>
      </c>
      <c r="AE14" s="3">
        <f>(W14-AA14)/((W14+AA14)/2)</f>
        <v>5.5785885850232135E-2</v>
      </c>
      <c r="AF14" s="3">
        <f>(X14-AB14)/((X14+AB14)/2)</f>
        <v>-3.4631456166222999E-2</v>
      </c>
    </row>
    <row r="15" spans="2:32" x14ac:dyDescent="0.25">
      <c r="B15">
        <v>101.439184659055</v>
      </c>
      <c r="H15">
        <v>48.143508420000003</v>
      </c>
      <c r="I15">
        <v>44.876011099999999</v>
      </c>
      <c r="K15">
        <f t="shared" si="1"/>
        <v>2.0062057498091841</v>
      </c>
      <c r="Q15">
        <f t="shared" si="6"/>
        <v>1.6825377359582487</v>
      </c>
      <c r="R15">
        <f t="shared" si="7"/>
        <v>1.6520142467719749</v>
      </c>
    </row>
    <row r="16" spans="2:32" x14ac:dyDescent="0.25">
      <c r="B16">
        <v>120.561989802269</v>
      </c>
      <c r="H16">
        <v>48.508528220000002</v>
      </c>
      <c r="I16">
        <v>38.407343169999997</v>
      </c>
      <c r="K16">
        <f t="shared" si="1"/>
        <v>2.0812104071318429</v>
      </c>
      <c r="Q16">
        <f t="shared" si="6"/>
        <v>1.6858180980515607</v>
      </c>
      <c r="R16">
        <f t="shared" si="7"/>
        <v>1.5844142658604081</v>
      </c>
      <c r="V16" t="s">
        <v>19</v>
      </c>
      <c r="W16">
        <v>2.0474017999999998</v>
      </c>
      <c r="X16">
        <f>W16</f>
        <v>2.0474017999999998</v>
      </c>
    </row>
    <row r="17" spans="2:32" x14ac:dyDescent="0.25">
      <c r="B17">
        <v>100.580750697955</v>
      </c>
      <c r="I17">
        <v>43.90897279</v>
      </c>
      <c r="K17">
        <f t="shared" si="1"/>
        <v>2.0025148727122573</v>
      </c>
      <c r="R17">
        <f t="shared" si="7"/>
        <v>1.6425532773035929</v>
      </c>
      <c r="V17" t="s">
        <v>20</v>
      </c>
      <c r="W17">
        <v>-0.32271300000000003</v>
      </c>
      <c r="X17">
        <f>W17/(0.09-0.05)</f>
        <v>-8.0678250000000027</v>
      </c>
    </row>
    <row r="18" spans="2:32" x14ac:dyDescent="0.25">
      <c r="J18" t="s">
        <v>11</v>
      </c>
      <c r="K18">
        <f>COUNT(K3:K17)</f>
        <v>15</v>
      </c>
      <c r="L18">
        <f t="shared" ref="L18:R18" si="8">COUNT(L3:L17)</f>
        <v>9</v>
      </c>
      <c r="M18">
        <f t="shared" si="8"/>
        <v>10</v>
      </c>
      <c r="N18">
        <f t="shared" si="8"/>
        <v>8</v>
      </c>
      <c r="O18">
        <f t="shared" si="8"/>
        <v>6</v>
      </c>
      <c r="P18">
        <f t="shared" si="8"/>
        <v>7</v>
      </c>
      <c r="Q18">
        <f t="shared" si="8"/>
        <v>14</v>
      </c>
      <c r="R18">
        <f t="shared" si="8"/>
        <v>15</v>
      </c>
      <c r="V18" t="s">
        <v>21</v>
      </c>
      <c r="W18">
        <v>-0.13267499999999999</v>
      </c>
      <c r="X18">
        <f>W18/(0.12-0.03)</f>
        <v>-1.4741666666666666</v>
      </c>
    </row>
    <row r="19" spans="2:32" x14ac:dyDescent="0.25">
      <c r="J19" t="s">
        <v>10</v>
      </c>
      <c r="K19">
        <f>AVERAGE(K3:K17)</f>
        <v>2.0320846445359328</v>
      </c>
      <c r="L19">
        <f t="shared" ref="L19:R19" si="9">AVERAGE(L3:L17)</f>
        <v>2.0729303168807993</v>
      </c>
      <c r="M19">
        <f t="shared" si="9"/>
        <v>1.9530082077964188</v>
      </c>
      <c r="N19">
        <f t="shared" si="9"/>
        <v>1.866875966224415</v>
      </c>
      <c r="O19">
        <f t="shared" si="9"/>
        <v>1.7519035632516522</v>
      </c>
      <c r="P19">
        <f t="shared" si="9"/>
        <v>1.7013626869417779</v>
      </c>
      <c r="Q19">
        <f t="shared" si="9"/>
        <v>1.7145274498486469</v>
      </c>
      <c r="R19">
        <f t="shared" si="9"/>
        <v>1.6536125707801876</v>
      </c>
      <c r="V19" t="s">
        <v>25</v>
      </c>
      <c r="W19">
        <v>9.1005100000000005E-2</v>
      </c>
      <c r="X19">
        <f>W19/(0.09-0.05)/(0.12-0.03)</f>
        <v>25.27919444444445</v>
      </c>
    </row>
    <row r="20" spans="2:32" x14ac:dyDescent="0.25">
      <c r="J20" t="s">
        <v>12</v>
      </c>
      <c r="K20">
        <f>_xlfn.STDEV.S(K3:K17)</f>
        <v>3.5501945107814681E-2</v>
      </c>
      <c r="L20">
        <f t="shared" ref="L20:R20" si="10">_xlfn.STDEV.S(L3:L17)</f>
        <v>2.1274694098907164E-2</v>
      </c>
      <c r="M20">
        <f t="shared" si="10"/>
        <v>5.1835448110243869E-2</v>
      </c>
      <c r="N20">
        <f t="shared" si="10"/>
        <v>2.1329700292355223E-2</v>
      </c>
      <c r="O20">
        <f t="shared" si="10"/>
        <v>2.3719949886850892E-2</v>
      </c>
      <c r="P20">
        <f t="shared" si="10"/>
        <v>3.5842006351822109E-2</v>
      </c>
      <c r="Q20">
        <f t="shared" si="10"/>
        <v>3.4820072832539302E-2</v>
      </c>
      <c r="R20">
        <f t="shared" si="10"/>
        <v>3.0219202097961313E-2</v>
      </c>
    </row>
    <row r="21" spans="2:32" x14ac:dyDescent="0.25">
      <c r="J21" t="s">
        <v>13</v>
      </c>
      <c r="K21">
        <f>_xlfn.CONFIDENCE.T(0.01,K20,K18)</f>
        <v>2.7287415902193364E-2</v>
      </c>
      <c r="L21">
        <f t="shared" ref="L21:R21" si="11">_xlfn.CONFIDENCE.T(0.01,L20,L18)</f>
        <v>2.3794946352488813E-2</v>
      </c>
      <c r="M21">
        <f t="shared" si="11"/>
        <v>5.3270680087609774E-2</v>
      </c>
      <c r="N21">
        <f t="shared" si="11"/>
        <v>2.639026095370485E-2</v>
      </c>
      <c r="O21">
        <f t="shared" si="11"/>
        <v>3.9045776692200433E-2</v>
      </c>
      <c r="P21">
        <f t="shared" si="11"/>
        <v>5.022454609907287E-2</v>
      </c>
      <c r="Q21">
        <f t="shared" si="11"/>
        <v>2.8032407367539296E-2</v>
      </c>
      <c r="R21">
        <f t="shared" si="11"/>
        <v>2.3227007235104787E-2</v>
      </c>
      <c r="V21" t="s">
        <v>23</v>
      </c>
      <c r="Z21" t="s">
        <v>22</v>
      </c>
    </row>
    <row r="22" spans="2:32" x14ac:dyDescent="0.25">
      <c r="W22">
        <v>0.05</v>
      </c>
      <c r="X22">
        <v>0.09</v>
      </c>
      <c r="AA22">
        <v>0.05</v>
      </c>
      <c r="AB22">
        <v>0.09</v>
      </c>
    </row>
    <row r="23" spans="2:32" x14ac:dyDescent="0.25">
      <c r="J23" s="2" t="s">
        <v>15</v>
      </c>
      <c r="K23">
        <v>0.2</v>
      </c>
      <c r="L23">
        <f>K23</f>
        <v>0.2</v>
      </c>
      <c r="M23">
        <f t="shared" ref="M23:R23" si="12">L23</f>
        <v>0.2</v>
      </c>
      <c r="N23">
        <f t="shared" si="12"/>
        <v>0.2</v>
      </c>
      <c r="O23">
        <f t="shared" si="12"/>
        <v>0.2</v>
      </c>
      <c r="P23">
        <f t="shared" si="12"/>
        <v>0.2</v>
      </c>
      <c r="Q23">
        <f t="shared" si="12"/>
        <v>0.2</v>
      </c>
      <c r="R23">
        <f t="shared" si="12"/>
        <v>0.2</v>
      </c>
      <c r="V23">
        <v>0.03</v>
      </c>
      <c r="W23">
        <f>$X$16+($X$17*(W$22-$W$22))+($X$18*($V23-$V$23))+($X$19*(W$22-$W$22)*($V23-$V$23))</f>
        <v>2.0474017999999998</v>
      </c>
      <c r="X23">
        <f>$X$16+($X$17*(X$22-$W$22))+($X$18*($V23-$V$23))+($X$19*(X$22-$W$22)*($V23-$V$23))</f>
        <v>1.7246887999999998</v>
      </c>
      <c r="Z23">
        <v>0.03</v>
      </c>
      <c r="AA23">
        <f>L32</f>
        <v>2.0474017716652573</v>
      </c>
      <c r="AB23">
        <f>P32</f>
        <v>1.7246892452386429</v>
      </c>
    </row>
    <row r="24" spans="2:32" x14ac:dyDescent="0.25">
      <c r="J24" s="2" t="s">
        <v>14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V24">
        <v>0.12</v>
      </c>
      <c r="W24">
        <f>$X$16+($X$17*(W$22-$W$22))+($X$18*($V24-$V$23))+($X$19*(W$22-$W$22)*($V24-$V$23))</f>
        <v>1.9147268</v>
      </c>
      <c r="X24">
        <f>$X$16+($X$17*(X$22-$W$22))+($X$18*($V24-$V$23))+($X$19*(X$22-$W$22)*($V24-$V$23))</f>
        <v>1.6830188999999998</v>
      </c>
      <c r="Z24">
        <v>0.12</v>
      </c>
      <c r="AA24">
        <f>N32</f>
        <v>1.9147272115421947</v>
      </c>
      <c r="AB24">
        <f>R32</f>
        <v>1.6830197537787541</v>
      </c>
    </row>
    <row r="25" spans="2:32" x14ac:dyDescent="0.25">
      <c r="J25" s="2" t="s">
        <v>16</v>
      </c>
      <c r="K25">
        <f>K24+K23</f>
        <v>1.2</v>
      </c>
      <c r="L25">
        <f t="shared" ref="L25:R25" si="13">L24+L23</f>
        <v>2.2000000000000002</v>
      </c>
      <c r="M25">
        <f t="shared" si="13"/>
        <v>3.2</v>
      </c>
      <c r="N25">
        <f t="shared" si="13"/>
        <v>4.2</v>
      </c>
      <c r="O25">
        <f t="shared" si="13"/>
        <v>5.2</v>
      </c>
      <c r="P25">
        <f t="shared" si="13"/>
        <v>6.2</v>
      </c>
      <c r="Q25">
        <f t="shared" si="13"/>
        <v>7.2</v>
      </c>
      <c r="R25">
        <f t="shared" si="13"/>
        <v>8.1999999999999993</v>
      </c>
      <c r="V25" t="s">
        <v>23</v>
      </c>
      <c r="Z25" t="s">
        <v>22</v>
      </c>
      <c r="AD25" t="s">
        <v>24</v>
      </c>
    </row>
    <row r="26" spans="2:32" x14ac:dyDescent="0.25">
      <c r="J26" s="2"/>
      <c r="W26">
        <v>0.05</v>
      </c>
      <c r="X26">
        <v>0.09</v>
      </c>
      <c r="AA26">
        <v>0.05</v>
      </c>
      <c r="AB26">
        <v>0.09</v>
      </c>
      <c r="AE26">
        <v>0.05</v>
      </c>
      <c r="AF26">
        <v>0.09</v>
      </c>
    </row>
    <row r="27" spans="2:32" x14ac:dyDescent="0.25">
      <c r="J27" s="2" t="s">
        <v>17</v>
      </c>
      <c r="K27">
        <f>K21*K18</f>
        <v>0.40931123853290047</v>
      </c>
      <c r="L27">
        <f t="shared" ref="L27:R27" si="14">L21*L18</f>
        <v>0.21415451717239931</v>
      </c>
      <c r="M27">
        <f t="shared" si="14"/>
        <v>0.53270680087609779</v>
      </c>
      <c r="N27">
        <f t="shared" si="14"/>
        <v>0.2111220876296388</v>
      </c>
      <c r="O27">
        <f t="shared" si="14"/>
        <v>0.23427466015320259</v>
      </c>
      <c r="P27">
        <f t="shared" si="14"/>
        <v>0.35157182269351006</v>
      </c>
      <c r="Q27">
        <f t="shared" si="14"/>
        <v>0.39245370314555017</v>
      </c>
      <c r="R27">
        <f t="shared" si="14"/>
        <v>0.34840510852657181</v>
      </c>
      <c r="V27">
        <v>0.03</v>
      </c>
      <c r="W27">
        <f>10^W23</f>
        <v>111.53259321894318</v>
      </c>
      <c r="X27">
        <f>10^X23</f>
        <v>53.0504167557419</v>
      </c>
      <c r="Z27">
        <v>0.03</v>
      </c>
      <c r="AA27">
        <f>10^AA23</f>
        <v>111.53258594220506</v>
      </c>
      <c r="AB27">
        <f>10^AB23</f>
        <v>53.050471143049734</v>
      </c>
      <c r="AD27">
        <v>0.03</v>
      </c>
      <c r="AE27" s="3">
        <f>(W27-AA27)/((W27+AA27)/2)</f>
        <v>6.5243155783628948E-8</v>
      </c>
      <c r="AF27" s="3">
        <f>(X27-AB27)/((X27+AB27)/2)</f>
        <v>-1.0251998623447255E-6</v>
      </c>
    </row>
    <row r="28" spans="2:32" x14ac:dyDescent="0.25">
      <c r="V28">
        <v>0.12</v>
      </c>
      <c r="W28">
        <f>10^W24</f>
        <v>82.172556750541972</v>
      </c>
      <c r="X28">
        <f>10^X24</f>
        <v>48.196877189940452</v>
      </c>
      <c r="Z28">
        <v>0.12</v>
      </c>
      <c r="AA28">
        <f>10^AA24</f>
        <v>82.17263461819114</v>
      </c>
      <c r="AB28">
        <f>10^AB24</f>
        <v>48.196971940189272</v>
      </c>
      <c r="AD28">
        <v>0.12</v>
      </c>
      <c r="AE28" s="3">
        <f>(W28-AA28)/((W28+AA28)/2)</f>
        <v>-9.4761092209897459E-7</v>
      </c>
      <c r="AF28" s="3">
        <f>(X28-AB28)/((X28+AB28)/2)</f>
        <v>-1.965898232620799E-6</v>
      </c>
    </row>
    <row r="31" spans="2:32" x14ac:dyDescent="0.25">
      <c r="J31" t="s">
        <v>11</v>
      </c>
      <c r="L31">
        <f>COUNT(K3:L17)</f>
        <v>24</v>
      </c>
      <c r="N31">
        <f>COUNT(M3:N17)</f>
        <v>18</v>
      </c>
      <c r="P31">
        <f>COUNT(O3:P17)</f>
        <v>13</v>
      </c>
      <c r="R31">
        <f>COUNT(Q3:R17)</f>
        <v>29</v>
      </c>
    </row>
    <row r="32" spans="2:32" x14ac:dyDescent="0.25">
      <c r="J32" t="s">
        <v>10</v>
      </c>
      <c r="L32">
        <f>AVERAGE(K3:L17)</f>
        <v>2.0474017716652573</v>
      </c>
      <c r="M32">
        <f>10^L32</f>
        <v>111.53258594220506</v>
      </c>
      <c r="N32">
        <f>AVERAGE(M3:N17)</f>
        <v>1.9147272115421947</v>
      </c>
      <c r="O32">
        <f>10^N32</f>
        <v>82.17263461819114</v>
      </c>
      <c r="P32">
        <f>AVERAGE(O3:P17)</f>
        <v>1.7246892452386429</v>
      </c>
      <c r="Q32">
        <f>10^P32</f>
        <v>53.050471143049734</v>
      </c>
      <c r="R32">
        <f>AVERAGE(Q3:R17)</f>
        <v>1.6830197537787541</v>
      </c>
      <c r="S32">
        <f>10^R32</f>
        <v>48.196971940189272</v>
      </c>
    </row>
    <row r="33" spans="10:19" x14ac:dyDescent="0.25">
      <c r="J33" t="s">
        <v>12</v>
      </c>
      <c r="L33">
        <f>_xlfn.STDEV.S(K3:L17)</f>
        <v>3.6505455043219837E-2</v>
      </c>
      <c r="N33">
        <f>_xlfn.STDEV.S(M3:N17)</f>
        <v>5.9576543004824851E-2</v>
      </c>
      <c r="P33">
        <f>_xlfn.STDEV.S(O3:P17)</f>
        <v>3.9553433808411288E-2</v>
      </c>
      <c r="R33">
        <f>_xlfn.STDEV.S(Q3:R17)</f>
        <v>4.4487764985151029E-2</v>
      </c>
    </row>
    <row r="34" spans="10:19" x14ac:dyDescent="0.25">
      <c r="J34" t="s">
        <v>13</v>
      </c>
      <c r="L34">
        <f>_xlfn.CONFIDENCE.T(0.01,L33,L31)</f>
        <v>2.0919268369470376E-2</v>
      </c>
      <c r="M34">
        <f>10^(L32+L34)</f>
        <v>117.0364230311348</v>
      </c>
      <c r="N34">
        <f>_xlfn.CONFIDENCE.T(0.01,N33,N31)</f>
        <v>4.0697897353805045E-2</v>
      </c>
      <c r="O34">
        <f>10^(N32+N34)</f>
        <v>90.245407203864048</v>
      </c>
      <c r="P34">
        <f>_xlfn.CONFIDENCE.T(0.01,P33,P31)</f>
        <v>3.3508753650626215E-2</v>
      </c>
      <c r="Q34">
        <f>10^(P32+P34)</f>
        <v>57.305723355593862</v>
      </c>
      <c r="R34">
        <f>_xlfn.CONFIDENCE.T(0.01,R33,R31)</f>
        <v>2.28277824567217E-2</v>
      </c>
      <c r="S34">
        <f>10^(R32+R34)</f>
        <v>50.798107901454621</v>
      </c>
    </row>
    <row r="35" spans="10:19" x14ac:dyDescent="0.25">
      <c r="M35">
        <f>10^(L32-L34)</f>
        <v>106.28757616461087</v>
      </c>
      <c r="O35">
        <f>10^(N32-N34)</f>
        <v>74.822000246962546</v>
      </c>
      <c r="Q35">
        <f>10^(P32-P34)</f>
        <v>49.111193851195523</v>
      </c>
      <c r="S35">
        <f>10^(R32-R34)</f>
        <v>45.729028110845718</v>
      </c>
    </row>
    <row r="36" spans="10:19" x14ac:dyDescent="0.25">
      <c r="J36" s="2" t="s">
        <v>15</v>
      </c>
      <c r="L36">
        <v>0.08</v>
      </c>
      <c r="N36">
        <f>L36</f>
        <v>0.08</v>
      </c>
      <c r="P36">
        <f>N36</f>
        <v>0.08</v>
      </c>
      <c r="R36">
        <f>P36</f>
        <v>0.08</v>
      </c>
    </row>
    <row r="37" spans="10:19" x14ac:dyDescent="0.25">
      <c r="J37" s="2" t="s">
        <v>14</v>
      </c>
      <c r="L37">
        <v>1</v>
      </c>
      <c r="N37">
        <v>2</v>
      </c>
      <c r="P37">
        <v>3</v>
      </c>
      <c r="R37">
        <v>4</v>
      </c>
    </row>
    <row r="38" spans="10:19" x14ac:dyDescent="0.25">
      <c r="J38" s="2" t="s">
        <v>16</v>
      </c>
      <c r="L38">
        <f t="shared" ref="L38:R38" si="15">L37+L36</f>
        <v>1.08</v>
      </c>
      <c r="N38">
        <f t="shared" si="15"/>
        <v>2.08</v>
      </c>
      <c r="P38">
        <f t="shared" si="15"/>
        <v>3.08</v>
      </c>
      <c r="R38">
        <f t="shared" si="15"/>
        <v>4.08</v>
      </c>
    </row>
    <row r="40" spans="10:19" x14ac:dyDescent="0.25">
      <c r="J40" s="2" t="s">
        <v>17</v>
      </c>
      <c r="L40">
        <f>L34*L31</f>
        <v>0.50206244086728902</v>
      </c>
      <c r="N40">
        <f t="shared" ref="N40:R40" si="16">N34*N31</f>
        <v>0.73256215236849076</v>
      </c>
      <c r="P40">
        <f t="shared" si="16"/>
        <v>0.43561379745814077</v>
      </c>
      <c r="R40">
        <f t="shared" si="16"/>
        <v>0.66200569124492925</v>
      </c>
    </row>
    <row r="42" spans="10:19" x14ac:dyDescent="0.25">
      <c r="J42">
        <v>2.0320846445359328</v>
      </c>
      <c r="K42">
        <v>2.0729303168807993</v>
      </c>
      <c r="L42">
        <v>1.9530082077964188</v>
      </c>
      <c r="M42">
        <v>1.866875966224415</v>
      </c>
      <c r="N42">
        <v>1.7519035632516522</v>
      </c>
      <c r="O42">
        <v>1.7013626869417779</v>
      </c>
      <c r="P42">
        <v>1.7145274498486469</v>
      </c>
      <c r="Q42">
        <v>1.6536125707801876</v>
      </c>
    </row>
    <row r="44" spans="10:19" x14ac:dyDescent="0.25">
      <c r="J44">
        <v>2.0320846445359328</v>
      </c>
      <c r="L44">
        <v>2.7287415902193364E-2</v>
      </c>
      <c r="M44">
        <v>2.3794946352488813E-2</v>
      </c>
      <c r="N44">
        <v>5.3270680087609774E-2</v>
      </c>
      <c r="O44">
        <v>2.639026095370485E-2</v>
      </c>
      <c r="P44">
        <v>3.9045776692200433E-2</v>
      </c>
      <c r="Q44">
        <v>5.022454609907287E-2</v>
      </c>
      <c r="R44">
        <v>2.8032407367539296E-2</v>
      </c>
      <c r="S44">
        <v>2.3227007235104787E-2</v>
      </c>
    </row>
    <row r="45" spans="10:19" x14ac:dyDescent="0.25">
      <c r="J45">
        <v>2.0729303168807993</v>
      </c>
    </row>
    <row r="46" spans="10:19" x14ac:dyDescent="0.25">
      <c r="J46">
        <v>1.9530082077964188</v>
      </c>
      <c r="L46">
        <v>2.7287415902193364E-2</v>
      </c>
    </row>
    <row r="47" spans="10:19" x14ac:dyDescent="0.25">
      <c r="J47">
        <v>1.866875966224415</v>
      </c>
      <c r="L47">
        <v>2.3794946352488813E-2</v>
      </c>
    </row>
    <row r="48" spans="10:19" x14ac:dyDescent="0.25">
      <c r="J48">
        <v>1.7519035632516522</v>
      </c>
      <c r="L48">
        <v>5.3270680087609774E-2</v>
      </c>
    </row>
    <row r="49" spans="10:17" x14ac:dyDescent="0.25">
      <c r="J49">
        <v>1.7013626869417779</v>
      </c>
      <c r="L49">
        <v>2.639026095370485E-2</v>
      </c>
    </row>
    <row r="50" spans="10:17" x14ac:dyDescent="0.25">
      <c r="J50">
        <v>1.7145274498486469</v>
      </c>
      <c r="L50">
        <v>3.9045776692200433E-2</v>
      </c>
    </row>
    <row r="51" spans="10:17" x14ac:dyDescent="0.25">
      <c r="J51">
        <v>1.6536125707801876</v>
      </c>
      <c r="L51">
        <v>5.022454609907287E-2</v>
      </c>
    </row>
    <row r="52" spans="10:17" x14ac:dyDescent="0.25">
      <c r="L52">
        <v>2.8032407367539296E-2</v>
      </c>
    </row>
    <row r="53" spans="10:17" x14ac:dyDescent="0.25">
      <c r="L53">
        <v>2.3227007235104787E-2</v>
      </c>
    </row>
    <row r="55" spans="10:17" x14ac:dyDescent="0.25">
      <c r="J55" t="s">
        <v>11</v>
      </c>
      <c r="L55">
        <f>COUNT(K3:N17)</f>
        <v>42</v>
      </c>
      <c r="P55">
        <f>COUNT(O3:R17)</f>
        <v>42</v>
      </c>
    </row>
    <row r="56" spans="10:17" x14ac:dyDescent="0.25">
      <c r="J56" t="s">
        <v>10</v>
      </c>
      <c r="L56">
        <f>AVERAGE(K3:N17)</f>
        <v>1.9905412458982308</v>
      </c>
      <c r="M56">
        <f>10^L56</f>
        <v>97.845587646984967</v>
      </c>
      <c r="P56">
        <f>AVERAGE(O3:R17)</f>
        <v>1.6959174535163384</v>
      </c>
      <c r="Q56">
        <f>10^P56</f>
        <v>49.649794296700826</v>
      </c>
    </row>
    <row r="57" spans="10:17" x14ac:dyDescent="0.25">
      <c r="J57" t="s">
        <v>12</v>
      </c>
      <c r="L57">
        <f>_xlfn.STDEV.S(K3:N17)</f>
        <v>8.1456975276498519E-2</v>
      </c>
      <c r="P57">
        <f>_xlfn.STDEV.S(O3:R17)</f>
        <v>4.6793782453849665E-2</v>
      </c>
    </row>
    <row r="58" spans="10:17" x14ac:dyDescent="0.25">
      <c r="J58" t="s">
        <v>13</v>
      </c>
      <c r="L58">
        <f>_xlfn.CONFIDENCE.T(0.01,L57,L55)</f>
        <v>3.3951375144046579E-2</v>
      </c>
      <c r="M58">
        <f>10^(L56+L58)</f>
        <v>105.80169394183218</v>
      </c>
      <c r="P58">
        <f>_xlfn.CONFIDENCE.T(0.01,P57,P55)</f>
        <v>1.9503710481598505E-2</v>
      </c>
      <c r="Q58">
        <f>10^(P56+P58)</f>
        <v>51.930339756871049</v>
      </c>
    </row>
    <row r="60" spans="10:17" x14ac:dyDescent="0.25">
      <c r="J60" t="s">
        <v>11</v>
      </c>
      <c r="L60">
        <f>COUNT(K3:L17,O3:P17)</f>
        <v>37</v>
      </c>
      <c r="P60">
        <f>COUNT(M3:N17,Q3:R17)</f>
        <v>47</v>
      </c>
    </row>
    <row r="61" spans="10:17" x14ac:dyDescent="0.25">
      <c r="J61" t="s">
        <v>10</v>
      </c>
      <c r="L61">
        <f>AVERAGE(K3:L17,O3:P17)</f>
        <v>1.9340162894072572</v>
      </c>
      <c r="M61">
        <f>10^L61</f>
        <v>85.904574177090055</v>
      </c>
      <c r="P61">
        <f>AVERAGE(M3:N17,Q3:R17)</f>
        <v>1.7717587801562418</v>
      </c>
      <c r="Q61">
        <f>10^P61</f>
        <v>59.12331547925362</v>
      </c>
    </row>
    <row r="62" spans="10:17" x14ac:dyDescent="0.25">
      <c r="J62" t="s">
        <v>12</v>
      </c>
      <c r="L62">
        <f>_xlfn.STDEV.S(K3:L17,O3:P17)</f>
        <v>0.16052055681475869</v>
      </c>
      <c r="P62">
        <f>_xlfn.STDEV.S(M3:N17,Q3:R17)</f>
        <v>0.12441506991561666</v>
      </c>
    </row>
    <row r="63" spans="10:17" x14ac:dyDescent="0.25">
      <c r="J63" t="s">
        <v>13</v>
      </c>
      <c r="L63">
        <f>_xlfn.CONFIDENCE.T(0.01,L62,L60)</f>
        <v>7.1765613889189867E-2</v>
      </c>
      <c r="M63">
        <f>10^(L61+L63)</f>
        <v>101.3402341240315</v>
      </c>
      <c r="P63">
        <f>_xlfn.CONFIDENCE.T(0.01,P62,P60)</f>
        <v>4.8763391825773203E-2</v>
      </c>
      <c r="Q63">
        <f>10^(P61+P63)</f>
        <v>66.148830750208035</v>
      </c>
    </row>
    <row r="65" spans="10:13" x14ac:dyDescent="0.25">
      <c r="J65" t="s">
        <v>11</v>
      </c>
      <c r="L65">
        <f>COUNT(K3:R17)</f>
        <v>84</v>
      </c>
    </row>
    <row r="66" spans="10:13" x14ac:dyDescent="0.25">
      <c r="J66" t="s">
        <v>10</v>
      </c>
      <c r="L66">
        <f>AVERAGE(K3:R17)</f>
        <v>1.8432293497072856</v>
      </c>
      <c r="M66">
        <f>10^L66</f>
        <v>69.699449779124038</v>
      </c>
    </row>
    <row r="67" spans="10:13" x14ac:dyDescent="0.25">
      <c r="J67" t="s">
        <v>12</v>
      </c>
      <c r="L67">
        <f>_xlfn.STDEV.S(K3:R17)</f>
        <v>0.16223913380310753</v>
      </c>
    </row>
    <row r="68" spans="10:13" x14ac:dyDescent="0.25">
      <c r="J68" t="s">
        <v>13</v>
      </c>
      <c r="L68">
        <f>_xlfn.CONFIDENCE.T(0.01,L67,L65)</f>
        <v>4.666831624636858E-2</v>
      </c>
      <c r="M68">
        <f>10^(L66+L68)</f>
        <v>77.606422885662013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G2" sqref="G2"/>
    </sheetView>
  </sheetViews>
  <sheetFormatPr defaultRowHeight="15" x14ac:dyDescent="0.25"/>
  <cols>
    <col min="2" max="2" width="21.140625" bestFit="1" customWidth="1"/>
  </cols>
  <sheetData>
    <row r="1" spans="2:8" x14ac:dyDescent="0.25">
      <c r="B1" t="s">
        <v>26</v>
      </c>
      <c r="C1">
        <f>AI!W22</f>
        <v>0.05</v>
      </c>
      <c r="D1">
        <f>AI!X22</f>
        <v>0.09</v>
      </c>
      <c r="F1" t="str">
        <f>AI!V16</f>
        <v>Intercept</v>
      </c>
      <c r="G1">
        <f>AI!W16</f>
        <v>2.0047456000000001</v>
      </c>
      <c r="H1">
        <f>AI!X16</f>
        <v>2.0047456000000001</v>
      </c>
    </row>
    <row r="2" spans="2:8" x14ac:dyDescent="0.25">
      <c r="B2">
        <f>AI!V23</f>
        <v>0.03</v>
      </c>
      <c r="C2">
        <f>AI!W23</f>
        <v>2.0047456000000001</v>
      </c>
      <c r="D2">
        <f>AI!X23</f>
        <v>1.6882096000000002</v>
      </c>
      <c r="F2" t="str">
        <f>AI!V17</f>
        <v>C</v>
      </c>
      <c r="G2">
        <f>AI!W17</f>
        <v>-0.31653599999999998</v>
      </c>
      <c r="H2">
        <f>AI!X17</f>
        <v>-7.9134000000000011</v>
      </c>
    </row>
    <row r="3" spans="2:8" x14ac:dyDescent="0.25">
      <c r="B3">
        <f>AI!V24</f>
        <v>0.12</v>
      </c>
      <c r="C3">
        <f>AI!W24</f>
        <v>1.8893046000000002</v>
      </c>
      <c r="D3">
        <f>AI!X24</f>
        <v>1.6512110000000002</v>
      </c>
      <c r="F3" t="str">
        <f>AI!V18</f>
        <v>V</v>
      </c>
      <c r="G3">
        <f>AI!W18</f>
        <v>-0.115441</v>
      </c>
      <c r="H3">
        <f>AI!X18</f>
        <v>-1.2826777777777778</v>
      </c>
    </row>
    <row r="4" spans="2:8" x14ac:dyDescent="0.25">
      <c r="F4" t="str">
        <f>AI!V19</f>
        <v>CV</v>
      </c>
      <c r="G4">
        <f>AI!W19</f>
        <v>7.8442399999999995E-2</v>
      </c>
      <c r="H4">
        <f>AI!X19</f>
        <v>21.789555555555559</v>
      </c>
    </row>
    <row r="5" spans="2:8" x14ac:dyDescent="0.25">
      <c r="B5" t="s">
        <v>27</v>
      </c>
      <c r="C5">
        <f>AF!W22</f>
        <v>0.05</v>
      </c>
      <c r="D5">
        <f>AF!X22</f>
        <v>0.09</v>
      </c>
    </row>
    <row r="6" spans="2:8" x14ac:dyDescent="0.25">
      <c r="B6">
        <f>AF!V23</f>
        <v>0.03</v>
      </c>
      <c r="C6">
        <f>AF!W23</f>
        <v>2.0474017999999998</v>
      </c>
      <c r="D6">
        <f>AF!X23</f>
        <v>1.7246887999999998</v>
      </c>
      <c r="F6" t="str">
        <f>AF!V16</f>
        <v>Intercept</v>
      </c>
      <c r="G6">
        <f>AF!W16</f>
        <v>2.0474017999999998</v>
      </c>
      <c r="H6">
        <f>AF!X16</f>
        <v>2.0474017999999998</v>
      </c>
    </row>
    <row r="7" spans="2:8" x14ac:dyDescent="0.25">
      <c r="B7">
        <f>AF!V24</f>
        <v>0.12</v>
      </c>
      <c r="C7">
        <f>AF!W24</f>
        <v>1.9147268</v>
      </c>
      <c r="D7">
        <f>AF!X24</f>
        <v>1.6830188999999998</v>
      </c>
      <c r="F7" t="str">
        <f>AF!V17</f>
        <v>C</v>
      </c>
      <c r="G7">
        <f>AF!W17</f>
        <v>-0.32271300000000003</v>
      </c>
      <c r="H7">
        <f>AF!X17</f>
        <v>-8.0678250000000027</v>
      </c>
    </row>
    <row r="8" spans="2:8" x14ac:dyDescent="0.25">
      <c r="F8" t="str">
        <f>AF!V18</f>
        <v>V</v>
      </c>
      <c r="G8">
        <f>AF!W18</f>
        <v>-0.13267499999999999</v>
      </c>
      <c r="H8">
        <f>AF!X18</f>
        <v>-1.4741666666666666</v>
      </c>
    </row>
    <row r="9" spans="2:8" x14ac:dyDescent="0.25">
      <c r="B9" t="s">
        <v>28</v>
      </c>
      <c r="C9">
        <f>C5</f>
        <v>0.05</v>
      </c>
      <c r="D9">
        <f>D5</f>
        <v>0.09</v>
      </c>
      <c r="F9" t="str">
        <f>AF!V19</f>
        <v>CV</v>
      </c>
      <c r="G9">
        <f>AF!W19</f>
        <v>9.1005100000000005E-2</v>
      </c>
      <c r="H9">
        <f>AF!X19</f>
        <v>25.27919444444445</v>
      </c>
    </row>
    <row r="10" spans="2:8" x14ac:dyDescent="0.25">
      <c r="B10">
        <f>B6</f>
        <v>0.03</v>
      </c>
      <c r="C10" s="4">
        <f>(C6-C2)/((C6+C2)/2)</f>
        <v>2.1053627022550907E-2</v>
      </c>
      <c r="D10" s="4">
        <f>(D6-D2)/((D6+D2)/2)</f>
        <v>2.1377255179937146E-2</v>
      </c>
    </row>
    <row r="11" spans="2:8" x14ac:dyDescent="0.25">
      <c r="B11">
        <f>B7</f>
        <v>0.12</v>
      </c>
      <c r="C11" s="4">
        <f>(C7-C3)/((C7+C3)/2)</f>
        <v>1.3365925423223228E-2</v>
      </c>
      <c r="D11" s="4">
        <f>(D7-D3)/((D7+D3)/2)</f>
        <v>1.9079608157793533E-2</v>
      </c>
      <c r="F11" t="s">
        <v>19</v>
      </c>
      <c r="G11" s="4">
        <f>(G6-G1)/((G6+G1)/2)</f>
        <v>2.1053627022550907E-2</v>
      </c>
    </row>
    <row r="12" spans="2:8" x14ac:dyDescent="0.25">
      <c r="F12" t="s">
        <v>20</v>
      </c>
      <c r="G12" s="4">
        <f>(G7-G2)/((G7+G2)/2)</f>
        <v>1.9325802621513819E-2</v>
      </c>
    </row>
    <row r="13" spans="2:8" x14ac:dyDescent="0.25">
      <c r="F13" t="s">
        <v>21</v>
      </c>
      <c r="G13" s="4">
        <f>(G8-G3)/((G8+G3)/2)</f>
        <v>0.13891889277595951</v>
      </c>
    </row>
    <row r="14" spans="2:8" x14ac:dyDescent="0.25">
      <c r="F14" t="s">
        <v>25</v>
      </c>
      <c r="G14" s="4">
        <f>(G9-G4)/((G9+G4)/2)</f>
        <v>0.14827837530798638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selection activeCell="W11" sqref="W11"/>
    </sheetView>
  </sheetViews>
  <sheetFormatPr defaultRowHeight="15" x14ac:dyDescent="0.25"/>
  <sheetData>
    <row r="1" spans="1:18" x14ac:dyDescent="0.25">
      <c r="A1" s="1" t="s">
        <v>31</v>
      </c>
      <c r="G1" s="1" t="s">
        <v>32</v>
      </c>
      <c r="L1" t="s">
        <v>37</v>
      </c>
    </row>
    <row r="2" spans="1:18" x14ac:dyDescent="0.25">
      <c r="A2" t="s">
        <v>29</v>
      </c>
      <c r="B2" t="s">
        <v>30</v>
      </c>
      <c r="G2" t="s">
        <v>29</v>
      </c>
      <c r="H2" t="s">
        <v>30</v>
      </c>
    </row>
    <row r="3" spans="1:18" x14ac:dyDescent="0.25">
      <c r="A3">
        <v>2.9161079999999999</v>
      </c>
      <c r="B3">
        <v>2.158795</v>
      </c>
      <c r="C3">
        <f>A3</f>
        <v>2.9161079999999999</v>
      </c>
      <c r="D3">
        <v>1.4103380000000001</v>
      </c>
      <c r="G3">
        <v>2.9161079999999999</v>
      </c>
      <c r="H3">
        <v>2.12269</v>
      </c>
      <c r="I3">
        <f>G3</f>
        <v>2.9161079999999999</v>
      </c>
      <c r="J3">
        <v>1.358495</v>
      </c>
      <c r="P3" t="s">
        <v>33</v>
      </c>
      <c r="Q3" s="5">
        <v>1.1515404812393E-7</v>
      </c>
    </row>
    <row r="4" spans="1:18" x14ac:dyDescent="0.25">
      <c r="A4">
        <v>5.0508480000000002</v>
      </c>
      <c r="B4">
        <v>1.7802279999999999</v>
      </c>
      <c r="C4">
        <f>A60</f>
        <v>2650.0061569999998</v>
      </c>
      <c r="D4">
        <v>1.4103380000000001</v>
      </c>
      <c r="G4">
        <v>5.0508480000000002</v>
      </c>
      <c r="H4">
        <v>1.717273</v>
      </c>
      <c r="I4">
        <f>G61</f>
        <v>2650.0061569999998</v>
      </c>
      <c r="J4">
        <v>1.358495</v>
      </c>
      <c r="P4" t="s">
        <v>34</v>
      </c>
      <c r="Q4" s="5">
        <v>2.3868043286562098E-7</v>
      </c>
    </row>
    <row r="5" spans="1:18" x14ac:dyDescent="0.25">
      <c r="A5">
        <v>7.1429780000000003</v>
      </c>
      <c r="B5">
        <v>1.5755079999999999</v>
      </c>
      <c r="G5">
        <v>7.1429780000000003</v>
      </c>
      <c r="H5">
        <v>1.5231730000000001</v>
      </c>
      <c r="P5" t="s">
        <v>35</v>
      </c>
      <c r="Q5">
        <v>8.7058186492145495</v>
      </c>
    </row>
    <row r="6" spans="1:18" x14ac:dyDescent="0.25">
      <c r="A6">
        <v>9.2215439999999997</v>
      </c>
      <c r="B6">
        <v>1.551139</v>
      </c>
      <c r="G6">
        <v>9.2215439999999997</v>
      </c>
      <c r="H6">
        <v>1.479698</v>
      </c>
      <c r="P6" t="s">
        <v>36</v>
      </c>
      <c r="Q6">
        <v>1.35046431977877</v>
      </c>
    </row>
    <row r="7" spans="1:18" x14ac:dyDescent="0.25">
      <c r="A7">
        <v>11.294039</v>
      </c>
      <c r="B7">
        <v>1.4802489999999999</v>
      </c>
      <c r="C7">
        <f>A3</f>
        <v>2.9161079999999999</v>
      </c>
      <c r="D7">
        <v>1.849926</v>
      </c>
      <c r="G7">
        <v>11.294039</v>
      </c>
      <c r="H7">
        <v>1.4108940000000001</v>
      </c>
      <c r="I7">
        <f>G3</f>
        <v>2.9161079999999999</v>
      </c>
      <c r="J7">
        <v>1.8306899999999999</v>
      </c>
    </row>
    <row r="8" spans="1:18" x14ac:dyDescent="0.25">
      <c r="A8">
        <v>13.363287</v>
      </c>
      <c r="B8">
        <v>1.4322220000000001</v>
      </c>
      <c r="C8">
        <f>A60</f>
        <v>2650.0061569999998</v>
      </c>
      <c r="D8">
        <v>1.849926</v>
      </c>
      <c r="G8">
        <v>13.363287</v>
      </c>
      <c r="H8">
        <v>1.3678049999999999</v>
      </c>
      <c r="I8">
        <f>G61</f>
        <v>2650.0061569999998</v>
      </c>
      <c r="J8">
        <v>1.8306899999999999</v>
      </c>
    </row>
    <row r="9" spans="1:18" x14ac:dyDescent="0.25">
      <c r="A9">
        <v>15.430595</v>
      </c>
      <c r="B9">
        <v>1.434409</v>
      </c>
      <c r="G9">
        <v>15.430595</v>
      </c>
      <c r="H9">
        <v>1.3678049999999999</v>
      </c>
    </row>
    <row r="10" spans="1:18" x14ac:dyDescent="0.25">
      <c r="A10">
        <v>17.496649999999999</v>
      </c>
      <c r="B10">
        <v>1.4423189999999999</v>
      </c>
      <c r="G10">
        <v>17.496649999999999</v>
      </c>
      <c r="H10">
        <v>1.376034</v>
      </c>
    </row>
    <row r="11" spans="1:18" x14ac:dyDescent="0.25">
      <c r="A11">
        <v>19.56185</v>
      </c>
      <c r="B11">
        <v>1.4499919999999999</v>
      </c>
      <c r="C11">
        <f>A29</f>
        <v>77.263114999999999</v>
      </c>
      <c r="D11">
        <f>(D7+D3)/2</f>
        <v>1.6301320000000001</v>
      </c>
      <c r="G11">
        <v>19.56185</v>
      </c>
      <c r="H11">
        <v>1.3847799999999999</v>
      </c>
      <c r="I11">
        <f>G21</f>
        <v>42.258425000000003</v>
      </c>
      <c r="J11">
        <f>(J7+J3)/2</f>
        <v>1.5945925000000001</v>
      </c>
    </row>
    <row r="12" spans="1:18" x14ac:dyDescent="0.25">
      <c r="A12">
        <v>21.626438</v>
      </c>
      <c r="B12">
        <v>1.428579</v>
      </c>
      <c r="C12">
        <f>A36</f>
        <v>128.77185900000001</v>
      </c>
      <c r="D12">
        <f>(D8+D4)/2</f>
        <v>1.6301320000000001</v>
      </c>
      <c r="G12">
        <v>21.626438</v>
      </c>
      <c r="H12">
        <v>1.369632</v>
      </c>
      <c r="I12">
        <f>G28</f>
        <v>71.071729000000005</v>
      </c>
      <c r="J12">
        <f>(J8+J4)/2</f>
        <v>1.5945925000000001</v>
      </c>
      <c r="L12">
        <f>G3</f>
        <v>2.9161079999999999</v>
      </c>
      <c r="N12">
        <f>J3</f>
        <v>1.358495</v>
      </c>
      <c r="P12">
        <f>G3</f>
        <v>2.9161079999999999</v>
      </c>
      <c r="R12">
        <f>R13</f>
        <v>1.3679376731616018</v>
      </c>
    </row>
    <row r="13" spans="1:18" x14ac:dyDescent="0.25">
      <c r="A13">
        <v>23.690576</v>
      </c>
      <c r="B13">
        <v>1.4103380000000001</v>
      </c>
      <c r="G13">
        <v>23.690576</v>
      </c>
      <c r="H13">
        <v>1.358495</v>
      </c>
      <c r="L13">
        <f>G13</f>
        <v>23.690576</v>
      </c>
      <c r="M13">
        <f>LOG10(L13)</f>
        <v>1.3745756200549939</v>
      </c>
      <c r="N13">
        <f>J4</f>
        <v>1.358495</v>
      </c>
      <c r="P13">
        <f>G13</f>
        <v>23.690576</v>
      </c>
      <c r="Q13">
        <f>LOG10(P13)</f>
        <v>1.3745756200549939</v>
      </c>
      <c r="R13">
        <f xml:space="preserve"> ( ( $Q$3 ) / ( $Q$4 + EXP( -$Q$5 *Q13 ) ) ) + $Q$6</f>
        <v>1.3679376731616018</v>
      </c>
    </row>
    <row r="14" spans="1:18" x14ac:dyDescent="0.25">
      <c r="A14">
        <v>25.754372</v>
      </c>
      <c r="B14">
        <v>1.430139</v>
      </c>
      <c r="G14">
        <v>25.754372</v>
      </c>
      <c r="H14">
        <v>1.382803</v>
      </c>
      <c r="L14">
        <f>G14</f>
        <v>25.754372</v>
      </c>
      <c r="M14">
        <f>LOG10(L14)</f>
        <v>1.410850964418118</v>
      </c>
      <c r="N14">
        <f xml:space="preserve"> ( ( $Q$3 ) / ( $Q$4 + EXP( -$Q$5 *LOG10( L14 ) ) ) ) + $Q$6</f>
        <v>1.3741086536398319</v>
      </c>
      <c r="P14">
        <f>10^Q14</f>
        <v>24.242400403894624</v>
      </c>
      <c r="Q14">
        <f>Q13+0.01</f>
        <v>1.3845756200549939</v>
      </c>
      <c r="R14">
        <f xml:space="preserve"> ( ( $Q$3 ) / ( $Q$4 + EXP( -$Q$5 *Q14 ) ) ) + $Q$6</f>
        <v>1.3694644596909309</v>
      </c>
    </row>
    <row r="15" spans="1:18" x14ac:dyDescent="0.25">
      <c r="A15">
        <v>27.817900999999999</v>
      </c>
      <c r="B15">
        <v>1.427632</v>
      </c>
      <c r="C15">
        <v>102.577915177976</v>
      </c>
      <c r="D15">
        <v>1.6301319999999999</v>
      </c>
      <c r="G15">
        <v>27.817900999999999</v>
      </c>
      <c r="H15">
        <v>1.387248</v>
      </c>
      <c r="I15">
        <v>56.139213410000004</v>
      </c>
      <c r="J15">
        <v>1.5945925000000001</v>
      </c>
      <c r="L15">
        <f t="shared" ref="L15:L45" si="0">G15</f>
        <v>27.817900999999999</v>
      </c>
      <c r="M15">
        <f t="shared" ref="M15:M46" si="1">LOG10(L15)</f>
        <v>1.4443243571977802</v>
      </c>
      <c r="N15">
        <f t="shared" ref="N15:N45" si="2" xml:space="preserve"> ( ( $Q$3 ) / ( $Q$4 + EXP( -$Q$5 *LOG10( L15 ) ) ) ) + $Q$6</f>
        <v>1.3815918474037145</v>
      </c>
      <c r="P15">
        <f t="shared" ref="P15:P78" si="3">10^Q15</f>
        <v>24.807078449369492</v>
      </c>
      <c r="Q15">
        <f t="shared" ref="Q15:Q78" si="4">Q14+0.01</f>
        <v>1.3945756200549939</v>
      </c>
      <c r="R15">
        <f t="shared" ref="R15:R78" si="5" xml:space="preserve"> ( ( $Q$3 ) / ( $Q$4 + EXP( -$Q$5 *Q15 ) ) ) + $Q$6</f>
        <v>1.3711187278991981</v>
      </c>
    </row>
    <row r="16" spans="1:18" x14ac:dyDescent="0.25">
      <c r="A16">
        <v>29.881219000000002</v>
      </c>
      <c r="B16">
        <v>1.433481</v>
      </c>
      <c r="C16">
        <v>102.577915177976</v>
      </c>
      <c r="D16">
        <v>0</v>
      </c>
      <c r="G16">
        <v>29.881219000000002</v>
      </c>
      <c r="H16">
        <v>1.400496</v>
      </c>
      <c r="I16">
        <v>56.139213410000004</v>
      </c>
      <c r="J16">
        <v>0</v>
      </c>
      <c r="L16">
        <f t="shared" si="0"/>
        <v>29.881219000000002</v>
      </c>
      <c r="M16">
        <f t="shared" si="1"/>
        <v>1.4753983104852217</v>
      </c>
      <c r="N16">
        <f t="shared" si="2"/>
        <v>1.3904600342063536</v>
      </c>
      <c r="P16">
        <f t="shared" si="3"/>
        <v>25.384909536198727</v>
      </c>
      <c r="Q16">
        <f t="shared" si="4"/>
        <v>1.4045756200549939</v>
      </c>
      <c r="R16">
        <f t="shared" si="5"/>
        <v>1.3729100512962404</v>
      </c>
    </row>
    <row r="17" spans="1:18" x14ac:dyDescent="0.25">
      <c r="A17">
        <v>31.944367</v>
      </c>
      <c r="B17">
        <v>1.4206589999999999</v>
      </c>
      <c r="G17">
        <v>31.944367</v>
      </c>
      <c r="H17">
        <v>1.3965460000000001</v>
      </c>
      <c r="L17">
        <f t="shared" si="0"/>
        <v>31.944367</v>
      </c>
      <c r="M17">
        <f t="shared" si="1"/>
        <v>1.5043942867041651</v>
      </c>
      <c r="N17">
        <f t="shared" si="2"/>
        <v>1.40074797345038</v>
      </c>
      <c r="P17">
        <f t="shared" si="3"/>
        <v>25.976200038073042</v>
      </c>
      <c r="Q17">
        <f t="shared" si="4"/>
        <v>1.4145756200549939</v>
      </c>
      <c r="R17">
        <f t="shared" si="5"/>
        <v>1.3748485300670412</v>
      </c>
    </row>
    <row r="18" spans="1:18" x14ac:dyDescent="0.25">
      <c r="A18">
        <v>34.007375000000003</v>
      </c>
      <c r="B18">
        <v>1.422585</v>
      </c>
      <c r="G18">
        <v>34.007375000000003</v>
      </c>
      <c r="H18">
        <v>1.407286</v>
      </c>
      <c r="L18">
        <f t="shared" si="0"/>
        <v>34.007375000000003</v>
      </c>
      <c r="M18">
        <f t="shared" si="1"/>
        <v>1.5315731104092714</v>
      </c>
      <c r="N18">
        <f t="shared" si="2"/>
        <v>1.4124467767900777</v>
      </c>
      <c r="P18">
        <f t="shared" si="3"/>
        <v>26.5812634650432</v>
      </c>
      <c r="Q18">
        <f t="shared" si="4"/>
        <v>1.4245756200549939</v>
      </c>
      <c r="R18">
        <f t="shared" si="5"/>
        <v>1.3769447845202891</v>
      </c>
    </row>
    <row r="19" spans="1:18" x14ac:dyDescent="0.25">
      <c r="A19">
        <v>36.070267999999999</v>
      </c>
      <c r="B19">
        <v>1.422129</v>
      </c>
      <c r="G19">
        <v>36.070267999999999</v>
      </c>
      <c r="H19">
        <v>1.4171830000000001</v>
      </c>
      <c r="L19">
        <f t="shared" si="0"/>
        <v>36.070267999999999</v>
      </c>
      <c r="M19">
        <f t="shared" si="1"/>
        <v>1.5571493691131721</v>
      </c>
      <c r="N19">
        <f t="shared" si="2"/>
        <v>1.4255008961810414</v>
      </c>
      <c r="P19">
        <f t="shared" si="3"/>
        <v>27.200420629747139</v>
      </c>
      <c r="Q19">
        <f t="shared" si="4"/>
        <v>1.4345756200549939</v>
      </c>
      <c r="R19">
        <f t="shared" si="5"/>
        <v>1.3792099404500289</v>
      </c>
    </row>
    <row r="20" spans="1:18" x14ac:dyDescent="0.25">
      <c r="A20">
        <v>39.123699000000002</v>
      </c>
      <c r="B20">
        <v>1.433716</v>
      </c>
      <c r="G20">
        <v>39.123699000000002</v>
      </c>
      <c r="H20">
        <v>1.4534830000000001</v>
      </c>
      <c r="L20">
        <f t="shared" si="0"/>
        <v>39.123699000000002</v>
      </c>
      <c r="M20">
        <f t="shared" si="1"/>
        <v>1.5924399089822301</v>
      </c>
      <c r="N20">
        <f t="shared" si="2"/>
        <v>1.4470837714778533</v>
      </c>
      <c r="P20">
        <f t="shared" si="3"/>
        <v>27.833999817509117</v>
      </c>
      <c r="Q20">
        <f t="shared" si="4"/>
        <v>1.444575620054994</v>
      </c>
      <c r="R20">
        <f t="shared" si="5"/>
        <v>1.3816556049523385</v>
      </c>
    </row>
    <row r="21" spans="1:18" x14ac:dyDescent="0.25">
      <c r="A21">
        <v>42.258425000000003</v>
      </c>
      <c r="B21">
        <v>1.426439</v>
      </c>
      <c r="G21">
        <v>42.258425000000003</v>
      </c>
      <c r="H21">
        <v>1.4594780000000001</v>
      </c>
      <c r="L21">
        <f t="shared" si="0"/>
        <v>42.258425000000003</v>
      </c>
      <c r="M21">
        <f t="shared" si="1"/>
        <v>1.6259133065696862</v>
      </c>
      <c r="N21">
        <f t="shared" si="2"/>
        <v>1.4715668112328515</v>
      </c>
      <c r="P21">
        <f t="shared" si="3"/>
        <v>28.482336960400865</v>
      </c>
      <c r="Q21">
        <f t="shared" si="4"/>
        <v>1.454575620054994</v>
      </c>
      <c r="R21">
        <f t="shared" si="5"/>
        <v>1.3842938311241249</v>
      </c>
    </row>
    <row r="22" spans="1:18" x14ac:dyDescent="0.25">
      <c r="A22">
        <v>45.317112000000002</v>
      </c>
      <c r="B22">
        <v>1.4366989999999999</v>
      </c>
      <c r="G22">
        <v>45.317112000000002</v>
      </c>
      <c r="H22">
        <v>1.499946</v>
      </c>
      <c r="L22">
        <f t="shared" si="0"/>
        <v>45.317112000000002</v>
      </c>
      <c r="M22">
        <f t="shared" si="1"/>
        <v>1.6562622250565737</v>
      </c>
      <c r="N22">
        <f t="shared" si="2"/>
        <v>1.497061102733672</v>
      </c>
      <c r="P22">
        <f t="shared" si="3"/>
        <v>29.145775815357318</v>
      </c>
      <c r="Q22">
        <f t="shared" si="4"/>
        <v>1.464575620054994</v>
      </c>
      <c r="R22">
        <f t="shared" si="5"/>
        <v>1.3871370699773531</v>
      </c>
    </row>
    <row r="23" spans="1:18" x14ac:dyDescent="0.25">
      <c r="A23">
        <v>49.445022999999999</v>
      </c>
      <c r="B23">
        <v>1.4474290000000001</v>
      </c>
      <c r="G23">
        <v>49.445022999999999</v>
      </c>
      <c r="H23">
        <v>1.5421910000000001</v>
      </c>
      <c r="L23">
        <f t="shared" si="0"/>
        <v>49.445022999999999</v>
      </c>
      <c r="M23">
        <f t="shared" si="1"/>
        <v>1.6941225832452855</v>
      </c>
      <c r="N23">
        <f t="shared" si="2"/>
        <v>1.5326792285746584</v>
      </c>
      <c r="P23">
        <f t="shared" si="3"/>
        <v>29.824668146441024</v>
      </c>
      <c r="Q23">
        <f t="shared" si="4"/>
        <v>1.474575620054994</v>
      </c>
      <c r="R23">
        <f t="shared" si="5"/>
        <v>1.3901981078400389</v>
      </c>
    </row>
    <row r="24" spans="1:18" x14ac:dyDescent="0.25">
      <c r="A24">
        <v>53.572330999999998</v>
      </c>
      <c r="B24">
        <v>1.4557990000000001</v>
      </c>
      <c r="G24">
        <v>53.572330999999998</v>
      </c>
      <c r="H24">
        <v>1.5774490000000001</v>
      </c>
      <c r="L24">
        <f t="shared" si="0"/>
        <v>53.572330999999998</v>
      </c>
      <c r="M24">
        <f t="shared" si="1"/>
        <v>1.7289405434871563</v>
      </c>
      <c r="N24">
        <f t="shared" si="2"/>
        <v>1.5680941783361262</v>
      </c>
      <c r="P24">
        <f t="shared" si="3"/>
        <v>30.519373911352137</v>
      </c>
      <c r="Q24">
        <f t="shared" si="4"/>
        <v>1.484575620054994</v>
      </c>
      <c r="R24">
        <f t="shared" si="5"/>
        <v>1.3934899874979183</v>
      </c>
    </row>
    <row r="25" spans="1:18" x14ac:dyDescent="0.25">
      <c r="A25">
        <v>57.699167000000003</v>
      </c>
      <c r="B25">
        <v>1.460572</v>
      </c>
      <c r="G25">
        <v>57.699167000000003</v>
      </c>
      <c r="H25">
        <v>1.605011</v>
      </c>
      <c r="L25">
        <f t="shared" si="0"/>
        <v>57.699167000000003</v>
      </c>
      <c r="M25">
        <f t="shared" si="1"/>
        <v>1.7611695433131869</v>
      </c>
      <c r="N25">
        <f t="shared" si="2"/>
        <v>1.6018546502960018</v>
      </c>
      <c r="P25">
        <f t="shared" si="3"/>
        <v>31.230261452282708</v>
      </c>
      <c r="Q25">
        <f t="shared" si="4"/>
        <v>1.494575620054994</v>
      </c>
      <c r="R25">
        <f t="shared" si="5"/>
        <v>1.3970259113725885</v>
      </c>
    </row>
    <row r="26" spans="1:18" x14ac:dyDescent="0.25">
      <c r="A26">
        <v>61.825623999999998</v>
      </c>
      <c r="B26">
        <v>1.4701280000000001</v>
      </c>
      <c r="G26">
        <v>61.825623999999998</v>
      </c>
      <c r="H26">
        <v>1.6358079999999999</v>
      </c>
      <c r="L26">
        <f t="shared" si="0"/>
        <v>61.825623999999998</v>
      </c>
      <c r="M26">
        <f t="shared" si="1"/>
        <v>1.7911685083473521</v>
      </c>
      <c r="N26">
        <f t="shared" si="2"/>
        <v>1.6329517589671161</v>
      </c>
      <c r="P26">
        <f t="shared" si="3"/>
        <v>31.957707691216662</v>
      </c>
      <c r="Q26">
        <f t="shared" si="4"/>
        <v>1.504575620054994</v>
      </c>
      <c r="R26">
        <f t="shared" si="5"/>
        <v>1.4008191251495608</v>
      </c>
    </row>
    <row r="27" spans="1:18" x14ac:dyDescent="0.25">
      <c r="A27">
        <v>65.951773000000003</v>
      </c>
      <c r="B27">
        <v>1.485201</v>
      </c>
      <c r="G27">
        <v>65.951773000000003</v>
      </c>
      <c r="H27">
        <v>1.666836</v>
      </c>
      <c r="L27">
        <f t="shared" si="0"/>
        <v>65.951773000000003</v>
      </c>
      <c r="M27">
        <f t="shared" si="1"/>
        <v>1.8192264752996123</v>
      </c>
      <c r="N27">
        <f t="shared" si="2"/>
        <v>1.660831544495883</v>
      </c>
      <c r="P27">
        <f t="shared" si="3"/>
        <v>32.702098329778778</v>
      </c>
      <c r="Q27">
        <f t="shared" si="4"/>
        <v>1.514575620054994</v>
      </c>
      <c r="R27">
        <f t="shared" si="5"/>
        <v>1.4048827804806889</v>
      </c>
    </row>
    <row r="28" spans="1:18" x14ac:dyDescent="0.25">
      <c r="A28">
        <v>71.071729000000005</v>
      </c>
      <c r="B28">
        <v>1.5038720000000001</v>
      </c>
      <c r="G28">
        <v>71.071729000000005</v>
      </c>
      <c r="H28">
        <v>1.699705</v>
      </c>
      <c r="L28">
        <f t="shared" si="0"/>
        <v>71.071729000000005</v>
      </c>
      <c r="M28">
        <f t="shared" si="1"/>
        <v>1.8516968808853067</v>
      </c>
      <c r="N28">
        <f t="shared" si="2"/>
        <v>1.6907172878855186</v>
      </c>
      <c r="P28">
        <f t="shared" si="3"/>
        <v>33.463828053738773</v>
      </c>
      <c r="Q28">
        <f t="shared" si="4"/>
        <v>1.524575620054994</v>
      </c>
      <c r="R28">
        <f t="shared" si="5"/>
        <v>1.4092297757078824</v>
      </c>
    </row>
    <row r="29" spans="1:18" x14ac:dyDescent="0.25">
      <c r="A29">
        <v>77.263114999999999</v>
      </c>
      <c r="B29">
        <v>1.530875</v>
      </c>
      <c r="G29">
        <v>77.263114999999999</v>
      </c>
      <c r="H29">
        <v>1.734605</v>
      </c>
      <c r="L29">
        <f t="shared" si="0"/>
        <v>77.263114999999999</v>
      </c>
      <c r="M29">
        <f t="shared" si="1"/>
        <v>1.8879722135167998</v>
      </c>
      <c r="N29">
        <f t="shared" si="2"/>
        <v>1.7202320371327349</v>
      </c>
      <c r="P29">
        <f t="shared" si="3"/>
        <v>34.24330074227899</v>
      </c>
      <c r="Q29">
        <f t="shared" si="4"/>
        <v>1.534575620054994</v>
      </c>
      <c r="R29">
        <f t="shared" si="5"/>
        <v>1.4138725740060256</v>
      </c>
    </row>
    <row r="30" spans="1:18" x14ac:dyDescent="0.25">
      <c r="A30">
        <v>83.453703000000004</v>
      </c>
      <c r="B30">
        <v>1.549984</v>
      </c>
      <c r="G30">
        <v>83.453703000000004</v>
      </c>
      <c r="H30">
        <v>1.7522200000000001</v>
      </c>
      <c r="L30">
        <f t="shared" si="0"/>
        <v>83.453703000000004</v>
      </c>
      <c r="M30">
        <f t="shared" si="1"/>
        <v>1.9214456119174426</v>
      </c>
      <c r="N30">
        <f t="shared" si="2"/>
        <v>1.7434360536709392</v>
      </c>
      <c r="P30">
        <f t="shared" si="3"/>
        <v>35.040929682136436</v>
      </c>
      <c r="Q30">
        <f t="shared" si="4"/>
        <v>1.544575620054994</v>
      </c>
      <c r="R30">
        <f t="shared" si="5"/>
        <v>1.4188229989373429</v>
      </c>
    </row>
    <row r="31" spans="1:18" x14ac:dyDescent="0.25">
      <c r="A31">
        <v>89.643657000000005</v>
      </c>
      <c r="B31">
        <v>1.5775030000000001</v>
      </c>
      <c r="G31">
        <v>89.643657000000005</v>
      </c>
      <c r="H31">
        <v>1.7718579999999999</v>
      </c>
      <c r="L31">
        <f t="shared" si="0"/>
        <v>89.643657000000005</v>
      </c>
      <c r="M31">
        <f t="shared" si="1"/>
        <v>1.9525195652048841</v>
      </c>
      <c r="N31">
        <f t="shared" si="2"/>
        <v>1.7615070687187822</v>
      </c>
      <c r="P31">
        <f t="shared" si="3"/>
        <v>35.857137786732899</v>
      </c>
      <c r="Q31">
        <f t="shared" si="4"/>
        <v>1.5545756200549941</v>
      </c>
      <c r="R31">
        <f t="shared" si="5"/>
        <v>1.4240920081572772</v>
      </c>
    </row>
    <row r="32" spans="1:18" x14ac:dyDescent="0.25">
      <c r="A32">
        <v>95.833100000000002</v>
      </c>
      <c r="B32">
        <v>1.5957920000000001</v>
      </c>
      <c r="G32">
        <v>95.833100000000002</v>
      </c>
      <c r="H32">
        <v>1.7760910000000001</v>
      </c>
      <c r="L32">
        <f t="shared" si="0"/>
        <v>95.833100000000002</v>
      </c>
      <c r="M32">
        <f t="shared" si="1"/>
        <v>1.9815155368920481</v>
      </c>
      <c r="N32">
        <f t="shared" si="2"/>
        <v>1.7755450263544958</v>
      </c>
      <c r="P32">
        <f t="shared" si="3"/>
        <v>36.692357820409207</v>
      </c>
      <c r="Q32">
        <f t="shared" si="4"/>
        <v>1.5645756200549941</v>
      </c>
      <c r="R32">
        <f t="shared" si="5"/>
        <v>1.4296894469165866</v>
      </c>
    </row>
    <row r="33" spans="1:18" x14ac:dyDescent="0.25">
      <c r="A33">
        <v>103.017487</v>
      </c>
      <c r="B33">
        <v>1.6323700000000001</v>
      </c>
      <c r="G33">
        <v>103.017487</v>
      </c>
      <c r="H33">
        <v>1.7898259999999999</v>
      </c>
      <c r="L33">
        <f t="shared" si="0"/>
        <v>103.017487</v>
      </c>
      <c r="M33">
        <f t="shared" si="1"/>
        <v>2.0129109515303449</v>
      </c>
      <c r="N33">
        <f t="shared" si="2"/>
        <v>1.7879896166704954</v>
      </c>
      <c r="P33">
        <f t="shared" si="3"/>
        <v>37.547032627882658</v>
      </c>
      <c r="Q33">
        <f t="shared" si="4"/>
        <v>1.5745756200549941</v>
      </c>
      <c r="R33">
        <f t="shared" si="5"/>
        <v>1.4356237840594355</v>
      </c>
    </row>
    <row r="34" spans="1:18" x14ac:dyDescent="0.25">
      <c r="A34">
        <v>111.271603</v>
      </c>
      <c r="B34">
        <v>1.660501</v>
      </c>
      <c r="G34">
        <v>111.271603</v>
      </c>
      <c r="H34">
        <v>1.793804</v>
      </c>
      <c r="L34">
        <f t="shared" si="0"/>
        <v>111.271603</v>
      </c>
      <c r="M34">
        <f t="shared" si="1"/>
        <v>2.0463843446227297</v>
      </c>
      <c r="N34">
        <f t="shared" si="2"/>
        <v>1.7985394925591407</v>
      </c>
      <c r="P34">
        <f t="shared" si="3"/>
        <v>38.42161536904915</v>
      </c>
      <c r="Q34">
        <f t="shared" si="4"/>
        <v>1.5845756200549941</v>
      </c>
      <c r="R34">
        <f t="shared" si="5"/>
        <v>1.4419018344039927</v>
      </c>
    </row>
    <row r="35" spans="1:18" x14ac:dyDescent="0.25">
      <c r="A35">
        <v>119.52487499999999</v>
      </c>
      <c r="B35">
        <v>1.684723</v>
      </c>
      <c r="G35">
        <v>119.52487499999999</v>
      </c>
      <c r="H35">
        <v>1.796953</v>
      </c>
      <c r="L35">
        <f t="shared" si="0"/>
        <v>119.52487499999999</v>
      </c>
      <c r="M35">
        <f t="shared" si="1"/>
        <v>2.077458298179677</v>
      </c>
      <c r="N35">
        <f t="shared" si="2"/>
        <v>1.8062388719488618</v>
      </c>
      <c r="P35">
        <f t="shared" si="3"/>
        <v>39.316569759254534</v>
      </c>
      <c r="Q35">
        <f t="shared" si="4"/>
        <v>1.5945756200549941</v>
      </c>
      <c r="R35">
        <f t="shared" si="5"/>
        <v>1.448528472676633</v>
      </c>
    </row>
    <row r="36" spans="1:18" x14ac:dyDescent="0.25">
      <c r="A36">
        <v>128.77185900000001</v>
      </c>
      <c r="B36">
        <v>1.716343</v>
      </c>
      <c r="G36">
        <v>128.77185900000001</v>
      </c>
      <c r="H36">
        <v>1.8071619999999999</v>
      </c>
      <c r="L36">
        <f t="shared" si="0"/>
        <v>128.77185900000001</v>
      </c>
      <c r="M36">
        <f t="shared" si="1"/>
        <v>2.1098209653815485</v>
      </c>
      <c r="N36">
        <f t="shared" si="2"/>
        <v>1.8125141066971602</v>
      </c>
      <c r="P36">
        <f t="shared" si="3"/>
        <v>40.232370315162576</v>
      </c>
      <c r="Q36">
        <f t="shared" si="4"/>
        <v>1.6045756200549941</v>
      </c>
      <c r="R36">
        <f t="shared" si="5"/>
        <v>1.4555063455025019</v>
      </c>
    </row>
    <row r="37" spans="1:18" x14ac:dyDescent="0.25">
      <c r="A37">
        <v>139.08950400000001</v>
      </c>
      <c r="B37">
        <v>1.739169</v>
      </c>
      <c r="G37">
        <v>139.08950400000001</v>
      </c>
      <c r="H37">
        <v>1.809275</v>
      </c>
      <c r="L37">
        <f t="shared" si="0"/>
        <v>139.08950400000001</v>
      </c>
      <c r="M37">
        <f t="shared" si="1"/>
        <v>2.1432943584113886</v>
      </c>
      <c r="N37">
        <f t="shared" si="2"/>
        <v>1.8175090963040088</v>
      </c>
      <c r="P37">
        <f t="shared" si="3"/>
        <v>41.169502606350093</v>
      </c>
      <c r="Q37">
        <f t="shared" si="4"/>
        <v>1.6145756200549941</v>
      </c>
      <c r="R37">
        <f t="shared" si="5"/>
        <v>1.4628355892652856</v>
      </c>
    </row>
    <row r="38" spans="1:18" x14ac:dyDescent="0.25">
      <c r="A38">
        <v>150.39883699999999</v>
      </c>
      <c r="B38">
        <v>1.763333</v>
      </c>
      <c r="G38">
        <v>150.39883699999999</v>
      </c>
      <c r="H38">
        <v>1.8149789999999999</v>
      </c>
      <c r="L38">
        <f t="shared" si="0"/>
        <v>150.39883699999999</v>
      </c>
      <c r="M38">
        <f t="shared" si="1"/>
        <v>2.1772444779681548</v>
      </c>
      <c r="N38">
        <f t="shared" si="2"/>
        <v>1.8213594014673316</v>
      </c>
      <c r="P38">
        <f t="shared" si="3"/>
        <v>42.128463512762288</v>
      </c>
      <c r="Q38">
        <f t="shared" si="4"/>
        <v>1.6245756200549941</v>
      </c>
      <c r="R38">
        <f t="shared" si="5"/>
        <v>1.4705135628517325</v>
      </c>
    </row>
    <row r="39" spans="1:18" x14ac:dyDescent="0.25">
      <c r="A39">
        <v>161.78489300000001</v>
      </c>
      <c r="B39">
        <v>1.7793129999999999</v>
      </c>
      <c r="G39">
        <v>161.78489300000001</v>
      </c>
      <c r="H39">
        <v>1.819958</v>
      </c>
      <c r="L39">
        <f t="shared" si="0"/>
        <v>161.78489300000001</v>
      </c>
      <c r="M39">
        <f t="shared" si="1"/>
        <v>2.2089379660213289</v>
      </c>
      <c r="N39">
        <f t="shared" si="2"/>
        <v>1.8240972458847091</v>
      </c>
      <c r="P39">
        <f t="shared" si="3"/>
        <v>43.109761488165105</v>
      </c>
      <c r="Q39">
        <f t="shared" si="4"/>
        <v>1.6345756200549941</v>
      </c>
      <c r="R39">
        <f t="shared" si="5"/>
        <v>1.4785346052916413</v>
      </c>
    </row>
    <row r="40" spans="1:18" x14ac:dyDescent="0.25">
      <c r="A40">
        <v>174.089471</v>
      </c>
      <c r="B40">
        <v>1.797693</v>
      </c>
      <c r="G40">
        <v>174.089471</v>
      </c>
      <c r="H40">
        <v>1.8246469999999999</v>
      </c>
      <c r="L40">
        <f t="shared" si="0"/>
        <v>174.089471</v>
      </c>
      <c r="M40">
        <f t="shared" si="1"/>
        <v>2.2407725056097143</v>
      </c>
      <c r="N40">
        <f t="shared" si="2"/>
        <v>1.8262044129125794</v>
      </c>
      <c r="P40">
        <f t="shared" si="3"/>
        <v>44.113916829734087</v>
      </c>
      <c r="Q40">
        <f t="shared" si="4"/>
        <v>1.6445756200549941</v>
      </c>
      <c r="R40">
        <f t="shared" si="5"/>
        <v>1.4868898289824457</v>
      </c>
    </row>
    <row r="41" spans="1:18" x14ac:dyDescent="0.25">
      <c r="A41">
        <v>188.534919</v>
      </c>
      <c r="B41">
        <v>1.81328</v>
      </c>
      <c r="G41">
        <v>188.534919</v>
      </c>
      <c r="H41">
        <v>1.8255570000000001</v>
      </c>
      <c r="L41">
        <f t="shared" si="0"/>
        <v>188.534919</v>
      </c>
      <c r="M41">
        <f t="shared" si="1"/>
        <v>2.2753917987038386</v>
      </c>
      <c r="N41">
        <f t="shared" si="2"/>
        <v>1.8279352244387046</v>
      </c>
      <c r="P41">
        <f t="shared" si="3"/>
        <v>45.141461953922907</v>
      </c>
      <c r="Q41">
        <f t="shared" si="4"/>
        <v>1.6545756200549941</v>
      </c>
      <c r="R41">
        <f t="shared" si="5"/>
        <v>1.4955669594387904</v>
      </c>
    </row>
    <row r="42" spans="1:18" x14ac:dyDescent="0.25">
      <c r="A42">
        <v>202.97873899999999</v>
      </c>
      <c r="B42">
        <v>1.8223659999999999</v>
      </c>
      <c r="G42">
        <v>202.97873899999999</v>
      </c>
      <c r="H42">
        <v>1.8272079999999999</v>
      </c>
      <c r="L42">
        <f t="shared" si="0"/>
        <v>202.97873899999999</v>
      </c>
      <c r="M42">
        <f t="shared" si="1"/>
        <v>2.3074505501371241</v>
      </c>
      <c r="N42">
        <f t="shared" si="2"/>
        <v>1.8291409979298152</v>
      </c>
      <c r="P42">
        <f t="shared" si="3"/>
        <v>46.192941678757606</v>
      </c>
      <c r="Q42">
        <f t="shared" si="4"/>
        <v>1.6645756200549942</v>
      </c>
      <c r="R42">
        <f t="shared" si="5"/>
        <v>1.5045502322302706</v>
      </c>
    </row>
    <row r="43" spans="1:18" x14ac:dyDescent="0.25">
      <c r="A43">
        <v>218.41632200000001</v>
      </c>
      <c r="B43">
        <v>1.8294969999999999</v>
      </c>
      <c r="G43">
        <v>218.41632200000001</v>
      </c>
      <c r="H43">
        <v>1.828873</v>
      </c>
      <c r="L43">
        <f t="shared" si="0"/>
        <v>218.41632200000001</v>
      </c>
      <c r="M43">
        <f t="shared" si="1"/>
        <v>2.3392850895714692</v>
      </c>
      <c r="N43">
        <f t="shared" si="2"/>
        <v>1.8300516072820781</v>
      </c>
      <c r="P43">
        <f t="shared" si="3"/>
        <v>47.268913512706227</v>
      </c>
      <c r="Q43">
        <f t="shared" si="4"/>
        <v>1.6745756200549942</v>
      </c>
      <c r="R43">
        <f t="shared" si="5"/>
        <v>1.5138203568845789</v>
      </c>
    </row>
    <row r="44" spans="1:18" x14ac:dyDescent="0.25">
      <c r="A44">
        <v>234.92325399999999</v>
      </c>
      <c r="B44">
        <v>1.838023</v>
      </c>
      <c r="G44">
        <v>234.92325399999999</v>
      </c>
      <c r="H44">
        <v>1.8292980000000001</v>
      </c>
      <c r="L44">
        <f t="shared" si="0"/>
        <v>234.92325399999999</v>
      </c>
      <c r="M44">
        <f t="shared" si="1"/>
        <v>2.3709260077696626</v>
      </c>
      <c r="N44">
        <f t="shared" si="2"/>
        <v>1.8307404462061343</v>
      </c>
      <c r="P44">
        <f t="shared" si="3"/>
        <v>48.369947950277322</v>
      </c>
      <c r="Q44">
        <f t="shared" si="4"/>
        <v>1.6845756200549942</v>
      </c>
      <c r="R44">
        <f t="shared" si="5"/>
        <v>1.5233545559922101</v>
      </c>
    </row>
    <row r="45" spans="1:18" x14ac:dyDescent="0.25">
      <c r="A45">
        <v>252.42451199999999</v>
      </c>
      <c r="B45">
        <v>1.8435760000000001</v>
      </c>
      <c r="G45">
        <v>252.42451199999999</v>
      </c>
      <c r="H45">
        <v>1.828719</v>
      </c>
      <c r="L45">
        <f t="shared" si="0"/>
        <v>252.42451199999999</v>
      </c>
      <c r="M45">
        <f t="shared" si="1"/>
        <v>2.4021315253322193</v>
      </c>
      <c r="N45">
        <f t="shared" si="2"/>
        <v>1.831258465958348</v>
      </c>
      <c r="P45">
        <f t="shared" si="3"/>
        <v>49.496628774503606</v>
      </c>
      <c r="Q45">
        <f t="shared" si="4"/>
        <v>1.6945756200549942</v>
      </c>
      <c r="R45">
        <f t="shared" si="5"/>
        <v>1.5331266855515171</v>
      </c>
    </row>
    <row r="46" spans="1:18" x14ac:dyDescent="0.25">
      <c r="A46">
        <v>271.98866500000003</v>
      </c>
      <c r="B46">
        <v>1.8483240000000001</v>
      </c>
      <c r="G46">
        <v>271.98866500000003</v>
      </c>
      <c r="H46">
        <v>1.8306899999999999</v>
      </c>
      <c r="L46">
        <f>G46</f>
        <v>271.98866500000003</v>
      </c>
      <c r="M46">
        <f t="shared" si="1"/>
        <v>2.4345508053925551</v>
      </c>
      <c r="N46">
        <f>J7</f>
        <v>1.8306899999999999</v>
      </c>
      <c r="P46">
        <f t="shared" si="3"/>
        <v>50.649553366471494</v>
      </c>
      <c r="Q46">
        <f t="shared" si="4"/>
        <v>1.7045756200549942</v>
      </c>
      <c r="R46">
        <f t="shared" si="5"/>
        <v>1.5431074397926134</v>
      </c>
    </row>
    <row r="47" spans="1:18" x14ac:dyDescent="0.25">
      <c r="A47">
        <v>293.61605700000001</v>
      </c>
      <c r="B47">
        <v>1.849674</v>
      </c>
      <c r="G47">
        <v>293.61605700000001</v>
      </c>
      <c r="H47">
        <v>1.828713</v>
      </c>
      <c r="L47">
        <f>I8</f>
        <v>2650.0061569999998</v>
      </c>
      <c r="N47">
        <f>J8</f>
        <v>1.8306899999999999</v>
      </c>
      <c r="P47">
        <f t="shared" si="3"/>
        <v>51.829333022060354</v>
      </c>
      <c r="Q47">
        <f t="shared" si="4"/>
        <v>1.7145756200549942</v>
      </c>
      <c r="R47">
        <f t="shared" si="5"/>
        <v>1.5532646404272166</v>
      </c>
    </row>
    <row r="48" spans="1:18" x14ac:dyDescent="0.25">
      <c r="A48">
        <v>316.31375700000001</v>
      </c>
      <c r="B48">
        <v>1.849926</v>
      </c>
      <c r="G48">
        <v>316.31375700000001</v>
      </c>
      <c r="H48">
        <v>1.8270839999999999</v>
      </c>
      <c r="P48">
        <f t="shared" si="3"/>
        <v>53.036593276059833</v>
      </c>
      <c r="Q48">
        <f t="shared" si="4"/>
        <v>1.7245756200549942</v>
      </c>
      <c r="R48">
        <f t="shared" si="5"/>
        <v>1.5635636066575525</v>
      </c>
    </row>
    <row r="49" spans="1:18" x14ac:dyDescent="0.25">
      <c r="A49">
        <v>353.64953200000002</v>
      </c>
      <c r="B49">
        <v>1.8482339999999999</v>
      </c>
      <c r="G49">
        <v>340.99769800000001</v>
      </c>
      <c r="H49">
        <v>1.825526</v>
      </c>
      <c r="P49">
        <f t="shared" si="3"/>
        <v>54.271974233836588</v>
      </c>
      <c r="Q49">
        <f t="shared" si="4"/>
        <v>1.7345756200549942</v>
      </c>
      <c r="R49">
        <f t="shared" si="5"/>
        <v>1.57396759855706</v>
      </c>
    </row>
    <row r="50" spans="1:18" x14ac:dyDescent="0.25">
      <c r="A50">
        <v>395.64079299999997</v>
      </c>
      <c r="B50">
        <v>1.844975</v>
      </c>
      <c r="G50">
        <v>367.82288699999998</v>
      </c>
      <c r="H50">
        <v>1.824252</v>
      </c>
      <c r="P50">
        <f t="shared" si="3"/>
        <v>55.536130910726627</v>
      </c>
      <c r="Q50">
        <f t="shared" si="4"/>
        <v>1.7445756200549942</v>
      </c>
      <c r="R50">
        <f t="shared" si="5"/>
        <v>1.5844383228565273</v>
      </c>
    </row>
    <row r="51" spans="1:18" x14ac:dyDescent="0.25">
      <c r="A51">
        <v>426.51511799999997</v>
      </c>
      <c r="B51">
        <v>1.8401259999999999</v>
      </c>
      <c r="G51">
        <v>395.64079299999997</v>
      </c>
      <c r="H51">
        <v>1.822754</v>
      </c>
      <c r="P51">
        <f t="shared" si="3"/>
        <v>56.829733579333123</v>
      </c>
      <c r="Q51">
        <f t="shared" si="4"/>
        <v>1.7545756200549942</v>
      </c>
      <c r="R51">
        <f t="shared" si="5"/>
        <v>1.5949364869890159</v>
      </c>
    </row>
    <row r="52" spans="1:18" x14ac:dyDescent="0.25">
      <c r="A52">
        <v>459.530012</v>
      </c>
      <c r="B52">
        <v>1.8355429999999999</v>
      </c>
      <c r="G52">
        <v>426.51511799999997</v>
      </c>
      <c r="H52">
        <v>1.819941</v>
      </c>
      <c r="P52">
        <f t="shared" si="3"/>
        <v>58.153468124913893</v>
      </c>
      <c r="Q52">
        <f t="shared" si="4"/>
        <v>1.7645756200549942</v>
      </c>
      <c r="R52">
        <f t="shared" si="5"/>
        <v>1.6054223847075679</v>
      </c>
    </row>
    <row r="53" spans="1:18" x14ac:dyDescent="0.25">
      <c r="A53">
        <v>513.05278299999998</v>
      </c>
      <c r="B53">
        <v>1.8200190000000001</v>
      </c>
      <c r="G53">
        <v>459.530012</v>
      </c>
      <c r="H53">
        <v>1.816079</v>
      </c>
      <c r="P53">
        <f t="shared" si="3"/>
        <v>59.508036409046589</v>
      </c>
      <c r="Q53">
        <f t="shared" si="4"/>
        <v>1.7745756200549943</v>
      </c>
      <c r="R53">
        <f t="shared" si="5"/>
        <v>1.6158564948923784</v>
      </c>
    </row>
    <row r="54" spans="1:18" x14ac:dyDescent="0.25">
      <c r="A54">
        <v>573.85871199999997</v>
      </c>
      <c r="B54">
        <v>1.8099700000000001</v>
      </c>
      <c r="G54">
        <v>513.05278299999998</v>
      </c>
      <c r="H54">
        <v>1.8054079999999999</v>
      </c>
      <c r="P54">
        <f t="shared" si="3"/>
        <v>60.894156641765335</v>
      </c>
      <c r="Q54">
        <f t="shared" si="4"/>
        <v>1.7845756200549943</v>
      </c>
      <c r="R54">
        <f t="shared" si="5"/>
        <v>1.6262000744469216</v>
      </c>
    </row>
    <row r="55" spans="1:18" x14ac:dyDescent="0.25">
      <c r="A55">
        <v>666.94783600000005</v>
      </c>
      <c r="B55">
        <v>1.7737989999999999</v>
      </c>
      <c r="G55">
        <v>573.85871199999997</v>
      </c>
      <c r="H55">
        <v>1.797242</v>
      </c>
      <c r="P55">
        <f t="shared" si="3"/>
        <v>62.312563762365002</v>
      </c>
      <c r="Q55">
        <f t="shared" si="4"/>
        <v>1.7945756200549943</v>
      </c>
      <c r="R55">
        <f t="shared" si="5"/>
        <v>1.6364157265045287</v>
      </c>
    </row>
    <row r="56" spans="1:18" x14ac:dyDescent="0.25">
      <c r="A56">
        <v>865.77975600000002</v>
      </c>
      <c r="B56">
        <v>1.7109909999999999</v>
      </c>
      <c r="G56">
        <v>666.94783600000005</v>
      </c>
      <c r="H56">
        <v>1.765895</v>
      </c>
      <c r="P56">
        <f t="shared" si="3"/>
        <v>63.764009829075768</v>
      </c>
      <c r="Q56">
        <f t="shared" si="4"/>
        <v>1.8045756200549943</v>
      </c>
      <c r="R56">
        <f t="shared" si="5"/>
        <v>1.6464679265015372</v>
      </c>
    </row>
    <row r="57" spans="1:18" x14ac:dyDescent="0.25">
      <c r="A57">
        <v>1042.6361850000001</v>
      </c>
      <c r="B57">
        <v>1.690345</v>
      </c>
      <c r="G57">
        <v>865.77975600000002</v>
      </c>
      <c r="H57">
        <v>1.7070829999999999</v>
      </c>
      <c r="P57">
        <f t="shared" si="3"/>
        <v>65.249264417814359</v>
      </c>
      <c r="Q57">
        <f t="shared" si="4"/>
        <v>1.8145756200549943</v>
      </c>
      <c r="R57">
        <f t="shared" si="5"/>
        <v>1.6563234909111331</v>
      </c>
    </row>
    <row r="58" spans="1:18" x14ac:dyDescent="0.25">
      <c r="A58">
        <v>1257.1437530000001</v>
      </c>
      <c r="B58">
        <v>1.583602</v>
      </c>
      <c r="G58">
        <v>1042.6361850000001</v>
      </c>
      <c r="H58">
        <v>1.6855150000000001</v>
      </c>
      <c r="P58">
        <f t="shared" si="3"/>
        <v>66.769115030223375</v>
      </c>
      <c r="Q58">
        <f t="shared" si="4"/>
        <v>1.8245756200549943</v>
      </c>
      <c r="R58">
        <f t="shared" si="5"/>
        <v>1.6659519763939985</v>
      </c>
    </row>
    <row r="59" spans="1:18" x14ac:dyDescent="0.25">
      <c r="A59">
        <v>1825.4884950000001</v>
      </c>
      <c r="B59">
        <v>1.296038</v>
      </c>
      <c r="G59">
        <v>1257.1437530000001</v>
      </c>
      <c r="H59">
        <v>1.580438</v>
      </c>
      <c r="P59">
        <f t="shared" si="3"/>
        <v>68.324367511215215</v>
      </c>
      <c r="Q59">
        <f t="shared" si="4"/>
        <v>1.8345756200549943</v>
      </c>
      <c r="R59">
        <f t="shared" si="5"/>
        <v>1.6753260005785573</v>
      </c>
    </row>
    <row r="60" spans="1:18" x14ac:dyDescent="0.25">
      <c r="A60">
        <v>2650.0061569999998</v>
      </c>
      <c r="B60">
        <v>1.000996</v>
      </c>
      <c r="G60">
        <v>1825.4884950000001</v>
      </c>
      <c r="H60">
        <v>1.286141</v>
      </c>
      <c r="P60">
        <f t="shared" si="3"/>
        <v>69.915846476241356</v>
      </c>
      <c r="Q60">
        <f t="shared" si="4"/>
        <v>1.8445756200549943</v>
      </c>
      <c r="R60">
        <f t="shared" si="5"/>
        <v>1.6844214793802679</v>
      </c>
    </row>
    <row r="61" spans="1:18" x14ac:dyDescent="0.25">
      <c r="G61">
        <v>2650.0061569999998</v>
      </c>
      <c r="H61">
        <v>1.0015449999999999</v>
      </c>
      <c r="P61">
        <f t="shared" si="3"/>
        <v>71.54439574851483</v>
      </c>
      <c r="Q61">
        <f t="shared" si="4"/>
        <v>1.8545756200549943</v>
      </c>
      <c r="R61">
        <f t="shared" si="5"/>
        <v>1.693217779451764</v>
      </c>
    </row>
    <row r="62" spans="1:18" x14ac:dyDescent="0.25">
      <c r="P62">
        <f t="shared" si="3"/>
        <v>73.21087880641619</v>
      </c>
      <c r="Q62">
        <f t="shared" si="4"/>
        <v>1.8645756200549943</v>
      </c>
      <c r="R62">
        <f t="shared" si="5"/>
        <v>1.7016977877932069</v>
      </c>
    </row>
    <row r="63" spans="1:18" x14ac:dyDescent="0.25">
      <c r="P63">
        <f t="shared" si="3"/>
        <v>74.916179241321259</v>
      </c>
      <c r="Q63">
        <f t="shared" si="4"/>
        <v>1.8745756200549943</v>
      </c>
      <c r="R63">
        <f t="shared" si="5"/>
        <v>1.7098479035568099</v>
      </c>
    </row>
    <row r="64" spans="1:18" x14ac:dyDescent="0.25">
      <c r="P64">
        <f t="shared" si="3"/>
        <v>76.661201226092942</v>
      </c>
      <c r="Q64">
        <f t="shared" si="4"/>
        <v>1.8845756200549943</v>
      </c>
      <c r="R64">
        <f t="shared" si="5"/>
        <v>1.7176579595169401</v>
      </c>
    </row>
    <row r="65" spans="16:18" x14ac:dyDescent="0.25">
      <c r="P65">
        <f t="shared" si="3"/>
        <v>78.446869994485667</v>
      </c>
      <c r="Q65">
        <f t="shared" si="4"/>
        <v>1.8945756200549944</v>
      </c>
      <c r="R65">
        <f t="shared" si="5"/>
        <v>1.7251210824720395</v>
      </c>
    </row>
    <row r="66" spans="16:18" x14ac:dyDescent="0.25">
      <c r="P66">
        <f t="shared" si="3"/>
        <v>80.27413233171653</v>
      </c>
      <c r="Q66">
        <f t="shared" si="4"/>
        <v>1.9045756200549944</v>
      </c>
      <c r="R66">
        <f t="shared" si="5"/>
        <v>1.7322335029779214</v>
      </c>
    </row>
    <row r="67" spans="16:18" x14ac:dyDescent="0.25">
      <c r="P67">
        <f t="shared" si="3"/>
        <v>82.143957076463508</v>
      </c>
      <c r="Q67">
        <f t="shared" si="4"/>
        <v>1.9145756200549944</v>
      </c>
      <c r="R67">
        <f t="shared" si="5"/>
        <v>1.7389943253141507</v>
      </c>
    </row>
    <row r="68" spans="16:18" x14ac:dyDescent="0.25">
      <c r="P68">
        <f t="shared" si="3"/>
        <v>84.057335634556154</v>
      </c>
      <c r="Q68">
        <f t="shared" si="4"/>
        <v>1.9245756200549944</v>
      </c>
      <c r="R68">
        <f t="shared" si="5"/>
        <v>1.7454052685250536</v>
      </c>
    </row>
    <row r="69" spans="16:18" x14ac:dyDescent="0.25">
      <c r="P69">
        <f t="shared" si="3"/>
        <v>86.015282504632623</v>
      </c>
      <c r="Q69">
        <f t="shared" si="4"/>
        <v>1.9345756200549944</v>
      </c>
      <c r="R69">
        <f t="shared" si="5"/>
        <v>1.7514703888490928</v>
      </c>
    </row>
    <row r="70" spans="16:18" x14ac:dyDescent="0.25">
      <c r="P70">
        <f t="shared" si="3"/>
        <v>88.01883581603991</v>
      </c>
      <c r="Q70">
        <f t="shared" si="4"/>
        <v>1.9445756200549944</v>
      </c>
      <c r="R70">
        <f t="shared" si="5"/>
        <v>1.7571957929631756</v>
      </c>
    </row>
    <row r="71" spans="16:18" x14ac:dyDescent="0.25">
      <c r="P71">
        <f t="shared" si="3"/>
        <v>90.06905787926388</v>
      </c>
      <c r="Q71">
        <f t="shared" si="4"/>
        <v>1.9545756200549944</v>
      </c>
      <c r="R71">
        <f t="shared" si="5"/>
        <v>1.7625893503327117</v>
      </c>
    </row>
    <row r="72" spans="16:18" x14ac:dyDescent="0.25">
      <c r="P72">
        <f t="shared" si="3"/>
        <v>92.167035749180371</v>
      </c>
      <c r="Q72">
        <f t="shared" si="4"/>
        <v>1.9645756200549944</v>
      </c>
      <c r="R72">
        <f t="shared" si="5"/>
        <v>1.7676604116782015</v>
      </c>
    </row>
    <row r="73" spans="16:18" x14ac:dyDescent="0.25">
      <c r="P73">
        <f t="shared" si="3"/>
        <v>94.313881801426007</v>
      </c>
      <c r="Q73">
        <f t="shared" si="4"/>
        <v>1.9745756200549944</v>
      </c>
      <c r="R73">
        <f t="shared" si="5"/>
        <v>1.7724195392366826</v>
      </c>
    </row>
    <row r="74" spans="16:18" x14ac:dyDescent="0.25">
      <c r="P74">
        <f t="shared" si="3"/>
        <v>96.510734322194651</v>
      </c>
      <c r="Q74">
        <f t="shared" si="4"/>
        <v>1.9845756200549944</v>
      </c>
      <c r="R74">
        <f t="shared" si="5"/>
        <v>1.7768782531867731</v>
      </c>
    </row>
    <row r="75" spans="16:18" x14ac:dyDescent="0.25">
      <c r="P75">
        <f t="shared" si="3"/>
        <v>98.758758111771442</v>
      </c>
      <c r="Q75">
        <f t="shared" si="4"/>
        <v>1.9945756200549944</v>
      </c>
      <c r="R75">
        <f t="shared" si="5"/>
        <v>1.7810487973770257</v>
      </c>
    </row>
    <row r="76" spans="16:18" x14ac:dyDescent="0.25">
      <c r="P76">
        <f t="shared" si="3"/>
        <v>101.05914510212578</v>
      </c>
      <c r="Q76">
        <f t="shared" si="4"/>
        <v>2.0045756200549945</v>
      </c>
      <c r="R76">
        <f t="shared" si="5"/>
        <v>1.7849439263888627</v>
      </c>
    </row>
    <row r="77" spans="16:18" x14ac:dyDescent="0.25">
      <c r="P77">
        <f t="shared" si="3"/>
        <v>103.41311498888912</v>
      </c>
      <c r="Q77">
        <f t="shared" si="4"/>
        <v>2.0145756200549942</v>
      </c>
      <c r="R77">
        <f t="shared" si="5"/>
        <v>1.7885767150018235</v>
      </c>
    </row>
    <row r="78" spans="16:18" x14ac:dyDescent="0.25">
      <c r="P78">
        <f t="shared" si="3"/>
        <v>105.82191587805404</v>
      </c>
      <c r="Q78">
        <f t="shared" si="4"/>
        <v>2.024575620054994</v>
      </c>
      <c r="R78">
        <f t="shared" si="5"/>
        <v>1.7919603903209556</v>
      </c>
    </row>
    <row r="79" spans="16:18" x14ac:dyDescent="0.25">
      <c r="P79">
        <f t="shared" ref="P79:P118" si="6">10^Q79</f>
        <v>108.28682494773605</v>
      </c>
      <c r="Q79">
        <f t="shared" ref="Q79:Q118" si="7">Q78+0.01</f>
        <v>2.0345756200549938</v>
      </c>
      <c r="R79">
        <f t="shared" ref="R79:R119" si="8" xml:space="preserve"> ( ( $Q$3 ) / ( $Q$4 + EXP( -$Q$5 *Q79 ) ) ) + $Q$6</f>
        <v>1.7951081861740281</v>
      </c>
    </row>
    <row r="80" spans="16:18" x14ac:dyDescent="0.25">
      <c r="P80">
        <f t="shared" si="6"/>
        <v>110.80914912535104</v>
      </c>
      <c r="Q80">
        <f t="shared" si="7"/>
        <v>2.0445756200549936</v>
      </c>
      <c r="R80">
        <f t="shared" si="8"/>
        <v>1.798033218881951</v>
      </c>
    </row>
    <row r="81" spans="16:18" x14ac:dyDescent="0.25">
      <c r="P81">
        <f t="shared" si="6"/>
        <v>113.39022578056476</v>
      </c>
      <c r="Q81">
        <f t="shared" si="7"/>
        <v>2.0545756200549934</v>
      </c>
      <c r="R81">
        <f t="shared" si="8"/>
        <v>1.8007483831360931</v>
      </c>
    </row>
    <row r="82" spans="16:18" x14ac:dyDescent="0.25">
      <c r="P82">
        <f t="shared" si="6"/>
        <v>116.03142343438431</v>
      </c>
      <c r="Q82">
        <f t="shared" si="7"/>
        <v>2.0645756200549932</v>
      </c>
      <c r="R82">
        <f t="shared" si="8"/>
        <v>1.8032662664646537</v>
      </c>
    </row>
    <row r="83" spans="16:18" x14ac:dyDescent="0.25">
      <c r="P83">
        <f t="shared" si="6"/>
        <v>118.73414248476632</v>
      </c>
      <c r="Q83">
        <f t="shared" si="7"/>
        <v>2.074575620054993</v>
      </c>
      <c r="R83">
        <f t="shared" si="8"/>
        <v>1.8055990806189988</v>
      </c>
    </row>
    <row r="84" spans="16:18" x14ac:dyDescent="0.25">
      <c r="P84">
        <f t="shared" si="6"/>
        <v>121.49981594912583</v>
      </c>
      <c r="Q84">
        <f t="shared" si="7"/>
        <v>2.0845756200549928</v>
      </c>
      <c r="R84">
        <f t="shared" si="8"/>
        <v>1.8077586081420323</v>
      </c>
    </row>
    <row r="85" spans="16:18" x14ac:dyDescent="0.25">
      <c r="P85">
        <f t="shared" si="6"/>
        <v>124.32991022414186</v>
      </c>
      <c r="Q85">
        <f t="shared" si="7"/>
        <v>2.0945756200549925</v>
      </c>
      <c r="R85">
        <f t="shared" si="8"/>
        <v>1.8097561623772469</v>
      </c>
    </row>
    <row r="86" spans="16:18" x14ac:dyDescent="0.25">
      <c r="P86">
        <f t="shared" si="6"/>
        <v>127.22592586325952</v>
      </c>
      <c r="Q86">
        <f t="shared" si="7"/>
        <v>2.1045756200549923</v>
      </c>
      <c r="R86">
        <f t="shared" si="8"/>
        <v>1.8116025592236493</v>
      </c>
    </row>
    <row r="87" spans="16:18" x14ac:dyDescent="0.25">
      <c r="P87">
        <f t="shared" si="6"/>
        <v>130.1893983723042</v>
      </c>
      <c r="Q87">
        <f t="shared" si="7"/>
        <v>2.1145756200549921</v>
      </c>
      <c r="R87">
        <f t="shared" si="8"/>
        <v>1.8133080990247525</v>
      </c>
    </row>
    <row r="88" spans="16:18" x14ac:dyDescent="0.25">
      <c r="P88">
        <f t="shared" si="6"/>
        <v>133.22189902362618</v>
      </c>
      <c r="Q88">
        <f t="shared" si="7"/>
        <v>2.1245756200549919</v>
      </c>
      <c r="R88">
        <f t="shared" si="8"/>
        <v>1.814882557087748</v>
      </c>
    </row>
    <row r="89" spans="16:18" x14ac:dyDescent="0.25">
      <c r="P89">
        <f t="shared" si="6"/>
        <v>136.32503568921089</v>
      </c>
      <c r="Q89">
        <f t="shared" si="7"/>
        <v>2.1345756200549917</v>
      </c>
      <c r="R89">
        <f t="shared" si="8"/>
        <v>1.816335181452311</v>
      </c>
    </row>
    <row r="90" spans="16:18" x14ac:dyDescent="0.25">
      <c r="P90">
        <f t="shared" si="6"/>
        <v>139.50045369319321</v>
      </c>
      <c r="Q90">
        <f t="shared" si="7"/>
        <v>2.1445756200549915</v>
      </c>
      <c r="R90">
        <f t="shared" si="8"/>
        <v>1.8176746966596586</v>
      </c>
    </row>
    <row r="91" spans="16:18" x14ac:dyDescent="0.25">
      <c r="P91">
        <f t="shared" si="6"/>
        <v>142.7498366842303</v>
      </c>
      <c r="Q91">
        <f t="shared" si="7"/>
        <v>2.1545756200549913</v>
      </c>
      <c r="R91">
        <f t="shared" si="8"/>
        <v>1.8189093124055091</v>
      </c>
    </row>
    <row r="92" spans="16:18" x14ac:dyDescent="0.25">
      <c r="P92">
        <f t="shared" si="6"/>
        <v>146.07490752819498</v>
      </c>
      <c r="Q92">
        <f t="shared" si="7"/>
        <v>2.164575620054991</v>
      </c>
      <c r="R92">
        <f t="shared" si="8"/>
        <v>1.8200467360910961</v>
      </c>
    </row>
    <row r="93" spans="16:18" x14ac:dyDescent="0.25">
      <c r="P93">
        <f t="shared" si="6"/>
        <v>149.47742922166097</v>
      </c>
      <c r="Q93">
        <f t="shared" si="7"/>
        <v>2.1745756200549908</v>
      </c>
      <c r="R93">
        <f t="shared" si="8"/>
        <v>1.8210941884111609</v>
      </c>
    </row>
    <row r="94" spans="16:18" x14ac:dyDescent="0.25">
      <c r="P94">
        <f t="shared" si="6"/>
        <v>152.95920582666807</v>
      </c>
      <c r="Q94">
        <f t="shared" si="7"/>
        <v>2.1845756200549906</v>
      </c>
      <c r="R94">
        <f t="shared" si="8"/>
        <v>1.8220584212347115</v>
      </c>
    </row>
    <row r="95" spans="16:18" x14ac:dyDescent="0.25">
      <c r="P95">
        <f t="shared" si="6"/>
        <v>156.52208342725876</v>
      </c>
      <c r="Q95">
        <f t="shared" si="7"/>
        <v>2.1945756200549904</v>
      </c>
      <c r="R95">
        <f t="shared" si="8"/>
        <v>1.8229457371420268</v>
      </c>
    </row>
    <row r="96" spans="16:18" x14ac:dyDescent="0.25">
      <c r="P96">
        <f t="shared" si="6"/>
        <v>160.16795110829744</v>
      </c>
      <c r="Q96">
        <f t="shared" si="7"/>
        <v>2.2045756200549902</v>
      </c>
      <c r="R96">
        <f t="shared" si="8"/>
        <v>1.8237620100791478</v>
      </c>
    </row>
    <row r="97" spans="16:18" x14ac:dyDescent="0.25">
      <c r="P97">
        <f t="shared" si="6"/>
        <v>163.89874195708708</v>
      </c>
      <c r="Q97">
        <f t="shared" si="7"/>
        <v>2.21457562005499</v>
      </c>
      <c r="R97">
        <f t="shared" si="8"/>
        <v>1.8245127066788271</v>
      </c>
    </row>
    <row r="98" spans="16:18" x14ac:dyDescent="0.25">
      <c r="P98">
        <f t="shared" si="6"/>
        <v>167.71643408831881</v>
      </c>
      <c r="Q98">
        <f t="shared" si="7"/>
        <v>2.2245756200549898</v>
      </c>
      <c r="R98">
        <f t="shared" si="8"/>
        <v>1.8252029078747105</v>
      </c>
    </row>
    <row r="99" spans="16:18" x14ac:dyDescent="0.25">
      <c r="P99">
        <f t="shared" si="6"/>
        <v>171.6230516928936</v>
      </c>
      <c r="Q99">
        <f t="shared" si="7"/>
        <v>2.2345756200549896</v>
      </c>
      <c r="R99">
        <f t="shared" si="8"/>
        <v>1.8258373305038802</v>
      </c>
    </row>
    <row r="100" spans="16:18" x14ac:dyDescent="0.25">
      <c r="P100">
        <f t="shared" si="6"/>
        <v>175.62066611117547</v>
      </c>
      <c r="Q100">
        <f t="shared" si="7"/>
        <v>2.2445756200549893</v>
      </c>
      <c r="R100">
        <f t="shared" si="8"/>
        <v>1.8264203486523642</v>
      </c>
    </row>
    <row r="101" spans="16:18" x14ac:dyDescent="0.25">
      <c r="P101">
        <f t="shared" si="6"/>
        <v>179.71139693124397</v>
      </c>
      <c r="Q101">
        <f t="shared" si="7"/>
        <v>2.2545756200549891</v>
      </c>
      <c r="R101">
        <f t="shared" si="8"/>
        <v>1.8269560145495323</v>
      </c>
    </row>
    <row r="102" spans="16:18" x14ac:dyDescent="0.25">
      <c r="P102">
        <f t="shared" si="6"/>
        <v>183.89741311272678</v>
      </c>
      <c r="Q102">
        <f t="shared" si="7"/>
        <v>2.2645756200549889</v>
      </c>
      <c r="R102">
        <f t="shared" si="8"/>
        <v>1.8274480788611727</v>
      </c>
    </row>
    <row r="103" spans="16:18" x14ac:dyDescent="0.25">
      <c r="P103">
        <f t="shared" si="6"/>
        <v>188.18093413681217</v>
      </c>
      <c r="Q103">
        <f t="shared" si="7"/>
        <v>2.2745756200549887</v>
      </c>
      <c r="R103">
        <f t="shared" si="8"/>
        <v>1.827900010268281</v>
      </c>
    </row>
    <row r="104" spans="16:18" x14ac:dyDescent="0.25">
      <c r="P104">
        <f t="shared" si="6"/>
        <v>192.56423118304585</v>
      </c>
      <c r="Q104">
        <f t="shared" si="7"/>
        <v>2.2845756200549885</v>
      </c>
      <c r="R104">
        <f t="shared" si="8"/>
        <v>1.8283150142498852</v>
      </c>
    </row>
    <row r="105" spans="16:18" x14ac:dyDescent="0.25">
      <c r="P105">
        <f t="shared" si="6"/>
        <v>197.04962833354188</v>
      </c>
      <c r="Q105">
        <f t="shared" si="7"/>
        <v>2.2945756200549883</v>
      </c>
      <c r="R105">
        <f t="shared" si="8"/>
        <v>1.8286960510143266</v>
      </c>
    </row>
    <row r="106" spans="16:18" x14ac:dyDescent="0.25">
      <c r="P106">
        <f t="shared" si="6"/>
        <v>201.63950380524051</v>
      </c>
      <c r="Q106">
        <f t="shared" si="7"/>
        <v>2.3045756200549881</v>
      </c>
      <c r="R106">
        <f t="shared" si="8"/>
        <v>1.8290458525449638</v>
      </c>
    </row>
    <row r="107" spans="16:18" x14ac:dyDescent="0.25">
      <c r="P107">
        <f t="shared" si="6"/>
        <v>206.33629121087085</v>
      </c>
      <c r="Q107">
        <f t="shared" si="7"/>
        <v>2.3145756200549878</v>
      </c>
      <c r="R107">
        <f t="shared" si="8"/>
        <v>1.8293669387438634</v>
      </c>
    </row>
    <row r="108" spans="16:18" x14ac:dyDescent="0.25">
      <c r="P108">
        <f t="shared" si="6"/>
        <v>211.14248084928508</v>
      </c>
      <c r="Q108">
        <f t="shared" si="7"/>
        <v>2.3245756200549876</v>
      </c>
      <c r="R108">
        <f t="shared" si="8"/>
        <v>1.8296616326712665</v>
      </c>
    </row>
    <row r="109" spans="16:18" x14ac:dyDescent="0.25">
      <c r="P109">
        <f t="shared" si="6"/>
        <v>216.06062102584656</v>
      </c>
      <c r="Q109">
        <f t="shared" si="7"/>
        <v>2.3345756200549874</v>
      </c>
      <c r="R109">
        <f t="shared" si="8"/>
        <v>1.8299320748899397</v>
      </c>
    </row>
    <row r="110" spans="16:18" x14ac:dyDescent="0.25">
      <c r="P110">
        <f t="shared" si="6"/>
        <v>221.09331940357652</v>
      </c>
      <c r="Q110">
        <f t="shared" si="7"/>
        <v>2.3445756200549872</v>
      </c>
      <c r="R110">
        <f t="shared" si="8"/>
        <v>1.8301802369323896</v>
      </c>
    </row>
    <row r="111" spans="16:18" x14ac:dyDescent="0.25">
      <c r="P111">
        <f t="shared" si="6"/>
        <v>226.24324438577011</v>
      </c>
      <c r="Q111">
        <f t="shared" si="7"/>
        <v>2.354575620054987</v>
      </c>
      <c r="R111">
        <f t="shared" si="8"/>
        <v>1.8304079339157262</v>
      </c>
    </row>
    <row r="112" spans="16:18" x14ac:dyDescent="0.25">
      <c r="P112">
        <f t="shared" si="6"/>
        <v>231.51312653082061</v>
      </c>
      <c r="Q112">
        <f t="shared" si="7"/>
        <v>2.3645756200549868</v>
      </c>
      <c r="R112">
        <f t="shared" si="8"/>
        <v>1.8306168363340372</v>
      </c>
    </row>
    <row r="113" spans="16:18" x14ac:dyDescent="0.25">
      <c r="P113">
        <f t="shared" si="6"/>
        <v>236.90575999999604</v>
      </c>
      <c r="Q113">
        <f t="shared" si="7"/>
        <v>2.3745756200549866</v>
      </c>
      <c r="R113">
        <f t="shared" si="8"/>
        <v>1.830808481061776</v>
      </c>
    </row>
    <row r="114" spans="16:18" x14ac:dyDescent="0.25">
      <c r="P114">
        <f t="shared" si="6"/>
        <v>242.42400403894212</v>
      </c>
      <c r="Q114">
        <f t="shared" si="7"/>
        <v>2.3845756200549864</v>
      </c>
      <c r="R114">
        <f t="shared" si="8"/>
        <v>1.8309842816041226</v>
      </c>
    </row>
    <row r="115" spans="16:18" x14ac:dyDescent="0.25">
      <c r="P115">
        <f t="shared" si="6"/>
        <v>248.07078449369067</v>
      </c>
      <c r="Q115">
        <f t="shared" si="7"/>
        <v>2.3945756200549861</v>
      </c>
      <c r="R115">
        <f t="shared" si="8"/>
        <v>1.8311455376317749</v>
      </c>
    </row>
    <row r="116" spans="16:18" x14ac:dyDescent="0.25">
      <c r="P116">
        <f t="shared" si="6"/>
        <v>253.84909536198256</v>
      </c>
      <c r="Q116">
        <f t="shared" si="7"/>
        <v>2.4045756200549859</v>
      </c>
      <c r="R116">
        <f t="shared" si="8"/>
        <v>1.831293443838337</v>
      </c>
    </row>
    <row r="117" spans="16:18" x14ac:dyDescent="0.25">
      <c r="P117">
        <f t="shared" si="6"/>
        <v>259.76200038072562</v>
      </c>
      <c r="Q117">
        <f t="shared" si="7"/>
        <v>2.4145756200549857</v>
      </c>
      <c r="R117">
        <f t="shared" si="8"/>
        <v>1.8314290981585573</v>
      </c>
    </row>
    <row r="118" spans="16:18" x14ac:dyDescent="0.25">
      <c r="P118">
        <f t="shared" si="6"/>
        <v>265.81263465042684</v>
      </c>
      <c r="Q118">
        <f t="shared" si="7"/>
        <v>2.4245756200549855</v>
      </c>
      <c r="R118">
        <f t="shared" si="8"/>
        <v>1.8315535093852722</v>
      </c>
    </row>
    <row r="119" spans="16:18" x14ac:dyDescent="0.25">
      <c r="P119">
        <f>G46</f>
        <v>271.98866500000003</v>
      </c>
      <c r="Q119">
        <f>LOG10(P119)</f>
        <v>2.4345508053925551</v>
      </c>
      <c r="R119">
        <f t="shared" si="8"/>
        <v>1.8316673331515021</v>
      </c>
    </row>
    <row r="120" spans="16:18" x14ac:dyDescent="0.25">
      <c r="P120">
        <f>G61</f>
        <v>2650.0061569999998</v>
      </c>
      <c r="R120">
        <f>R119</f>
        <v>1.8316673331515021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18" sqref="K18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t="s">
        <v>26</v>
      </c>
      <c r="B2">
        <f>AI!K27</f>
        <v>2.0093724292027075</v>
      </c>
      <c r="C2">
        <f>AI!L27</f>
        <v>1.9931783702984296</v>
      </c>
      <c r="D2">
        <f>AI!M27</f>
        <v>1.9306429505894946</v>
      </c>
      <c r="E2">
        <f>AI!N27</f>
        <v>1.83648256826788</v>
      </c>
      <c r="F2">
        <f>AI!O27</f>
        <v>1.7428781215982272</v>
      </c>
      <c r="G2">
        <f>AI!P27</f>
        <v>1.6390075421871497</v>
      </c>
      <c r="H2">
        <f>AI!Q27</f>
        <v>1.6898178632336442</v>
      </c>
      <c r="I2">
        <f>AI!R27</f>
        <v>1.615572970963616</v>
      </c>
    </row>
    <row r="3" spans="1:10" ht="15" customHeight="1" x14ac:dyDescent="0.25">
      <c r="A3" t="s">
        <v>38</v>
      </c>
      <c r="B3" s="1">
        <f>AI!K26</f>
        <v>20</v>
      </c>
      <c r="C3" s="1">
        <f>AI!L26</f>
        <v>8</v>
      </c>
      <c r="D3" s="1">
        <f>AI!M26</f>
        <v>23</v>
      </c>
      <c r="E3" s="1">
        <f>AI!N26</f>
        <v>18</v>
      </c>
      <c r="F3" s="1">
        <f>AI!O26</f>
        <v>9</v>
      </c>
      <c r="G3" s="1">
        <f>AI!P26</f>
        <v>10</v>
      </c>
      <c r="H3" s="1">
        <f>AI!Q26</f>
        <v>12</v>
      </c>
      <c r="I3" s="1">
        <f>AI!R26</f>
        <v>13</v>
      </c>
    </row>
    <row r="4" spans="1:10" x14ac:dyDescent="0.25">
      <c r="A4" t="s">
        <v>27</v>
      </c>
      <c r="B4">
        <f>AF!K19</f>
        <v>2.0320846445359328</v>
      </c>
      <c r="C4">
        <f>AF!L19</f>
        <v>2.0729303168807993</v>
      </c>
      <c r="D4">
        <f>AF!M19</f>
        <v>1.9530082077964188</v>
      </c>
      <c r="E4">
        <f>AF!N19</f>
        <v>1.866875966224415</v>
      </c>
      <c r="F4">
        <f>AF!O19</f>
        <v>1.7519035632516522</v>
      </c>
      <c r="G4">
        <f>AF!P19</f>
        <v>1.7013626869417779</v>
      </c>
      <c r="H4">
        <f>AF!Q19</f>
        <v>1.7145274498486469</v>
      </c>
      <c r="I4">
        <f>AF!R19</f>
        <v>1.6536125707801876</v>
      </c>
    </row>
    <row r="5" spans="1:10" x14ac:dyDescent="0.25">
      <c r="A5" t="s">
        <v>38</v>
      </c>
      <c r="B5">
        <f>AF!K18</f>
        <v>15</v>
      </c>
      <c r="C5">
        <f>AF!L18</f>
        <v>9</v>
      </c>
      <c r="D5">
        <f>AF!M18</f>
        <v>10</v>
      </c>
      <c r="E5">
        <f>AF!N18</f>
        <v>8</v>
      </c>
      <c r="F5">
        <f>AF!O18</f>
        <v>6</v>
      </c>
      <c r="G5">
        <f>AF!P18</f>
        <v>7</v>
      </c>
      <c r="H5">
        <f>AF!Q18</f>
        <v>14</v>
      </c>
      <c r="I5">
        <f>AF!R18</f>
        <v>15</v>
      </c>
    </row>
    <row r="7" spans="1:10" x14ac:dyDescent="0.25">
      <c r="A7" t="s">
        <v>39</v>
      </c>
      <c r="B7">
        <f t="shared" ref="B7:I7" si="0">B4/B2</f>
        <v>1.0113031387328417</v>
      </c>
      <c r="C7">
        <f t="shared" si="0"/>
        <v>1.0400124483442137</v>
      </c>
      <c r="D7">
        <f t="shared" si="0"/>
        <v>1.0115843570143797</v>
      </c>
      <c r="E7">
        <f t="shared" si="0"/>
        <v>1.0165497884279953</v>
      </c>
      <c r="F7">
        <f t="shared" si="0"/>
        <v>1.005178469763077</v>
      </c>
      <c r="G7">
        <f t="shared" si="0"/>
        <v>1.0380444526029571</v>
      </c>
      <c r="H7">
        <f t="shared" si="0"/>
        <v>1.0146226330971069</v>
      </c>
      <c r="I7">
        <f t="shared" si="0"/>
        <v>1.0235455782562906</v>
      </c>
    </row>
    <row r="8" spans="1:10" x14ac:dyDescent="0.25">
      <c r="A8" t="s">
        <v>40</v>
      </c>
      <c r="B8">
        <f t="shared" ref="B8:I8" si="1">B4-B2</f>
        <v>2.2712215333225316E-2</v>
      </c>
      <c r="C8">
        <f t="shared" si="1"/>
        <v>7.9751946582369726E-2</v>
      </c>
      <c r="D8">
        <f t="shared" si="1"/>
        <v>2.2365257206924172E-2</v>
      </c>
      <c r="E8">
        <f t="shared" si="1"/>
        <v>3.0393397956534951E-2</v>
      </c>
      <c r="F8">
        <f t="shared" si="1"/>
        <v>9.0254416534250037E-3</v>
      </c>
      <c r="G8">
        <f t="shared" si="1"/>
        <v>6.2355144754628222E-2</v>
      </c>
      <c r="H8">
        <f t="shared" si="1"/>
        <v>2.4709586615002666E-2</v>
      </c>
      <c r="I8">
        <f t="shared" si="1"/>
        <v>3.8039599816571679E-2</v>
      </c>
    </row>
    <row r="9" spans="1:10" x14ac:dyDescent="0.25">
      <c r="B9">
        <f>10^(B8)</f>
        <v>1.0536884397434936</v>
      </c>
      <c r="C9">
        <f t="shared" ref="C9:I9" si="2">10^(C8)</f>
        <v>1.2015779404006959</v>
      </c>
      <c r="D9">
        <f t="shared" si="2"/>
        <v>1.0528469835714234</v>
      </c>
      <c r="E9">
        <f t="shared" si="2"/>
        <v>1.072490361743335</v>
      </c>
      <c r="F9">
        <f t="shared" si="2"/>
        <v>1.0209992936993328</v>
      </c>
      <c r="G9">
        <f t="shared" si="2"/>
        <v>1.1543968811686234</v>
      </c>
      <c r="H9">
        <f t="shared" si="2"/>
        <v>1.0585456373655264</v>
      </c>
      <c r="I9">
        <f t="shared" si="2"/>
        <v>1.0915398606413569</v>
      </c>
    </row>
    <row r="10" spans="1:10" x14ac:dyDescent="0.25">
      <c r="B10">
        <f>B9*(B5+B3)</f>
        <v>36.879095391022275</v>
      </c>
      <c r="C10">
        <f t="shared" ref="C10:I10" si="3">C9*(C5+C3)</f>
        <v>20.42682498681183</v>
      </c>
      <c r="D10">
        <f t="shared" si="3"/>
        <v>34.743950457856968</v>
      </c>
      <c r="E10">
        <f t="shared" si="3"/>
        <v>27.884749405326708</v>
      </c>
      <c r="F10">
        <f t="shared" si="3"/>
        <v>15.314989405489992</v>
      </c>
      <c r="G10">
        <f t="shared" si="3"/>
        <v>19.624746979866597</v>
      </c>
      <c r="H10">
        <f t="shared" si="3"/>
        <v>27.522186571503688</v>
      </c>
      <c r="I10">
        <f t="shared" si="3"/>
        <v>30.563116097957995</v>
      </c>
      <c r="J10">
        <f>SUM(B10:I10)</f>
        <v>212.95965929583605</v>
      </c>
    </row>
    <row r="11" spans="1:10" x14ac:dyDescent="0.25">
      <c r="B11">
        <f>(B5+B3)</f>
        <v>35</v>
      </c>
      <c r="C11">
        <f t="shared" ref="C11:I11" si="4">(C5+C3)</f>
        <v>17</v>
      </c>
      <c r="D11">
        <f t="shared" si="4"/>
        <v>33</v>
      </c>
      <c r="E11">
        <f t="shared" si="4"/>
        <v>26</v>
      </c>
      <c r="F11">
        <f t="shared" si="4"/>
        <v>15</v>
      </c>
      <c r="G11">
        <f t="shared" si="4"/>
        <v>17</v>
      </c>
      <c r="H11">
        <f t="shared" si="4"/>
        <v>26</v>
      </c>
      <c r="I11">
        <f t="shared" si="4"/>
        <v>28</v>
      </c>
      <c r="J11">
        <f>SUM(B11:I11)</f>
        <v>197</v>
      </c>
    </row>
    <row r="12" spans="1:10" x14ac:dyDescent="0.25">
      <c r="J12">
        <f>J10/J11</f>
        <v>1.0810134989636349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AI</vt:lpstr>
      <vt:lpstr>AF</vt:lpstr>
      <vt:lpstr>Model Comparison</vt:lpstr>
      <vt:lpstr>Example Crossover</vt:lpstr>
      <vt:lpstr>Systematic Difference</vt:lpstr>
      <vt:lpstr>Means Plot</vt:lpstr>
      <vt:lpstr>Means Plot Reduced</vt:lpstr>
      <vt:lpstr>Correlation of Means Plot</vt:lpstr>
      <vt:lpstr>Example Crossover Chart</vt:lpstr>
      <vt:lpstr>S-Curve Example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Warriner</dc:creator>
  <cp:lastModifiedBy>William Warriner</cp:lastModifiedBy>
  <dcterms:created xsi:type="dcterms:W3CDTF">2015-02-24T23:58:07Z</dcterms:created>
  <dcterms:modified xsi:type="dcterms:W3CDTF">2017-03-15T21:47:46Z</dcterms:modified>
</cp:coreProperties>
</file>