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-Su\Downloads\"/>
    </mc:Choice>
  </mc:AlternateContent>
  <xr:revisionPtr revIDLastSave="0" documentId="8_{D94FC95C-55BB-466E-8A2D-3D8DDB6E9C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ployeeInfo" sheetId="1" r:id="rId1"/>
    <sheet name="EmployeeTable" sheetId="6" r:id="rId2"/>
    <sheet name="EmployeeSummary" sheetId="5" r:id="rId3"/>
    <sheet name="LookUp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7" i="1" l="1"/>
  <c r="U18" i="1"/>
  <c r="U19" i="1"/>
  <c r="U20" i="1"/>
  <c r="U21" i="1"/>
  <c r="U22" i="1"/>
  <c r="U23" i="1"/>
  <c r="U24" i="1"/>
  <c r="U25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L29" i="6"/>
  <c r="L25" i="6"/>
  <c r="L18" i="6"/>
  <c r="L14" i="6"/>
  <c r="L30" i="6" s="1"/>
  <c r="C2" i="6"/>
  <c r="B33" i="1"/>
  <c r="B32" i="1"/>
  <c r="B31" i="1"/>
  <c r="B3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" i="1"/>
  <c r="S12" i="1"/>
  <c r="L3" i="1"/>
  <c r="R3" i="1" s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R14" i="1" s="1"/>
  <c r="L15" i="1"/>
  <c r="R15" i="1" s="1"/>
  <c r="L16" i="1"/>
  <c r="R16" i="1" s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5" i="1"/>
  <c r="R25" i="1" s="1"/>
  <c r="L2" i="1"/>
  <c r="R2" i="1" s="1"/>
  <c r="Q2" i="1" a="1"/>
  <c r="Q2" i="1" s="1"/>
  <c r="P2" i="1" a="1"/>
  <c r="P2" i="1" s="1"/>
  <c r="O2" i="1" a="1"/>
  <c r="O2" i="1" s="1"/>
  <c r="N2" i="1" a="1"/>
  <c r="N2" i="1" s="1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S25" i="1" l="1"/>
  <c r="S18" i="1"/>
  <c r="S17" i="1"/>
  <c r="S10" i="1"/>
  <c r="S22" i="1"/>
  <c r="S14" i="1"/>
  <c r="S6" i="1"/>
  <c r="S21" i="1"/>
  <c r="S13" i="1"/>
  <c r="S5" i="1"/>
  <c r="S24" i="1"/>
  <c r="S20" i="1"/>
  <c r="S16" i="1"/>
  <c r="S8" i="1"/>
  <c r="S4" i="1"/>
  <c r="S9" i="1"/>
  <c r="S23" i="1"/>
  <c r="S19" i="1"/>
  <c r="S15" i="1"/>
  <c r="S11" i="1"/>
  <c r="S7" i="1"/>
  <c r="S3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<sst xmlns="http://schemas.openxmlformats.org/spreadsheetml/2006/main" count="446" uniqueCount="143">
  <si>
    <t>Emp ID</t>
  </si>
  <si>
    <t>Last Name</t>
  </si>
  <si>
    <t>Hire Date</t>
  </si>
  <si>
    <t>Birth Date</t>
  </si>
  <si>
    <t>Location</t>
  </si>
  <si>
    <t>Job Status</t>
  </si>
  <si>
    <t>Pay Type</t>
  </si>
  <si>
    <t>Annual Salary</t>
  </si>
  <si>
    <t>Health Plan</t>
  </si>
  <si>
    <t>Hovey</t>
  </si>
  <si>
    <t>M</t>
  </si>
  <si>
    <t>Austin</t>
  </si>
  <si>
    <t>FT</t>
  </si>
  <si>
    <t>S</t>
  </si>
  <si>
    <t>HMOF</t>
  </si>
  <si>
    <t>Overton</t>
  </si>
  <si>
    <t>F</t>
  </si>
  <si>
    <t>Home</t>
  </si>
  <si>
    <t>Fetherston</t>
  </si>
  <si>
    <t>New Orleans</t>
  </si>
  <si>
    <t>Lebrun</t>
  </si>
  <si>
    <t>None</t>
  </si>
  <si>
    <t>Hanson</t>
  </si>
  <si>
    <t>PPOI</t>
  </si>
  <si>
    <t>Vankeuren</t>
  </si>
  <si>
    <t>PT</t>
  </si>
  <si>
    <t>H</t>
  </si>
  <si>
    <t>Mccorkle</t>
  </si>
  <si>
    <t>Nashville</t>
  </si>
  <si>
    <t>Nightingale</t>
  </si>
  <si>
    <t>Lambrechts</t>
  </si>
  <si>
    <t>Palmer</t>
  </si>
  <si>
    <t>Tetreault</t>
  </si>
  <si>
    <t>Cugini</t>
  </si>
  <si>
    <t>Dash</t>
  </si>
  <si>
    <t>Donnelly</t>
  </si>
  <si>
    <t>Lucht</t>
  </si>
  <si>
    <t>Tiernan</t>
  </si>
  <si>
    <t>Sheinin</t>
  </si>
  <si>
    <t>Kenyon</t>
  </si>
  <si>
    <t>Wichman</t>
  </si>
  <si>
    <t>Wilton</t>
  </si>
  <si>
    <t># of Months Employed</t>
  </si>
  <si>
    <t>Headcliff</t>
  </si>
  <si>
    <t>Gender</t>
  </si>
  <si>
    <t>Job Type</t>
  </si>
  <si>
    <t>LL</t>
  </si>
  <si>
    <t>Months Employed Range</t>
  </si>
  <si>
    <t>Part-Time Increase</t>
  </si>
  <si>
    <t>Full-Time Increase</t>
  </si>
  <si>
    <t>above</t>
  </si>
  <si>
    <t>Salary Increase</t>
  </si>
  <si>
    <t>First Name</t>
  </si>
  <si>
    <t>Martin</t>
  </si>
  <si>
    <t>James</t>
  </si>
  <si>
    <t>Belinda</t>
  </si>
  <si>
    <t>Fred</t>
  </si>
  <si>
    <t>Alisa</t>
  </si>
  <si>
    <t>Kendall</t>
  </si>
  <si>
    <t>Teresa</t>
  </si>
  <si>
    <t>Thomas</t>
  </si>
  <si>
    <t>Merrill</t>
  </si>
  <si>
    <t>Tiffany</t>
  </si>
  <si>
    <t>Sabrina</t>
  </si>
  <si>
    <t>Lisa</t>
  </si>
  <si>
    <t>Marie</t>
  </si>
  <si>
    <t>Michael</t>
  </si>
  <si>
    <t>Katherine</t>
  </si>
  <si>
    <t>Scott</t>
  </si>
  <si>
    <t>Beverly</t>
  </si>
  <si>
    <t>Brad</t>
  </si>
  <si>
    <t>Zachary</t>
  </si>
  <si>
    <t>Emma</t>
  </si>
  <si>
    <t>Jacob</t>
  </si>
  <si>
    <t>Torek</t>
  </si>
  <si>
    <t>Justin</t>
  </si>
  <si>
    <t>Northern</t>
  </si>
  <si>
    <t>Harley</t>
  </si>
  <si>
    <t>Borchman</t>
  </si>
  <si>
    <t>Beth</t>
  </si>
  <si>
    <t>Salary Premium 1</t>
  </si>
  <si>
    <t>Salary Premium 2</t>
  </si>
  <si>
    <t>Salary Premium 3</t>
  </si>
  <si>
    <t xml:space="preserve">Employee Type </t>
  </si>
  <si>
    <t>Salary Premium 4</t>
  </si>
  <si>
    <t>sales</t>
  </si>
  <si>
    <t>admin</t>
  </si>
  <si>
    <t>support</t>
  </si>
  <si>
    <t>analysis</t>
  </si>
  <si>
    <t>manage</t>
  </si>
  <si>
    <t>Count of Full-Time Employees</t>
  </si>
  <si>
    <t>Count of Part-Time Employees</t>
  </si>
  <si>
    <t>Average Employee Salary</t>
  </si>
  <si>
    <t>Count of Part-Time Employees earning &gt;= $40,000</t>
  </si>
  <si>
    <t>Average Salary for Part-Time Employees</t>
  </si>
  <si>
    <t>Average Salary for Full-time Employees</t>
  </si>
  <si>
    <t>Sum of Salary for Employees working in Austin</t>
  </si>
  <si>
    <t>Sum of Salary for Full-Time Employees working in Austin</t>
  </si>
  <si>
    <t>First Salary Evaluation</t>
  </si>
  <si>
    <t>Second Salary Evaluation</t>
  </si>
  <si>
    <t>Employee Summary</t>
  </si>
  <si>
    <t>Sum of Salary for part time Employees</t>
  </si>
  <si>
    <t>Average Salary for Full-Time Employees working in Austin</t>
  </si>
  <si>
    <t>Sum of Salary for Full-Time Employees earning &gt;= $40,000</t>
  </si>
  <si>
    <t>Count of Full-Time Employees with a Support job type</t>
  </si>
  <si>
    <t>Average Salary for Full-Time Employees with a Sales job type</t>
  </si>
  <si>
    <t>Percentage of Employees with no health plan</t>
  </si>
  <si>
    <t>Percentage of Full-Time Employees with no health plan</t>
  </si>
  <si>
    <t>Percentage of Part-Time Employees with no health plan</t>
  </si>
  <si>
    <t>Third Salary Evaluation</t>
  </si>
  <si>
    <t>Salary Premium Increase</t>
  </si>
  <si>
    <t>Difference</t>
  </si>
  <si>
    <t>Martin Hovey</t>
  </si>
  <si>
    <t>Alisa Overton</t>
  </si>
  <si>
    <t>James Fetherston</t>
  </si>
  <si>
    <t>Belinda Lebrun</t>
  </si>
  <si>
    <t>Fred Hanson</t>
  </si>
  <si>
    <t>Kendall Vankeuren</t>
  </si>
  <si>
    <t>Teresa Mccorkle</t>
  </si>
  <si>
    <t>Thomas Nightingale</t>
  </si>
  <si>
    <t>Merrill Wilton</t>
  </si>
  <si>
    <t>Tiffany Lambrechts</t>
  </si>
  <si>
    <t>Sabrina Palmer</t>
  </si>
  <si>
    <t>Lisa Tetreault</t>
  </si>
  <si>
    <t>Marie Cugini</t>
  </si>
  <si>
    <t>Michael Dash</t>
  </si>
  <si>
    <t>Katherine Donnelly</t>
  </si>
  <si>
    <t>Scott Lucht</t>
  </si>
  <si>
    <t>Beverly Tiernan</t>
  </si>
  <si>
    <t>Brad Sheinin</t>
  </si>
  <si>
    <t>Zachary Kenyon</t>
  </si>
  <si>
    <t>Emma Wichman</t>
  </si>
  <si>
    <t>Jacob Headcliff</t>
  </si>
  <si>
    <t>Justin Torek</t>
  </si>
  <si>
    <t>Harley Northern</t>
  </si>
  <si>
    <t>Beth Borchman</t>
  </si>
  <si>
    <t>EmployeeName</t>
  </si>
  <si>
    <t>Austin Total</t>
  </si>
  <si>
    <t>Home Total</t>
  </si>
  <si>
    <t>Nashville Total</t>
  </si>
  <si>
    <t>New Orleans Total</t>
  </si>
  <si>
    <t>Grand Total</t>
  </si>
  <si>
    <t>Location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</si>
</sst>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Font="1"/>
    <xf numFmtId="14" fontId="0" fillId="0" borderId="0" xfId="0" applyNumberFormat="1"/>
    <xf numFmtId="0" fontId="4" fillId="0" borderId="0" xfId="0" applyFont="1"/>
    <xf numFmtId="9" fontId="0" fillId="0" borderId="0" xfId="2" applyFont="1"/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14" fontId="0" fillId="0" borderId="0" xfId="0" applyNumberFormat="1" applyFont="1"/>
    <xf numFmtId="0" fontId="0" fillId="0" borderId="0" xfId="0" quotePrefix="1" applyFont="1" applyFill="1" applyBorder="1" applyAlignment="1"/>
    <xf numFmtId="164" fontId="0" fillId="0" borderId="0" xfId="1" applyNumberFormat="1" applyFont="1" applyFill="1" applyBorder="1" applyAlignment="1"/>
    <xf numFmtId="1" fontId="0" fillId="0" borderId="0" xfId="0" applyNumberFormat="1" applyFont="1"/>
    <xf numFmtId="9" fontId="4" fillId="0" borderId="0" xfId="2" applyFont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left"/>
    </xf>
    <xf numFmtId="166" fontId="0" fillId="0" borderId="0" xfId="1" applyNumberFormat="1" applyFont="1"/>
    <xf numFmtId="164" fontId="4" fillId="0" borderId="0" xfId="1" applyNumberFormat="1" applyFont="1"/>
    <xf numFmtId="166" fontId="0" fillId="0" borderId="0" xfId="0" applyNumberFormat="1" applyFont="1"/>
    <xf numFmtId="165" fontId="0" fillId="0" borderId="0" xfId="1" applyNumberFormat="1" applyFont="1" applyAlignment="1"/>
    <xf numFmtId="0" fontId="0" fillId="0" borderId="0" xfId="0" applyAlignment="1"/>
    <xf numFmtId="165" fontId="0" fillId="0" borderId="0" xfId="1" applyNumberFormat="1" applyFont="1" applyAlignment="1">
      <alignment wrapText="1"/>
    </xf>
    <xf numFmtId="0" fontId="0" fillId="0" borderId="0" xfId="0" applyFont="1" applyAlignment="1">
      <alignment horizontal="left"/>
    </xf>
    <xf numFmtId="166" fontId="0" fillId="0" borderId="0" xfId="0" applyNumberFormat="1"/>
    <xf numFmtId="166" fontId="2" fillId="0" borderId="0" xfId="0" applyNumberFormat="1" applyFont="1" applyAlignment="1">
      <alignment horizontal="center" wrapText="1"/>
    </xf>
    <xf numFmtId="0" fontId="4" fillId="0" borderId="15" xfId="0" applyFont="1" applyBorder="1" applyAlignment="1">
      <alignment horizontal="left"/>
    </xf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0" fillId="0" borderId="0" xfId="0" quotePrefix="1" applyFont="1" applyFill="1" applyBorder="1" applyAlignment="1"/>
    <xf numFmtId="164" fontId="0" fillId="0" borderId="0" xfId="1" applyNumberFormat="1" applyFont="1" applyFill="1" applyBorder="1" applyAlignment="1"/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0" borderId="8" xfId="0" applyFont="1" applyBorder="1"/>
    <xf numFmtId="0" fontId="4" fillId="0" borderId="0" xfId="0" applyFont="1" applyBorder="1"/>
    <xf numFmtId="167" fontId="4" fillId="0" borderId="0" xfId="2" applyNumberFormat="1" applyFont="1" applyBorder="1"/>
    <xf numFmtId="167" fontId="4" fillId="0" borderId="9" xfId="2" applyNumberFormat="1" applyFont="1" applyBorder="1"/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167" fontId="4" fillId="0" borderId="11" xfId="2" applyNumberFormat="1" applyFont="1" applyBorder="1"/>
    <xf numFmtId="167" fontId="4" fillId="0" borderId="4" xfId="2" applyNumberFormat="1" applyFont="1" applyBorder="1"/>
    <xf numFmtId="167" fontId="4" fillId="0" borderId="10" xfId="2" applyNumberFormat="1" applyFont="1" applyBorder="1"/>
    <xf numFmtId="0" fontId="6" fillId="0" borderId="3" xfId="0" applyFont="1" applyBorder="1" applyAlignment="1">
      <alignment vertical="center" wrapText="1"/>
    </xf>
    <xf numFmtId="10" fontId="5" fillId="0" borderId="4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 wrapText="1"/>
    </xf>
    <xf numFmtId="10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quotePrefix="1" applyFont="1" applyFill="1" applyBorder="1" applyAlignment="1">
      <alignment vertical="center" wrapText="1"/>
    </xf>
    <xf numFmtId="0" fontId="0" fillId="0" borderId="0" xfId="0" applyBorder="1"/>
    <xf numFmtId="0" fontId="4" fillId="0" borderId="9" xfId="0" applyFont="1" applyBorder="1"/>
    <xf numFmtId="0" fontId="4" fillId="0" borderId="4" xfId="0" applyFont="1" applyBorder="1" applyAlignment="1">
      <alignment horizontal="right"/>
    </xf>
    <xf numFmtId="0" fontId="4" fillId="2" borderId="1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4" fontId="4" fillId="0" borderId="24" xfId="1" applyFont="1" applyBorder="1"/>
    <xf numFmtId="44" fontId="4" fillId="0" borderId="15" xfId="1" applyFont="1" applyBorder="1" applyAlignment="1">
      <alignment horizontal="left"/>
    </xf>
    <xf numFmtId="10" fontId="4" fillId="0" borderId="15" xfId="2" applyNumberFormat="1" applyFont="1" applyBorder="1" applyAlignment="1">
      <alignment horizontal="left"/>
    </xf>
    <xf numFmtId="10" fontId="4" fillId="0" borderId="18" xfId="2" applyNumberFormat="1" applyFont="1" applyBorder="1" applyAlignment="1">
      <alignment horizontal="left"/>
    </xf>
    <xf numFmtId="0" fontId="8" fillId="3" borderId="25" xfId="0" applyFont="1" applyFill="1" applyBorder="1"/>
    <xf numFmtId="0" fontId="8" fillId="3" borderId="26" xfId="0" applyFont="1" applyFill="1" applyBorder="1"/>
    <xf numFmtId="0" fontId="8" fillId="3" borderId="27" xfId="0" applyFont="1" applyFill="1" applyBorder="1"/>
    <xf numFmtId="0" fontId="0" fillId="4" borderId="25" xfId="0" applyFont="1" applyFill="1" applyBorder="1"/>
    <xf numFmtId="0" fontId="0" fillId="4" borderId="26" xfId="0" applyFont="1" applyFill="1" applyBorder="1"/>
    <xf numFmtId="14" fontId="0" fillId="4" borderId="26" xfId="0" applyNumberFormat="1" applyFont="1" applyFill="1" applyBorder="1"/>
    <xf numFmtId="44" fontId="0" fillId="4" borderId="27" xfId="1" applyNumberFormat="1" applyFont="1" applyFill="1" applyBorder="1"/>
    <xf numFmtId="0" fontId="0" fillId="0" borderId="25" xfId="0" applyFont="1" applyBorder="1"/>
    <xf numFmtId="0" fontId="0" fillId="0" borderId="26" xfId="0" applyFont="1" applyBorder="1"/>
    <xf numFmtId="14" fontId="0" fillId="0" borderId="26" xfId="0" applyNumberFormat="1" applyFont="1" applyBorder="1"/>
    <xf numFmtId="44" fontId="0" fillId="0" borderId="27" xfId="1" applyNumberFormat="1" applyFont="1" applyBorder="1"/>
    <xf numFmtId="0" fontId="2" fillId="0" borderId="26" xfId="0" applyFont="1" applyBorder="1"/>
    <xf numFmtId="0" fontId="2" fillId="4" borderId="26" xfId="0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44" fontId="0" fillId="0" borderId="0" xfId="1" applyNumberFormat="1" applyFont="1" applyBorder="1"/>
    <xf numFmtId="0" fontId="2" fillId="0" borderId="0" xfId="0" applyFont="1" applyBorder="1"/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Normal="100" workbookViewId="0">
      <selection activeCell="O26" sqref="O26"/>
    </sheetView>
  </sheetViews>
  <sheetFormatPr defaultColWidth="8.85546875" defaultRowHeight="15" x14ac:dyDescent="0.25"/>
  <cols>
    <col min="1" max="1" width="12.42578125" bestFit="1" customWidth="1"/>
    <col min="2" max="2" width="14.28515625" bestFit="1" customWidth="1"/>
    <col min="3" max="3" width="11.7109375" customWidth="1"/>
    <col min="4" max="4" width="12.42578125" style="2" bestFit="1" customWidth="1"/>
    <col min="5" max="5" width="19.85546875" customWidth="1"/>
    <col min="6" max="6" width="9" customWidth="1"/>
    <col min="7" max="7" width="13.140625" bestFit="1" customWidth="1"/>
    <col min="8" max="8" width="8.140625" customWidth="1"/>
    <col min="9" max="9" width="12.7109375" customWidth="1"/>
    <col min="10" max="10" width="6.28515625" customWidth="1"/>
    <col min="11" max="11" width="7.7109375" customWidth="1"/>
    <col min="12" max="12" width="10" customWidth="1"/>
    <col min="13" max="15" width="13.85546875" customWidth="1"/>
    <col min="16" max="17" width="13.85546875" style="30" customWidth="1"/>
    <col min="18" max="18" width="12.7109375" customWidth="1"/>
    <col min="19" max="19" width="14.85546875" style="24" bestFit="1" customWidth="1"/>
    <col min="20" max="20" width="12.85546875" style="27" customWidth="1"/>
    <col min="21" max="21" width="13.140625" customWidth="1"/>
    <col min="22" max="22" width="11.28515625" customWidth="1"/>
  </cols>
  <sheetData>
    <row r="1" spans="1:22" s="6" customFormat="1" ht="45" x14ac:dyDescent="0.25">
      <c r="A1" s="8" t="s">
        <v>0</v>
      </c>
      <c r="B1" s="8" t="s">
        <v>1</v>
      </c>
      <c r="C1" s="8" t="s">
        <v>52</v>
      </c>
      <c r="D1" s="9" t="s">
        <v>2</v>
      </c>
      <c r="E1" s="10" t="s">
        <v>3</v>
      </c>
      <c r="F1" s="8" t="s">
        <v>44</v>
      </c>
      <c r="G1" s="8" t="s">
        <v>4</v>
      </c>
      <c r="H1" s="8" t="s">
        <v>5</v>
      </c>
      <c r="I1" s="8" t="s">
        <v>45</v>
      </c>
      <c r="J1" s="8" t="s">
        <v>6</v>
      </c>
      <c r="K1" s="8" t="s">
        <v>8</v>
      </c>
      <c r="L1" s="7" t="s">
        <v>42</v>
      </c>
      <c r="M1" s="8" t="s">
        <v>7</v>
      </c>
      <c r="N1" s="8" t="s">
        <v>98</v>
      </c>
      <c r="O1" s="8" t="s">
        <v>99</v>
      </c>
      <c r="P1" s="31" t="s">
        <v>109</v>
      </c>
      <c r="Q1" s="31" t="s">
        <v>111</v>
      </c>
      <c r="R1" s="6" t="s">
        <v>80</v>
      </c>
      <c r="S1" s="6" t="s">
        <v>81</v>
      </c>
      <c r="T1" s="28" t="s">
        <v>82</v>
      </c>
      <c r="U1" s="6" t="s">
        <v>84</v>
      </c>
    </row>
    <row r="2" spans="1:22" s="1" customFormat="1" x14ac:dyDescent="0.25">
      <c r="A2" s="11">
        <v>1024</v>
      </c>
      <c r="B2" s="5" t="s">
        <v>9</v>
      </c>
      <c r="C2" s="5" t="s">
        <v>53</v>
      </c>
      <c r="D2" s="12">
        <v>44016</v>
      </c>
      <c r="E2" s="13">
        <v>24956</v>
      </c>
      <c r="F2" s="14" t="s">
        <v>10</v>
      </c>
      <c r="G2" s="14" t="s">
        <v>11</v>
      </c>
      <c r="H2" s="11" t="s">
        <v>12</v>
      </c>
      <c r="I2" s="5" t="s">
        <v>85</v>
      </c>
      <c r="J2" s="5" t="s">
        <v>13</v>
      </c>
      <c r="K2" s="11" t="s">
        <v>14</v>
      </c>
      <c r="L2" s="16">
        <f ca="1">DATEDIF(D2, TODAY(), "m")</f>
        <v>24</v>
      </c>
      <c r="M2" s="34">
        <v>85000</v>
      </c>
      <c r="N2" s="15" t="str" cm="1">
        <f t="array" ref="N2:N25">IF(M2:M25&gt;EmployeeSummary!F2, "Over Average", "Under Average")</f>
        <v>Over Average</v>
      </c>
      <c r="O2" s="15" t="str" cm="1">
        <f t="array" ref="O2:O25">IF((M2:M25*1.1)&gt;EmployeeSummary!F2, "Over Average", "Under Average")</f>
        <v>Over Average</v>
      </c>
      <c r="P2" s="34" cm="1">
        <f t="array" ref="P2:P25">IF(M2:M25&gt;EmployeeSummary!F2, EmployeeInfo!M2:M25, EmployeeInfo!M2:M25*1.05)</f>
        <v>85000</v>
      </c>
      <c r="Q2" s="34" t="str" cm="1">
        <f t="array" ref="Q2:Q25">IF(_xlfn.ANCHORARRAY(P2)=M2:M25, " ", "Different")</f>
        <v xml:space="preserve"> </v>
      </c>
      <c r="R2" s="20">
        <f ca="1">VLOOKUP(L2, LookUpData!$A$3:$C$8, 3, TRUE)*M2</f>
        <v>4250</v>
      </c>
      <c r="S2" s="25">
        <f ca="1">IF(H2="FT",M2* (VLOOKUP(L2,LookUpData!$A$10:$D$16,4,TRUE)),IF(H2="PT",M2*VLOOKUP(L2,LookUpData!$A$10:$D$16,3,TRUE), "Error"))</f>
        <v>4250</v>
      </c>
      <c r="T2" s="22">
        <f>IFERROR(M2*VLOOKUP(I2,LookUpData!A$20:B$23,2,FALSE),"Error")</f>
        <v>2125</v>
      </c>
      <c r="U2" s="22">
        <f>IFERROR(IF(J2="S",M2*VLOOKUP(I2,LookUpData!A$27:C$30,3,"FALSE"),IF(J2="H",M2*VLOOKUP(I2,LookUpData!A$27:C$30,2,"FALSE"), "Error")), "Error")</f>
        <v>2975.0000000000005</v>
      </c>
      <c r="V2" s="22"/>
    </row>
    <row r="3" spans="1:22" s="1" customFormat="1" x14ac:dyDescent="0.25">
      <c r="A3" s="11">
        <v>1025</v>
      </c>
      <c r="B3" s="5" t="s">
        <v>15</v>
      </c>
      <c r="C3" s="5" t="s">
        <v>57</v>
      </c>
      <c r="D3" s="13">
        <v>43129</v>
      </c>
      <c r="E3" s="13">
        <v>32058</v>
      </c>
      <c r="F3" s="14" t="s">
        <v>16</v>
      </c>
      <c r="G3" s="11" t="s">
        <v>17</v>
      </c>
      <c r="H3" s="11" t="s">
        <v>25</v>
      </c>
      <c r="I3" s="26" t="s">
        <v>86</v>
      </c>
      <c r="J3" s="5" t="s">
        <v>13</v>
      </c>
      <c r="K3" s="11" t="s">
        <v>14</v>
      </c>
      <c r="L3" s="16">
        <f t="shared" ref="L3:L25" ca="1" si="0">DATEDIF(D3, TODAY(), "m")</f>
        <v>53</v>
      </c>
      <c r="M3" s="34">
        <v>40000</v>
      </c>
      <c r="N3" s="15" t="str">
        <v>Under Average</v>
      </c>
      <c r="O3" s="15" t="str">
        <v>Under Average</v>
      </c>
      <c r="P3" s="34">
        <v>42000</v>
      </c>
      <c r="Q3" s="34" t="str">
        <v>Different</v>
      </c>
      <c r="R3" s="20">
        <f ca="1">VLOOKUP(L3, LookUpData!$A$3:$C$8, 3, TRUE)*M3</f>
        <v>4000</v>
      </c>
      <c r="S3" s="25">
        <f ca="1">IF(H3="FT",M3* (VLOOKUP(L3,LookUpData!$A$10:$D$16,4,TRUE)),IF(H3="PT",M3*VLOOKUP(L3,LookUpData!$A$10:$D$16,3,TRUE), "Error"))</f>
        <v>3200</v>
      </c>
      <c r="T3" s="22">
        <f>IFERROR(M3*VLOOKUP(I3,LookUpData!A$20:B$23,2,FALSE),"Error")</f>
        <v>600</v>
      </c>
      <c r="U3" s="22">
        <f>IFERROR(IF(J3="S",M3*VLOOKUP(I3,LookUpData!A$27:C$30,3,"FALSE"),IF(J3="H",M3*VLOOKUP(I3,LookUpData!A$27:C$30,2,"FALSE"), "Error")), "Error")</f>
        <v>400</v>
      </c>
      <c r="V3" s="22"/>
    </row>
    <row r="4" spans="1:22" s="1" customFormat="1" x14ac:dyDescent="0.25">
      <c r="A4" s="11">
        <v>1026</v>
      </c>
      <c r="B4" s="5" t="s">
        <v>18</v>
      </c>
      <c r="C4" s="5" t="s">
        <v>54</v>
      </c>
      <c r="D4" s="12">
        <v>44195</v>
      </c>
      <c r="E4" s="13">
        <v>25705</v>
      </c>
      <c r="F4" s="14" t="s">
        <v>10</v>
      </c>
      <c r="G4" s="14" t="s">
        <v>19</v>
      </c>
      <c r="H4" s="11" t="s">
        <v>12</v>
      </c>
      <c r="I4" s="5" t="s">
        <v>87</v>
      </c>
      <c r="J4" s="5" t="s">
        <v>13</v>
      </c>
      <c r="K4" s="11" t="s">
        <v>14</v>
      </c>
      <c r="L4" s="16">
        <f t="shared" ca="1" si="0"/>
        <v>18</v>
      </c>
      <c r="M4" s="34">
        <v>57244</v>
      </c>
      <c r="N4" s="15" t="str">
        <v>Under Average</v>
      </c>
      <c r="O4" s="15" t="str">
        <v>Over Average</v>
      </c>
      <c r="P4" s="34">
        <v>60106.200000000004</v>
      </c>
      <c r="Q4" s="34" t="str">
        <v>Different</v>
      </c>
      <c r="R4" s="20">
        <f ca="1">VLOOKUP(L4, LookUpData!$A$3:$C$8, 3, TRUE)*M4</f>
        <v>2003.5400000000002</v>
      </c>
      <c r="S4" s="25">
        <f ca="1">IF(H4="FT",M4* (VLOOKUP(L4,LookUpData!$A$10:$D$16,4,TRUE)),IF(H4="PT",M4*VLOOKUP(L4,LookUpData!$A$10:$D$16,3,TRUE), "Error"))</f>
        <v>2003.5400000000002</v>
      </c>
      <c r="T4" s="22">
        <f>IFERROR(M4*VLOOKUP(I4,LookUpData!A$20:B$23,2,FALSE),"Error")</f>
        <v>1144.8800000000001</v>
      </c>
      <c r="U4" s="22">
        <f>IFERROR(IF(J4="S",M4*VLOOKUP(I4,LookUpData!A$27:C$30,3,"FALSE"),IF(J4="H",M4*VLOOKUP(I4,LookUpData!A$27:C$30,2,"FALSE"), "Error")), "Error")</f>
        <v>1144.8800000000001</v>
      </c>
      <c r="V4" s="22"/>
    </row>
    <row r="5" spans="1:22" s="1" customFormat="1" x14ac:dyDescent="0.25">
      <c r="A5" s="11">
        <v>1027</v>
      </c>
      <c r="B5" s="5" t="s">
        <v>20</v>
      </c>
      <c r="C5" s="5" t="s">
        <v>55</v>
      </c>
      <c r="D5" s="13">
        <v>43184</v>
      </c>
      <c r="E5" s="13">
        <v>22371</v>
      </c>
      <c r="F5" s="14" t="s">
        <v>16</v>
      </c>
      <c r="G5" s="14" t="s">
        <v>11</v>
      </c>
      <c r="H5" s="11" t="s">
        <v>12</v>
      </c>
      <c r="I5" s="5" t="s">
        <v>85</v>
      </c>
      <c r="J5" s="5" t="s">
        <v>13</v>
      </c>
      <c r="K5" s="11" t="s">
        <v>21</v>
      </c>
      <c r="L5" s="16">
        <f t="shared" ca="1" si="0"/>
        <v>52</v>
      </c>
      <c r="M5" s="34">
        <v>80000</v>
      </c>
      <c r="N5" s="15" t="str">
        <v>Over Average</v>
      </c>
      <c r="O5" s="15" t="str">
        <v>Over Average</v>
      </c>
      <c r="P5" s="34">
        <v>80000</v>
      </c>
      <c r="Q5" s="34" t="str">
        <v xml:space="preserve"> </v>
      </c>
      <c r="R5" s="20">
        <f ca="1">VLOOKUP(L5, LookUpData!$A$3:$C$8, 3, TRUE)*M5</f>
        <v>8000</v>
      </c>
      <c r="S5" s="25">
        <f ca="1">IF(H5="FT",M5* (VLOOKUP(L5,LookUpData!$A$10:$D$16,4,TRUE)),IF(H5="PT",M5*VLOOKUP(L5,LookUpData!$A$10:$D$16,3,TRUE), "Error"))</f>
        <v>8000</v>
      </c>
      <c r="T5" s="22">
        <f>IFERROR(M5*VLOOKUP(I5,LookUpData!A$20:B$23,2,FALSE),"Error")</f>
        <v>2000</v>
      </c>
      <c r="U5" s="22">
        <f>IFERROR(IF(J5="S",M5*VLOOKUP(I5,LookUpData!A$27:C$30,3,"FALSE"),IF(J5="H",M5*VLOOKUP(I5,LookUpData!A$27:C$30,2,"FALSE"), "Error")), "Error")</f>
        <v>2800.0000000000005</v>
      </c>
      <c r="V5" s="22"/>
    </row>
    <row r="6" spans="1:22" s="1" customFormat="1" x14ac:dyDescent="0.25">
      <c r="A6" s="11">
        <v>1028</v>
      </c>
      <c r="B6" s="5" t="s">
        <v>22</v>
      </c>
      <c r="C6" s="5" t="s">
        <v>56</v>
      </c>
      <c r="D6" s="12">
        <v>44283</v>
      </c>
      <c r="E6" s="13">
        <v>19059</v>
      </c>
      <c r="F6" s="14" t="s">
        <v>10</v>
      </c>
      <c r="G6" s="14" t="s">
        <v>11</v>
      </c>
      <c r="H6" s="11" t="s">
        <v>25</v>
      </c>
      <c r="I6" s="5" t="s">
        <v>85</v>
      </c>
      <c r="J6" s="5" t="s">
        <v>13</v>
      </c>
      <c r="K6" s="11" t="s">
        <v>21</v>
      </c>
      <c r="L6" s="16">
        <f t="shared" ca="1" si="0"/>
        <v>15</v>
      </c>
      <c r="M6" s="34">
        <v>62100</v>
      </c>
      <c r="N6" s="15" t="str">
        <v>Over Average</v>
      </c>
      <c r="O6" s="15" t="str">
        <v>Over Average</v>
      </c>
      <c r="P6" s="34">
        <v>62100</v>
      </c>
      <c r="Q6" s="34" t="str">
        <v xml:space="preserve"> </v>
      </c>
      <c r="R6" s="20">
        <f ca="1">VLOOKUP(L6, LookUpData!$A$3:$C$8, 3, TRUE)*M6</f>
        <v>2173.5</v>
      </c>
      <c r="S6" s="25">
        <f ca="1">IF(H6="FT",M6* (VLOOKUP(L6,LookUpData!$A$10:$D$16,4,TRUE)),IF(H6="PT",M6*VLOOKUP(L6,LookUpData!$A$10:$D$16,3,TRUE), "Error"))</f>
        <v>0</v>
      </c>
      <c r="T6" s="22">
        <f>IFERROR(M6*VLOOKUP(I6,LookUpData!A$20:B$23,2,FALSE),"Error")</f>
        <v>1552.5</v>
      </c>
      <c r="U6" s="22">
        <f>IFERROR(IF(J6="S",M6*VLOOKUP(I6,LookUpData!A$27:C$30,3,"FALSE"),IF(J6="H",M6*VLOOKUP(I6,LookUpData!A$27:C$30,2,"FALSE"), "Error")), "Error")</f>
        <v>2173.5</v>
      </c>
      <c r="V6" s="22"/>
    </row>
    <row r="7" spans="1:22" s="1" customFormat="1" x14ac:dyDescent="0.25">
      <c r="A7" s="11">
        <v>1032</v>
      </c>
      <c r="B7" s="5" t="s">
        <v>24</v>
      </c>
      <c r="C7" s="5" t="s">
        <v>58</v>
      </c>
      <c r="D7" s="13">
        <v>41382</v>
      </c>
      <c r="E7" s="13">
        <v>22160</v>
      </c>
      <c r="F7" s="14" t="s">
        <v>16</v>
      </c>
      <c r="G7" s="14" t="s">
        <v>11</v>
      </c>
      <c r="H7" s="11" t="s">
        <v>25</v>
      </c>
      <c r="I7" s="5" t="s">
        <v>88</v>
      </c>
      <c r="J7" s="5" t="s">
        <v>26</v>
      </c>
      <c r="K7" s="11" t="s">
        <v>23</v>
      </c>
      <c r="L7" s="16">
        <f t="shared" ca="1" si="0"/>
        <v>111</v>
      </c>
      <c r="M7" s="34">
        <v>45125</v>
      </c>
      <c r="N7" s="15" t="str">
        <v>Under Average</v>
      </c>
      <c r="O7" s="15" t="str">
        <v>Under Average</v>
      </c>
      <c r="P7" s="34">
        <v>47381.25</v>
      </c>
      <c r="Q7" s="34" t="str">
        <v>Different</v>
      </c>
      <c r="R7" s="20">
        <f ca="1">VLOOKUP(L7, LookUpData!$A$3:$C$8, 3, TRUE)*M7</f>
        <v>4512.5</v>
      </c>
      <c r="S7" s="25">
        <f ca="1">IF(H7="FT",M7* (VLOOKUP(L7,LookUpData!$A$10:$D$16,4,TRUE)),IF(H7="PT",M7*VLOOKUP(L7,LookUpData!$A$10:$D$16,3,TRUE), "Error"))</f>
        <v>3610</v>
      </c>
      <c r="T7" s="22">
        <f>IFERROR(M7*VLOOKUP(I7,LookUpData!A$20:B$23,2,FALSE),"Error")</f>
        <v>2797.75</v>
      </c>
      <c r="U7" s="22">
        <f>IFERROR(IF(J7="S",M7*VLOOKUP(I7,LookUpData!A$27:C$30,3,"FALSE"),IF(J7="H",M7*VLOOKUP(I7,LookUpData!A$27:C$30,2,"FALSE"), "Error")), "Error")</f>
        <v>1398.875</v>
      </c>
      <c r="V7" s="22"/>
    </row>
    <row r="8" spans="1:22" s="1" customFormat="1" x14ac:dyDescent="0.25">
      <c r="A8" s="11">
        <v>1033</v>
      </c>
      <c r="B8" s="5" t="s">
        <v>27</v>
      </c>
      <c r="C8" s="5" t="s">
        <v>59</v>
      </c>
      <c r="D8" s="13">
        <v>43290</v>
      </c>
      <c r="E8" s="13">
        <v>15971</v>
      </c>
      <c r="F8" s="14" t="s">
        <v>16</v>
      </c>
      <c r="G8" s="14" t="s">
        <v>28</v>
      </c>
      <c r="H8" s="11" t="s">
        <v>25</v>
      </c>
      <c r="I8" s="5" t="s">
        <v>88</v>
      </c>
      <c r="J8" s="5" t="s">
        <v>26</v>
      </c>
      <c r="K8" s="11" t="s">
        <v>21</v>
      </c>
      <c r="L8" s="16">
        <f t="shared" ca="1" si="0"/>
        <v>48</v>
      </c>
      <c r="M8" s="34">
        <v>38512</v>
      </c>
      <c r="N8" s="15" t="str">
        <v>Under Average</v>
      </c>
      <c r="O8" s="15" t="str">
        <v>Under Average</v>
      </c>
      <c r="P8" s="34">
        <v>40437.599999999999</v>
      </c>
      <c r="Q8" s="34" t="str">
        <v>Different</v>
      </c>
      <c r="R8" s="20">
        <f ca="1">VLOOKUP(L8, LookUpData!$A$3:$C$8, 3, TRUE)*M8</f>
        <v>3851.2000000000003</v>
      </c>
      <c r="S8" s="25">
        <f ca="1">IF(H8="FT",M8* (VLOOKUP(L8,LookUpData!$A$10:$D$16,4,TRUE)),IF(H8="PT",M8*VLOOKUP(L8,LookUpData!$A$10:$D$16,3,TRUE), "Error"))</f>
        <v>3080.96</v>
      </c>
      <c r="T8" s="22">
        <f>IFERROR(M8*VLOOKUP(I8,LookUpData!A$20:B$23,2,FALSE),"Error")</f>
        <v>2387.7440000000001</v>
      </c>
      <c r="U8" s="22">
        <f>IFERROR(IF(J8="S",M8*VLOOKUP(I8,LookUpData!A$27:C$30,3,"FALSE"),IF(J8="H",M8*VLOOKUP(I8,LookUpData!A$27:C$30,2,"FALSE"), "Error")), "Error")</f>
        <v>1193.8720000000001</v>
      </c>
      <c r="V8" s="22"/>
    </row>
    <row r="9" spans="1:22" s="1" customFormat="1" x14ac:dyDescent="0.25">
      <c r="A9" s="11">
        <v>1034</v>
      </c>
      <c r="B9" s="5" t="s">
        <v>29</v>
      </c>
      <c r="C9" s="5" t="s">
        <v>60</v>
      </c>
      <c r="D9" s="13">
        <v>42378</v>
      </c>
      <c r="E9" s="13">
        <v>33347</v>
      </c>
      <c r="F9" s="14" t="s">
        <v>10</v>
      </c>
      <c r="G9" s="14" t="s">
        <v>28</v>
      </c>
      <c r="H9" s="11" t="s">
        <v>12</v>
      </c>
      <c r="I9" s="5" t="s">
        <v>86</v>
      </c>
      <c r="J9" s="5" t="s">
        <v>26</v>
      </c>
      <c r="K9" s="11" t="s">
        <v>23</v>
      </c>
      <c r="L9" s="16">
        <f t="shared" ca="1" si="0"/>
        <v>78</v>
      </c>
      <c r="M9" s="34">
        <v>25792</v>
      </c>
      <c r="N9" s="15" t="str">
        <v>Under Average</v>
      </c>
      <c r="O9" s="15" t="str">
        <v>Under Average</v>
      </c>
      <c r="P9" s="34">
        <v>27081.600000000002</v>
      </c>
      <c r="Q9" s="34" t="str">
        <v>Different</v>
      </c>
      <c r="R9" s="20">
        <f ca="1">VLOOKUP(L9, LookUpData!$A$3:$C$8, 3, TRUE)*M9</f>
        <v>2579.2000000000003</v>
      </c>
      <c r="S9" s="25">
        <f ca="1">IF(H9="FT",M9* (VLOOKUP(L9,LookUpData!$A$10:$D$16,4,TRUE)),IF(H9="PT",M9*VLOOKUP(L9,LookUpData!$A$10:$D$16,3,TRUE), "Error"))</f>
        <v>2579.2000000000003</v>
      </c>
      <c r="T9" s="22">
        <f>IFERROR(M9*VLOOKUP(I9,LookUpData!A$20:B$23,2,FALSE),"Error")</f>
        <v>386.88</v>
      </c>
      <c r="U9" s="22">
        <f>IFERROR(IF(J9="S",M9*VLOOKUP(I9,LookUpData!A$27:C$30,3,"FALSE"),IF(J9="H",M9*VLOOKUP(I9,LookUpData!A$27:C$30,2,"FALSE"), "Error")), "Error")</f>
        <v>386.88</v>
      </c>
      <c r="V9" s="22"/>
    </row>
    <row r="10" spans="1:22" s="1" customFormat="1" x14ac:dyDescent="0.25">
      <c r="A10" s="11">
        <v>1035</v>
      </c>
      <c r="B10" s="5" t="s">
        <v>41</v>
      </c>
      <c r="C10" s="5" t="s">
        <v>61</v>
      </c>
      <c r="D10" s="12">
        <v>43259</v>
      </c>
      <c r="E10" s="13">
        <v>32748</v>
      </c>
      <c r="F10" s="14" t="s">
        <v>16</v>
      </c>
      <c r="G10" s="14" t="s">
        <v>11</v>
      </c>
      <c r="H10" s="11" t="s">
        <v>12</v>
      </c>
      <c r="I10" s="5" t="s">
        <v>86</v>
      </c>
      <c r="J10" s="5" t="s">
        <v>26</v>
      </c>
      <c r="K10" s="11" t="s">
        <v>23</v>
      </c>
      <c r="L10" s="16">
        <f t="shared" ca="1" si="0"/>
        <v>49</v>
      </c>
      <c r="M10" s="34">
        <v>32011</v>
      </c>
      <c r="N10" s="15" t="str">
        <v>Under Average</v>
      </c>
      <c r="O10" s="15" t="str">
        <v>Under Average</v>
      </c>
      <c r="P10" s="34">
        <v>33611.550000000003</v>
      </c>
      <c r="Q10" s="34" t="str">
        <v>Different</v>
      </c>
      <c r="R10" s="20">
        <f ca="1">VLOOKUP(L10, LookUpData!$A$3:$C$8, 3, TRUE)*M10</f>
        <v>3201.1000000000004</v>
      </c>
      <c r="S10" s="25">
        <f ca="1">IF(H10="FT",M10* (VLOOKUP(L10,LookUpData!$A$10:$D$16,4,TRUE)),IF(H10="PT",M10*VLOOKUP(L10,LookUpData!$A$10:$D$16,3,TRUE), "Error"))</f>
        <v>3201.1000000000004</v>
      </c>
      <c r="T10" s="22">
        <f>IFERROR(M10*VLOOKUP(I10,LookUpData!A$20:B$23,2,FALSE),"Error")</f>
        <v>480.16499999999996</v>
      </c>
      <c r="U10" s="22">
        <f>IFERROR(IF(J10="S",M10*VLOOKUP(I10,LookUpData!A$27:C$30,3,"FALSE"),IF(J10="H",M10*VLOOKUP(I10,LookUpData!A$27:C$30,2,"FALSE"), "Error")), "Error")</f>
        <v>480.16499999999996</v>
      </c>
      <c r="V10" s="22"/>
    </row>
    <row r="11" spans="1:22" s="1" customFormat="1" x14ac:dyDescent="0.25">
      <c r="A11" s="11">
        <v>1036</v>
      </c>
      <c r="B11" s="5" t="s">
        <v>30</v>
      </c>
      <c r="C11" s="5" t="s">
        <v>62</v>
      </c>
      <c r="D11" s="13">
        <v>43109</v>
      </c>
      <c r="E11" s="13">
        <v>32861</v>
      </c>
      <c r="F11" s="14" t="s">
        <v>16</v>
      </c>
      <c r="G11" s="14" t="s">
        <v>28</v>
      </c>
      <c r="H11" s="11" t="s">
        <v>12</v>
      </c>
      <c r="I11" s="5" t="s">
        <v>86</v>
      </c>
      <c r="J11" s="5" t="s">
        <v>26</v>
      </c>
      <c r="K11" s="11" t="s">
        <v>14</v>
      </c>
      <c r="L11" s="16">
        <f t="shared" ca="1" si="0"/>
        <v>54</v>
      </c>
      <c r="M11" s="34">
        <v>23920</v>
      </c>
      <c r="N11" s="15" t="str">
        <v>Under Average</v>
      </c>
      <c r="O11" s="15" t="str">
        <v>Under Average</v>
      </c>
      <c r="P11" s="34">
        <v>25116</v>
      </c>
      <c r="Q11" s="34" t="str">
        <v>Different</v>
      </c>
      <c r="R11" s="20">
        <f ca="1">VLOOKUP(L11, LookUpData!$A$3:$C$8, 3, TRUE)*M11</f>
        <v>2392</v>
      </c>
      <c r="S11" s="25">
        <f ca="1">IF(H11="FT",M11* (VLOOKUP(L11,LookUpData!$A$10:$D$16,4,TRUE)),IF(H11="PT",M11*VLOOKUP(L11,LookUpData!$A$10:$D$16,3,TRUE), "Error"))</f>
        <v>2392</v>
      </c>
      <c r="T11" s="22">
        <f>IFERROR(M11*VLOOKUP(I11,LookUpData!A$20:B$23,2,FALSE),"Error")</f>
        <v>358.8</v>
      </c>
      <c r="U11" s="22">
        <f>IFERROR(IF(J11="S",M11*VLOOKUP(I11,LookUpData!A$27:C$30,3,"FALSE"),IF(J11="H",M11*VLOOKUP(I11,LookUpData!A$27:C$30,2,"FALSE"), "Error")), "Error")</f>
        <v>358.8</v>
      </c>
      <c r="V11" s="22"/>
    </row>
    <row r="12" spans="1:22" s="1" customFormat="1" ht="16.5" customHeight="1" x14ac:dyDescent="0.25">
      <c r="A12" s="11">
        <v>1037</v>
      </c>
      <c r="B12" s="5" t="s">
        <v>31</v>
      </c>
      <c r="C12" s="5" t="s">
        <v>63</v>
      </c>
      <c r="D12" s="13">
        <v>41123</v>
      </c>
      <c r="E12" s="13">
        <v>26810</v>
      </c>
      <c r="F12" s="14" t="s">
        <v>16</v>
      </c>
      <c r="G12" s="14" t="s">
        <v>11</v>
      </c>
      <c r="H12" s="11" t="s">
        <v>46</v>
      </c>
      <c r="I12" s="5" t="s">
        <v>88</v>
      </c>
      <c r="J12" s="5" t="s">
        <v>26</v>
      </c>
      <c r="K12" s="11" t="s">
        <v>21</v>
      </c>
      <c r="L12" s="16">
        <f t="shared" ca="1" si="0"/>
        <v>119</v>
      </c>
      <c r="M12" s="34">
        <v>32011</v>
      </c>
      <c r="N12" s="15" t="str">
        <v>Under Average</v>
      </c>
      <c r="O12" s="15" t="str">
        <v>Under Average</v>
      </c>
      <c r="P12" s="34">
        <v>33611.550000000003</v>
      </c>
      <c r="Q12" s="34" t="str">
        <v>Different</v>
      </c>
      <c r="R12" s="20">
        <f ca="1">VLOOKUP(L12, LookUpData!$A$3:$C$8, 3, TRUE)*M12</f>
        <v>3201.1000000000004</v>
      </c>
      <c r="S12" s="25" t="str">
        <f>IF(H12="FT",M12* (VLOOKUP(L12,LookUpData!$A$10:$D$16,4,TRUE)),IF(H12="PT",M12*VLOOKUP(L12,LookUpData!$A$10:$D$16,3,TRUE), "Error"))</f>
        <v>Error</v>
      </c>
      <c r="T12" s="22">
        <f>IFERROR(M12*VLOOKUP(I12,LookUpData!A$20:B$23,2,FALSE),"Error")</f>
        <v>1984.682</v>
      </c>
      <c r="U12" s="22">
        <f>IFERROR(IF(J12="S",M12*VLOOKUP(I12,LookUpData!A$27:C$30,3,"FALSE"),IF(J12="H",M12*VLOOKUP(I12,LookUpData!A$27:C$30,2,"FALSE"), "Error")), "Error")</f>
        <v>992.34100000000001</v>
      </c>
      <c r="V12" s="22"/>
    </row>
    <row r="13" spans="1:22" s="1" customFormat="1" x14ac:dyDescent="0.25">
      <c r="A13" s="11">
        <v>1038</v>
      </c>
      <c r="B13" s="5" t="s">
        <v>32</v>
      </c>
      <c r="C13" s="5" t="s">
        <v>64</v>
      </c>
      <c r="D13" s="13">
        <v>43038</v>
      </c>
      <c r="E13" s="13">
        <v>22519</v>
      </c>
      <c r="F13" s="14" t="s">
        <v>16</v>
      </c>
      <c r="G13" s="14" t="s">
        <v>28</v>
      </c>
      <c r="H13" s="11" t="s">
        <v>25</v>
      </c>
      <c r="I13" s="5" t="s">
        <v>86</v>
      </c>
      <c r="J13" s="5" t="s">
        <v>26</v>
      </c>
      <c r="K13" s="11" t="s">
        <v>23</v>
      </c>
      <c r="L13" s="16">
        <f t="shared" ca="1" si="0"/>
        <v>56</v>
      </c>
      <c r="M13" s="34">
        <v>21840</v>
      </c>
      <c r="N13" s="15" t="str">
        <v>Under Average</v>
      </c>
      <c r="O13" s="15" t="str">
        <v>Under Average</v>
      </c>
      <c r="P13" s="34">
        <v>22932</v>
      </c>
      <c r="Q13" s="34" t="str">
        <v>Different</v>
      </c>
      <c r="R13" s="20">
        <f ca="1">VLOOKUP(L13, LookUpData!$A$3:$C$8, 3, TRUE)*M13</f>
        <v>2184</v>
      </c>
      <c r="S13" s="25">
        <f ca="1">IF(H13="FT",M13* (VLOOKUP(L13,LookUpData!$A$10:$D$16,4,TRUE)),IF(H13="PT",M13*VLOOKUP(L13,LookUpData!$A$10:$D$16,3,TRUE), "Error"))</f>
        <v>1747.2</v>
      </c>
      <c r="T13" s="22">
        <f>IFERROR(M13*VLOOKUP(I13,LookUpData!A$20:B$23,2,FALSE),"Error")</f>
        <v>327.59999999999997</v>
      </c>
      <c r="U13" s="22">
        <f>IFERROR(IF(J13="S",M13*VLOOKUP(I13,LookUpData!A$27:C$30,3,"FALSE"),IF(J13="H",M13*VLOOKUP(I13,LookUpData!A$27:C$30,2,"FALSE"), "Error")), "Error")</f>
        <v>327.59999999999997</v>
      </c>
      <c r="V13" s="22"/>
    </row>
    <row r="14" spans="1:22" s="1" customFormat="1" x14ac:dyDescent="0.25">
      <c r="A14" s="11">
        <v>1039</v>
      </c>
      <c r="B14" s="5" t="s">
        <v>33</v>
      </c>
      <c r="C14" s="5" t="s">
        <v>65</v>
      </c>
      <c r="D14" s="12">
        <v>42958</v>
      </c>
      <c r="E14" s="13">
        <v>26184</v>
      </c>
      <c r="F14" s="14" t="s">
        <v>16</v>
      </c>
      <c r="G14" s="14" t="s">
        <v>11</v>
      </c>
      <c r="H14" s="11" t="s">
        <v>25</v>
      </c>
      <c r="I14" s="5" t="s">
        <v>87</v>
      </c>
      <c r="J14" s="5" t="s">
        <v>13</v>
      </c>
      <c r="K14" s="11" t="s">
        <v>23</v>
      </c>
      <c r="L14" s="16">
        <f t="shared" ca="1" si="0"/>
        <v>59</v>
      </c>
      <c r="M14" s="34">
        <v>72127</v>
      </c>
      <c r="N14" s="15" t="str">
        <v>Over Average</v>
      </c>
      <c r="O14" s="15" t="str">
        <v>Over Average</v>
      </c>
      <c r="P14" s="34">
        <v>72127</v>
      </c>
      <c r="Q14" s="34" t="str">
        <v xml:space="preserve"> </v>
      </c>
      <c r="R14" s="20">
        <f ca="1">VLOOKUP(L14, LookUpData!$A$3:$C$8, 3, TRUE)*M14</f>
        <v>7212.7000000000007</v>
      </c>
      <c r="S14" s="25">
        <f ca="1">IF(H14="FT",M14* (VLOOKUP(L14,LookUpData!$A$10:$D$16,4,TRUE)),IF(H14="PT",M14*VLOOKUP(L14,LookUpData!$A$10:$D$16,3,TRUE), "Error"))</f>
        <v>5770.16</v>
      </c>
      <c r="T14" s="22">
        <f>IFERROR(M14*VLOOKUP(I14,LookUpData!A$20:B$23,2,FALSE),"Error")</f>
        <v>1442.54</v>
      </c>
      <c r="U14" s="22">
        <f>IFERROR(IF(J14="S",M14*VLOOKUP(I14,LookUpData!A$27:C$30,3,"FALSE"),IF(J14="H",M14*VLOOKUP(I14,LookUpData!A$27:C$30,2,"FALSE"), "Error")), "Error")</f>
        <v>1442.54</v>
      </c>
      <c r="V14" s="22"/>
    </row>
    <row r="15" spans="1:22" s="1" customFormat="1" x14ac:dyDescent="0.25">
      <c r="A15" s="11">
        <v>1040</v>
      </c>
      <c r="B15" s="5" t="s">
        <v>34</v>
      </c>
      <c r="C15" s="5" t="s">
        <v>66</v>
      </c>
      <c r="D15" s="12">
        <v>44000</v>
      </c>
      <c r="E15" s="13">
        <v>31983</v>
      </c>
      <c r="F15" s="14" t="s">
        <v>10</v>
      </c>
      <c r="G15" s="14" t="s">
        <v>28</v>
      </c>
      <c r="H15" s="11" t="s">
        <v>25</v>
      </c>
      <c r="I15" s="5" t="s">
        <v>87</v>
      </c>
      <c r="J15" s="5" t="s">
        <v>13</v>
      </c>
      <c r="K15" s="11" t="s">
        <v>14</v>
      </c>
      <c r="L15" s="16">
        <f t="shared" ca="1" si="0"/>
        <v>25</v>
      </c>
      <c r="M15" s="34">
        <v>65000</v>
      </c>
      <c r="N15" s="15" t="str">
        <v>Over Average</v>
      </c>
      <c r="O15" s="15" t="str">
        <v>Over Average</v>
      </c>
      <c r="P15" s="34">
        <v>65000</v>
      </c>
      <c r="Q15" s="34" t="str">
        <v xml:space="preserve"> </v>
      </c>
      <c r="R15" s="20">
        <f ca="1">VLOOKUP(L15, LookUpData!$A$3:$C$8, 3, TRUE)*M15</f>
        <v>3250</v>
      </c>
      <c r="S15" s="25">
        <f ca="1">IF(H15="FT",M15* (VLOOKUP(L15,LookUpData!$A$10:$D$16,4,TRUE)),IF(H15="PT",M15*VLOOKUP(L15,LookUpData!$A$10:$D$16,3,TRUE), "Error"))</f>
        <v>1625</v>
      </c>
      <c r="T15" s="22">
        <f>IFERROR(M15*VLOOKUP(I15,LookUpData!A$20:B$23,2,FALSE),"Error")</f>
        <v>1300</v>
      </c>
      <c r="U15" s="22">
        <f>IFERROR(IF(J15="S",M15*VLOOKUP(I15,LookUpData!A$27:C$30,3,"FALSE"),IF(J15="H",M15*VLOOKUP(I15,LookUpData!A$27:C$30,2,"FALSE"), "Error")), "Error")</f>
        <v>1300</v>
      </c>
      <c r="V15" s="22"/>
    </row>
    <row r="16" spans="1:22" s="1" customFormat="1" x14ac:dyDescent="0.25">
      <c r="A16" s="11">
        <v>1041</v>
      </c>
      <c r="B16" s="5" t="s">
        <v>35</v>
      </c>
      <c r="C16" s="5" t="s">
        <v>67</v>
      </c>
      <c r="D16" s="12">
        <v>44053</v>
      </c>
      <c r="E16" s="13">
        <v>22279</v>
      </c>
      <c r="F16" s="14" t="s">
        <v>16</v>
      </c>
      <c r="G16" s="14" t="s">
        <v>19</v>
      </c>
      <c r="H16" s="11" t="s">
        <v>12</v>
      </c>
      <c r="I16" s="5" t="s">
        <v>89</v>
      </c>
      <c r="J16" s="5" t="s">
        <v>13</v>
      </c>
      <c r="K16" s="11" t="s">
        <v>14</v>
      </c>
      <c r="L16" s="16">
        <f t="shared" ca="1" si="0"/>
        <v>23</v>
      </c>
      <c r="M16" s="34">
        <v>108500</v>
      </c>
      <c r="N16" s="15" t="str">
        <v>Over Average</v>
      </c>
      <c r="O16" s="15" t="str">
        <v>Over Average</v>
      </c>
      <c r="P16" s="34">
        <v>108500</v>
      </c>
      <c r="Q16" s="34" t="str">
        <v xml:space="preserve"> </v>
      </c>
      <c r="R16" s="20">
        <f ca="1">VLOOKUP(L16, LookUpData!$A$3:$C$8, 3, TRUE)*M16</f>
        <v>3797.5000000000005</v>
      </c>
      <c r="S16" s="25">
        <f ca="1">IF(H16="FT",M16* (VLOOKUP(L16,LookUpData!$A$10:$D$16,4,TRUE)),IF(H16="PT",M16*VLOOKUP(L16,LookUpData!$A$10:$D$16,3,TRUE), "Error"))</f>
        <v>3797.5000000000005</v>
      </c>
      <c r="T16" s="22" t="str">
        <f>IFERROR(M16*VLOOKUP(I16,LookUpData!A$20:B$23,2,FALSE),"Error")</f>
        <v>Error</v>
      </c>
      <c r="U16" s="22" t="str">
        <f>IFERROR(IF(J16="S",M16*VLOOKUP(I16,LookUpData!A$27:C$30,3,"FALSE"),IF(J16="H",M16*VLOOKUP(I16,LookUpData!A$27:C$30,2,"FALSE"), "Error")), "Error")</f>
        <v>Error</v>
      </c>
      <c r="V16" s="22"/>
    </row>
    <row r="17" spans="1:22" s="1" customFormat="1" x14ac:dyDescent="0.25">
      <c r="A17" s="11">
        <v>1042</v>
      </c>
      <c r="B17" s="5" t="s">
        <v>36</v>
      </c>
      <c r="C17" s="5" t="s">
        <v>68</v>
      </c>
      <c r="D17" s="13">
        <v>44045</v>
      </c>
      <c r="E17" s="13">
        <v>24837</v>
      </c>
      <c r="F17" s="14" t="s">
        <v>10</v>
      </c>
      <c r="G17" s="14" t="s">
        <v>11</v>
      </c>
      <c r="H17" s="11" t="s">
        <v>12</v>
      </c>
      <c r="I17" s="5" t="s">
        <v>85</v>
      </c>
      <c r="J17" s="5" t="s">
        <v>13</v>
      </c>
      <c r="K17" s="11" t="s">
        <v>14</v>
      </c>
      <c r="L17" s="16">
        <f t="shared" ca="1" si="0"/>
        <v>23</v>
      </c>
      <c r="M17" s="34">
        <v>80000</v>
      </c>
      <c r="N17" s="15" t="str">
        <v>Over Average</v>
      </c>
      <c r="O17" s="15" t="str">
        <v>Over Average</v>
      </c>
      <c r="P17" s="34">
        <v>80000</v>
      </c>
      <c r="Q17" s="34" t="str">
        <v xml:space="preserve"> </v>
      </c>
      <c r="R17" s="20">
        <f ca="1">VLOOKUP(L17, LookUpData!$A$3:$C$8, 3, TRUE)*M17</f>
        <v>2800.0000000000005</v>
      </c>
      <c r="S17" s="25">
        <f ca="1">IF(H17="FT",M17* (VLOOKUP(L17,LookUpData!$A$10:$D$16,4,TRUE)),IF(H17="PT",M17*VLOOKUP(L17,LookUpData!$A$10:$D$16,3,TRUE), "Error"))</f>
        <v>2800.0000000000005</v>
      </c>
      <c r="T17" s="22">
        <f>IFERROR(M17*VLOOKUP(I17,LookUpData!A$20:B$23,2,FALSE),"Error")</f>
        <v>2000</v>
      </c>
      <c r="U17" s="22">
        <f>IFERROR(IF(J17="S",M17*VLOOKUP(I17,LookUpData!A$27:C$30,3,"FALSE"),IF(J17="H",M17*VLOOKUP(I17,LookUpData!A$27:C$30,2,"FALSE"), "Error")), "Error")</f>
        <v>2800.0000000000005</v>
      </c>
      <c r="V17" s="22"/>
    </row>
    <row r="18" spans="1:22" s="1" customFormat="1" x14ac:dyDescent="0.25">
      <c r="A18" s="11">
        <v>1043</v>
      </c>
      <c r="B18" s="5" t="s">
        <v>37</v>
      </c>
      <c r="C18" s="5" t="s">
        <v>69</v>
      </c>
      <c r="D18" s="13">
        <v>42698</v>
      </c>
      <c r="E18" s="13">
        <v>27507</v>
      </c>
      <c r="F18" s="14" t="s">
        <v>16</v>
      </c>
      <c r="G18" s="11" t="s">
        <v>17</v>
      </c>
      <c r="H18" s="11" t="s">
        <v>12</v>
      </c>
      <c r="I18" s="5" t="s">
        <v>85</v>
      </c>
      <c r="J18" s="5" t="s">
        <v>13</v>
      </c>
      <c r="K18" s="11" t="s">
        <v>21</v>
      </c>
      <c r="L18" s="16">
        <f t="shared" ca="1" si="0"/>
        <v>68</v>
      </c>
      <c r="M18" s="34">
        <v>60000</v>
      </c>
      <c r="N18" s="15" t="str">
        <v>Over Average</v>
      </c>
      <c r="O18" s="15" t="str">
        <v>Over Average</v>
      </c>
      <c r="P18" s="34">
        <v>60000</v>
      </c>
      <c r="Q18" s="34" t="str">
        <v xml:space="preserve"> </v>
      </c>
      <c r="R18" s="20">
        <f ca="1">VLOOKUP(L18, LookUpData!$A$3:$C$8, 3, TRUE)*M18</f>
        <v>6000</v>
      </c>
      <c r="S18" s="25">
        <f ca="1">IF(H18="FT",M18* (VLOOKUP(L18,LookUpData!$A$10:$D$16,4,TRUE)),IF(H18="PT",M18*VLOOKUP(L18,LookUpData!$A$10:$D$16,3,TRUE), "Error"))</f>
        <v>6000</v>
      </c>
      <c r="T18" s="22">
        <f>IFERROR(M18*VLOOKUP(I18,LookUpData!A$20:B$23,2,FALSE),"Error")</f>
        <v>1500</v>
      </c>
      <c r="U18" s="22">
        <f>IFERROR(IF(J18="S",M18*VLOOKUP(I18,LookUpData!A$27:C$30,3,"FALSE"),IF(J18="H",M18*VLOOKUP(I18,LookUpData!A$27:C$30,2,"FALSE"), "Error")), "Error")</f>
        <v>2100</v>
      </c>
      <c r="V18" s="22"/>
    </row>
    <row r="19" spans="1:22" s="1" customFormat="1" x14ac:dyDescent="0.25">
      <c r="A19" s="11">
        <v>1044</v>
      </c>
      <c r="B19" s="5" t="s">
        <v>38</v>
      </c>
      <c r="C19" s="5" t="s">
        <v>70</v>
      </c>
      <c r="D19" s="13">
        <v>40962</v>
      </c>
      <c r="E19" s="13">
        <v>19881</v>
      </c>
      <c r="F19" s="14" t="s">
        <v>10</v>
      </c>
      <c r="G19" s="14" t="s">
        <v>11</v>
      </c>
      <c r="H19" s="11" t="s">
        <v>12</v>
      </c>
      <c r="I19" s="5" t="s">
        <v>85</v>
      </c>
      <c r="J19" s="5" t="s">
        <v>13</v>
      </c>
      <c r="K19" s="11" t="s">
        <v>14</v>
      </c>
      <c r="L19" s="16">
        <f t="shared" ca="1" si="0"/>
        <v>125</v>
      </c>
      <c r="M19" s="34">
        <v>122500</v>
      </c>
      <c r="N19" s="15" t="str">
        <v>Over Average</v>
      </c>
      <c r="O19" s="15" t="str">
        <v>Over Average</v>
      </c>
      <c r="P19" s="34">
        <v>122500</v>
      </c>
      <c r="Q19" s="34" t="str">
        <v xml:space="preserve"> </v>
      </c>
      <c r="R19" s="20">
        <f ca="1">VLOOKUP(L19, LookUpData!$A$3:$C$8, 3, TRUE)*M19</f>
        <v>12250</v>
      </c>
      <c r="S19" s="25">
        <f ca="1">IF(H19="FT",M19* (VLOOKUP(L19,LookUpData!$A$10:$D$16,4,TRUE)),IF(H19="PT",M19*VLOOKUP(L19,LookUpData!$A$10:$D$16,3,TRUE), "Error"))</f>
        <v>12250</v>
      </c>
      <c r="T19" s="22">
        <f>IFERROR(M19*VLOOKUP(I19,LookUpData!A$20:B$23,2,FALSE),"Error")</f>
        <v>3062.5</v>
      </c>
      <c r="U19" s="22">
        <f>IFERROR(IF(J19="S",M19*VLOOKUP(I19,LookUpData!A$27:C$30,3,"FALSE"),IF(J19="H",M19*VLOOKUP(I19,LookUpData!A$27:C$30,2,"FALSE"), "Error")), "Error")</f>
        <v>4287.5</v>
      </c>
      <c r="V19" s="22"/>
    </row>
    <row r="20" spans="1:22" s="1" customFormat="1" x14ac:dyDescent="0.25">
      <c r="A20" s="11">
        <v>1045</v>
      </c>
      <c r="B20" s="5" t="s">
        <v>39</v>
      </c>
      <c r="C20" s="5" t="s">
        <v>71</v>
      </c>
      <c r="D20" s="12">
        <v>43917</v>
      </c>
      <c r="E20" s="13">
        <v>24649</v>
      </c>
      <c r="F20" s="14" t="s">
        <v>10</v>
      </c>
      <c r="G20" s="14" t="s">
        <v>11</v>
      </c>
      <c r="H20" s="11" t="s">
        <v>12</v>
      </c>
      <c r="I20" s="5" t="s">
        <v>85</v>
      </c>
      <c r="J20" s="5" t="s">
        <v>13</v>
      </c>
      <c r="K20" s="11" t="s">
        <v>14</v>
      </c>
      <c r="L20" s="16">
        <f t="shared" ca="1" si="0"/>
        <v>28</v>
      </c>
      <c r="M20" s="34">
        <v>163500</v>
      </c>
      <c r="N20" s="15" t="str">
        <v>Over Average</v>
      </c>
      <c r="O20" s="15" t="str">
        <v>Over Average</v>
      </c>
      <c r="P20" s="34">
        <v>163500</v>
      </c>
      <c r="Q20" s="34" t="str">
        <v xml:space="preserve"> </v>
      </c>
      <c r="R20" s="20">
        <f ca="1">VLOOKUP(L20, LookUpData!$A$3:$C$8, 3, TRUE)*M20</f>
        <v>8175</v>
      </c>
      <c r="S20" s="25">
        <f ca="1">IF(H20="FT",M20* (VLOOKUP(L20,LookUpData!$A$10:$D$16,4,TRUE)),IF(H20="PT",M20*VLOOKUP(L20,LookUpData!$A$10:$D$16,3,TRUE), "Error"))</f>
        <v>8175</v>
      </c>
      <c r="T20" s="22">
        <f>IFERROR(M20*VLOOKUP(I20,LookUpData!A$20:B$23,2,FALSE),"Error")</f>
        <v>4087.5</v>
      </c>
      <c r="U20" s="22">
        <f>IFERROR(IF(J20="S",M20*VLOOKUP(I20,LookUpData!A$27:C$30,3,"FALSE"),IF(J20="H",M20*VLOOKUP(I20,LookUpData!A$27:C$30,2,"FALSE"), "Error")), "Error")</f>
        <v>5722.5000000000009</v>
      </c>
      <c r="V20" s="22"/>
    </row>
    <row r="21" spans="1:22" s="1" customFormat="1" x14ac:dyDescent="0.25">
      <c r="A21" s="11">
        <v>1046</v>
      </c>
      <c r="B21" s="5" t="s">
        <v>40</v>
      </c>
      <c r="C21" s="5" t="s">
        <v>72</v>
      </c>
      <c r="D21" s="13">
        <v>43681</v>
      </c>
      <c r="E21" s="13">
        <v>19753</v>
      </c>
      <c r="F21" s="14" t="s">
        <v>16</v>
      </c>
      <c r="G21" s="11" t="s">
        <v>17</v>
      </c>
      <c r="H21" s="11" t="s">
        <v>25</v>
      </c>
      <c r="I21" s="11" t="s">
        <v>86</v>
      </c>
      <c r="J21" s="11" t="s">
        <v>13</v>
      </c>
      <c r="K21" s="11" t="s">
        <v>14</v>
      </c>
      <c r="L21" s="16">
        <f t="shared" ca="1" si="0"/>
        <v>35</v>
      </c>
      <c r="M21" s="34">
        <v>31761</v>
      </c>
      <c r="N21" s="15" t="str">
        <v>Under Average</v>
      </c>
      <c r="O21" s="15" t="str">
        <v>Under Average</v>
      </c>
      <c r="P21" s="34">
        <v>33349.050000000003</v>
      </c>
      <c r="Q21" s="34" t="str">
        <v>Different</v>
      </c>
      <c r="R21" s="20">
        <f ca="1">VLOOKUP(L21, LookUpData!$A$3:$C$8, 3, TRUE)*M21</f>
        <v>1588.0500000000002</v>
      </c>
      <c r="S21" s="25">
        <f ca="1">IF(H21="FT",M21* (VLOOKUP(L21,LookUpData!$A$10:$D$16,4,TRUE)),IF(H21="PT",M21*VLOOKUP(L21,LookUpData!$A$10:$D$16,3,TRUE), "Error"))</f>
        <v>794.02500000000009</v>
      </c>
      <c r="T21" s="22">
        <f>IFERROR(M21*VLOOKUP(I21,LookUpData!A$20:B$23,2,FALSE),"Error")</f>
        <v>476.41499999999996</v>
      </c>
      <c r="U21" s="22">
        <f>IFERROR(IF(J21="S",M21*VLOOKUP(I21,LookUpData!A$27:C$30,3,"FALSE"),IF(J21="H",M21*VLOOKUP(I21,LookUpData!A$27:C$30,2,"FALSE"), "Error")), "Error")</f>
        <v>317.61</v>
      </c>
      <c r="V21" s="22"/>
    </row>
    <row r="22" spans="1:22" s="1" customFormat="1" x14ac:dyDescent="0.25">
      <c r="A22" s="11">
        <v>1047</v>
      </c>
      <c r="B22" s="5" t="s">
        <v>43</v>
      </c>
      <c r="C22" s="5" t="s">
        <v>73</v>
      </c>
      <c r="D22" s="12">
        <v>42304</v>
      </c>
      <c r="E22" s="13">
        <v>23347</v>
      </c>
      <c r="F22" s="14" t="s">
        <v>10</v>
      </c>
      <c r="G22" s="14" t="s">
        <v>11</v>
      </c>
      <c r="H22" s="11" t="s">
        <v>12</v>
      </c>
      <c r="I22" s="11" t="s">
        <v>86</v>
      </c>
      <c r="J22" s="11" t="s">
        <v>26</v>
      </c>
      <c r="K22" s="11" t="s">
        <v>14</v>
      </c>
      <c r="L22" s="16">
        <f t="shared" ca="1" si="0"/>
        <v>81</v>
      </c>
      <c r="M22" s="34">
        <v>65000</v>
      </c>
      <c r="N22" s="15" t="str">
        <v>Over Average</v>
      </c>
      <c r="O22" s="15" t="str">
        <v>Over Average</v>
      </c>
      <c r="P22" s="34">
        <v>65000</v>
      </c>
      <c r="Q22" s="34" t="str">
        <v xml:space="preserve"> </v>
      </c>
      <c r="R22" s="20">
        <f ca="1">VLOOKUP(L22, LookUpData!$A$3:$C$8, 3, TRUE)*M22</f>
        <v>6500</v>
      </c>
      <c r="S22" s="25">
        <f ca="1">IF(H22="FT",M22* (VLOOKUP(L22,LookUpData!$A$10:$D$16,4,TRUE)),IF(H22="PT",M22*VLOOKUP(L22,LookUpData!$A$10:$D$16,3,TRUE), "Error"))</f>
        <v>6500</v>
      </c>
      <c r="T22" s="22">
        <f>IFERROR(M22*VLOOKUP(I22,LookUpData!A$20:B$23,2,FALSE),"Error")</f>
        <v>975</v>
      </c>
      <c r="U22" s="22">
        <f>IFERROR(IF(J22="S",M22*VLOOKUP(I22,LookUpData!A$27:C$30,3,"FALSE"),IF(J22="H",M22*VLOOKUP(I22,LookUpData!A$27:C$30,2,"FALSE"), "Error")), "Error")</f>
        <v>975</v>
      </c>
      <c r="V22" s="22"/>
    </row>
    <row r="23" spans="1:22" s="5" customFormat="1" x14ac:dyDescent="0.25">
      <c r="A23" s="11">
        <v>1048</v>
      </c>
      <c r="B23" s="5" t="s">
        <v>74</v>
      </c>
      <c r="C23" s="5" t="s">
        <v>75</v>
      </c>
      <c r="D23" s="12">
        <v>43209</v>
      </c>
      <c r="E23" s="13">
        <v>33695</v>
      </c>
      <c r="F23" s="14" t="s">
        <v>10</v>
      </c>
      <c r="G23" s="14" t="s">
        <v>11</v>
      </c>
      <c r="H23" s="11" t="s">
        <v>12</v>
      </c>
      <c r="I23" s="11" t="s">
        <v>87</v>
      </c>
      <c r="J23" s="11" t="s">
        <v>26</v>
      </c>
      <c r="K23" s="11" t="s">
        <v>21</v>
      </c>
      <c r="L23" s="16">
        <f t="shared" ca="1" si="0"/>
        <v>51</v>
      </c>
      <c r="M23" s="34">
        <v>42100</v>
      </c>
      <c r="N23" s="15" t="str">
        <v>Under Average</v>
      </c>
      <c r="O23" s="15" t="str">
        <v>Under Average</v>
      </c>
      <c r="P23" s="34">
        <v>44205</v>
      </c>
      <c r="Q23" s="34" t="str">
        <v>Different</v>
      </c>
      <c r="R23" s="20">
        <f ca="1">VLOOKUP(L23, LookUpData!$A$3:$C$8, 3, TRUE)*M23</f>
        <v>4210</v>
      </c>
      <c r="S23" s="25">
        <f ca="1">IF(H23="FT",M23* (VLOOKUP(L23,LookUpData!$A$10:$D$16,4,TRUE)),IF(H23="PT",M23*VLOOKUP(L23,LookUpData!$A$10:$D$16,3,TRUE), "Error"))</f>
        <v>4210</v>
      </c>
      <c r="T23" s="22">
        <f>IFERROR(M23*VLOOKUP(I23,LookUpData!A$20:B$23,2,FALSE),"Error")</f>
        <v>842</v>
      </c>
      <c r="U23" s="22">
        <f>IFERROR(IF(J23="S",M23*VLOOKUP(I23,LookUpData!A$27:C$30,3,"FALSE"),IF(J23="H",M23*VLOOKUP(I23,LookUpData!A$27:C$30,2,"FALSE"), "Error")), "Error")</f>
        <v>1052.5</v>
      </c>
      <c r="V23" s="22"/>
    </row>
    <row r="24" spans="1:22" s="5" customFormat="1" x14ac:dyDescent="0.25">
      <c r="A24" s="11">
        <v>1052</v>
      </c>
      <c r="B24" s="5" t="s">
        <v>76</v>
      </c>
      <c r="C24" s="5" t="s">
        <v>77</v>
      </c>
      <c r="D24" s="12">
        <v>43939</v>
      </c>
      <c r="E24" s="13">
        <v>32530</v>
      </c>
      <c r="F24" s="14" t="s">
        <v>16</v>
      </c>
      <c r="G24" s="14" t="s">
        <v>28</v>
      </c>
      <c r="H24" s="11" t="s">
        <v>12</v>
      </c>
      <c r="I24" s="11" t="s">
        <v>87</v>
      </c>
      <c r="J24" s="11" t="s">
        <v>26</v>
      </c>
      <c r="K24" s="11" t="s">
        <v>21</v>
      </c>
      <c r="L24" s="16">
        <f t="shared" ca="1" si="0"/>
        <v>27</v>
      </c>
      <c r="M24" s="34">
        <v>43250</v>
      </c>
      <c r="N24" s="15" t="str">
        <v>Under Average</v>
      </c>
      <c r="O24" s="15" t="str">
        <v>Under Average</v>
      </c>
      <c r="P24" s="34">
        <v>45412.5</v>
      </c>
      <c r="Q24" s="34" t="str">
        <v>Different</v>
      </c>
      <c r="R24" s="20">
        <f ca="1">VLOOKUP(L24, LookUpData!$A$3:$C$8, 3, TRUE)*M24</f>
        <v>2162.5</v>
      </c>
      <c r="S24" s="25">
        <f ca="1">IF(H24="FT",M24* (VLOOKUP(L24,LookUpData!$A$10:$D$16,4,TRUE)),IF(H24="PT",M24*VLOOKUP(L24,LookUpData!$A$10:$D$16,3,TRUE), "Error"))</f>
        <v>2162.5</v>
      </c>
      <c r="T24" s="22">
        <f>IFERROR(M24*VLOOKUP(I24,LookUpData!A$20:B$23,2,FALSE),"Error")</f>
        <v>865</v>
      </c>
      <c r="U24" s="22">
        <f>IFERROR(IF(J24="S",M24*VLOOKUP(I24,LookUpData!A$27:C$30,3,"FALSE"),IF(J24="H",M24*VLOOKUP(I24,LookUpData!A$27:C$30,2,"FALSE"), "Error")), "Error")</f>
        <v>1081.25</v>
      </c>
      <c r="V24" s="22"/>
    </row>
    <row r="25" spans="1:22" s="5" customFormat="1" x14ac:dyDescent="0.25">
      <c r="A25" s="11">
        <v>1064</v>
      </c>
      <c r="B25" s="5" t="s">
        <v>78</v>
      </c>
      <c r="C25" s="5" t="s">
        <v>79</v>
      </c>
      <c r="D25" s="12">
        <v>43476</v>
      </c>
      <c r="E25" s="13">
        <v>29649</v>
      </c>
      <c r="F25" s="14" t="s">
        <v>16</v>
      </c>
      <c r="G25" s="14" t="s">
        <v>19</v>
      </c>
      <c r="H25" s="11" t="s">
        <v>25</v>
      </c>
      <c r="I25" s="11" t="s">
        <v>87</v>
      </c>
      <c r="J25" s="11" t="s">
        <v>26</v>
      </c>
      <c r="K25" s="11" t="s">
        <v>21</v>
      </c>
      <c r="L25" s="16">
        <f t="shared" ca="1" si="0"/>
        <v>42</v>
      </c>
      <c r="M25" s="34">
        <v>38450</v>
      </c>
      <c r="N25" s="15" t="str">
        <v>Under Average</v>
      </c>
      <c r="O25" s="15" t="str">
        <v>Under Average</v>
      </c>
      <c r="P25" s="34">
        <v>40372.5</v>
      </c>
      <c r="Q25" s="34" t="str">
        <v>Different</v>
      </c>
      <c r="R25" s="20">
        <f ca="1">VLOOKUP(L25, LookUpData!$A$3:$C$8, 3, TRUE)*M25</f>
        <v>3076</v>
      </c>
      <c r="S25" s="25">
        <f ca="1">IF(H25="FT",M25* (VLOOKUP(L25,LookUpData!$A$10:$D$16,4,TRUE)),IF(H25="PT",M25*VLOOKUP(L25,LookUpData!$A$10:$D$16,3,TRUE), "Error"))</f>
        <v>1922.5</v>
      </c>
      <c r="T25" s="22">
        <f>IFERROR(M25*VLOOKUP(I25,LookUpData!A$20:B$23,2,FALSE),"Error")</f>
        <v>769</v>
      </c>
      <c r="U25" s="22">
        <f>IFERROR(IF(J25="S",M25*VLOOKUP(I25,LookUpData!A$27:C$30,3,"FALSE"),IF(J25="H",M25*VLOOKUP(I25,LookUpData!A$27:C$30,2,"FALSE"), "Error")), "Error")</f>
        <v>961.25</v>
      </c>
      <c r="V25" s="22"/>
    </row>
    <row r="26" spans="1:22" s="5" customFormat="1" x14ac:dyDescent="0.25">
      <c r="A26" s="11"/>
      <c r="D26" s="12"/>
      <c r="E26" s="13"/>
      <c r="F26" s="14"/>
      <c r="G26" s="14"/>
      <c r="H26" s="11"/>
      <c r="I26" s="11"/>
      <c r="J26" s="11"/>
      <c r="K26" s="11"/>
      <c r="L26" s="16"/>
      <c r="M26" s="15"/>
      <c r="N26" s="15"/>
      <c r="O26" s="15"/>
      <c r="P26" s="34"/>
      <c r="Q26" s="34"/>
      <c r="R26" s="20"/>
      <c r="S26" s="23"/>
      <c r="T26" s="22"/>
      <c r="V26" s="22"/>
    </row>
    <row r="27" spans="1:22" s="5" customFormat="1" x14ac:dyDescent="0.25">
      <c r="G27" s="14"/>
      <c r="H27" s="11"/>
      <c r="I27" s="11"/>
      <c r="J27" s="11"/>
      <c r="K27" s="11"/>
      <c r="L27" s="16"/>
      <c r="M27" s="15"/>
      <c r="N27" s="15"/>
      <c r="O27" s="15"/>
      <c r="P27" s="34"/>
      <c r="Q27" s="34"/>
      <c r="R27" s="20"/>
      <c r="S27" s="23"/>
      <c r="T27" s="22"/>
      <c r="V27" s="22"/>
    </row>
    <row r="28" spans="1:22" ht="15.75" x14ac:dyDescent="0.25">
      <c r="G28" s="3"/>
      <c r="H28" s="3"/>
      <c r="I28" s="3"/>
      <c r="J28" s="3"/>
      <c r="K28" s="3"/>
      <c r="L28" s="3"/>
    </row>
    <row r="29" spans="1:22" ht="15.75" x14ac:dyDescent="0.25">
      <c r="B29" t="s">
        <v>142</v>
      </c>
      <c r="G29" s="3"/>
      <c r="H29" s="3"/>
      <c r="I29" s="3"/>
      <c r="J29" s="4"/>
      <c r="K29" s="24"/>
      <c r="L29" s="27"/>
      <c r="S29"/>
      <c r="T29"/>
    </row>
    <row r="30" spans="1:22" ht="15.75" x14ac:dyDescent="0.25">
      <c r="A30" t="s">
        <v>11</v>
      </c>
      <c r="B30">
        <f>COUNTIF(G$2:G$25, "Austin")</f>
        <v>12</v>
      </c>
      <c r="G30" s="3"/>
      <c r="H30" s="3"/>
      <c r="I30" s="3"/>
      <c r="J30" s="4"/>
      <c r="K30" s="24"/>
      <c r="L30" s="27"/>
      <c r="S30"/>
      <c r="T30"/>
    </row>
    <row r="31" spans="1:22" ht="15.75" x14ac:dyDescent="0.25">
      <c r="A31" t="s">
        <v>17</v>
      </c>
      <c r="B31" s="30">
        <f>COUNTIF(G$2:G$25, "Home")</f>
        <v>3</v>
      </c>
      <c r="G31" s="3"/>
      <c r="H31" s="3"/>
      <c r="I31" s="3"/>
      <c r="J31" s="4"/>
      <c r="K31" s="24"/>
      <c r="L31" s="27"/>
      <c r="S31"/>
      <c r="T31"/>
    </row>
    <row r="32" spans="1:22" ht="15.75" x14ac:dyDescent="0.25">
      <c r="A32" t="s">
        <v>19</v>
      </c>
      <c r="B32" s="30">
        <f>COUNTIF(G$2:G$25, "New Orleans")</f>
        <v>3</v>
      </c>
      <c r="G32" s="3"/>
      <c r="H32" s="3"/>
      <c r="I32" s="3"/>
      <c r="J32" s="4"/>
      <c r="K32" s="24"/>
      <c r="L32" s="27"/>
      <c r="S32"/>
      <c r="T32"/>
    </row>
    <row r="33" spans="1:20" ht="15.75" x14ac:dyDescent="0.25">
      <c r="A33" t="s">
        <v>28</v>
      </c>
      <c r="B33" s="30">
        <f>COUNTIF(G$2:G$25, "Nashville")</f>
        <v>6</v>
      </c>
      <c r="G33" s="3"/>
      <c r="H33" s="3"/>
      <c r="I33" s="3"/>
      <c r="J33" s="17"/>
      <c r="K33" s="24"/>
      <c r="L33" s="27"/>
      <c r="S33"/>
      <c r="T33"/>
    </row>
    <row r="34" spans="1:20" ht="15.75" x14ac:dyDescent="0.25">
      <c r="G34" s="3"/>
      <c r="H34" s="3"/>
      <c r="I34" s="3"/>
      <c r="J34" s="17"/>
      <c r="K34" s="24"/>
      <c r="L34" s="27"/>
      <c r="S34"/>
      <c r="T34"/>
    </row>
    <row r="35" spans="1:20" ht="15.75" x14ac:dyDescent="0.25">
      <c r="G35" s="21"/>
      <c r="H35" s="3"/>
      <c r="I35" s="3"/>
      <c r="J35" s="3"/>
      <c r="K35" s="3"/>
      <c r="L35" s="3"/>
    </row>
    <row r="36" spans="1:20" ht="15.75" x14ac:dyDescent="0.25">
      <c r="G36" s="21"/>
      <c r="H36" s="3"/>
      <c r="I36" s="3"/>
      <c r="J36" s="3"/>
      <c r="K36" s="3"/>
      <c r="L36" s="3"/>
    </row>
    <row r="37" spans="1:20" ht="15.75" x14ac:dyDescent="0.25">
      <c r="G37" s="21"/>
      <c r="H37" s="3"/>
      <c r="I37" s="3"/>
      <c r="J37" s="3"/>
      <c r="K37" s="3"/>
      <c r="L37" s="3"/>
    </row>
    <row r="38" spans="1:20" ht="15.75" x14ac:dyDescent="0.25">
      <c r="G38" s="21"/>
      <c r="H38" s="3"/>
      <c r="I38" s="3"/>
      <c r="J38" s="3"/>
      <c r="K38" s="3"/>
      <c r="L38" s="3"/>
    </row>
    <row r="39" spans="1:20" ht="15.75" x14ac:dyDescent="0.25">
      <c r="G39" s="21"/>
      <c r="H39" s="3"/>
      <c r="I39" s="3"/>
      <c r="J39" s="3"/>
      <c r="K39" s="3"/>
      <c r="L39" s="3"/>
    </row>
    <row r="40" spans="1:20" ht="15.75" x14ac:dyDescent="0.25">
      <c r="G40" s="21"/>
      <c r="H40" s="3"/>
      <c r="I40" s="3"/>
      <c r="J40" s="3"/>
      <c r="K40" s="3"/>
      <c r="L40" s="3"/>
    </row>
    <row r="41" spans="1:20" ht="15.75" x14ac:dyDescent="0.25">
      <c r="G41" s="21"/>
      <c r="H41" s="3"/>
      <c r="I41" s="3"/>
      <c r="J41" s="3"/>
      <c r="K41" s="3"/>
      <c r="L41" s="3"/>
    </row>
    <row r="42" spans="1:20" ht="15.75" x14ac:dyDescent="0.25">
      <c r="G42" s="21"/>
      <c r="H42" s="3"/>
      <c r="I42" s="3"/>
      <c r="J42" s="3"/>
      <c r="K42" s="3"/>
      <c r="L42" s="3"/>
    </row>
    <row r="43" spans="1:20" ht="15.75" x14ac:dyDescent="0.25">
      <c r="G43" s="21"/>
      <c r="H43" s="3"/>
      <c r="I43" s="3"/>
      <c r="J43" s="3"/>
      <c r="K43" s="3"/>
      <c r="L43" s="3"/>
    </row>
    <row r="44" spans="1:20" ht="15.75" x14ac:dyDescent="0.25">
      <c r="F44" s="19"/>
      <c r="G44" s="21"/>
      <c r="H44" s="3"/>
      <c r="I44" s="3"/>
      <c r="J44" s="3"/>
      <c r="K44" s="3"/>
      <c r="L44" s="3"/>
    </row>
    <row r="45" spans="1:20" ht="15.75" x14ac:dyDescent="0.25">
      <c r="F45" s="19"/>
      <c r="G45" s="21"/>
      <c r="H45" s="3"/>
      <c r="I45" s="3"/>
      <c r="J45" s="3"/>
      <c r="K45" s="3"/>
      <c r="L45" s="3"/>
    </row>
    <row r="46" spans="1:20" ht="15.75" x14ac:dyDescent="0.25">
      <c r="B46" s="19"/>
      <c r="C46" s="19"/>
      <c r="D46" s="19"/>
      <c r="E46" s="19"/>
      <c r="F46" s="19"/>
      <c r="G46" s="18"/>
    </row>
    <row r="47" spans="1:20" ht="15.75" x14ac:dyDescent="0.25">
      <c r="B47" s="19"/>
      <c r="C47" s="19"/>
      <c r="D47" s="19"/>
      <c r="E47" s="19"/>
      <c r="F47" s="19"/>
      <c r="G47" s="18"/>
    </row>
    <row r="48" spans="1:20" ht="15.75" x14ac:dyDescent="0.25">
      <c r="B48" s="19"/>
      <c r="C48" s="19"/>
      <c r="D48" s="19"/>
      <c r="E48" s="19"/>
      <c r="F48" s="19"/>
      <c r="G48" s="4"/>
    </row>
    <row r="49" spans="2:7" ht="15.75" x14ac:dyDescent="0.25">
      <c r="B49" s="19"/>
      <c r="C49" s="19"/>
      <c r="D49" s="19"/>
      <c r="E49" s="19"/>
      <c r="F49" s="19"/>
      <c r="G49" s="4"/>
    </row>
    <row r="50" spans="2:7" ht="15.75" x14ac:dyDescent="0.25">
      <c r="B50" s="19"/>
      <c r="C50" s="19"/>
      <c r="D50" s="19"/>
      <c r="E50" s="19"/>
      <c r="F50" s="19"/>
      <c r="G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3F3F-5C35-4771-81E5-BF9772B75CF9}">
  <dimension ref="A1:L30"/>
  <sheetViews>
    <sheetView zoomScaleNormal="100" zoomScaleSheetLayoutView="100" workbookViewId="0">
      <pane xSplit="2" topLeftCell="C1" activePane="topRight" state="frozen"/>
      <selection pane="topRight" activeCell="L2" sqref="L2"/>
    </sheetView>
  </sheetViews>
  <sheetFormatPr defaultRowHeight="15" outlineLevelRow="2" x14ac:dyDescent="0.25"/>
  <cols>
    <col min="1" max="1" width="9.28515625" customWidth="1"/>
    <col min="2" max="2" width="18.85546875" style="30" customWidth="1"/>
    <col min="3" max="3" width="11.42578125" customWidth="1"/>
    <col min="4" max="4" width="12" customWidth="1"/>
    <col min="5" max="5" width="9.85546875" customWidth="1"/>
    <col min="6" max="6" width="10.5703125" customWidth="1"/>
    <col min="7" max="7" width="12" customWidth="1"/>
    <col min="8" max="8" width="10.85546875" customWidth="1"/>
    <col min="9" max="9" width="11" customWidth="1"/>
    <col min="10" max="10" width="13.28515625" customWidth="1"/>
    <col min="11" max="11" width="23" customWidth="1"/>
    <col min="12" max="12" width="15.140625" customWidth="1"/>
  </cols>
  <sheetData>
    <row r="1" spans="1:12" x14ac:dyDescent="0.25">
      <c r="A1" s="63" t="s">
        <v>0</v>
      </c>
      <c r="B1" s="64" t="s">
        <v>136</v>
      </c>
      <c r="C1" s="64" t="s">
        <v>2</v>
      </c>
      <c r="D1" s="64" t="s">
        <v>3</v>
      </c>
      <c r="E1" s="64" t="s">
        <v>44</v>
      </c>
      <c r="F1" s="64" t="s">
        <v>4</v>
      </c>
      <c r="G1" s="64" t="s">
        <v>5</v>
      </c>
      <c r="H1" s="64" t="s">
        <v>45</v>
      </c>
      <c r="I1" s="64" t="s">
        <v>6</v>
      </c>
      <c r="J1" s="64" t="s">
        <v>8</v>
      </c>
      <c r="K1" s="64" t="s">
        <v>42</v>
      </c>
      <c r="L1" s="65" t="s">
        <v>7</v>
      </c>
    </row>
    <row r="2" spans="1:12" outlineLevel="2" x14ac:dyDescent="0.25">
      <c r="A2" s="66">
        <v>1024</v>
      </c>
      <c r="B2" s="67" t="s">
        <v>112</v>
      </c>
      <c r="C2" s="68">
        <f>44016</f>
        <v>44016</v>
      </c>
      <c r="D2" s="68">
        <v>24956</v>
      </c>
      <c r="E2" s="67" t="s">
        <v>10</v>
      </c>
      <c r="F2" s="67" t="s">
        <v>11</v>
      </c>
      <c r="G2" s="67" t="s">
        <v>12</v>
      </c>
      <c r="H2" s="67" t="s">
        <v>85</v>
      </c>
      <c r="I2" s="67" t="s">
        <v>13</v>
      </c>
      <c r="J2" s="67" t="s">
        <v>14</v>
      </c>
      <c r="K2" s="67">
        <v>9</v>
      </c>
      <c r="L2" s="69">
        <v>85000</v>
      </c>
    </row>
    <row r="3" spans="1:12" outlineLevel="2" x14ac:dyDescent="0.25">
      <c r="A3" s="70">
        <v>1027</v>
      </c>
      <c r="B3" s="71" t="s">
        <v>115</v>
      </c>
      <c r="C3" s="72">
        <v>43184</v>
      </c>
      <c r="D3" s="72">
        <v>22371</v>
      </c>
      <c r="E3" s="71" t="s">
        <v>16</v>
      </c>
      <c r="F3" s="71" t="s">
        <v>11</v>
      </c>
      <c r="G3" s="71" t="s">
        <v>12</v>
      </c>
      <c r="H3" s="71" t="s">
        <v>85</v>
      </c>
      <c r="I3" s="71" t="s">
        <v>13</v>
      </c>
      <c r="J3" s="71" t="s">
        <v>21</v>
      </c>
      <c r="K3" s="71">
        <v>36</v>
      </c>
      <c r="L3" s="73">
        <v>80000</v>
      </c>
    </row>
    <row r="4" spans="1:12" outlineLevel="2" x14ac:dyDescent="0.25">
      <c r="A4" s="66">
        <v>1028</v>
      </c>
      <c r="B4" s="67" t="s">
        <v>116</v>
      </c>
      <c r="C4" s="68">
        <v>44283</v>
      </c>
      <c r="D4" s="68">
        <v>19059</v>
      </c>
      <c r="E4" s="67" t="s">
        <v>10</v>
      </c>
      <c r="F4" s="67" t="s">
        <v>11</v>
      </c>
      <c r="G4" s="67" t="s">
        <v>25</v>
      </c>
      <c r="H4" s="67" t="s">
        <v>85</v>
      </c>
      <c r="I4" s="67" t="s">
        <v>13</v>
      </c>
      <c r="J4" s="67" t="s">
        <v>21</v>
      </c>
      <c r="K4" s="67">
        <v>0</v>
      </c>
      <c r="L4" s="69">
        <v>62100</v>
      </c>
    </row>
    <row r="5" spans="1:12" outlineLevel="2" x14ac:dyDescent="0.25">
      <c r="A5" s="70">
        <v>1032</v>
      </c>
      <c r="B5" s="71" t="s">
        <v>117</v>
      </c>
      <c r="C5" s="72">
        <v>41382</v>
      </c>
      <c r="D5" s="72">
        <v>22160</v>
      </c>
      <c r="E5" s="71" t="s">
        <v>16</v>
      </c>
      <c r="F5" s="71" t="s">
        <v>11</v>
      </c>
      <c r="G5" s="71" t="s">
        <v>25</v>
      </c>
      <c r="H5" s="71" t="s">
        <v>88</v>
      </c>
      <c r="I5" s="71" t="s">
        <v>26</v>
      </c>
      <c r="J5" s="71" t="s">
        <v>23</v>
      </c>
      <c r="K5" s="71">
        <v>96</v>
      </c>
      <c r="L5" s="73">
        <v>45125</v>
      </c>
    </row>
    <row r="6" spans="1:12" outlineLevel="2" x14ac:dyDescent="0.25">
      <c r="A6" s="66">
        <v>1035</v>
      </c>
      <c r="B6" s="67" t="s">
        <v>120</v>
      </c>
      <c r="C6" s="68">
        <v>43259</v>
      </c>
      <c r="D6" s="68">
        <v>32748</v>
      </c>
      <c r="E6" s="67" t="s">
        <v>16</v>
      </c>
      <c r="F6" s="67" t="s">
        <v>11</v>
      </c>
      <c r="G6" s="67" t="s">
        <v>12</v>
      </c>
      <c r="H6" s="67" t="s">
        <v>86</v>
      </c>
      <c r="I6" s="67" t="s">
        <v>26</v>
      </c>
      <c r="J6" s="67" t="s">
        <v>23</v>
      </c>
      <c r="K6" s="67">
        <v>34</v>
      </c>
      <c r="L6" s="69">
        <v>32011</v>
      </c>
    </row>
    <row r="7" spans="1:12" outlineLevel="2" x14ac:dyDescent="0.25">
      <c r="A7" s="70">
        <v>1037</v>
      </c>
      <c r="B7" s="71" t="s">
        <v>122</v>
      </c>
      <c r="C7" s="72">
        <v>41123</v>
      </c>
      <c r="D7" s="72">
        <v>26810</v>
      </c>
      <c r="E7" s="71" t="s">
        <v>16</v>
      </c>
      <c r="F7" s="71" t="s">
        <v>11</v>
      </c>
      <c r="G7" s="71" t="s">
        <v>46</v>
      </c>
      <c r="H7" s="71" t="s">
        <v>88</v>
      </c>
      <c r="I7" s="71" t="s">
        <v>26</v>
      </c>
      <c r="J7" s="71" t="s">
        <v>21</v>
      </c>
      <c r="K7" s="71">
        <v>104</v>
      </c>
      <c r="L7" s="73">
        <v>32011</v>
      </c>
    </row>
    <row r="8" spans="1:12" outlineLevel="2" x14ac:dyDescent="0.25">
      <c r="A8" s="66">
        <v>1039</v>
      </c>
      <c r="B8" s="67" t="s">
        <v>124</v>
      </c>
      <c r="C8" s="68">
        <v>42958</v>
      </c>
      <c r="D8" s="68">
        <v>26184</v>
      </c>
      <c r="E8" s="67" t="s">
        <v>16</v>
      </c>
      <c r="F8" s="67" t="s">
        <v>11</v>
      </c>
      <c r="G8" s="67" t="s">
        <v>25</v>
      </c>
      <c r="H8" s="67" t="s">
        <v>87</v>
      </c>
      <c r="I8" s="67" t="s">
        <v>13</v>
      </c>
      <c r="J8" s="67" t="s">
        <v>23</v>
      </c>
      <c r="K8" s="67">
        <v>44</v>
      </c>
      <c r="L8" s="69">
        <v>72127</v>
      </c>
    </row>
    <row r="9" spans="1:12" outlineLevel="2" x14ac:dyDescent="0.25">
      <c r="A9" s="70">
        <v>1042</v>
      </c>
      <c r="B9" s="71" t="s">
        <v>127</v>
      </c>
      <c r="C9" s="72">
        <v>44045</v>
      </c>
      <c r="D9" s="72">
        <v>24837</v>
      </c>
      <c r="E9" s="71" t="s">
        <v>10</v>
      </c>
      <c r="F9" s="71" t="s">
        <v>11</v>
      </c>
      <c r="G9" s="71" t="s">
        <v>12</v>
      </c>
      <c r="H9" s="71" t="s">
        <v>85</v>
      </c>
      <c r="I9" s="71" t="s">
        <v>13</v>
      </c>
      <c r="J9" s="71" t="s">
        <v>14</v>
      </c>
      <c r="K9" s="71">
        <v>8</v>
      </c>
      <c r="L9" s="73">
        <v>80000</v>
      </c>
    </row>
    <row r="10" spans="1:12" outlineLevel="2" x14ac:dyDescent="0.25">
      <c r="A10" s="66">
        <v>1044</v>
      </c>
      <c r="B10" s="67" t="s">
        <v>129</v>
      </c>
      <c r="C10" s="68">
        <v>40962</v>
      </c>
      <c r="D10" s="68">
        <v>19881</v>
      </c>
      <c r="E10" s="67" t="s">
        <v>10</v>
      </c>
      <c r="F10" s="67" t="s">
        <v>11</v>
      </c>
      <c r="G10" s="67" t="s">
        <v>12</v>
      </c>
      <c r="H10" s="67" t="s">
        <v>85</v>
      </c>
      <c r="I10" s="67" t="s">
        <v>13</v>
      </c>
      <c r="J10" s="67" t="s">
        <v>14</v>
      </c>
      <c r="K10" s="67">
        <v>110</v>
      </c>
      <c r="L10" s="69">
        <v>122500</v>
      </c>
    </row>
    <row r="11" spans="1:12" outlineLevel="2" x14ac:dyDescent="0.25">
      <c r="A11" s="70">
        <v>1045</v>
      </c>
      <c r="B11" s="71" t="s">
        <v>130</v>
      </c>
      <c r="C11" s="72">
        <v>43917</v>
      </c>
      <c r="D11" s="72">
        <v>24649</v>
      </c>
      <c r="E11" s="71" t="s">
        <v>10</v>
      </c>
      <c r="F11" s="71" t="s">
        <v>11</v>
      </c>
      <c r="G11" s="71" t="s">
        <v>12</v>
      </c>
      <c r="H11" s="71" t="s">
        <v>85</v>
      </c>
      <c r="I11" s="71" t="s">
        <v>13</v>
      </c>
      <c r="J11" s="71" t="s">
        <v>14</v>
      </c>
      <c r="K11" s="71">
        <v>12</v>
      </c>
      <c r="L11" s="73">
        <v>163500</v>
      </c>
    </row>
    <row r="12" spans="1:12" outlineLevel="2" x14ac:dyDescent="0.25">
      <c r="A12" s="66">
        <v>1047</v>
      </c>
      <c r="B12" s="67" t="s">
        <v>132</v>
      </c>
      <c r="C12" s="68">
        <v>42304</v>
      </c>
      <c r="D12" s="68">
        <v>23347</v>
      </c>
      <c r="E12" s="67" t="s">
        <v>10</v>
      </c>
      <c r="F12" s="67" t="s">
        <v>11</v>
      </c>
      <c r="G12" s="67" t="s">
        <v>12</v>
      </c>
      <c r="H12" s="67" t="s">
        <v>86</v>
      </c>
      <c r="I12" s="67" t="s">
        <v>26</v>
      </c>
      <c r="J12" s="67" t="s">
        <v>14</v>
      </c>
      <c r="K12" s="67">
        <v>65</v>
      </c>
      <c r="L12" s="69">
        <v>65000</v>
      </c>
    </row>
    <row r="13" spans="1:12" outlineLevel="2" x14ac:dyDescent="0.25">
      <c r="A13" s="70">
        <v>1048</v>
      </c>
      <c r="B13" s="71" t="s">
        <v>133</v>
      </c>
      <c r="C13" s="72">
        <v>43209</v>
      </c>
      <c r="D13" s="72">
        <v>33695</v>
      </c>
      <c r="E13" s="71" t="s">
        <v>10</v>
      </c>
      <c r="F13" s="71" t="s">
        <v>11</v>
      </c>
      <c r="G13" s="71" t="s">
        <v>12</v>
      </c>
      <c r="H13" s="71" t="s">
        <v>87</v>
      </c>
      <c r="I13" s="71" t="s">
        <v>26</v>
      </c>
      <c r="J13" s="71" t="s">
        <v>21</v>
      </c>
      <c r="K13" s="71">
        <v>36</v>
      </c>
      <c r="L13" s="73">
        <v>42100</v>
      </c>
    </row>
    <row r="14" spans="1:12" s="30" customFormat="1" outlineLevel="1" x14ac:dyDescent="0.25">
      <c r="A14" s="70"/>
      <c r="B14" s="71"/>
      <c r="C14" s="72"/>
      <c r="D14" s="72"/>
      <c r="E14" s="71"/>
      <c r="F14" s="74" t="s">
        <v>137</v>
      </c>
      <c r="G14" s="71"/>
      <c r="H14" s="71"/>
      <c r="I14" s="71"/>
      <c r="J14" s="71"/>
      <c r="K14" s="71"/>
      <c r="L14" s="73">
        <f>SUBTOTAL(9,L2:L13)</f>
        <v>881474</v>
      </c>
    </row>
    <row r="15" spans="1:12" outlineLevel="2" x14ac:dyDescent="0.25">
      <c r="A15" s="66">
        <v>1025</v>
      </c>
      <c r="B15" s="67" t="s">
        <v>113</v>
      </c>
      <c r="C15" s="68">
        <v>43129</v>
      </c>
      <c r="D15" s="68">
        <v>32058</v>
      </c>
      <c r="E15" s="67" t="s">
        <v>16</v>
      </c>
      <c r="F15" s="67" t="s">
        <v>17</v>
      </c>
      <c r="G15" s="67" t="s">
        <v>25</v>
      </c>
      <c r="H15" s="67" t="s">
        <v>86</v>
      </c>
      <c r="I15" s="67" t="s">
        <v>13</v>
      </c>
      <c r="J15" s="67" t="s">
        <v>14</v>
      </c>
      <c r="K15" s="67">
        <v>38</v>
      </c>
      <c r="L15" s="69">
        <v>40000</v>
      </c>
    </row>
    <row r="16" spans="1:12" outlineLevel="2" x14ac:dyDescent="0.25">
      <c r="A16" s="70">
        <v>1043</v>
      </c>
      <c r="B16" s="71" t="s">
        <v>128</v>
      </c>
      <c r="C16" s="72">
        <v>42698</v>
      </c>
      <c r="D16" s="72">
        <v>27507</v>
      </c>
      <c r="E16" s="71" t="s">
        <v>16</v>
      </c>
      <c r="F16" s="71" t="s">
        <v>17</v>
      </c>
      <c r="G16" s="71" t="s">
        <v>12</v>
      </c>
      <c r="H16" s="71" t="s">
        <v>85</v>
      </c>
      <c r="I16" s="71" t="s">
        <v>13</v>
      </c>
      <c r="J16" s="71" t="s">
        <v>21</v>
      </c>
      <c r="K16" s="71">
        <v>52</v>
      </c>
      <c r="L16" s="73">
        <v>60000</v>
      </c>
    </row>
    <row r="17" spans="1:12" outlineLevel="2" x14ac:dyDescent="0.25">
      <c r="A17" s="66">
        <v>1046</v>
      </c>
      <c r="B17" s="67" t="s">
        <v>131</v>
      </c>
      <c r="C17" s="68">
        <v>43681</v>
      </c>
      <c r="D17" s="68">
        <v>19753</v>
      </c>
      <c r="E17" s="67" t="s">
        <v>16</v>
      </c>
      <c r="F17" s="67" t="s">
        <v>17</v>
      </c>
      <c r="G17" s="67" t="s">
        <v>25</v>
      </c>
      <c r="H17" s="67" t="s">
        <v>86</v>
      </c>
      <c r="I17" s="67" t="s">
        <v>13</v>
      </c>
      <c r="J17" s="67" t="s">
        <v>14</v>
      </c>
      <c r="K17" s="67">
        <v>20</v>
      </c>
      <c r="L17" s="69">
        <v>31761</v>
      </c>
    </row>
    <row r="18" spans="1:12" s="30" customFormat="1" outlineLevel="1" x14ac:dyDescent="0.25">
      <c r="A18" s="66"/>
      <c r="B18" s="67"/>
      <c r="C18" s="68"/>
      <c r="D18" s="68"/>
      <c r="E18" s="67"/>
      <c r="F18" s="75" t="s">
        <v>138</v>
      </c>
      <c r="G18" s="67"/>
      <c r="H18" s="67"/>
      <c r="I18" s="67"/>
      <c r="J18" s="67"/>
      <c r="K18" s="67"/>
      <c r="L18" s="69">
        <f>SUBTOTAL(9,L15:L17)</f>
        <v>131761</v>
      </c>
    </row>
    <row r="19" spans="1:12" outlineLevel="2" x14ac:dyDescent="0.25">
      <c r="A19" s="70">
        <v>1033</v>
      </c>
      <c r="B19" s="71" t="s">
        <v>118</v>
      </c>
      <c r="C19" s="72">
        <v>43290</v>
      </c>
      <c r="D19" s="72">
        <v>15971</v>
      </c>
      <c r="E19" s="71" t="s">
        <v>16</v>
      </c>
      <c r="F19" s="71" t="s">
        <v>28</v>
      </c>
      <c r="G19" s="71" t="s">
        <v>25</v>
      </c>
      <c r="H19" s="71" t="s">
        <v>88</v>
      </c>
      <c r="I19" s="71" t="s">
        <v>26</v>
      </c>
      <c r="J19" s="71" t="s">
        <v>21</v>
      </c>
      <c r="K19" s="71">
        <v>33</v>
      </c>
      <c r="L19" s="73">
        <v>38512</v>
      </c>
    </row>
    <row r="20" spans="1:12" outlineLevel="2" x14ac:dyDescent="0.25">
      <c r="A20" s="66">
        <v>1034</v>
      </c>
      <c r="B20" s="67" t="s">
        <v>119</v>
      </c>
      <c r="C20" s="68">
        <v>42378</v>
      </c>
      <c r="D20" s="68">
        <v>33347</v>
      </c>
      <c r="E20" s="67" t="s">
        <v>10</v>
      </c>
      <c r="F20" s="67" t="s">
        <v>28</v>
      </c>
      <c r="G20" s="67" t="s">
        <v>12</v>
      </c>
      <c r="H20" s="67" t="s">
        <v>86</v>
      </c>
      <c r="I20" s="67" t="s">
        <v>26</v>
      </c>
      <c r="J20" s="67" t="s">
        <v>23</v>
      </c>
      <c r="K20" s="67">
        <v>63</v>
      </c>
      <c r="L20" s="69">
        <v>25792</v>
      </c>
    </row>
    <row r="21" spans="1:12" outlineLevel="2" x14ac:dyDescent="0.25">
      <c r="A21" s="70">
        <v>1036</v>
      </c>
      <c r="B21" s="71" t="s">
        <v>121</v>
      </c>
      <c r="C21" s="72">
        <v>43109</v>
      </c>
      <c r="D21" s="72">
        <v>32861</v>
      </c>
      <c r="E21" s="71" t="s">
        <v>16</v>
      </c>
      <c r="F21" s="71" t="s">
        <v>28</v>
      </c>
      <c r="G21" s="71" t="s">
        <v>12</v>
      </c>
      <c r="H21" s="71" t="s">
        <v>86</v>
      </c>
      <c r="I21" s="71" t="s">
        <v>26</v>
      </c>
      <c r="J21" s="71" t="s">
        <v>14</v>
      </c>
      <c r="K21" s="71">
        <v>39</v>
      </c>
      <c r="L21" s="73">
        <v>23920</v>
      </c>
    </row>
    <row r="22" spans="1:12" outlineLevel="2" x14ac:dyDescent="0.25">
      <c r="A22" s="66">
        <v>1038</v>
      </c>
      <c r="B22" s="67" t="s">
        <v>123</v>
      </c>
      <c r="C22" s="68">
        <v>43038</v>
      </c>
      <c r="D22" s="68">
        <v>22519</v>
      </c>
      <c r="E22" s="67" t="s">
        <v>16</v>
      </c>
      <c r="F22" s="67" t="s">
        <v>28</v>
      </c>
      <c r="G22" s="67" t="s">
        <v>25</v>
      </c>
      <c r="H22" s="67" t="s">
        <v>86</v>
      </c>
      <c r="I22" s="67" t="s">
        <v>26</v>
      </c>
      <c r="J22" s="67" t="s">
        <v>23</v>
      </c>
      <c r="K22" s="67">
        <v>41</v>
      </c>
      <c r="L22" s="69">
        <v>21840</v>
      </c>
    </row>
    <row r="23" spans="1:12" outlineLevel="2" x14ac:dyDescent="0.25">
      <c r="A23" s="70">
        <v>1040</v>
      </c>
      <c r="B23" s="71" t="s">
        <v>125</v>
      </c>
      <c r="C23" s="72">
        <v>44000</v>
      </c>
      <c r="D23" s="72">
        <v>31983</v>
      </c>
      <c r="E23" s="71" t="s">
        <v>10</v>
      </c>
      <c r="F23" s="71" t="s">
        <v>28</v>
      </c>
      <c r="G23" s="71" t="s">
        <v>25</v>
      </c>
      <c r="H23" s="71" t="s">
        <v>87</v>
      </c>
      <c r="I23" s="71" t="s">
        <v>13</v>
      </c>
      <c r="J23" s="71" t="s">
        <v>14</v>
      </c>
      <c r="K23" s="71">
        <v>10</v>
      </c>
      <c r="L23" s="73">
        <v>65000</v>
      </c>
    </row>
    <row r="24" spans="1:12" outlineLevel="2" x14ac:dyDescent="0.25">
      <c r="A24" s="66">
        <v>1052</v>
      </c>
      <c r="B24" s="67" t="s">
        <v>134</v>
      </c>
      <c r="C24" s="68">
        <v>43939</v>
      </c>
      <c r="D24" s="68">
        <v>32530</v>
      </c>
      <c r="E24" s="67" t="s">
        <v>16</v>
      </c>
      <c r="F24" s="67" t="s">
        <v>28</v>
      </c>
      <c r="G24" s="67" t="s">
        <v>12</v>
      </c>
      <c r="H24" s="67" t="s">
        <v>87</v>
      </c>
      <c r="I24" s="67" t="s">
        <v>26</v>
      </c>
      <c r="J24" s="67" t="s">
        <v>21</v>
      </c>
      <c r="K24" s="67">
        <v>12</v>
      </c>
      <c r="L24" s="69">
        <v>43250</v>
      </c>
    </row>
    <row r="25" spans="1:12" s="30" customFormat="1" outlineLevel="1" x14ac:dyDescent="0.25">
      <c r="A25" s="66"/>
      <c r="B25" s="67"/>
      <c r="C25" s="68"/>
      <c r="D25" s="68"/>
      <c r="E25" s="67"/>
      <c r="F25" s="75" t="s">
        <v>139</v>
      </c>
      <c r="G25" s="67"/>
      <c r="H25" s="67"/>
      <c r="I25" s="67"/>
      <c r="J25" s="67"/>
      <c r="K25" s="67"/>
      <c r="L25" s="69">
        <f>SUBTOTAL(9,L19:L24)</f>
        <v>218314</v>
      </c>
    </row>
    <row r="26" spans="1:12" outlineLevel="2" x14ac:dyDescent="0.25">
      <c r="A26" s="70">
        <v>1026</v>
      </c>
      <c r="B26" s="71" t="s">
        <v>114</v>
      </c>
      <c r="C26" s="72">
        <v>44195</v>
      </c>
      <c r="D26" s="72">
        <v>25705</v>
      </c>
      <c r="E26" s="71" t="s">
        <v>10</v>
      </c>
      <c r="F26" s="71" t="s">
        <v>19</v>
      </c>
      <c r="G26" s="71" t="s">
        <v>12</v>
      </c>
      <c r="H26" s="71" t="s">
        <v>87</v>
      </c>
      <c r="I26" s="71" t="s">
        <v>13</v>
      </c>
      <c r="J26" s="71" t="s">
        <v>14</v>
      </c>
      <c r="K26" s="71">
        <v>3</v>
      </c>
      <c r="L26" s="73">
        <v>57244</v>
      </c>
    </row>
    <row r="27" spans="1:12" outlineLevel="2" x14ac:dyDescent="0.25">
      <c r="A27" s="66">
        <v>1041</v>
      </c>
      <c r="B27" s="67" t="s">
        <v>126</v>
      </c>
      <c r="C27" s="68">
        <v>44053</v>
      </c>
      <c r="D27" s="68">
        <v>22279</v>
      </c>
      <c r="E27" s="67" t="s">
        <v>16</v>
      </c>
      <c r="F27" s="67" t="s">
        <v>19</v>
      </c>
      <c r="G27" s="67" t="s">
        <v>12</v>
      </c>
      <c r="H27" s="67" t="s">
        <v>89</v>
      </c>
      <c r="I27" s="67" t="s">
        <v>13</v>
      </c>
      <c r="J27" s="67" t="s">
        <v>14</v>
      </c>
      <c r="K27" s="67">
        <v>8</v>
      </c>
      <c r="L27" s="69">
        <v>108500</v>
      </c>
    </row>
    <row r="28" spans="1:12" outlineLevel="2" x14ac:dyDescent="0.25">
      <c r="A28" s="70">
        <v>1064</v>
      </c>
      <c r="B28" s="71" t="s">
        <v>135</v>
      </c>
      <c r="C28" s="72">
        <v>43476</v>
      </c>
      <c r="D28" s="72">
        <v>29649</v>
      </c>
      <c r="E28" s="71" t="s">
        <v>16</v>
      </c>
      <c r="F28" s="71" t="s">
        <v>19</v>
      </c>
      <c r="G28" s="71" t="s">
        <v>25</v>
      </c>
      <c r="H28" s="71" t="s">
        <v>87</v>
      </c>
      <c r="I28" s="71" t="s">
        <v>26</v>
      </c>
      <c r="J28" s="71" t="s">
        <v>21</v>
      </c>
      <c r="K28" s="71">
        <v>27</v>
      </c>
      <c r="L28" s="73">
        <v>38450</v>
      </c>
    </row>
    <row r="29" spans="1:12" s="30" customFormat="1" outlineLevel="1" x14ac:dyDescent="0.25">
      <c r="A29" s="76"/>
      <c r="B29" s="76"/>
      <c r="C29" s="77"/>
      <c r="D29" s="77"/>
      <c r="E29" s="76"/>
      <c r="F29" s="79" t="s">
        <v>140</v>
      </c>
      <c r="G29" s="76"/>
      <c r="H29" s="76"/>
      <c r="I29" s="76"/>
      <c r="J29" s="76"/>
      <c r="K29" s="76"/>
      <c r="L29" s="78">
        <f>SUBTOTAL(9,L26:L28)</f>
        <v>204194</v>
      </c>
    </row>
    <row r="30" spans="1:12" s="30" customFormat="1" x14ac:dyDescent="0.25">
      <c r="A30" s="76"/>
      <c r="B30" s="76"/>
      <c r="C30" s="77"/>
      <c r="D30" s="77"/>
      <c r="E30" s="76"/>
      <c r="F30" s="79" t="s">
        <v>141</v>
      </c>
      <c r="G30" s="76"/>
      <c r="H30" s="76"/>
      <c r="I30" s="76"/>
      <c r="J30" s="76"/>
      <c r="K30" s="76"/>
      <c r="L30" s="78">
        <f>SUBTOTAL(9,L2:L28)</f>
        <v>1435743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7" sqref="F17"/>
    </sheetView>
  </sheetViews>
  <sheetFormatPr defaultColWidth="8.85546875" defaultRowHeight="15" x14ac:dyDescent="0.25"/>
  <cols>
    <col min="5" max="5" width="36.42578125" customWidth="1"/>
    <col min="6" max="6" width="14" bestFit="1" customWidth="1"/>
  </cols>
  <sheetData>
    <row r="1" spans="1:6" x14ac:dyDescent="0.25">
      <c r="A1" s="80" t="s">
        <v>100</v>
      </c>
      <c r="B1" s="81"/>
      <c r="C1" s="81"/>
      <c r="D1" s="81"/>
      <c r="E1" s="81"/>
      <c r="F1" s="82"/>
    </row>
    <row r="2" spans="1:6" ht="18.75" x14ac:dyDescent="0.3">
      <c r="A2" s="85" t="s">
        <v>92</v>
      </c>
      <c r="B2" s="86"/>
      <c r="C2" s="86"/>
      <c r="D2" s="86"/>
      <c r="E2" s="86"/>
      <c r="F2" s="59">
        <f>AVERAGE(EmployeeInfo!M2:M25)</f>
        <v>59822.625</v>
      </c>
    </row>
    <row r="3" spans="1:6" ht="18.75" x14ac:dyDescent="0.3">
      <c r="A3" s="83" t="s">
        <v>91</v>
      </c>
      <c r="B3" s="84"/>
      <c r="C3" s="84"/>
      <c r="D3" s="84"/>
      <c r="E3" s="84"/>
      <c r="F3" s="29">
        <f>COUNTIF(EmployeeInfo!H2:H25, "PT")</f>
        <v>9</v>
      </c>
    </row>
    <row r="4" spans="1:6" ht="18.75" x14ac:dyDescent="0.3">
      <c r="A4" s="83" t="s">
        <v>90</v>
      </c>
      <c r="B4" s="84"/>
      <c r="C4" s="84"/>
      <c r="D4" s="84"/>
      <c r="E4" s="84"/>
      <c r="F4" s="29">
        <f>COUNTIF(EmployeeInfo!H2:H25, "FT")</f>
        <v>14</v>
      </c>
    </row>
    <row r="5" spans="1:6" ht="18.75" x14ac:dyDescent="0.3">
      <c r="A5" s="83" t="s">
        <v>94</v>
      </c>
      <c r="B5" s="84"/>
      <c r="C5" s="84"/>
      <c r="D5" s="84"/>
      <c r="E5" s="84"/>
      <c r="F5" s="60">
        <f>AVERAGEIF(EmployeeInfo!H2:H25, "PT", EmployeeInfo!M2:M25)</f>
        <v>46101.666666666664</v>
      </c>
    </row>
    <row r="6" spans="1:6" ht="18.75" x14ac:dyDescent="0.3">
      <c r="A6" s="83" t="s">
        <v>95</v>
      </c>
      <c r="B6" s="84"/>
      <c r="C6" s="84"/>
      <c r="D6" s="84"/>
      <c r="E6" s="84"/>
      <c r="F6" s="60">
        <f>AVERAGEIF(EmployeeInfo!H2:H25, "FT", EmployeeInfo!M2:M25)</f>
        <v>70629.78571428571</v>
      </c>
    </row>
    <row r="7" spans="1:6" ht="18.75" x14ac:dyDescent="0.3">
      <c r="A7" s="83" t="s">
        <v>96</v>
      </c>
      <c r="B7" s="84"/>
      <c r="C7" s="84"/>
      <c r="D7" s="84"/>
      <c r="E7" s="84"/>
      <c r="F7" s="60">
        <f>SUMIF(EmployeeInfo!G2:G25, "Austin", EmployeeInfo!M2:M25)</f>
        <v>881474</v>
      </c>
    </row>
    <row r="8" spans="1:6" ht="18.75" x14ac:dyDescent="0.3">
      <c r="A8" s="83" t="s">
        <v>101</v>
      </c>
      <c r="B8" s="84"/>
      <c r="C8" s="84"/>
      <c r="D8" s="84"/>
      <c r="E8" s="84"/>
      <c r="F8" s="60">
        <f>SUMIF(EmployeeInfo!H2:H25, "PT", EmployeeInfo!M2:M25)</f>
        <v>414915</v>
      </c>
    </row>
    <row r="9" spans="1:6" ht="18.75" x14ac:dyDescent="0.3">
      <c r="A9" s="83" t="s">
        <v>97</v>
      </c>
      <c r="B9" s="84"/>
      <c r="C9" s="84"/>
      <c r="D9" s="84"/>
      <c r="E9" s="84"/>
      <c r="F9" s="60">
        <f>SUMIFS(EmployeeInfo!M2:M25, EmployeeInfo!G2:G25, "Austin", EmployeeInfo!H2:H25, "FT")</f>
        <v>670111</v>
      </c>
    </row>
    <row r="10" spans="1:6" ht="18.75" x14ac:dyDescent="0.3">
      <c r="A10" s="83" t="s">
        <v>103</v>
      </c>
      <c r="B10" s="84"/>
      <c r="C10" s="84"/>
      <c r="D10" s="84"/>
      <c r="E10" s="84"/>
      <c r="F10" s="60">
        <f>SUMIFS(EmployeeInfo!M2:M25, EmployeeInfo!M2:M25, "&gt;=40000", EmployeeInfo!H2:H25, "FT")</f>
        <v>907094</v>
      </c>
    </row>
    <row r="11" spans="1:6" ht="18.75" x14ac:dyDescent="0.3">
      <c r="A11" s="83" t="s">
        <v>105</v>
      </c>
      <c r="B11" s="84"/>
      <c r="C11" s="84"/>
      <c r="D11" s="84"/>
      <c r="E11" s="84"/>
      <c r="F11" s="60">
        <f>AVERAGEIFS(EmployeeInfo!M2:M25, EmployeeInfo!H2:H25, "FT", EmployeeInfo!I2:I25, "sales")</f>
        <v>98500</v>
      </c>
    </row>
    <row r="12" spans="1:6" ht="18.75" x14ac:dyDescent="0.3">
      <c r="A12" s="83" t="s">
        <v>102</v>
      </c>
      <c r="B12" s="84"/>
      <c r="C12" s="84"/>
      <c r="D12" s="84"/>
      <c r="E12" s="84"/>
      <c r="F12" s="60">
        <f>AVERAGEIFS(EmployeeInfo!M2:M25, EmployeeInfo!H2:H25, "FT", EmployeeInfo!G2:G25, "Austin")</f>
        <v>83763.875</v>
      </c>
    </row>
    <row r="13" spans="1:6" ht="18.75" x14ac:dyDescent="0.3">
      <c r="A13" s="83" t="s">
        <v>104</v>
      </c>
      <c r="B13" s="84"/>
      <c r="C13" s="84"/>
      <c r="D13" s="84"/>
      <c r="E13" s="84"/>
      <c r="F13" s="29">
        <f>COUNTIFS(EmployeeInfo!H2:H25, "FT", EmployeeInfo!I2:I25, "Support")</f>
        <v>3</v>
      </c>
    </row>
    <row r="14" spans="1:6" ht="18.75" x14ac:dyDescent="0.3">
      <c r="A14" s="83" t="s">
        <v>93</v>
      </c>
      <c r="B14" s="84"/>
      <c r="C14" s="84"/>
      <c r="D14" s="84"/>
      <c r="E14" s="84"/>
      <c r="F14" s="29">
        <f>COUNTIFS(EmployeeInfo!H2:H25, "PT", EmployeeInfo!M2:M25, "&gt;=40000")</f>
        <v>5</v>
      </c>
    </row>
    <row r="15" spans="1:6" ht="18.75" x14ac:dyDescent="0.3">
      <c r="A15" s="83" t="s">
        <v>106</v>
      </c>
      <c r="B15" s="84"/>
      <c r="C15" s="84"/>
      <c r="D15" s="84"/>
      <c r="E15" s="84"/>
      <c r="F15" s="61">
        <f>(COUNTIF(EmployeeInfo!K2:K25,"None"))/(COUNTA(EmployeeInfo!K2:K25))</f>
        <v>0.33333333333333331</v>
      </c>
    </row>
    <row r="16" spans="1:6" ht="18.75" x14ac:dyDescent="0.3">
      <c r="A16" s="83" t="s">
        <v>107</v>
      </c>
      <c r="B16" s="84"/>
      <c r="C16" s="84"/>
      <c r="D16" s="84"/>
      <c r="E16" s="84"/>
      <c r="F16" s="61">
        <f>(COUNTIFS(EmployeeInfo!H2:H25,"FT",EmployeeInfo!K2:K25,"None"))/(COUNTA(EmployeeInfo!K2:K25))</f>
        <v>0.16666666666666666</v>
      </c>
    </row>
    <row r="17" spans="1:6" ht="18.75" x14ac:dyDescent="0.3">
      <c r="A17" s="87" t="s">
        <v>108</v>
      </c>
      <c r="B17" s="88"/>
      <c r="C17" s="88"/>
      <c r="D17" s="88"/>
      <c r="E17" s="88"/>
      <c r="F17" s="62">
        <f>(COUNTIFS(EmployeeInfo!H2:H25,"PT",EmployeeInfo!K2:K25,"None"))/(COUNTA(EmployeeInfo!K2:K25))</f>
        <v>0.125</v>
      </c>
    </row>
  </sheetData>
  <mergeCells count="17">
    <mergeCell ref="A17:E17"/>
    <mergeCell ref="A15:E15"/>
    <mergeCell ref="A16:E16"/>
    <mergeCell ref="A11:E11"/>
    <mergeCell ref="A12:E12"/>
    <mergeCell ref="A10:E10"/>
    <mergeCell ref="A13:E13"/>
    <mergeCell ref="A14:E14"/>
    <mergeCell ref="A5:E5"/>
    <mergeCell ref="A6:E6"/>
    <mergeCell ref="A7:E7"/>
    <mergeCell ref="A9:E9"/>
    <mergeCell ref="A1:F1"/>
    <mergeCell ref="A8:E8"/>
    <mergeCell ref="A4:E4"/>
    <mergeCell ref="A3:E3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topLeftCell="A6" workbookViewId="0">
      <selection activeCell="D14" sqref="D14"/>
    </sheetView>
  </sheetViews>
  <sheetFormatPr defaultColWidth="9.140625" defaultRowHeight="15" x14ac:dyDescent="0.25"/>
  <cols>
    <col min="1" max="1" width="13.140625" style="30" customWidth="1"/>
    <col min="2" max="2" width="15.7109375" style="30" customWidth="1"/>
    <col min="3" max="3" width="12.140625" style="30" customWidth="1"/>
    <col min="4" max="4" width="12.7109375" style="30" customWidth="1"/>
    <col min="5" max="16384" width="9.140625" style="30"/>
  </cols>
  <sheetData>
    <row r="1" spans="1:16" ht="15.75" thickBot="1" x14ac:dyDescent="0.3"/>
    <row r="2" spans="1:16" ht="47.25" x14ac:dyDescent="0.25">
      <c r="A2" s="89" t="s">
        <v>47</v>
      </c>
      <c r="B2" s="90"/>
      <c r="C2" s="36" t="s">
        <v>110</v>
      </c>
    </row>
    <row r="3" spans="1:16" ht="15.75" x14ac:dyDescent="0.25">
      <c r="A3" s="37">
        <v>0</v>
      </c>
      <c r="B3" s="38">
        <v>5</v>
      </c>
      <c r="C3" s="40">
        <v>0</v>
      </c>
    </row>
    <row r="4" spans="1:16" ht="15.75" x14ac:dyDescent="0.25">
      <c r="A4" s="37">
        <v>6</v>
      </c>
      <c r="B4" s="38">
        <v>11</v>
      </c>
      <c r="C4" s="40">
        <v>1.4999999999999999E-2</v>
      </c>
    </row>
    <row r="5" spans="1:16" ht="15.75" x14ac:dyDescent="0.25">
      <c r="A5" s="37">
        <v>12</v>
      </c>
      <c r="B5" s="38">
        <v>23</v>
      </c>
      <c r="C5" s="40">
        <v>3.5000000000000003E-2</v>
      </c>
    </row>
    <row r="6" spans="1:16" ht="15.75" x14ac:dyDescent="0.25">
      <c r="A6" s="37">
        <v>24</v>
      </c>
      <c r="B6" s="38">
        <v>35</v>
      </c>
      <c r="C6" s="40">
        <v>0.05</v>
      </c>
    </row>
    <row r="7" spans="1:16" ht="15.75" x14ac:dyDescent="0.25">
      <c r="A7" s="37">
        <v>36</v>
      </c>
      <c r="B7" s="38">
        <v>47</v>
      </c>
      <c r="C7" s="40">
        <v>0.08</v>
      </c>
    </row>
    <row r="8" spans="1:16" ht="16.5" thickBot="1" x14ac:dyDescent="0.3">
      <c r="A8" s="41">
        <v>48</v>
      </c>
      <c r="B8" s="42" t="s">
        <v>50</v>
      </c>
      <c r="C8" s="44">
        <v>0.1</v>
      </c>
    </row>
    <row r="9" spans="1:16" ht="15.75" thickBot="1" x14ac:dyDescent="0.3"/>
    <row r="10" spans="1:16" ht="31.5" x14ac:dyDescent="0.25">
      <c r="A10" s="89" t="s">
        <v>47</v>
      </c>
      <c r="B10" s="90"/>
      <c r="C10" s="35" t="s">
        <v>48</v>
      </c>
      <c r="D10" s="36" t="s">
        <v>49</v>
      </c>
    </row>
    <row r="11" spans="1:16" ht="15.75" x14ac:dyDescent="0.25">
      <c r="A11" s="37">
        <v>0</v>
      </c>
      <c r="B11" s="38">
        <v>5</v>
      </c>
      <c r="C11" s="39">
        <v>0</v>
      </c>
      <c r="D11" s="40">
        <v>0</v>
      </c>
    </row>
    <row r="12" spans="1:16" ht="15.75" x14ac:dyDescent="0.25">
      <c r="A12" s="37">
        <v>6</v>
      </c>
      <c r="B12" s="38">
        <v>11</v>
      </c>
      <c r="C12" s="39">
        <v>0</v>
      </c>
      <c r="D12" s="40">
        <v>1.4999999999999999E-2</v>
      </c>
    </row>
    <row r="13" spans="1:16" ht="15.75" x14ac:dyDescent="0.25">
      <c r="A13" s="37">
        <v>12</v>
      </c>
      <c r="B13" s="38">
        <v>23</v>
      </c>
      <c r="C13" s="39">
        <v>0</v>
      </c>
      <c r="D13" s="40">
        <v>3.5000000000000003E-2</v>
      </c>
    </row>
    <row r="14" spans="1:16" ht="15.75" x14ac:dyDescent="0.25">
      <c r="A14" s="37">
        <v>24</v>
      </c>
      <c r="B14" s="38">
        <v>35</v>
      </c>
      <c r="C14" s="39">
        <v>2.5000000000000001E-2</v>
      </c>
      <c r="D14" s="40">
        <v>0.05</v>
      </c>
    </row>
    <row r="15" spans="1:16" ht="15.75" x14ac:dyDescent="0.25">
      <c r="A15" s="37">
        <v>36</v>
      </c>
      <c r="B15" s="38">
        <v>47</v>
      </c>
      <c r="C15" s="39">
        <v>0.05</v>
      </c>
      <c r="D15" s="40">
        <v>0.08</v>
      </c>
    </row>
    <row r="16" spans="1:16" ht="16.5" thickBot="1" x14ac:dyDescent="0.3">
      <c r="A16" s="41">
        <v>48</v>
      </c>
      <c r="B16" s="42" t="s">
        <v>50</v>
      </c>
      <c r="C16" s="43">
        <v>0.08</v>
      </c>
      <c r="D16" s="44">
        <v>0.1</v>
      </c>
      <c r="P16" s="54"/>
    </row>
    <row r="17" spans="1:16" ht="15.75" x14ac:dyDescent="0.25">
      <c r="A17" s="38"/>
      <c r="B17" s="50"/>
      <c r="C17" s="39"/>
      <c r="D17" s="39"/>
      <c r="P17" s="54"/>
    </row>
    <row r="18" spans="1:16" ht="15.75" thickBot="1" x14ac:dyDescent="0.3"/>
    <row r="19" spans="1:16" ht="32.25" thickBot="1" x14ac:dyDescent="0.3">
      <c r="A19" s="51" t="s">
        <v>83</v>
      </c>
      <c r="B19" s="52" t="s">
        <v>51</v>
      </c>
      <c r="H19" s="91" t="s">
        <v>47</v>
      </c>
      <c r="I19" s="92"/>
      <c r="J19" s="57" t="s">
        <v>86</v>
      </c>
      <c r="K19" s="57" t="s">
        <v>87</v>
      </c>
      <c r="L19" s="57" t="s">
        <v>85</v>
      </c>
      <c r="M19" s="58" t="s">
        <v>88</v>
      </c>
    </row>
    <row r="20" spans="1:16" ht="16.5" thickBot="1" x14ac:dyDescent="0.3">
      <c r="A20" s="46" t="s">
        <v>86</v>
      </c>
      <c r="B20" s="47">
        <v>1.4999999999999999E-2</v>
      </c>
      <c r="H20" s="37">
        <v>0</v>
      </c>
      <c r="I20" s="55">
        <v>5</v>
      </c>
      <c r="J20" s="39">
        <v>0</v>
      </c>
      <c r="K20" s="39">
        <v>0</v>
      </c>
      <c r="L20" s="39">
        <v>0</v>
      </c>
      <c r="M20" s="40">
        <v>0</v>
      </c>
    </row>
    <row r="21" spans="1:16" ht="16.5" thickBot="1" x14ac:dyDescent="0.3">
      <c r="A21" s="46" t="s">
        <v>87</v>
      </c>
      <c r="B21" s="47">
        <v>0.02</v>
      </c>
      <c r="H21" s="37">
        <v>6</v>
      </c>
      <c r="I21" s="55">
        <v>11</v>
      </c>
      <c r="J21" s="39">
        <v>0</v>
      </c>
      <c r="K21" s="39">
        <v>1.4999999999999999E-2</v>
      </c>
      <c r="L21" s="39">
        <v>3.2000000000000001E-2</v>
      </c>
      <c r="M21" s="40">
        <v>0</v>
      </c>
    </row>
    <row r="22" spans="1:16" ht="16.5" thickBot="1" x14ac:dyDescent="0.3">
      <c r="A22" s="46" t="s">
        <v>85</v>
      </c>
      <c r="B22" s="47">
        <v>2.5000000000000001E-2</v>
      </c>
      <c r="H22" s="37">
        <v>12</v>
      </c>
      <c r="I22" s="55">
        <v>23</v>
      </c>
      <c r="J22" s="39">
        <v>0</v>
      </c>
      <c r="K22" s="39">
        <v>2.5000000000000001E-2</v>
      </c>
      <c r="L22" s="39">
        <v>5.5E-2</v>
      </c>
      <c r="M22" s="40">
        <v>3.5000000000000003E-2</v>
      </c>
    </row>
    <row r="23" spans="1:16" ht="16.5" thickBot="1" x14ac:dyDescent="0.3">
      <c r="A23" s="46" t="s">
        <v>88</v>
      </c>
      <c r="B23" s="47">
        <v>6.2E-2</v>
      </c>
      <c r="H23" s="37">
        <v>24</v>
      </c>
      <c r="I23" s="55">
        <v>35</v>
      </c>
      <c r="J23" s="39">
        <v>0</v>
      </c>
      <c r="K23" s="39">
        <v>3.5000000000000003E-2</v>
      </c>
      <c r="L23" s="39">
        <v>2.5000000000000001E-2</v>
      </c>
      <c r="M23" s="40">
        <v>0.05</v>
      </c>
      <c r="O23" s="54"/>
    </row>
    <row r="24" spans="1:16" ht="15.75" x14ac:dyDescent="0.25">
      <c r="A24" s="48"/>
      <c r="B24" s="49"/>
      <c r="H24" s="37">
        <v>36</v>
      </c>
      <c r="I24" s="55">
        <v>47</v>
      </c>
      <c r="J24" s="39">
        <v>2.5000000000000001E-2</v>
      </c>
      <c r="K24" s="39">
        <v>3.7999999999999999E-2</v>
      </c>
      <c r="L24" s="39">
        <v>0.02</v>
      </c>
      <c r="M24" s="40">
        <v>0.08</v>
      </c>
    </row>
    <row r="25" spans="1:16" ht="16.5" thickBot="1" x14ac:dyDescent="0.3">
      <c r="H25" s="41">
        <v>48</v>
      </c>
      <c r="I25" s="56" t="s">
        <v>50</v>
      </c>
      <c r="J25" s="43">
        <v>3.2000000000000001E-2</v>
      </c>
      <c r="K25" s="43">
        <v>4.2000000000000003E-2</v>
      </c>
      <c r="L25" s="43">
        <v>1.4999999999999999E-2</v>
      </c>
      <c r="M25" s="44">
        <v>0.1</v>
      </c>
    </row>
    <row r="26" spans="1:16" ht="32.25" thickBot="1" x14ac:dyDescent="0.3">
      <c r="A26" s="51" t="s">
        <v>83</v>
      </c>
      <c r="B26" s="35" t="s">
        <v>26</v>
      </c>
      <c r="C26" s="36" t="s">
        <v>13</v>
      </c>
    </row>
    <row r="27" spans="1:16" ht="16.5" thickBot="1" x14ac:dyDescent="0.3">
      <c r="A27" s="46" t="s">
        <v>86</v>
      </c>
      <c r="B27" s="39">
        <v>1.4999999999999999E-2</v>
      </c>
      <c r="C27" s="40">
        <v>0.01</v>
      </c>
    </row>
    <row r="28" spans="1:16" ht="16.5" thickBot="1" x14ac:dyDescent="0.3">
      <c r="A28" s="46" t="s">
        <v>87</v>
      </c>
      <c r="B28" s="39">
        <v>2.5000000000000001E-2</v>
      </c>
      <c r="C28" s="40">
        <v>0.02</v>
      </c>
    </row>
    <row r="29" spans="1:16" ht="16.5" thickBot="1" x14ac:dyDescent="0.3">
      <c r="A29" s="46" t="s">
        <v>85</v>
      </c>
      <c r="B29" s="39">
        <v>5.1999999999999998E-2</v>
      </c>
      <c r="C29" s="40">
        <v>3.5000000000000003E-2</v>
      </c>
    </row>
    <row r="30" spans="1:16" ht="16.5" thickBot="1" x14ac:dyDescent="0.3">
      <c r="A30" s="46" t="s">
        <v>88</v>
      </c>
      <c r="B30" s="45">
        <v>3.1E-2</v>
      </c>
      <c r="C30" s="44">
        <v>6.8000000000000005E-2</v>
      </c>
    </row>
    <row r="31" spans="1:16" ht="15.75" x14ac:dyDescent="0.25">
      <c r="B31" s="39"/>
      <c r="C31" s="39"/>
    </row>
    <row r="33" spans="1:1" x14ac:dyDescent="0.25">
      <c r="A33" s="53"/>
    </row>
    <row r="34" spans="1:1" x14ac:dyDescent="0.25">
      <c r="A34" s="32"/>
    </row>
    <row r="35" spans="1:1" x14ac:dyDescent="0.25">
      <c r="A35" s="33"/>
    </row>
    <row r="36" spans="1:1" x14ac:dyDescent="0.25">
      <c r="A36" s="33"/>
    </row>
  </sheetData>
  <mergeCells count="3">
    <mergeCell ref="A10:B10"/>
    <mergeCell ref="H19:I19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EmployeeInfo</vt:lpstr>
      <vt:lpstr>EmployeeTable</vt:lpstr>
      <vt:lpstr>EmployeeSummary</vt:lpstr>
      <vt:lpstr>LookUpData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Wesley-Su</cp:lastModifiedBy>
  <dcterms:created xsi:type="dcterms:W3CDTF">2012-11-06T07:37:59Z</dcterms:created>
  <dcterms:modified xsi:type="dcterms:W3CDTF">2022-07-27T18:02:59Z</dcterms:modified>
</cp:coreProperties>
</file>