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vauxs\Downloads\"/>
    </mc:Choice>
  </mc:AlternateContent>
  <xr:revisionPtr revIDLastSave="0" documentId="13_ncr:1_{EF46C432-87A4-411F-BACB-7034AD642839}" xr6:coauthVersionLast="47" xr6:coauthVersionMax="47" xr10:uidLastSave="{00000000-0000-0000-0000-000000000000}"/>
  <bookViews>
    <workbookView xWindow="-110" yWindow="-110" windowWidth="38620" windowHeight="21100" firstSheet="5" activeTab="12" xr2:uid="{00000000-000D-0000-FFFF-FFFF00000000}"/>
  </bookViews>
  <sheets>
    <sheet name="DBC for AGU JGR Biogeosciences" sheetId="1" r:id="rId1"/>
    <sheet name="BPCAs Calcs (all samples)" sheetId="2" r:id="rId2"/>
    <sheet name="River, Stream, Melt PPL" sheetId="3" r:id="rId3"/>
    <sheet name="River, Stream, Melt Bpca Calibr" sheetId="4" r:id="rId4"/>
    <sheet name="River, Stream, Melt DBC Calcs" sheetId="5" r:id="rId5"/>
    <sheet name="2022 Snow PPL" sheetId="6" r:id="rId6"/>
    <sheet name="2022 Snow BPCA Calibr" sheetId="7" r:id="rId7"/>
    <sheet name="2022 Snow DBC Calcs" sheetId="8" r:id="rId8"/>
    <sheet name="2023 Snow PPL" sheetId="9" r:id="rId9"/>
    <sheet name="2023 Snow BPCA Calibr" sheetId="10" r:id="rId10"/>
    <sheet name="2023 Snow DBC Calcs" sheetId="11" r:id="rId11"/>
    <sheet name="Auto Dilution Runs BPCA Calibr" sheetId="12" r:id="rId12"/>
    <sheet name="Auto Dilution Runs DBC Calcs" sheetId="13" r:id="rId13"/>
  </sheets>
  <definedNames>
    <definedName name="_xlnm._FilterDatabase" localSheetId="0" hidden="1">'DBC for AGU JGR Biogeosciences'!$A$1:$AX$33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0" i="13" l="1"/>
  <c r="C20" i="13"/>
  <c r="D19" i="13"/>
  <c r="C19" i="13"/>
  <c r="D18" i="13"/>
  <c r="C18" i="13"/>
  <c r="D17" i="13"/>
  <c r="C17" i="13"/>
  <c r="D16" i="13"/>
  <c r="C16" i="13"/>
  <c r="D15" i="13"/>
  <c r="C15" i="13"/>
  <c r="D14" i="13"/>
  <c r="C14" i="13"/>
  <c r="D13" i="13"/>
  <c r="C13" i="13"/>
  <c r="D12" i="13"/>
  <c r="C12" i="13"/>
  <c r="D11" i="13"/>
  <c r="C11" i="13"/>
  <c r="D10" i="13"/>
  <c r="C10" i="13"/>
  <c r="D9" i="13"/>
  <c r="C9" i="13"/>
  <c r="D98" i="12"/>
  <c r="C98" i="12"/>
  <c r="C96" i="12"/>
  <c r="D95" i="12"/>
  <c r="C95" i="12"/>
  <c r="D94" i="12"/>
  <c r="C94" i="12"/>
  <c r="D93" i="12"/>
  <c r="C93" i="12"/>
  <c r="D92" i="12"/>
  <c r="C92" i="12"/>
  <c r="D91" i="12"/>
  <c r="C91" i="12"/>
  <c r="D90" i="12"/>
  <c r="C90" i="12"/>
  <c r="D89" i="12"/>
  <c r="C89" i="12"/>
  <c r="D88" i="12"/>
  <c r="C88" i="12"/>
  <c r="D87" i="12"/>
  <c r="C87" i="12"/>
  <c r="D86" i="12"/>
  <c r="C86" i="12"/>
  <c r="D85" i="12"/>
  <c r="C85" i="12"/>
  <c r="D84" i="12"/>
  <c r="C84" i="12"/>
  <c r="D83" i="12"/>
  <c r="D80" i="12" s="1"/>
  <c r="C83" i="12"/>
  <c r="D82" i="12"/>
  <c r="D79" i="12" s="1"/>
  <c r="C82" i="12"/>
  <c r="C79" i="12" s="1"/>
  <c r="D81" i="12"/>
  <c r="D97" i="12" s="1"/>
  <c r="C81" i="12"/>
  <c r="C97" i="12" s="1"/>
  <c r="D78" i="12"/>
  <c r="C78" i="12"/>
  <c r="AR19" i="11"/>
  <c r="AP19" i="11"/>
  <c r="AO19" i="11"/>
  <c r="AN19" i="11" s="1"/>
  <c r="AP18" i="11"/>
  <c r="AO18" i="11"/>
  <c r="AN18" i="11" s="1"/>
  <c r="AR17" i="11"/>
  <c r="AQ17" i="11"/>
  <c r="AP17" i="11"/>
  <c r="AR16" i="11"/>
  <c r="AP16" i="11"/>
  <c r="AO16" i="11"/>
  <c r="AN16" i="11" s="1"/>
  <c r="AP15" i="11"/>
  <c r="AO15" i="11"/>
  <c r="AN15" i="11" s="1"/>
  <c r="AQ14" i="11"/>
  <c r="AP14" i="11"/>
  <c r="AO14" i="11"/>
  <c r="AN14" i="11" s="1"/>
  <c r="AP13" i="11"/>
  <c r="AO13" i="11"/>
  <c r="AN13" i="11"/>
  <c r="AS12" i="11"/>
  <c r="AQ12" i="11"/>
  <c r="AP12" i="11"/>
  <c r="AO12" i="11"/>
  <c r="AN12" i="11"/>
  <c r="AP11" i="11"/>
  <c r="AO11" i="11"/>
  <c r="AN11" i="11"/>
  <c r="AP10" i="11"/>
  <c r="AS9" i="11"/>
  <c r="AP9" i="11"/>
  <c r="AN9" i="11"/>
  <c r="AS8" i="11"/>
  <c r="AQ8" i="11"/>
  <c r="AP8" i="11"/>
  <c r="AO8" i="11"/>
  <c r="AN8" i="11"/>
  <c r="H47" i="10"/>
  <c r="E47" i="10"/>
  <c r="D47" i="10"/>
  <c r="H46" i="10"/>
  <c r="G46" i="10"/>
  <c r="F46" i="10"/>
  <c r="E46" i="10"/>
  <c r="D46" i="10"/>
  <c r="C46" i="10"/>
  <c r="H45" i="10"/>
  <c r="G45" i="10"/>
  <c r="G44" i="10"/>
  <c r="E44" i="10"/>
  <c r="C44" i="10"/>
  <c r="G43" i="10"/>
  <c r="E43" i="10"/>
  <c r="G42" i="10"/>
  <c r="F42" i="10"/>
  <c r="H41" i="10"/>
  <c r="F41" i="10"/>
  <c r="E41" i="10"/>
  <c r="D41" i="10"/>
  <c r="C41" i="10"/>
  <c r="H40" i="10"/>
  <c r="G40" i="10"/>
  <c r="E40" i="10"/>
  <c r="H39" i="10"/>
  <c r="G39" i="10"/>
  <c r="E39" i="10"/>
  <c r="C39" i="10"/>
  <c r="H38" i="10"/>
  <c r="G38" i="10"/>
  <c r="E38" i="10"/>
  <c r="C38" i="10"/>
  <c r="H37" i="10"/>
  <c r="G37" i="10"/>
  <c r="F37" i="10"/>
  <c r="E37" i="10"/>
  <c r="D37" i="10"/>
  <c r="C37" i="10"/>
  <c r="H36" i="10"/>
  <c r="G36" i="10"/>
  <c r="F36" i="10"/>
  <c r="E36" i="10"/>
  <c r="D36" i="10"/>
  <c r="C36" i="10"/>
  <c r="C43" i="10" s="1"/>
  <c r="U13" i="9"/>
  <c r="AQ19" i="11" s="1"/>
  <c r="J13" i="9"/>
  <c r="G13" i="9"/>
  <c r="E13" i="9"/>
  <c r="AS19" i="11" s="1"/>
  <c r="U12" i="9"/>
  <c r="AQ18" i="11" s="1"/>
  <c r="J12" i="9"/>
  <c r="AR18" i="11" s="1"/>
  <c r="G12" i="9"/>
  <c r="E12" i="9"/>
  <c r="U11" i="9"/>
  <c r="J11" i="9"/>
  <c r="G11" i="9"/>
  <c r="F11" i="9"/>
  <c r="AO17" i="11" s="1"/>
  <c r="AN17" i="11" s="1"/>
  <c r="E11" i="9"/>
  <c r="U10" i="9"/>
  <c r="AQ16" i="11" s="1"/>
  <c r="J10" i="9"/>
  <c r="G10" i="9"/>
  <c r="E10" i="9"/>
  <c r="AS16" i="11" s="1"/>
  <c r="U9" i="9"/>
  <c r="AQ15" i="11" s="1"/>
  <c r="J9" i="9"/>
  <c r="AR15" i="11" s="1"/>
  <c r="G9" i="9"/>
  <c r="E9" i="9"/>
  <c r="U8" i="9"/>
  <c r="J8" i="9"/>
  <c r="AR14" i="11" s="1"/>
  <c r="G8" i="9"/>
  <c r="E8" i="9"/>
  <c r="U7" i="9"/>
  <c r="AQ13" i="11" s="1"/>
  <c r="J7" i="9"/>
  <c r="AR13" i="11" s="1"/>
  <c r="G7" i="9"/>
  <c r="L7" i="9" s="1"/>
  <c r="X7" i="9" s="1"/>
  <c r="E7" i="9"/>
  <c r="AS13" i="11" s="1"/>
  <c r="U6" i="9"/>
  <c r="J6" i="9"/>
  <c r="AR12" i="11" s="1"/>
  <c r="G6" i="9"/>
  <c r="E6" i="9"/>
  <c r="U5" i="9"/>
  <c r="AQ11" i="11" s="1"/>
  <c r="J5" i="9"/>
  <c r="G5" i="9"/>
  <c r="E5" i="9"/>
  <c r="AS11" i="11" s="1"/>
  <c r="U4" i="9"/>
  <c r="AQ10" i="11" s="1"/>
  <c r="J4" i="9"/>
  <c r="AR10" i="11" s="1"/>
  <c r="F4" i="9"/>
  <c r="E4" i="9"/>
  <c r="U3" i="9"/>
  <c r="AQ9" i="11" s="1"/>
  <c r="L3" i="9"/>
  <c r="M3" i="9" s="1"/>
  <c r="N3" i="9" s="1"/>
  <c r="V3" i="9" s="1"/>
  <c r="J3" i="9"/>
  <c r="AR9" i="11" s="1"/>
  <c r="G3" i="9"/>
  <c r="F3" i="9"/>
  <c r="AO9" i="11" s="1"/>
  <c r="E3" i="9"/>
  <c r="U2" i="9"/>
  <c r="J2" i="9"/>
  <c r="G2" i="9"/>
  <c r="E2" i="9"/>
  <c r="AR25" i="8"/>
  <c r="AP25" i="8"/>
  <c r="AO25" i="8"/>
  <c r="AN25" i="8"/>
  <c r="AP24" i="8"/>
  <c r="AR23" i="8"/>
  <c r="AP23" i="8"/>
  <c r="AO23" i="8"/>
  <c r="AN23" i="8"/>
  <c r="AR22" i="8"/>
  <c r="AP22" i="8"/>
  <c r="AO22" i="8"/>
  <c r="AN22" i="8" s="1"/>
  <c r="AP21" i="8"/>
  <c r="AS20" i="8"/>
  <c r="AR20" i="8"/>
  <c r="AP20" i="8"/>
  <c r="AP19" i="8"/>
  <c r="AS18" i="8"/>
  <c r="AQ18" i="8"/>
  <c r="AP18" i="8"/>
  <c r="AO18" i="8"/>
  <c r="AN18" i="8" s="1"/>
  <c r="AP17" i="8"/>
  <c r="AO17" i="8"/>
  <c r="AN17" i="8"/>
  <c r="AQ16" i="8"/>
  <c r="AP16" i="8"/>
  <c r="AO16" i="8"/>
  <c r="AN16" i="8"/>
  <c r="AR15" i="8"/>
  <c r="AQ15" i="8"/>
  <c r="AP15" i="8"/>
  <c r="AO15" i="8"/>
  <c r="AN15" i="8" s="1"/>
  <c r="AR14" i="8"/>
  <c r="AQ14" i="8"/>
  <c r="AP14" i="8"/>
  <c r="AO14" i="8"/>
  <c r="AN14" i="8"/>
  <c r="AP13" i="8"/>
  <c r="AO13" i="8"/>
  <c r="AN13" i="8"/>
  <c r="AR12" i="8"/>
  <c r="AP12" i="8"/>
  <c r="AO12" i="8"/>
  <c r="AN12" i="8" s="1"/>
  <c r="AS11" i="8"/>
  <c r="AP11" i="8"/>
  <c r="AO11" i="8"/>
  <c r="AN11" i="8"/>
  <c r="AK11" i="8"/>
  <c r="AR10" i="8"/>
  <c r="AP10" i="8"/>
  <c r="AO10" i="8"/>
  <c r="AN10" i="8"/>
  <c r="AR9" i="8"/>
  <c r="AP9" i="8"/>
  <c r="AO9" i="8"/>
  <c r="AN9" i="8" s="1"/>
  <c r="AS8" i="8"/>
  <c r="AR8" i="8"/>
  <c r="AP8" i="8"/>
  <c r="AO8" i="8"/>
  <c r="AN8" i="8"/>
  <c r="E57" i="7"/>
  <c r="E47" i="7"/>
  <c r="D47" i="7"/>
  <c r="G46" i="7"/>
  <c r="F46" i="7"/>
  <c r="E46" i="7"/>
  <c r="D46" i="7"/>
  <c r="F45" i="7"/>
  <c r="E45" i="7"/>
  <c r="D45" i="7"/>
  <c r="C45" i="7"/>
  <c r="F44" i="7"/>
  <c r="E44" i="7"/>
  <c r="C44" i="7"/>
  <c r="H43" i="7"/>
  <c r="G43" i="7"/>
  <c r="F43" i="7"/>
  <c r="F57" i="7" s="1"/>
  <c r="E43" i="7"/>
  <c r="G42" i="7"/>
  <c r="F42" i="7"/>
  <c r="E42" i="7"/>
  <c r="C42" i="7"/>
  <c r="F41" i="7"/>
  <c r="E41" i="7"/>
  <c r="D41" i="7"/>
  <c r="F40" i="7"/>
  <c r="E40" i="7"/>
  <c r="D40" i="7"/>
  <c r="C40" i="7"/>
  <c r="G39" i="7"/>
  <c r="F39" i="7"/>
  <c r="E39" i="7"/>
  <c r="H38" i="7"/>
  <c r="F38" i="7"/>
  <c r="E38" i="7"/>
  <c r="D38" i="7"/>
  <c r="H37" i="7"/>
  <c r="G37" i="7"/>
  <c r="F37" i="7"/>
  <c r="E37" i="7"/>
  <c r="D37" i="7"/>
  <c r="C37" i="7"/>
  <c r="H36" i="7"/>
  <c r="G36" i="7"/>
  <c r="F36" i="7"/>
  <c r="F47" i="7" s="1"/>
  <c r="E36" i="7"/>
  <c r="D36" i="7"/>
  <c r="D43" i="7" s="1"/>
  <c r="C36" i="7"/>
  <c r="C43" i="7" s="1"/>
  <c r="V19" i="6"/>
  <c r="AQ25" i="8" s="1"/>
  <c r="J19" i="6"/>
  <c r="G19" i="6"/>
  <c r="E19" i="6"/>
  <c r="V18" i="6"/>
  <c r="AQ24" i="8" s="1"/>
  <c r="J18" i="6"/>
  <c r="AR24" i="8" s="1"/>
  <c r="F18" i="6"/>
  <c r="G18" i="6" s="1"/>
  <c r="E18" i="6"/>
  <c r="AS24" i="8" s="1"/>
  <c r="V17" i="6"/>
  <c r="Y17" i="6" s="1"/>
  <c r="P17" i="6"/>
  <c r="L17" i="6"/>
  <c r="M17" i="6" s="1"/>
  <c r="N17" i="6" s="1"/>
  <c r="W17" i="6" s="1"/>
  <c r="J17" i="6"/>
  <c r="F17" i="6"/>
  <c r="G17" i="6" s="1"/>
  <c r="E17" i="6"/>
  <c r="AS23" i="8" s="1"/>
  <c r="V16" i="6"/>
  <c r="AQ22" i="8" s="1"/>
  <c r="J16" i="6"/>
  <c r="F16" i="6"/>
  <c r="G16" i="6" s="1"/>
  <c r="E16" i="6"/>
  <c r="AS22" i="8" s="1"/>
  <c r="V15" i="6"/>
  <c r="AQ21" i="8" s="1"/>
  <c r="J15" i="6"/>
  <c r="AR21" i="8" s="1"/>
  <c r="F15" i="6"/>
  <c r="AO21" i="8" s="1"/>
  <c r="AN21" i="8" s="1"/>
  <c r="E15" i="6"/>
  <c r="AS21" i="8" s="1"/>
  <c r="V14" i="6"/>
  <c r="AQ20" i="8" s="1"/>
  <c r="J14" i="6"/>
  <c r="F14" i="6"/>
  <c r="AO20" i="8" s="1"/>
  <c r="AN20" i="8" s="1"/>
  <c r="E14" i="6"/>
  <c r="V13" i="6"/>
  <c r="AQ19" i="8" s="1"/>
  <c r="L13" i="6"/>
  <c r="P13" i="6" s="1"/>
  <c r="J13" i="6"/>
  <c r="AR19" i="8" s="1"/>
  <c r="G13" i="6"/>
  <c r="F13" i="6"/>
  <c r="AO19" i="8" s="1"/>
  <c r="AN19" i="8" s="1"/>
  <c r="E13" i="6"/>
  <c r="AS19" i="8" s="1"/>
  <c r="V12" i="6"/>
  <c r="J12" i="6"/>
  <c r="AR18" i="8" s="1"/>
  <c r="G12" i="6"/>
  <c r="L12" i="6" s="1"/>
  <c r="F12" i="6"/>
  <c r="E12" i="6"/>
  <c r="V11" i="6"/>
  <c r="AQ17" i="8" s="1"/>
  <c r="J11" i="6"/>
  <c r="AR17" i="8" s="1"/>
  <c r="G11" i="6"/>
  <c r="E11" i="6"/>
  <c r="V10" i="6"/>
  <c r="J10" i="6"/>
  <c r="AR16" i="8" s="1"/>
  <c r="G10" i="6"/>
  <c r="E10" i="6"/>
  <c r="AS16" i="8" s="1"/>
  <c r="V9" i="6"/>
  <c r="J9" i="6"/>
  <c r="G9" i="6"/>
  <c r="E9" i="6"/>
  <c r="AS15" i="8" s="1"/>
  <c r="V8" i="6"/>
  <c r="L8" i="6"/>
  <c r="Y8" i="6" s="1"/>
  <c r="J8" i="6"/>
  <c r="G8" i="6"/>
  <c r="E8" i="6"/>
  <c r="AS14" i="8" s="1"/>
  <c r="V7" i="6"/>
  <c r="AQ13" i="8" s="1"/>
  <c r="J7" i="6"/>
  <c r="AR13" i="8" s="1"/>
  <c r="G7" i="6"/>
  <c r="E7" i="6"/>
  <c r="AS13" i="8" s="1"/>
  <c r="V6" i="6"/>
  <c r="AQ12" i="8" s="1"/>
  <c r="J6" i="6"/>
  <c r="G6" i="6"/>
  <c r="E6" i="6"/>
  <c r="AS12" i="8" s="1"/>
  <c r="V5" i="6"/>
  <c r="AQ11" i="8" s="1"/>
  <c r="J5" i="6"/>
  <c r="AR11" i="8" s="1"/>
  <c r="AC11" i="8" s="1"/>
  <c r="G5" i="6"/>
  <c r="E5" i="6"/>
  <c r="V4" i="6"/>
  <c r="AQ10" i="8" s="1"/>
  <c r="J4" i="6"/>
  <c r="G4" i="6"/>
  <c r="E4" i="6"/>
  <c r="AS10" i="8" s="1"/>
  <c r="V3" i="6"/>
  <c r="AQ9" i="8" s="1"/>
  <c r="J3" i="6"/>
  <c r="G3" i="6"/>
  <c r="E3" i="6"/>
  <c r="AS9" i="8" s="1"/>
  <c r="V2" i="6"/>
  <c r="AQ8" i="8" s="1"/>
  <c r="J2" i="6"/>
  <c r="G2" i="6"/>
  <c r="E2" i="6"/>
  <c r="L2" i="6" s="1"/>
  <c r="M2" i="6" s="1"/>
  <c r="N2" i="6" s="1"/>
  <c r="W2" i="6" s="1"/>
  <c r="AS16" i="5"/>
  <c r="AO16" i="5"/>
  <c r="AN16" i="5"/>
  <c r="AR15" i="5"/>
  <c r="AQ15" i="5"/>
  <c r="AO15" i="5"/>
  <c r="AN15" i="5"/>
  <c r="AR14" i="5"/>
  <c r="AO14" i="5"/>
  <c r="AN14" i="5"/>
  <c r="AQ13" i="5"/>
  <c r="AO13" i="5"/>
  <c r="AN13" i="5" s="1"/>
  <c r="AS12" i="5"/>
  <c r="AR12" i="5"/>
  <c r="AO12" i="5"/>
  <c r="AN12" i="5"/>
  <c r="AS11" i="5"/>
  <c r="AQ11" i="5"/>
  <c r="AO11" i="5"/>
  <c r="AN11" i="5" s="1"/>
  <c r="AS10" i="5"/>
  <c r="AR10" i="5"/>
  <c r="AQ10" i="5"/>
  <c r="AO10" i="5"/>
  <c r="AN10" i="5"/>
  <c r="AS9" i="5"/>
  <c r="AO9" i="5"/>
  <c r="AN9" i="5"/>
  <c r="AO8" i="5"/>
  <c r="AN8" i="5"/>
  <c r="C88" i="4"/>
  <c r="E87" i="4"/>
  <c r="C85" i="4"/>
  <c r="H84" i="4"/>
  <c r="E84" i="4"/>
  <c r="C84" i="4"/>
  <c r="H82" i="4"/>
  <c r="G82" i="4"/>
  <c r="F82" i="4"/>
  <c r="E82" i="4"/>
  <c r="C82" i="4"/>
  <c r="H81" i="4"/>
  <c r="H79" i="4"/>
  <c r="F79" i="4"/>
  <c r="E79" i="4"/>
  <c r="D79" i="4"/>
  <c r="C79" i="4"/>
  <c r="H78" i="4"/>
  <c r="E78" i="4"/>
  <c r="C76" i="4"/>
  <c r="H75" i="4"/>
  <c r="E75" i="4"/>
  <c r="H73" i="4"/>
  <c r="G73" i="4"/>
  <c r="G79" i="4" s="1"/>
  <c r="F73" i="4"/>
  <c r="F76" i="4" s="1"/>
  <c r="E73" i="4"/>
  <c r="D73" i="4"/>
  <c r="D88" i="4" s="1"/>
  <c r="C73" i="4"/>
  <c r="H72" i="4"/>
  <c r="G72" i="4"/>
  <c r="G81" i="4" s="1"/>
  <c r="F72" i="4"/>
  <c r="F78" i="4" s="1"/>
  <c r="E72" i="4"/>
  <c r="D72" i="4"/>
  <c r="C72" i="4"/>
  <c r="H32" i="4"/>
  <c r="G32" i="4"/>
  <c r="F32" i="4"/>
  <c r="C32" i="4"/>
  <c r="H31" i="4"/>
  <c r="H30" i="4"/>
  <c r="G30" i="4"/>
  <c r="F30" i="4"/>
  <c r="E30" i="4"/>
  <c r="D30" i="4"/>
  <c r="C30" i="4"/>
  <c r="H29" i="4"/>
  <c r="G29" i="4"/>
  <c r="F29" i="4"/>
  <c r="E29" i="4"/>
  <c r="D29" i="4"/>
  <c r="C29" i="4"/>
  <c r="C28" i="4"/>
  <c r="H27" i="4"/>
  <c r="G27" i="4"/>
  <c r="F27" i="4"/>
  <c r="C27" i="4"/>
  <c r="H26" i="4"/>
  <c r="G26" i="4"/>
  <c r="F26" i="4"/>
  <c r="C26" i="4"/>
  <c r="C35" i="4" s="1"/>
  <c r="D3" i="5" s="1"/>
  <c r="H25" i="4"/>
  <c r="F25" i="4"/>
  <c r="C25" i="4"/>
  <c r="H24" i="4"/>
  <c r="G24" i="4"/>
  <c r="F24" i="4"/>
  <c r="C24" i="4"/>
  <c r="H23" i="4"/>
  <c r="G23" i="4"/>
  <c r="D23" i="4"/>
  <c r="C23" i="4"/>
  <c r="H22" i="4"/>
  <c r="H37" i="4" s="1"/>
  <c r="G22" i="4"/>
  <c r="F22" i="4"/>
  <c r="E22" i="4"/>
  <c r="D22" i="4"/>
  <c r="C22" i="4"/>
  <c r="H21" i="4"/>
  <c r="H28" i="4" s="1"/>
  <c r="G21" i="4"/>
  <c r="F21" i="4"/>
  <c r="F28" i="4" s="1"/>
  <c r="E21" i="4"/>
  <c r="D21" i="4"/>
  <c r="D27" i="4" s="1"/>
  <c r="C21" i="4"/>
  <c r="C31" i="4" s="1"/>
  <c r="V10" i="3"/>
  <c r="AQ16" i="5" s="1"/>
  <c r="L10" i="3"/>
  <c r="J10" i="3"/>
  <c r="AR16" i="5" s="1"/>
  <c r="G10" i="3"/>
  <c r="V9" i="3"/>
  <c r="J9" i="3"/>
  <c r="G9" i="3"/>
  <c r="E9" i="3"/>
  <c r="L9" i="3" s="1"/>
  <c r="V8" i="3"/>
  <c r="AQ14" i="5" s="1"/>
  <c r="N8" i="3"/>
  <c r="W8" i="3" s="1"/>
  <c r="J8" i="3"/>
  <c r="G8" i="3"/>
  <c r="E8" i="3"/>
  <c r="L8" i="3" s="1"/>
  <c r="M8" i="3" s="1"/>
  <c r="V7" i="3"/>
  <c r="J7" i="3"/>
  <c r="AR13" i="5" s="1"/>
  <c r="G7" i="3"/>
  <c r="E7" i="3"/>
  <c r="V6" i="3"/>
  <c r="AQ12" i="5" s="1"/>
  <c r="P6" i="3"/>
  <c r="M6" i="3"/>
  <c r="N6" i="3" s="1"/>
  <c r="W6" i="3" s="1"/>
  <c r="L6" i="3"/>
  <c r="J6" i="3"/>
  <c r="G6" i="3"/>
  <c r="E6" i="3"/>
  <c r="V5" i="3"/>
  <c r="J5" i="3"/>
  <c r="AR11" i="5" s="1"/>
  <c r="G5" i="3"/>
  <c r="L5" i="3" s="1"/>
  <c r="Y4" i="3"/>
  <c r="V4" i="3"/>
  <c r="J4" i="3"/>
  <c r="G4" i="3"/>
  <c r="L4" i="3" s="1"/>
  <c r="M4" i="3" s="1"/>
  <c r="N4" i="3" s="1"/>
  <c r="W4" i="3" s="1"/>
  <c r="V3" i="3"/>
  <c r="AQ9" i="5" s="1"/>
  <c r="J3" i="3"/>
  <c r="AR9" i="5" s="1"/>
  <c r="G3" i="3"/>
  <c r="L3" i="3" s="1"/>
  <c r="V2" i="3"/>
  <c r="AQ8" i="5" s="1"/>
  <c r="J2" i="3"/>
  <c r="AR8" i="5" s="1"/>
  <c r="G2" i="3"/>
  <c r="E2" i="3"/>
  <c r="AS8" i="5" s="1"/>
  <c r="O41" i="2"/>
  <c r="N41" i="2"/>
  <c r="M41" i="2"/>
  <c r="K41" i="2"/>
  <c r="J41" i="2"/>
  <c r="I41" i="2"/>
  <c r="H41" i="2"/>
  <c r="N40" i="2"/>
  <c r="O40" i="2" s="1"/>
  <c r="M40" i="2"/>
  <c r="K40" i="2"/>
  <c r="J40" i="2"/>
  <c r="I40" i="2"/>
  <c r="H40" i="2"/>
  <c r="M39" i="2"/>
  <c r="O39" i="2" s="1"/>
  <c r="K39" i="2"/>
  <c r="J39" i="2"/>
  <c r="I39" i="2"/>
  <c r="H39" i="2"/>
  <c r="K38" i="2"/>
  <c r="J38" i="2"/>
  <c r="I38" i="2"/>
  <c r="M37" i="2"/>
  <c r="O37" i="2" s="1"/>
  <c r="K37" i="2"/>
  <c r="J37" i="2"/>
  <c r="I37" i="2"/>
  <c r="H37" i="2"/>
  <c r="M36" i="2"/>
  <c r="O36" i="2" s="1"/>
  <c r="K36" i="2"/>
  <c r="J36" i="2"/>
  <c r="I36" i="2"/>
  <c r="H36" i="2"/>
  <c r="N35" i="2"/>
  <c r="M35" i="2"/>
  <c r="O35" i="2" s="1"/>
  <c r="K35" i="2"/>
  <c r="J35" i="2"/>
  <c r="I35" i="2"/>
  <c r="H35" i="2"/>
  <c r="M34" i="2"/>
  <c r="O34" i="2" s="1"/>
  <c r="K34" i="2"/>
  <c r="J34" i="2"/>
  <c r="I34" i="2"/>
  <c r="H34" i="2"/>
  <c r="M33" i="2"/>
  <c r="O33" i="2" s="1"/>
  <c r="K33" i="2"/>
  <c r="J33" i="2"/>
  <c r="I33" i="2"/>
  <c r="H33" i="2"/>
  <c r="H32" i="2"/>
  <c r="R31" i="2"/>
  <c r="Q31" i="2"/>
  <c r="P31" i="2"/>
  <c r="N31" i="2"/>
  <c r="M31" i="2"/>
  <c r="L31" i="2"/>
  <c r="K31" i="2"/>
  <c r="J31" i="2"/>
  <c r="I31" i="2"/>
  <c r="H31" i="2"/>
  <c r="S31" i="2" s="1"/>
  <c r="O30" i="2"/>
  <c r="N30" i="2"/>
  <c r="M30" i="2"/>
  <c r="K30" i="2"/>
  <c r="J30" i="2"/>
  <c r="I30" i="2"/>
  <c r="H30" i="2"/>
  <c r="N29" i="2"/>
  <c r="M29" i="2"/>
  <c r="L29" i="2"/>
  <c r="K29" i="2"/>
  <c r="J29" i="2"/>
  <c r="I29" i="2"/>
  <c r="H29" i="2"/>
  <c r="R26" i="2"/>
  <c r="Q26" i="2"/>
  <c r="P26" i="2"/>
  <c r="N26" i="2"/>
  <c r="M26" i="2"/>
  <c r="O26" i="2" s="1"/>
  <c r="K26" i="2"/>
  <c r="J26" i="2"/>
  <c r="I26" i="2"/>
  <c r="H26" i="2"/>
  <c r="H25" i="2"/>
  <c r="H24" i="2"/>
  <c r="S23" i="2"/>
  <c r="R23" i="2"/>
  <c r="Q23" i="2"/>
  <c r="P23" i="2"/>
  <c r="O23" i="2"/>
  <c r="N23" i="2"/>
  <c r="M23" i="2"/>
  <c r="K23" i="2"/>
  <c r="J23" i="2"/>
  <c r="I23" i="2"/>
  <c r="H23" i="2"/>
  <c r="N22" i="2"/>
  <c r="M22" i="2"/>
  <c r="L22" i="2"/>
  <c r="O22" i="2" s="1"/>
  <c r="K22" i="2"/>
  <c r="J22" i="2"/>
  <c r="I22" i="2"/>
  <c r="H22" i="2"/>
  <c r="N21" i="2"/>
  <c r="M21" i="2"/>
  <c r="L21" i="2"/>
  <c r="K21" i="2"/>
  <c r="J21" i="2"/>
  <c r="I21" i="2"/>
  <c r="H21" i="2"/>
  <c r="O20" i="2"/>
  <c r="N20" i="2"/>
  <c r="M20" i="2"/>
  <c r="K20" i="2"/>
  <c r="J20" i="2"/>
  <c r="I20" i="2"/>
  <c r="H20" i="2"/>
  <c r="N19" i="2"/>
  <c r="M19" i="2"/>
  <c r="O19" i="2" s="1"/>
  <c r="K19" i="2"/>
  <c r="J19" i="2"/>
  <c r="I19" i="2"/>
  <c r="H19" i="2"/>
  <c r="N18" i="2"/>
  <c r="M18" i="2"/>
  <c r="O18" i="2" s="1"/>
  <c r="L18" i="2"/>
  <c r="K18" i="2"/>
  <c r="J18" i="2"/>
  <c r="I18" i="2"/>
  <c r="H18" i="2"/>
  <c r="N17" i="2"/>
  <c r="M17" i="2"/>
  <c r="O17" i="2" s="1"/>
  <c r="K17" i="2"/>
  <c r="J17" i="2"/>
  <c r="I17" i="2"/>
  <c r="H17" i="2"/>
  <c r="N16" i="2"/>
  <c r="M16" i="2"/>
  <c r="O16" i="2" s="1"/>
  <c r="K16" i="2"/>
  <c r="J16" i="2"/>
  <c r="I16" i="2"/>
  <c r="H16" i="2"/>
  <c r="Q14" i="2"/>
  <c r="O14" i="2"/>
  <c r="N14" i="2"/>
  <c r="M14" i="2"/>
  <c r="K14" i="2"/>
  <c r="J14" i="2"/>
  <c r="I14" i="2"/>
  <c r="H14" i="2"/>
  <c r="H13" i="2"/>
  <c r="S12" i="2"/>
  <c r="R12" i="2"/>
  <c r="Q12" i="2"/>
  <c r="P12" i="2"/>
  <c r="N12" i="2"/>
  <c r="M12" i="2"/>
  <c r="L12" i="2"/>
  <c r="K12" i="2"/>
  <c r="J12" i="2"/>
  <c r="I12" i="2"/>
  <c r="H12" i="2"/>
  <c r="N11" i="2"/>
  <c r="M11" i="2"/>
  <c r="L11" i="2"/>
  <c r="K11" i="2"/>
  <c r="J11" i="2"/>
  <c r="I11" i="2"/>
  <c r="O10" i="2"/>
  <c r="N10" i="2"/>
  <c r="M10" i="2"/>
  <c r="L10" i="2"/>
  <c r="K10" i="2"/>
  <c r="J10" i="2"/>
  <c r="I10" i="2"/>
  <c r="O9" i="2"/>
  <c r="N9" i="2"/>
  <c r="M9" i="2"/>
  <c r="L9" i="2"/>
  <c r="K9" i="2"/>
  <c r="J9" i="2"/>
  <c r="I9" i="2"/>
  <c r="O8" i="2"/>
  <c r="N8" i="2"/>
  <c r="M8" i="2"/>
  <c r="L8" i="2"/>
  <c r="K8" i="2"/>
  <c r="J8" i="2"/>
  <c r="I8" i="2"/>
  <c r="O7" i="2"/>
  <c r="N7" i="2"/>
  <c r="M7" i="2"/>
  <c r="L7" i="2"/>
  <c r="K7" i="2"/>
  <c r="J7" i="2"/>
  <c r="I7" i="2"/>
  <c r="O6" i="2"/>
  <c r="N6" i="2"/>
  <c r="M6" i="2"/>
  <c r="L6" i="2"/>
  <c r="K6" i="2"/>
  <c r="J6" i="2"/>
  <c r="I6" i="2"/>
  <c r="O5" i="2"/>
  <c r="N5" i="2"/>
  <c r="M5" i="2"/>
  <c r="L5" i="2"/>
  <c r="K5" i="2"/>
  <c r="J5" i="2"/>
  <c r="I5" i="2"/>
  <c r="O4" i="2"/>
  <c r="N4" i="2"/>
  <c r="M4" i="2"/>
  <c r="L4" i="2"/>
  <c r="K4" i="2"/>
  <c r="J4" i="2"/>
  <c r="I4" i="2"/>
  <c r="O3" i="2"/>
  <c r="N3" i="2"/>
  <c r="M3" i="2"/>
  <c r="L3" i="2"/>
  <c r="K3" i="2"/>
  <c r="J3" i="2"/>
  <c r="I3" i="2"/>
  <c r="AT33" i="1"/>
  <c r="AU33" i="1" s="1"/>
  <c r="AV33" i="1" s="1"/>
  <c r="AP33" i="1"/>
  <c r="AN33" i="1"/>
  <c r="AM33" i="1"/>
  <c r="AH33" i="1"/>
  <c r="AJ33" i="1" s="1"/>
  <c r="AD33" i="1"/>
  <c r="AE33" i="1" s="1"/>
  <c r="AT32" i="1"/>
  <c r="AU32" i="1" s="1"/>
  <c r="AV32" i="1" s="1"/>
  <c r="AQ32" i="1"/>
  <c r="AS32" i="1" s="1"/>
  <c r="AP32" i="1"/>
  <c r="AR32" i="1" s="1"/>
  <c r="AO32" i="1"/>
  <c r="AN32" i="1"/>
  <c r="AM32" i="1"/>
  <c r="AL32" i="1"/>
  <c r="AK32" i="1"/>
  <c r="AI32" i="1"/>
  <c r="AH32" i="1"/>
  <c r="AJ32" i="1" s="1"/>
  <c r="AD32" i="1"/>
  <c r="AE32" i="1" s="1"/>
  <c r="AT31" i="1"/>
  <c r="AU31" i="1" s="1"/>
  <c r="AV31" i="1" s="1"/>
  <c r="AQ31" i="1"/>
  <c r="AS31" i="1" s="1"/>
  <c r="AP31" i="1"/>
  <c r="AR31" i="1" s="1"/>
  <c r="AO31" i="1"/>
  <c r="AN31" i="1"/>
  <c r="AM31" i="1"/>
  <c r="AI31" i="1"/>
  <c r="AH31" i="1"/>
  <c r="AJ31" i="1" s="1"/>
  <c r="AD31" i="1"/>
  <c r="AE31" i="1" s="1"/>
  <c r="U31" i="1"/>
  <c r="AT30" i="1"/>
  <c r="AU30" i="1" s="1"/>
  <c r="AV30" i="1" s="1"/>
  <c r="AS30" i="1"/>
  <c r="AR30" i="1"/>
  <c r="AQ30" i="1"/>
  <c r="AP30" i="1"/>
  <c r="AO30" i="1"/>
  <c r="AN30" i="1"/>
  <c r="AM30" i="1"/>
  <c r="AH30" i="1"/>
  <c r="AL30" i="1" s="1"/>
  <c r="AD30" i="1"/>
  <c r="AE30" i="1" s="1"/>
  <c r="AT29" i="1"/>
  <c r="AU29" i="1" s="1"/>
  <c r="AV29" i="1" s="1"/>
  <c r="AQ29" i="1"/>
  <c r="AS29" i="1" s="1"/>
  <c r="AP29" i="1"/>
  <c r="AR29" i="1" s="1"/>
  <c r="AO29" i="1"/>
  <c r="AN29" i="1"/>
  <c r="AM29" i="1"/>
  <c r="AL29" i="1"/>
  <c r="AH29" i="1"/>
  <c r="AJ29" i="1" s="1"/>
  <c r="AD29" i="1"/>
  <c r="AE29" i="1" s="1"/>
  <c r="AG29" i="1" s="1"/>
  <c r="AT28" i="1"/>
  <c r="AU28" i="1" s="1"/>
  <c r="AV28" i="1" s="1"/>
  <c r="AS28" i="1"/>
  <c r="AR28" i="1"/>
  <c r="AQ28" i="1"/>
  <c r="AP28" i="1"/>
  <c r="AO28" i="1"/>
  <c r="AN28" i="1"/>
  <c r="AM28" i="1"/>
  <c r="AH28" i="1"/>
  <c r="AK28" i="1" s="1"/>
  <c r="AD28" i="1"/>
  <c r="AE28" i="1" s="1"/>
  <c r="AU27" i="1"/>
  <c r="AV27" i="1" s="1"/>
  <c r="AT27" i="1"/>
  <c r="AS27" i="1"/>
  <c r="AQ27" i="1"/>
  <c r="AP27" i="1"/>
  <c r="AR27" i="1" s="1"/>
  <c r="AO27" i="1"/>
  <c r="AN27" i="1"/>
  <c r="AM27" i="1"/>
  <c r="AH27" i="1"/>
  <c r="AD27" i="1"/>
  <c r="AE27" i="1" s="1"/>
  <c r="U27" i="1"/>
  <c r="AT26" i="1"/>
  <c r="AU26" i="1" s="1"/>
  <c r="AV26" i="1" s="1"/>
  <c r="AQ26" i="1"/>
  <c r="AS26" i="1" s="1"/>
  <c r="AP26" i="1"/>
  <c r="AR26" i="1" s="1"/>
  <c r="AO26" i="1"/>
  <c r="AN26" i="1"/>
  <c r="AM26" i="1"/>
  <c r="AH26" i="1"/>
  <c r="AJ26" i="1" s="1"/>
  <c r="AD26" i="1"/>
  <c r="AE26" i="1" s="1"/>
  <c r="AT25" i="1"/>
  <c r="AU25" i="1" s="1"/>
  <c r="AV25" i="1" s="1"/>
  <c r="AQ25" i="1"/>
  <c r="AP25" i="1"/>
  <c r="AR25" i="1" s="1"/>
  <c r="AO25" i="1"/>
  <c r="AN25" i="1"/>
  <c r="AM25" i="1"/>
  <c r="AH25" i="1"/>
  <c r="AK25" i="1" s="1"/>
  <c r="AD25" i="1"/>
  <c r="AE25" i="1" s="1"/>
  <c r="U25" i="1"/>
  <c r="AT24" i="1"/>
  <c r="AU24" i="1" s="1"/>
  <c r="AV24" i="1" s="1"/>
  <c r="AQ24" i="1"/>
  <c r="AS24" i="1" s="1"/>
  <c r="AP24" i="1"/>
  <c r="AR24" i="1" s="1"/>
  <c r="AO24" i="1"/>
  <c r="AN24" i="1"/>
  <c r="AM24" i="1"/>
  <c r="AH24" i="1"/>
  <c r="AL24" i="1" s="1"/>
  <c r="AD24" i="1"/>
  <c r="AE24" i="1" s="1"/>
  <c r="U24" i="1"/>
  <c r="AU23" i="1"/>
  <c r="AV23" i="1" s="1"/>
  <c r="AT23" i="1"/>
  <c r="AQ23" i="1"/>
  <c r="AS23" i="1" s="1"/>
  <c r="AP23" i="1"/>
  <c r="AR23" i="1" s="1"/>
  <c r="AO23" i="1"/>
  <c r="AN23" i="1"/>
  <c r="AM23" i="1"/>
  <c r="AH23" i="1"/>
  <c r="AK23" i="1" s="1"/>
  <c r="AD23" i="1"/>
  <c r="AE23" i="1" s="1"/>
  <c r="U23" i="1"/>
  <c r="AT22" i="1"/>
  <c r="AU22" i="1" s="1"/>
  <c r="AV22" i="1" s="1"/>
  <c r="AW22" i="1" s="1"/>
  <c r="AQ22" i="1"/>
  <c r="AP22" i="1"/>
  <c r="AR22" i="1" s="1"/>
  <c r="AO22" i="1"/>
  <c r="AN22" i="1"/>
  <c r="AM22" i="1"/>
  <c r="AL22" i="1"/>
  <c r="AK22" i="1"/>
  <c r="AJ22" i="1"/>
  <c r="AI22" i="1"/>
  <c r="AH22" i="1"/>
  <c r="AE22" i="1"/>
  <c r="AG22" i="1" s="1"/>
  <c r="AD22" i="1"/>
  <c r="U22" i="1"/>
  <c r="AT21" i="1"/>
  <c r="AU21" i="1" s="1"/>
  <c r="AV21" i="1" s="1"/>
  <c r="AS21" i="1"/>
  <c r="AR21" i="1"/>
  <c r="AQ21" i="1"/>
  <c r="AP21" i="1"/>
  <c r="AO21" i="1"/>
  <c r="AN21" i="1"/>
  <c r="AM21" i="1"/>
  <c r="AH21" i="1"/>
  <c r="AL21" i="1" s="1"/>
  <c r="AD21" i="1"/>
  <c r="AE21" i="1" s="1"/>
  <c r="AT20" i="1"/>
  <c r="AU20" i="1" s="1"/>
  <c r="AV20" i="1" s="1"/>
  <c r="AQ20" i="1"/>
  <c r="AS20" i="1" s="1"/>
  <c r="AP20" i="1"/>
  <c r="AR20" i="1" s="1"/>
  <c r="AO20" i="1"/>
  <c r="AN20" i="1"/>
  <c r="AM20" i="1"/>
  <c r="AH20" i="1"/>
  <c r="AL20" i="1" s="1"/>
  <c r="AD20" i="1"/>
  <c r="AE20" i="1" s="1"/>
  <c r="AU19" i="1"/>
  <c r="AV19" i="1" s="1"/>
  <c r="AT19" i="1"/>
  <c r="AQ19" i="1"/>
  <c r="AS19" i="1" s="1"/>
  <c r="AP19" i="1"/>
  <c r="AR19" i="1" s="1"/>
  <c r="AO19" i="1"/>
  <c r="AN19" i="1"/>
  <c r="AM19" i="1"/>
  <c r="AH19" i="1"/>
  <c r="AL19" i="1" s="1"/>
  <c r="AD19" i="1"/>
  <c r="AE19" i="1" s="1"/>
  <c r="AT18" i="1"/>
  <c r="AU18" i="1" s="1"/>
  <c r="AV18" i="1" s="1"/>
  <c r="AS18" i="1"/>
  <c r="AR18" i="1"/>
  <c r="AQ18" i="1"/>
  <c r="AP18" i="1"/>
  <c r="AO18" i="1"/>
  <c r="AN18" i="1"/>
  <c r="AM18" i="1"/>
  <c r="AH18" i="1"/>
  <c r="AJ18" i="1" s="1"/>
  <c r="AD18" i="1"/>
  <c r="AE18" i="1" s="1"/>
  <c r="AV17" i="1"/>
  <c r="AU17" i="1"/>
  <c r="AT17" i="1"/>
  <c r="AQ17" i="1"/>
  <c r="AS17" i="1" s="1"/>
  <c r="AP17" i="1"/>
  <c r="AR17" i="1" s="1"/>
  <c r="AO17" i="1"/>
  <c r="AN17" i="1"/>
  <c r="AM17" i="1"/>
  <c r="AH17" i="1"/>
  <c r="AJ17" i="1" s="1"/>
  <c r="AD17" i="1"/>
  <c r="AE17" i="1" s="1"/>
  <c r="AT16" i="1"/>
  <c r="AU16" i="1" s="1"/>
  <c r="AV16" i="1" s="1"/>
  <c r="AS16" i="1"/>
  <c r="AR16" i="1"/>
  <c r="AQ16" i="1"/>
  <c r="AP16" i="1"/>
  <c r="AO16" i="1"/>
  <c r="AN16" i="1"/>
  <c r="AM16" i="1"/>
  <c r="AH16" i="1"/>
  <c r="AI16" i="1" s="1"/>
  <c r="AD16" i="1"/>
  <c r="AE16" i="1" s="1"/>
  <c r="U16" i="1"/>
  <c r="AT15" i="1"/>
  <c r="AU15" i="1" s="1"/>
  <c r="AV15" i="1" s="1"/>
  <c r="AQ15" i="1"/>
  <c r="AS15" i="1" s="1"/>
  <c r="AP15" i="1"/>
  <c r="AR15" i="1" s="1"/>
  <c r="AO15" i="1"/>
  <c r="AN15" i="1"/>
  <c r="AM15" i="1"/>
  <c r="AH15" i="1"/>
  <c r="AK15" i="1" s="1"/>
  <c r="AE15" i="1"/>
  <c r="AG15" i="1" s="1"/>
  <c r="AD15" i="1"/>
  <c r="AT14" i="1"/>
  <c r="AU14" i="1" s="1"/>
  <c r="AV14" i="1" s="1"/>
  <c r="AQ14" i="1"/>
  <c r="AS14" i="1" s="1"/>
  <c r="AP14" i="1"/>
  <c r="AR14" i="1" s="1"/>
  <c r="AO14" i="1"/>
  <c r="AN14" i="1"/>
  <c r="AM14" i="1"/>
  <c r="AL14" i="1"/>
  <c r="AH14" i="1"/>
  <c r="AJ14" i="1" s="1"/>
  <c r="AD14" i="1"/>
  <c r="AE14" i="1" s="1"/>
  <c r="AT13" i="1"/>
  <c r="AU13" i="1" s="1"/>
  <c r="AV13" i="1" s="1"/>
  <c r="AQ13" i="1"/>
  <c r="AS13" i="1" s="1"/>
  <c r="AP13" i="1"/>
  <c r="AR13" i="1" s="1"/>
  <c r="AO13" i="1"/>
  <c r="AN13" i="1"/>
  <c r="AM13" i="1"/>
  <c r="AH13" i="1"/>
  <c r="AI13" i="1" s="1"/>
  <c r="AE13" i="1"/>
  <c r="AG13" i="1" s="1"/>
  <c r="AD13" i="1"/>
  <c r="U13" i="1"/>
  <c r="AT12" i="1"/>
  <c r="AU12" i="1" s="1"/>
  <c r="AV12" i="1" s="1"/>
  <c r="AQ12" i="1"/>
  <c r="AS12" i="1" s="1"/>
  <c r="AP12" i="1"/>
  <c r="AO12" i="1"/>
  <c r="AN12" i="1"/>
  <c r="AM12" i="1"/>
  <c r="AH12" i="1"/>
  <c r="AL12" i="1" s="1"/>
  <c r="AD12" i="1"/>
  <c r="AE12" i="1" s="1"/>
  <c r="U12" i="1"/>
  <c r="AT11" i="1"/>
  <c r="AU11" i="1" s="1"/>
  <c r="AV11" i="1" s="1"/>
  <c r="AW11" i="1" s="1"/>
  <c r="AQ11" i="1"/>
  <c r="AP11" i="1"/>
  <c r="AR11" i="1" s="1"/>
  <c r="AO11" i="1"/>
  <c r="AN11" i="1"/>
  <c r="AM11" i="1"/>
  <c r="AJ11" i="1"/>
  <c r="AI11" i="1"/>
  <c r="AH11" i="1"/>
  <c r="AK11" i="1" s="1"/>
  <c r="AD11" i="1"/>
  <c r="AE11" i="1" s="1"/>
  <c r="U11" i="1"/>
  <c r="AV10" i="1"/>
  <c r="AW10" i="1" s="1"/>
  <c r="AU10" i="1"/>
  <c r="AT10" i="1"/>
  <c r="AQ10" i="1"/>
  <c r="AS10" i="1" s="1"/>
  <c r="AP10" i="1"/>
  <c r="AR10" i="1" s="1"/>
  <c r="AN10" i="1"/>
  <c r="AM10" i="1"/>
  <c r="AK10" i="1"/>
  <c r="AJ10" i="1"/>
  <c r="AH10" i="1"/>
  <c r="AI10" i="1" s="1"/>
  <c r="AD10" i="1"/>
  <c r="AE10" i="1" s="1"/>
  <c r="AF10" i="1" s="1"/>
  <c r="AT9" i="1"/>
  <c r="AU9" i="1" s="1"/>
  <c r="AV9" i="1" s="1"/>
  <c r="AQ9" i="1"/>
  <c r="AS9" i="1" s="1"/>
  <c r="AP9" i="1"/>
  <c r="AR9" i="1" s="1"/>
  <c r="AO9" i="1"/>
  <c r="AN9" i="1"/>
  <c r="AM9" i="1"/>
  <c r="AL9" i="1"/>
  <c r="AK9" i="1"/>
  <c r="AJ9" i="1"/>
  <c r="AI9" i="1"/>
  <c r="AH9" i="1"/>
  <c r="AD9" i="1"/>
  <c r="AE9" i="1" s="1"/>
  <c r="AV8" i="1"/>
  <c r="AW8" i="1" s="1"/>
  <c r="AU8" i="1"/>
  <c r="AT8" i="1"/>
  <c r="AQ8" i="1"/>
  <c r="AS8" i="1" s="1"/>
  <c r="AP8" i="1"/>
  <c r="AR8" i="1" s="1"/>
  <c r="AO8" i="1"/>
  <c r="AN8" i="1"/>
  <c r="AM8" i="1"/>
  <c r="AH8" i="1"/>
  <c r="AD8" i="1"/>
  <c r="AE8" i="1" s="1"/>
  <c r="AF8" i="1" s="1"/>
  <c r="AT7" i="1"/>
  <c r="AU7" i="1" s="1"/>
  <c r="AV7" i="1" s="1"/>
  <c r="AW7" i="1" s="1"/>
  <c r="AQ7" i="1"/>
  <c r="AS7" i="1" s="1"/>
  <c r="AP7" i="1"/>
  <c r="AR7" i="1" s="1"/>
  <c r="AO7" i="1"/>
  <c r="AN7" i="1"/>
  <c r="AM7" i="1"/>
  <c r="AH7" i="1"/>
  <c r="AL7" i="1" s="1"/>
  <c r="AD7" i="1"/>
  <c r="AE7" i="1" s="1"/>
  <c r="AF7" i="1" s="1"/>
  <c r="AU6" i="1"/>
  <c r="AV6" i="1" s="1"/>
  <c r="AT6" i="1"/>
  <c r="AQ6" i="1"/>
  <c r="AS6" i="1" s="1"/>
  <c r="AP6" i="1"/>
  <c r="AO6" i="1"/>
  <c r="AN6" i="1"/>
  <c r="AM6" i="1"/>
  <c r="AH6" i="1"/>
  <c r="AI6" i="1" s="1"/>
  <c r="AD6" i="1"/>
  <c r="AE6" i="1" s="1"/>
  <c r="AT5" i="1"/>
  <c r="AU5" i="1" s="1"/>
  <c r="AV5" i="1" s="1"/>
  <c r="AS5" i="1"/>
  <c r="AQ5" i="1"/>
  <c r="AP5" i="1"/>
  <c r="AR5" i="1" s="1"/>
  <c r="AO5" i="1"/>
  <c r="AN5" i="1"/>
  <c r="AM5" i="1"/>
  <c r="AL5" i="1"/>
  <c r="AK5" i="1"/>
  <c r="AJ5" i="1"/>
  <c r="AH5" i="1"/>
  <c r="AI5" i="1" s="1"/>
  <c r="AD5" i="1"/>
  <c r="AE5" i="1" s="1"/>
  <c r="AF5" i="1" s="1"/>
  <c r="U5" i="1"/>
  <c r="AT4" i="1"/>
  <c r="AU4" i="1" s="1"/>
  <c r="AV4" i="1" s="1"/>
  <c r="AW4" i="1" s="1"/>
  <c r="AQ4" i="1"/>
  <c r="AS4" i="1" s="1"/>
  <c r="AP4" i="1"/>
  <c r="AR4" i="1" s="1"/>
  <c r="AO4" i="1"/>
  <c r="AN4" i="1"/>
  <c r="AM4" i="1"/>
  <c r="AH4" i="1"/>
  <c r="AJ4" i="1" s="1"/>
  <c r="AD4" i="1"/>
  <c r="AE4" i="1" s="1"/>
  <c r="AF4" i="1" s="1"/>
  <c r="AT3" i="1"/>
  <c r="AU3" i="1" s="1"/>
  <c r="AV3" i="1" s="1"/>
  <c r="AQ3" i="1"/>
  <c r="AS3" i="1" s="1"/>
  <c r="AP3" i="1"/>
  <c r="AO3" i="1"/>
  <c r="AN3" i="1"/>
  <c r="AM3" i="1"/>
  <c r="AH3" i="1"/>
  <c r="AD3" i="1"/>
  <c r="AE3" i="1" s="1"/>
  <c r="U3" i="1"/>
  <c r="AT2" i="1"/>
  <c r="AU2" i="1" s="1"/>
  <c r="AV2" i="1" s="1"/>
  <c r="AW2" i="1" s="1"/>
  <c r="AQ2" i="1"/>
  <c r="AS2" i="1" s="1"/>
  <c r="AP2" i="1"/>
  <c r="AR2" i="1" s="1"/>
  <c r="AO2" i="1"/>
  <c r="AN2" i="1"/>
  <c r="AM2" i="1"/>
  <c r="AJ2" i="1"/>
  <c r="AI2" i="1"/>
  <c r="AH2" i="1"/>
  <c r="AL2" i="1" s="1"/>
  <c r="AD2" i="1"/>
  <c r="AE2" i="1" s="1"/>
  <c r="AF2" i="1" s="1"/>
  <c r="AF19" i="1" l="1"/>
  <c r="AG19" i="1"/>
  <c r="AX31" i="1"/>
  <c r="AW31" i="1"/>
  <c r="AG16" i="1"/>
  <c r="AF16" i="1"/>
  <c r="AX18" i="1"/>
  <c r="AW18" i="1"/>
  <c r="AG3" i="1"/>
  <c r="AF3" i="1"/>
  <c r="AX9" i="1"/>
  <c r="AW9" i="1"/>
  <c r="AW5" i="1"/>
  <c r="AX5" i="1"/>
  <c r="AX12" i="1"/>
  <c r="AW12" i="1"/>
  <c r="AW29" i="1"/>
  <c r="AX29" i="1"/>
  <c r="AX16" i="1"/>
  <c r="AW16" i="1"/>
  <c r="AX32" i="1"/>
  <c r="AW32" i="1"/>
  <c r="Y9" i="3"/>
  <c r="P9" i="3"/>
  <c r="M9" i="3"/>
  <c r="N9" i="3" s="1"/>
  <c r="W9" i="3" s="1"/>
  <c r="D50" i="7"/>
  <c r="E3" i="8" s="1"/>
  <c r="AW19" i="1"/>
  <c r="AX19" i="1"/>
  <c r="AG23" i="1"/>
  <c r="AF23" i="1"/>
  <c r="O15" i="5"/>
  <c r="V15" i="5" s="1"/>
  <c r="AC15" i="5" s="1"/>
  <c r="AG17" i="1"/>
  <c r="AF17" i="1"/>
  <c r="AX13" i="1"/>
  <c r="AW13" i="1"/>
  <c r="AG27" i="1"/>
  <c r="AF27" i="1"/>
  <c r="AG14" i="1"/>
  <c r="AF14" i="1"/>
  <c r="AG21" i="1"/>
  <c r="AF21" i="1"/>
  <c r="AF11" i="1"/>
  <c r="AG11" i="1"/>
  <c r="AX23" i="1"/>
  <c r="AW23" i="1"/>
  <c r="AG24" i="1"/>
  <c r="AF24" i="1"/>
  <c r="AX30" i="1"/>
  <c r="AW30" i="1"/>
  <c r="D55" i="10"/>
  <c r="M3" i="11" s="1"/>
  <c r="AF9" i="1"/>
  <c r="AG9" i="1"/>
  <c r="AX24" i="1"/>
  <c r="AW24" i="1"/>
  <c r="C94" i="4"/>
  <c r="D94" i="4"/>
  <c r="AW6" i="1"/>
  <c r="AX6" i="1"/>
  <c r="AF33" i="1"/>
  <c r="AG33" i="1"/>
  <c r="Y3" i="3"/>
  <c r="P3" i="3"/>
  <c r="M3" i="3"/>
  <c r="N3" i="3" s="1"/>
  <c r="W3" i="3" s="1"/>
  <c r="AG31" i="1"/>
  <c r="AF31" i="1"/>
  <c r="AW27" i="1"/>
  <c r="AX27" i="1"/>
  <c r="AG28" i="1"/>
  <c r="AF28" i="1"/>
  <c r="Y5" i="3"/>
  <c r="M5" i="3"/>
  <c r="N5" i="3" s="1"/>
  <c r="W5" i="3" s="1"/>
  <c r="P5" i="3"/>
  <c r="AG6" i="1"/>
  <c r="AF6" i="1"/>
  <c r="AX15" i="1"/>
  <c r="AW15" i="1"/>
  <c r="AG26" i="1"/>
  <c r="AF26" i="1"/>
  <c r="AX3" i="1"/>
  <c r="AW3" i="1"/>
  <c r="AG20" i="1"/>
  <c r="AF20" i="1"/>
  <c r="AG30" i="1"/>
  <c r="AF30" i="1"/>
  <c r="AX26" i="1"/>
  <c r="AW26" i="1"/>
  <c r="Y12" i="6"/>
  <c r="P12" i="6"/>
  <c r="M12" i="6"/>
  <c r="N12" i="6" s="1"/>
  <c r="W12" i="6" s="1"/>
  <c r="AW20" i="1"/>
  <c r="AX20" i="1"/>
  <c r="AW21" i="1"/>
  <c r="AX21" i="1"/>
  <c r="AF12" i="1"/>
  <c r="AG12" i="1"/>
  <c r="AG25" i="1"/>
  <c r="AF25" i="1"/>
  <c r="AI25" i="1"/>
  <c r="M8" i="6"/>
  <c r="N8" i="6" s="1"/>
  <c r="W8" i="6" s="1"/>
  <c r="AF29" i="1"/>
  <c r="AL25" i="1"/>
  <c r="AI7" i="1"/>
  <c r="AK18" i="1"/>
  <c r="AL27" i="1"/>
  <c r="AJ27" i="1"/>
  <c r="AI27" i="1"/>
  <c r="AK27" i="1"/>
  <c r="L4" i="6"/>
  <c r="C51" i="7"/>
  <c r="D4" i="8" s="1"/>
  <c r="AQ23" i="8"/>
  <c r="AJ7" i="1"/>
  <c r="AL18" i="1"/>
  <c r="AI29" i="1"/>
  <c r="AS13" i="5"/>
  <c r="L7" i="3"/>
  <c r="H35" i="4"/>
  <c r="I3" i="5" s="1"/>
  <c r="D106" i="12"/>
  <c r="H3" i="13" s="1"/>
  <c r="P8" i="6"/>
  <c r="H44" i="7"/>
  <c r="H42" i="7"/>
  <c r="X3" i="9"/>
  <c r="P3" i="9"/>
  <c r="Y6" i="3"/>
  <c r="AK7" i="1"/>
  <c r="AX14" i="1"/>
  <c r="AW14" i="1"/>
  <c r="AK29" i="1"/>
  <c r="O31" i="2"/>
  <c r="D26" i="4"/>
  <c r="D28" i="4"/>
  <c r="E27" i="4"/>
  <c r="C81" i="4"/>
  <c r="E56" i="7"/>
  <c r="N4" i="8" s="1"/>
  <c r="E55" i="7"/>
  <c r="N3" i="8" s="1"/>
  <c r="E52" i="7"/>
  <c r="E51" i="7"/>
  <c r="F4" i="8" s="1"/>
  <c r="L4" i="9"/>
  <c r="AS10" i="11"/>
  <c r="AR3" i="1"/>
  <c r="AI18" i="1"/>
  <c r="E26" i="4"/>
  <c r="E23" i="4"/>
  <c r="E28" i="4"/>
  <c r="F81" i="4"/>
  <c r="AS15" i="5"/>
  <c r="F51" i="7"/>
  <c r="G4" i="8" s="1"/>
  <c r="F52" i="7"/>
  <c r="AO24" i="8"/>
  <c r="AN24" i="8" s="1"/>
  <c r="AO10" i="11"/>
  <c r="AN10" i="11" s="1"/>
  <c r="G4" i="9"/>
  <c r="AS15" i="11"/>
  <c r="L9" i="9"/>
  <c r="AJ25" i="1"/>
  <c r="AR12" i="1"/>
  <c r="AG18" i="1"/>
  <c r="AF18" i="1"/>
  <c r="L2" i="3"/>
  <c r="AF13" i="1"/>
  <c r="AI20" i="1"/>
  <c r="AF22" i="1"/>
  <c r="AS25" i="1"/>
  <c r="AK2" i="1"/>
  <c r="AL11" i="1"/>
  <c r="AF15" i="1"/>
  <c r="AJ20" i="1"/>
  <c r="M13" i="6"/>
  <c r="N13" i="6" s="1"/>
  <c r="W13" i="6" s="1"/>
  <c r="F47" i="10"/>
  <c r="F57" i="10" s="1"/>
  <c r="F45" i="10"/>
  <c r="F39" i="10"/>
  <c r="F38" i="10"/>
  <c r="F56" i="10" s="1"/>
  <c r="O4" i="11" s="1"/>
  <c r="F43" i="10"/>
  <c r="F44" i="10"/>
  <c r="D112" i="12"/>
  <c r="L4" i="13" s="1"/>
  <c r="D111" i="12"/>
  <c r="L3" i="13" s="1"/>
  <c r="D107" i="12"/>
  <c r="H4" i="13" s="1"/>
  <c r="D102" i="12"/>
  <c r="D4" i="13" s="1"/>
  <c r="AX25" i="1"/>
  <c r="AW25" i="1"/>
  <c r="C87" i="4"/>
  <c r="C78" i="4"/>
  <c r="L5" i="6"/>
  <c r="H45" i="7"/>
  <c r="H57" i="10"/>
  <c r="L8" i="9"/>
  <c r="AS14" i="11"/>
  <c r="D81" i="4"/>
  <c r="D87" i="4"/>
  <c r="D78" i="4"/>
  <c r="D93" i="4" s="1"/>
  <c r="M4" i="5" s="1"/>
  <c r="D82" i="4"/>
  <c r="E92" i="4"/>
  <c r="N3" i="5" s="1"/>
  <c r="H11" i="13"/>
  <c r="J11" i="13" s="1"/>
  <c r="L11" i="13" s="1"/>
  <c r="L14" i="6"/>
  <c r="AK16" i="1"/>
  <c r="AL16" i="1"/>
  <c r="AK31" i="1"/>
  <c r="O21" i="2"/>
  <c r="P8" i="3"/>
  <c r="L6" i="6"/>
  <c r="G14" i="6"/>
  <c r="L18" i="6"/>
  <c r="L10" i="9"/>
  <c r="H13" i="13"/>
  <c r="J13" i="13" s="1"/>
  <c r="L13" i="13" s="1"/>
  <c r="H39" i="7"/>
  <c r="H51" i="7" s="1"/>
  <c r="I4" i="8" s="1"/>
  <c r="H47" i="7"/>
  <c r="AJ16" i="1"/>
  <c r="Y10" i="3"/>
  <c r="P10" i="3"/>
  <c r="AL15" i="1"/>
  <c r="AI17" i="1"/>
  <c r="AS22" i="1"/>
  <c r="H15" i="13"/>
  <c r="J15" i="13" s="1"/>
  <c r="L15" i="13" s="1"/>
  <c r="AL6" i="1"/>
  <c r="AI8" i="1"/>
  <c r="AK8" i="1"/>
  <c r="AJ8" i="1"/>
  <c r="AL8" i="1"/>
  <c r="AL17" i="1"/>
  <c r="AI19" i="1"/>
  <c r="AX22" i="1"/>
  <c r="AI28" i="1"/>
  <c r="H85" i="4"/>
  <c r="H76" i="4"/>
  <c r="H94" i="4" s="1"/>
  <c r="L11" i="6"/>
  <c r="E50" i="7"/>
  <c r="F3" i="8" s="1"/>
  <c r="L11" i="9"/>
  <c r="AS17" i="11"/>
  <c r="M10" i="3"/>
  <c r="N10" i="3" s="1"/>
  <c r="W10" i="3" s="1"/>
  <c r="AJ6" i="1"/>
  <c r="C50" i="7"/>
  <c r="D3" i="8" s="1"/>
  <c r="AJ19" i="1"/>
  <c r="AJ28" i="1"/>
  <c r="H16" i="13"/>
  <c r="J16" i="13" s="1"/>
  <c r="L16" i="13" s="1"/>
  <c r="AW28" i="1"/>
  <c r="AX28" i="1"/>
  <c r="AI26" i="1"/>
  <c r="AK26" i="1"/>
  <c r="Y13" i="6"/>
  <c r="G84" i="4"/>
  <c r="G78" i="4"/>
  <c r="G87" i="4"/>
  <c r="AL31" i="1"/>
  <c r="Y8" i="3"/>
  <c r="F84" i="4"/>
  <c r="F93" i="4" s="1"/>
  <c r="O4" i="5" s="1"/>
  <c r="AK6" i="1"/>
  <c r="AK17" i="1"/>
  <c r="P2" i="6"/>
  <c r="AL28" i="1"/>
  <c r="L7" i="6"/>
  <c r="AI4" i="1"/>
  <c r="AI33" i="1"/>
  <c r="AJ15" i="1"/>
  <c r="L10" i="6"/>
  <c r="AL26" i="1"/>
  <c r="AW33" i="1"/>
  <c r="AX33" i="1"/>
  <c r="D85" i="4"/>
  <c r="H40" i="7"/>
  <c r="F50" i="7"/>
  <c r="G3" i="8" s="1"/>
  <c r="AI12" i="1"/>
  <c r="E24" i="4"/>
  <c r="E36" i="4" s="1"/>
  <c r="F4" i="5" s="1"/>
  <c r="D31" i="4"/>
  <c r="Y2" i="6"/>
  <c r="L6" i="9"/>
  <c r="E31" i="4"/>
  <c r="AK12" i="1"/>
  <c r="AI15" i="1"/>
  <c r="AK4" i="1"/>
  <c r="H46" i="7"/>
  <c r="H52" i="7" s="1"/>
  <c r="AL4" i="1"/>
  <c r="AX11" i="1"/>
  <c r="E88" i="4"/>
  <c r="E76" i="4"/>
  <c r="C75" i="4"/>
  <c r="C93" i="4" s="1"/>
  <c r="L4" i="5" s="1"/>
  <c r="AK19" i="1"/>
  <c r="E85" i="4"/>
  <c r="F85" i="4"/>
  <c r="F75" i="4"/>
  <c r="G75" i="4"/>
  <c r="G93" i="4" s="1"/>
  <c r="P4" i="5" s="1"/>
  <c r="AK30" i="1"/>
  <c r="AG32" i="1"/>
  <c r="AF32" i="1"/>
  <c r="D32" i="4"/>
  <c r="AX17" i="1"/>
  <c r="AW17" i="1"/>
  <c r="AS11" i="1"/>
  <c r="D84" i="4"/>
  <c r="D24" i="4"/>
  <c r="D75" i="4"/>
  <c r="AJ12" i="1"/>
  <c r="G85" i="4"/>
  <c r="AK3" i="1"/>
  <c r="AL3" i="1"/>
  <c r="AJ3" i="1"/>
  <c r="AI14" i="1"/>
  <c r="AI23" i="1"/>
  <c r="D25" i="4"/>
  <c r="D36" i="4" s="1"/>
  <c r="E4" i="5" s="1"/>
  <c r="E32" i="4"/>
  <c r="G88" i="4"/>
  <c r="L15" i="6"/>
  <c r="H55" i="7"/>
  <c r="Q3" i="8" s="1"/>
  <c r="L2" i="9"/>
  <c r="AR8" i="11"/>
  <c r="AS25" i="8"/>
  <c r="L19" i="6"/>
  <c r="AI30" i="1"/>
  <c r="AJ30" i="1"/>
  <c r="G15" i="6"/>
  <c r="H41" i="7"/>
  <c r="F55" i="7"/>
  <c r="O3" i="8" s="1"/>
  <c r="F40" i="10"/>
  <c r="AI3" i="1"/>
  <c r="AK14" i="1"/>
  <c r="AJ23" i="1"/>
  <c r="E25" i="4"/>
  <c r="D76" i="4"/>
  <c r="C56" i="7"/>
  <c r="L4" i="8" s="1"/>
  <c r="H51" i="10"/>
  <c r="I4" i="11" s="1"/>
  <c r="H50" i="10"/>
  <c r="I3" i="11" s="1"/>
  <c r="L5" i="9"/>
  <c r="AR11" i="11"/>
  <c r="AL23" i="1"/>
  <c r="G76" i="4"/>
  <c r="G94" i="4" s="1"/>
  <c r="F56" i="7"/>
  <c r="O4" i="8" s="1"/>
  <c r="C107" i="12"/>
  <c r="G4" i="13" s="1"/>
  <c r="C112" i="12"/>
  <c r="K4" i="13" s="1"/>
  <c r="C111" i="12"/>
  <c r="K3" i="13" s="1"/>
  <c r="G18" i="13" s="1"/>
  <c r="I18" i="13" s="1"/>
  <c r="K18" i="13" s="1"/>
  <c r="C106" i="12"/>
  <c r="G3" i="13" s="1"/>
  <c r="C102" i="12"/>
  <c r="C4" i="13" s="1"/>
  <c r="C101" i="12"/>
  <c r="C3" i="13" s="1"/>
  <c r="G9" i="13" s="1"/>
  <c r="I9" i="13" s="1"/>
  <c r="K9" i="13" s="1"/>
  <c r="H9" i="13"/>
  <c r="J9" i="13" s="1"/>
  <c r="L9" i="13" s="1"/>
  <c r="D43" i="10"/>
  <c r="D42" i="10"/>
  <c r="D40" i="10"/>
  <c r="D45" i="10"/>
  <c r="D44" i="10"/>
  <c r="D38" i="10"/>
  <c r="D50" i="10" s="1"/>
  <c r="E3" i="11" s="1"/>
  <c r="C80" i="12"/>
  <c r="C103" i="12"/>
  <c r="G31" i="4"/>
  <c r="G25" i="4"/>
  <c r="G28" i="4"/>
  <c r="D39" i="10"/>
  <c r="AJ13" i="1"/>
  <c r="O12" i="2"/>
  <c r="C36" i="4"/>
  <c r="D4" i="5" s="1"/>
  <c r="O12" i="5" s="1"/>
  <c r="V12" i="5" s="1"/>
  <c r="AC12" i="5" s="1"/>
  <c r="AG5" i="1"/>
  <c r="AR6" i="1"/>
  <c r="AK13" i="1"/>
  <c r="AJ21" i="1"/>
  <c r="AJ24" i="1"/>
  <c r="P4" i="3"/>
  <c r="H36" i="4"/>
  <c r="I4" i="5" s="1"/>
  <c r="L9" i="6"/>
  <c r="L16" i="6"/>
  <c r="M7" i="9"/>
  <c r="N7" i="9" s="1"/>
  <c r="V7" i="9" s="1"/>
  <c r="AS18" i="11"/>
  <c r="L12" i="9"/>
  <c r="C47" i="7"/>
  <c r="C41" i="7"/>
  <c r="C57" i="7" s="1"/>
  <c r="C46" i="7"/>
  <c r="C55" i="7"/>
  <c r="L3" i="8" s="1"/>
  <c r="C52" i="7"/>
  <c r="AI24" i="1"/>
  <c r="AS14" i="5"/>
  <c r="AL13" i="1"/>
  <c r="AK21" i="1"/>
  <c r="AK24" i="1"/>
  <c r="C37" i="4"/>
  <c r="P7" i="9"/>
  <c r="F31" i="4"/>
  <c r="F23" i="4"/>
  <c r="H17" i="13"/>
  <c r="J17" i="13" s="1"/>
  <c r="L17" i="13" s="1"/>
  <c r="F36" i="4"/>
  <c r="G4" i="5" s="1"/>
  <c r="AI21" i="1"/>
  <c r="D42" i="7"/>
  <c r="D55" i="7" s="1"/>
  <c r="M3" i="8" s="1"/>
  <c r="D52" i="7"/>
  <c r="D44" i="7"/>
  <c r="D56" i="7" s="1"/>
  <c r="M4" i="8" s="1"/>
  <c r="O29" i="2"/>
  <c r="G47" i="7"/>
  <c r="G41" i="7"/>
  <c r="G40" i="7"/>
  <c r="G52" i="7" s="1"/>
  <c r="G45" i="7"/>
  <c r="G44" i="7"/>
  <c r="G38" i="7"/>
  <c r="H43" i="10"/>
  <c r="D101" i="12"/>
  <c r="D3" i="13" s="1"/>
  <c r="D103" i="12"/>
  <c r="H44" i="10"/>
  <c r="C45" i="10"/>
  <c r="C40" i="10"/>
  <c r="C57" i="10" s="1"/>
  <c r="E45" i="10"/>
  <c r="C108" i="12"/>
  <c r="L3" i="6"/>
  <c r="L13" i="9"/>
  <c r="H52" i="10"/>
  <c r="D108" i="12"/>
  <c r="C113" i="12"/>
  <c r="D113" i="12"/>
  <c r="G41" i="10"/>
  <c r="G57" i="10" s="1"/>
  <c r="C47" i="10"/>
  <c r="C42" i="10"/>
  <c r="C55" i="10" s="1"/>
  <c r="L3" i="11" s="1"/>
  <c r="G56" i="10"/>
  <c r="P4" i="11" s="1"/>
  <c r="H56" i="10"/>
  <c r="Q4" i="11" s="1"/>
  <c r="AS17" i="8"/>
  <c r="E42" i="10"/>
  <c r="E57" i="10" s="1"/>
  <c r="G47" i="10"/>
  <c r="H42" i="10"/>
  <c r="H55" i="10" s="1"/>
  <c r="Q3" i="11" s="1"/>
  <c r="D96" i="12"/>
  <c r="E81" i="4"/>
  <c r="P16" i="11" l="1"/>
  <c r="W16" i="11" s="1"/>
  <c r="AD16" i="11" s="1"/>
  <c r="P8" i="11"/>
  <c r="W8" i="11" s="1"/>
  <c r="AD8" i="11" s="1"/>
  <c r="P13" i="11"/>
  <c r="W13" i="11" s="1"/>
  <c r="AD13" i="11" s="1"/>
  <c r="P10" i="11"/>
  <c r="W10" i="11" s="1"/>
  <c r="AD10" i="11" s="1"/>
  <c r="P11" i="11"/>
  <c r="W11" i="11" s="1"/>
  <c r="AD11" i="11" s="1"/>
  <c r="P18" i="11"/>
  <c r="W18" i="11" s="1"/>
  <c r="AD18" i="11" s="1"/>
  <c r="P15" i="11"/>
  <c r="W15" i="11" s="1"/>
  <c r="AD15" i="11" s="1"/>
  <c r="P14" i="11"/>
  <c r="W14" i="11" s="1"/>
  <c r="AD14" i="11" s="1"/>
  <c r="P17" i="11"/>
  <c r="W17" i="11" s="1"/>
  <c r="AD17" i="11" s="1"/>
  <c r="P9" i="11"/>
  <c r="W9" i="11" s="1"/>
  <c r="AD9" i="11" s="1"/>
  <c r="T19" i="11"/>
  <c r="AA19" i="11" s="1"/>
  <c r="AH19" i="11" s="1"/>
  <c r="T18" i="11"/>
  <c r="AA18" i="11" s="1"/>
  <c r="AH18" i="11" s="1"/>
  <c r="T21" i="8"/>
  <c r="AA21" i="8" s="1"/>
  <c r="AH21" i="8" s="1"/>
  <c r="T22" i="8"/>
  <c r="AA22" i="8" s="1"/>
  <c r="AH22" i="8" s="1"/>
  <c r="T17" i="8"/>
  <c r="AA17" i="8" s="1"/>
  <c r="AH17" i="8" s="1"/>
  <c r="T18" i="8"/>
  <c r="AA18" i="8" s="1"/>
  <c r="AH18" i="8" s="1"/>
  <c r="T16" i="8"/>
  <c r="AA16" i="8" s="1"/>
  <c r="AH16" i="8" s="1"/>
  <c r="T25" i="8"/>
  <c r="AA25" i="8" s="1"/>
  <c r="AH25" i="8" s="1"/>
  <c r="P15" i="6"/>
  <c r="M15" i="6"/>
  <c r="N15" i="6" s="1"/>
  <c r="W15" i="6" s="1"/>
  <c r="Y15" i="6"/>
  <c r="Y14" i="6"/>
  <c r="P14" i="6"/>
  <c r="M14" i="6"/>
  <c r="N14" i="6" s="1"/>
  <c r="W14" i="6" s="1"/>
  <c r="P9" i="6"/>
  <c r="M9" i="6"/>
  <c r="N9" i="6" s="1"/>
  <c r="W9" i="6" s="1"/>
  <c r="Y9" i="6"/>
  <c r="G55" i="7"/>
  <c r="P3" i="8" s="1"/>
  <c r="X4" i="9"/>
  <c r="P4" i="9"/>
  <c r="M4" i="9"/>
  <c r="N4" i="9" s="1"/>
  <c r="V4" i="9" s="1"/>
  <c r="G15" i="13"/>
  <c r="I15" i="13" s="1"/>
  <c r="K15" i="13" s="1"/>
  <c r="E93" i="4"/>
  <c r="N4" i="5" s="1"/>
  <c r="Q25" i="8"/>
  <c r="X25" i="8" s="1"/>
  <c r="AE25" i="8" s="1"/>
  <c r="Q18" i="8"/>
  <c r="X18" i="8" s="1"/>
  <c r="AE18" i="8" s="1"/>
  <c r="Q19" i="8"/>
  <c r="X19" i="8" s="1"/>
  <c r="AE19" i="8" s="1"/>
  <c r="Q24" i="8"/>
  <c r="X24" i="8" s="1"/>
  <c r="AE24" i="8" s="1"/>
  <c r="AK24" i="8" s="1"/>
  <c r="Q16" i="8"/>
  <c r="X16" i="8" s="1"/>
  <c r="AE16" i="8" s="1"/>
  <c r="Q23" i="8"/>
  <c r="X23" i="8" s="1"/>
  <c r="AE23" i="8" s="1"/>
  <c r="AK23" i="8" s="1"/>
  <c r="Q20" i="8"/>
  <c r="X20" i="8" s="1"/>
  <c r="AE20" i="8" s="1"/>
  <c r="Q22" i="8"/>
  <c r="X22" i="8" s="1"/>
  <c r="AE22" i="8" s="1"/>
  <c r="Q17" i="8"/>
  <c r="X17" i="8" s="1"/>
  <c r="AE17" i="8" s="1"/>
  <c r="Q21" i="8"/>
  <c r="X21" i="8" s="1"/>
  <c r="AE21" i="8" s="1"/>
  <c r="D92" i="4"/>
  <c r="M3" i="5" s="1"/>
  <c r="P16" i="5" s="1"/>
  <c r="W16" i="5" s="1"/>
  <c r="AD16" i="5" s="1"/>
  <c r="D37" i="4"/>
  <c r="Y4" i="6"/>
  <c r="P4" i="6"/>
  <c r="M4" i="6"/>
  <c r="N4" i="6" s="1"/>
  <c r="W4" i="6" s="1"/>
  <c r="F50" i="10"/>
  <c r="G3" i="11" s="1"/>
  <c r="R9" i="11" s="1"/>
  <c r="P25" i="8"/>
  <c r="W25" i="8" s="1"/>
  <c r="AD25" i="8" s="1"/>
  <c r="P8" i="8"/>
  <c r="W8" i="8" s="1"/>
  <c r="AD8" i="8" s="1"/>
  <c r="P12" i="8"/>
  <c r="W12" i="8" s="1"/>
  <c r="AD12" i="8" s="1"/>
  <c r="P9" i="8"/>
  <c r="W9" i="8" s="1"/>
  <c r="AD9" i="8" s="1"/>
  <c r="P19" i="8"/>
  <c r="W19" i="8" s="1"/>
  <c r="AD19" i="8" s="1"/>
  <c r="P13" i="8"/>
  <c r="W13" i="8" s="1"/>
  <c r="AD13" i="8" s="1"/>
  <c r="P10" i="8"/>
  <c r="W10" i="8" s="1"/>
  <c r="AD10" i="8" s="1"/>
  <c r="P11" i="8"/>
  <c r="W11" i="8" s="1"/>
  <c r="AD11" i="8" s="1"/>
  <c r="AJ11" i="8" s="1"/>
  <c r="P24" i="8"/>
  <c r="W24" i="8" s="1"/>
  <c r="AD24" i="8" s="1"/>
  <c r="P22" i="8"/>
  <c r="W22" i="8" s="1"/>
  <c r="AD22" i="8" s="1"/>
  <c r="P14" i="8"/>
  <c r="W14" i="8" s="1"/>
  <c r="AD14" i="8" s="1"/>
  <c r="P16" i="8"/>
  <c r="W16" i="8" s="1"/>
  <c r="AD16" i="8" s="1"/>
  <c r="P21" i="8"/>
  <c r="W21" i="8" s="1"/>
  <c r="AD21" i="8" s="1"/>
  <c r="E55" i="10"/>
  <c r="N3" i="11" s="1"/>
  <c r="X6" i="9"/>
  <c r="P6" i="9"/>
  <c r="M6" i="9"/>
  <c r="N6" i="9" s="1"/>
  <c r="V6" i="9" s="1"/>
  <c r="M2" i="3"/>
  <c r="N2" i="3" s="1"/>
  <c r="W2" i="3" s="1"/>
  <c r="Y2" i="3"/>
  <c r="P2" i="3"/>
  <c r="M2" i="9"/>
  <c r="N2" i="9" s="1"/>
  <c r="V2" i="9" s="1"/>
  <c r="X2" i="9"/>
  <c r="P2" i="9"/>
  <c r="F92" i="4"/>
  <c r="O3" i="5" s="1"/>
  <c r="G37" i="4"/>
  <c r="D57" i="7"/>
  <c r="G50" i="7"/>
  <c r="H3" i="8" s="1"/>
  <c r="F94" i="4"/>
  <c r="H50" i="7"/>
  <c r="I3" i="8" s="1"/>
  <c r="R14" i="8"/>
  <c r="R8" i="8"/>
  <c r="G19" i="13"/>
  <c r="I19" i="13" s="1"/>
  <c r="K19" i="13" s="1"/>
  <c r="G11" i="13"/>
  <c r="I11" i="13" s="1"/>
  <c r="K11" i="13" s="1"/>
  <c r="T8" i="11"/>
  <c r="AA8" i="11" s="1"/>
  <c r="AH8" i="11" s="1"/>
  <c r="T13" i="11"/>
  <c r="AA13" i="11" s="1"/>
  <c r="AH13" i="11" s="1"/>
  <c r="T10" i="11"/>
  <c r="AA10" i="11" s="1"/>
  <c r="AH10" i="11" s="1"/>
  <c r="O17" i="8"/>
  <c r="V17" i="8" s="1"/>
  <c r="AC17" i="8" s="1"/>
  <c r="O25" i="8"/>
  <c r="V25" i="8" s="1"/>
  <c r="AC25" i="8" s="1"/>
  <c r="AJ25" i="8" s="1"/>
  <c r="O23" i="8"/>
  <c r="V23" i="8" s="1"/>
  <c r="AC23" i="8" s="1"/>
  <c r="O12" i="8"/>
  <c r="V12" i="8" s="1"/>
  <c r="AC12" i="8" s="1"/>
  <c r="O9" i="8"/>
  <c r="V9" i="8" s="1"/>
  <c r="AC9" i="8" s="1"/>
  <c r="O14" i="8"/>
  <c r="V14" i="8" s="1"/>
  <c r="AC14" i="8" s="1"/>
  <c r="O15" i="8"/>
  <c r="V15" i="8" s="1"/>
  <c r="AC15" i="8" s="1"/>
  <c r="O22" i="8"/>
  <c r="V22" i="8" s="1"/>
  <c r="AC22" i="8" s="1"/>
  <c r="O10" i="8"/>
  <c r="V10" i="8" s="1"/>
  <c r="AC10" i="8" s="1"/>
  <c r="O24" i="8"/>
  <c r="V24" i="8" s="1"/>
  <c r="AC24" i="8" s="1"/>
  <c r="O8" i="8"/>
  <c r="V8" i="8" s="1"/>
  <c r="AC8" i="8" s="1"/>
  <c r="O16" i="8"/>
  <c r="V16" i="8" s="1"/>
  <c r="AC16" i="8" s="1"/>
  <c r="O18" i="8"/>
  <c r="V18" i="8" s="1"/>
  <c r="AC18" i="8" s="1"/>
  <c r="O20" i="8"/>
  <c r="V20" i="8" s="1"/>
  <c r="AC20" i="8" s="1"/>
  <c r="O13" i="8"/>
  <c r="V13" i="8" s="1"/>
  <c r="AC13" i="8" s="1"/>
  <c r="O19" i="8"/>
  <c r="V19" i="8" s="1"/>
  <c r="AC19" i="8" s="1"/>
  <c r="O21" i="8"/>
  <c r="V21" i="8" s="1"/>
  <c r="AC21" i="8" s="1"/>
  <c r="AJ21" i="8" s="1"/>
  <c r="E56" i="10"/>
  <c r="N4" i="11" s="1"/>
  <c r="M5" i="9"/>
  <c r="N5" i="9" s="1"/>
  <c r="V5" i="9" s="1"/>
  <c r="X5" i="9"/>
  <c r="P5" i="9"/>
  <c r="P3" i="6"/>
  <c r="M3" i="6"/>
  <c r="N3" i="6" s="1"/>
  <c r="W3" i="6" s="1"/>
  <c r="Y3" i="6"/>
  <c r="G17" i="13"/>
  <c r="I17" i="13" s="1"/>
  <c r="K17" i="13" s="1"/>
  <c r="E50" i="10"/>
  <c r="F3" i="11" s="1"/>
  <c r="C52" i="10"/>
  <c r="X9" i="9"/>
  <c r="M9" i="9"/>
  <c r="N9" i="9" s="1"/>
  <c r="V9" i="9" s="1"/>
  <c r="P9" i="9"/>
  <c r="H18" i="13"/>
  <c r="J18" i="13" s="1"/>
  <c r="L18" i="13" s="1"/>
  <c r="H14" i="13"/>
  <c r="J14" i="13" s="1"/>
  <c r="L14" i="13" s="1"/>
  <c r="E51" i="10"/>
  <c r="F4" i="11" s="1"/>
  <c r="D52" i="10"/>
  <c r="R18" i="8"/>
  <c r="R17" i="8"/>
  <c r="R25" i="8"/>
  <c r="P10" i="6"/>
  <c r="Y10" i="6"/>
  <c r="M10" i="6"/>
  <c r="N10" i="6" s="1"/>
  <c r="W10" i="6" s="1"/>
  <c r="M11" i="6"/>
  <c r="N11" i="6" s="1"/>
  <c r="W11" i="6" s="1"/>
  <c r="P11" i="6"/>
  <c r="Y11" i="6"/>
  <c r="M6" i="6"/>
  <c r="N6" i="6" s="1"/>
  <c r="W6" i="6" s="1"/>
  <c r="P6" i="6"/>
  <c r="Y6" i="6"/>
  <c r="H56" i="7"/>
  <c r="Q4" i="8" s="1"/>
  <c r="E37" i="4"/>
  <c r="G51" i="10"/>
  <c r="H4" i="11" s="1"/>
  <c r="G50" i="10"/>
  <c r="H3" i="11" s="1"/>
  <c r="C56" i="10"/>
  <c r="L4" i="11" s="1"/>
  <c r="C51" i="10"/>
  <c r="D4" i="11" s="1"/>
  <c r="G20" i="13"/>
  <c r="I20" i="13" s="1"/>
  <c r="K20" i="13" s="1"/>
  <c r="G52" i="10"/>
  <c r="G14" i="13"/>
  <c r="I14" i="13" s="1"/>
  <c r="K14" i="13" s="1"/>
  <c r="P8" i="9"/>
  <c r="X8" i="9"/>
  <c r="M8" i="9"/>
  <c r="N8" i="9" s="1"/>
  <c r="V8" i="9" s="1"/>
  <c r="Y5" i="6"/>
  <c r="P5" i="6"/>
  <c r="M5" i="6"/>
  <c r="N5" i="6" s="1"/>
  <c r="W5" i="6" s="1"/>
  <c r="X10" i="9"/>
  <c r="P10" i="9"/>
  <c r="M10" i="9"/>
  <c r="N10" i="9" s="1"/>
  <c r="V10" i="9" s="1"/>
  <c r="P18" i="6"/>
  <c r="Y18" i="6"/>
  <c r="M18" i="6"/>
  <c r="N18" i="6" s="1"/>
  <c r="W18" i="6" s="1"/>
  <c r="E52" i="10"/>
  <c r="D51" i="10"/>
  <c r="E4" i="11" s="1"/>
  <c r="P19" i="11" s="1"/>
  <c r="W19" i="11" s="1"/>
  <c r="AD19" i="11" s="1"/>
  <c r="E94" i="4"/>
  <c r="F51" i="10"/>
  <c r="G4" i="11" s="1"/>
  <c r="D51" i="7"/>
  <c r="E4" i="8" s="1"/>
  <c r="P23" i="8" s="1"/>
  <c r="W23" i="8" s="1"/>
  <c r="AD23" i="8" s="1"/>
  <c r="O11" i="5"/>
  <c r="V11" i="5" s="1"/>
  <c r="AC11" i="5" s="1"/>
  <c r="G56" i="7"/>
  <c r="P4" i="8" s="1"/>
  <c r="G57" i="7"/>
  <c r="M7" i="6"/>
  <c r="N7" i="6" s="1"/>
  <c r="W7" i="6" s="1"/>
  <c r="P7" i="6"/>
  <c r="Y7" i="6"/>
  <c r="E35" i="4"/>
  <c r="F3" i="5" s="1"/>
  <c r="O13" i="5"/>
  <c r="V13" i="5" s="1"/>
  <c r="AC13" i="5" s="1"/>
  <c r="Y16" i="6"/>
  <c r="P16" i="6"/>
  <c r="M16" i="6"/>
  <c r="N16" i="6" s="1"/>
  <c r="W16" i="6" s="1"/>
  <c r="C92" i="4"/>
  <c r="L3" i="5" s="1"/>
  <c r="O16" i="5" s="1"/>
  <c r="V16" i="5" s="1"/>
  <c r="AC16" i="5" s="1"/>
  <c r="AJ16" i="5" s="1"/>
  <c r="G36" i="4"/>
  <c r="H4" i="5" s="1"/>
  <c r="X11" i="9"/>
  <c r="P11" i="9"/>
  <c r="M11" i="9"/>
  <c r="N11" i="9" s="1"/>
  <c r="V11" i="9" s="1"/>
  <c r="H57" i="7"/>
  <c r="Q8" i="8"/>
  <c r="X8" i="8" s="1"/>
  <c r="AE8" i="8" s="1"/>
  <c r="Q15" i="8"/>
  <c r="X15" i="8" s="1"/>
  <c r="AE15" i="8" s="1"/>
  <c r="Q10" i="8"/>
  <c r="X10" i="8" s="1"/>
  <c r="AE10" i="8" s="1"/>
  <c r="Q14" i="8"/>
  <c r="X14" i="8" s="1"/>
  <c r="AE14" i="8" s="1"/>
  <c r="Q12" i="8"/>
  <c r="X12" i="8" s="1"/>
  <c r="AE12" i="8" s="1"/>
  <c r="Q13" i="8"/>
  <c r="X13" i="8" s="1"/>
  <c r="AE13" i="8" s="1"/>
  <c r="Q9" i="8"/>
  <c r="X9" i="8" s="1"/>
  <c r="AE9" i="8" s="1"/>
  <c r="H92" i="4"/>
  <c r="Q3" i="5" s="1"/>
  <c r="H93" i="4"/>
  <c r="Q4" i="5" s="1"/>
  <c r="O14" i="5"/>
  <c r="V14" i="5" s="1"/>
  <c r="AC14" i="5" s="1"/>
  <c r="O9" i="5"/>
  <c r="V9" i="5" s="1"/>
  <c r="AC9" i="5" s="1"/>
  <c r="G51" i="7"/>
  <c r="H4" i="8" s="1"/>
  <c r="D57" i="10"/>
  <c r="Y19" i="6"/>
  <c r="M19" i="6"/>
  <c r="N19" i="6" s="1"/>
  <c r="W19" i="6" s="1"/>
  <c r="P19" i="6"/>
  <c r="G92" i="4"/>
  <c r="P3" i="5" s="1"/>
  <c r="F52" i="10"/>
  <c r="T15" i="5"/>
  <c r="AA15" i="5" s="1"/>
  <c r="AH15" i="5" s="1"/>
  <c r="T12" i="5"/>
  <c r="AA12" i="5" s="1"/>
  <c r="AH12" i="5" s="1"/>
  <c r="T9" i="5"/>
  <c r="AA9" i="5" s="1"/>
  <c r="AH9" i="5" s="1"/>
  <c r="T10" i="5"/>
  <c r="AA10" i="5" s="1"/>
  <c r="AH10" i="5" s="1"/>
  <c r="T8" i="5"/>
  <c r="AA8" i="5" s="1"/>
  <c r="AH8" i="5" s="1"/>
  <c r="T13" i="5"/>
  <c r="AA13" i="5" s="1"/>
  <c r="AH13" i="5" s="1"/>
  <c r="T11" i="5"/>
  <c r="AA11" i="5" s="1"/>
  <c r="AH11" i="5" s="1"/>
  <c r="T14" i="5"/>
  <c r="AA14" i="5" s="1"/>
  <c r="AH14" i="5" s="1"/>
  <c r="O8" i="5"/>
  <c r="V8" i="5" s="1"/>
  <c r="AC8" i="5" s="1"/>
  <c r="P13" i="9"/>
  <c r="X13" i="9"/>
  <c r="M13" i="9"/>
  <c r="N13" i="9" s="1"/>
  <c r="V13" i="9" s="1"/>
  <c r="F37" i="4"/>
  <c r="F35" i="4"/>
  <c r="G3" i="5" s="1"/>
  <c r="C50" i="10"/>
  <c r="D3" i="11" s="1"/>
  <c r="G16" i="13"/>
  <c r="I16" i="13" s="1"/>
  <c r="K16" i="13" s="1"/>
  <c r="G12" i="13"/>
  <c r="I12" i="13" s="1"/>
  <c r="K12" i="13" s="1"/>
  <c r="G13" i="13"/>
  <c r="I13" i="13" s="1"/>
  <c r="K13" i="13" s="1"/>
  <c r="H20" i="13"/>
  <c r="J20" i="13" s="1"/>
  <c r="L20" i="13" s="1"/>
  <c r="H10" i="13"/>
  <c r="J10" i="13" s="1"/>
  <c r="L10" i="13" s="1"/>
  <c r="D56" i="10"/>
  <c r="M4" i="11" s="1"/>
  <c r="H19" i="13"/>
  <c r="J19" i="13" s="1"/>
  <c r="L19" i="13" s="1"/>
  <c r="F55" i="10"/>
  <c r="O3" i="11" s="1"/>
  <c r="H12" i="13"/>
  <c r="J12" i="13" s="1"/>
  <c r="L12" i="13" s="1"/>
  <c r="P7" i="3"/>
  <c r="Y7" i="3"/>
  <c r="M7" i="3"/>
  <c r="N7" i="3" s="1"/>
  <c r="W7" i="3" s="1"/>
  <c r="O10" i="5"/>
  <c r="V10" i="5" s="1"/>
  <c r="AC10" i="5" s="1"/>
  <c r="D35" i="4"/>
  <c r="E3" i="5" s="1"/>
  <c r="G10" i="13"/>
  <c r="I10" i="13" s="1"/>
  <c r="K10" i="13" s="1"/>
  <c r="X12" i="9"/>
  <c r="M12" i="9"/>
  <c r="N12" i="9" s="1"/>
  <c r="V12" i="9" s="1"/>
  <c r="P12" i="9"/>
  <c r="G55" i="10"/>
  <c r="P3" i="11" s="1"/>
  <c r="G35" i="4"/>
  <c r="H3" i="5" s="1"/>
  <c r="Y18" i="8" l="1"/>
  <c r="AF18" i="8" s="1"/>
  <c r="T12" i="8"/>
  <c r="AA12" i="8" s="1"/>
  <c r="AH12" i="8" s="1"/>
  <c r="T9" i="8"/>
  <c r="AA9" i="8" s="1"/>
  <c r="AH9" i="8" s="1"/>
  <c r="T14" i="8"/>
  <c r="AA14" i="8" s="1"/>
  <c r="AH14" i="8" s="1"/>
  <c r="T8" i="8"/>
  <c r="AA8" i="8" s="1"/>
  <c r="AH8" i="8" s="1"/>
  <c r="T13" i="8"/>
  <c r="AA13" i="8" s="1"/>
  <c r="AH13" i="8" s="1"/>
  <c r="T15" i="8"/>
  <c r="AA15" i="8" s="1"/>
  <c r="AH15" i="8" s="1"/>
  <c r="T10" i="8"/>
  <c r="AA10" i="8" s="1"/>
  <c r="AH10" i="8" s="1"/>
  <c r="S20" i="8"/>
  <c r="S21" i="8"/>
  <c r="S22" i="8"/>
  <c r="S16" i="8"/>
  <c r="S18" i="8"/>
  <c r="Z18" i="8" s="1"/>
  <c r="AG18" i="8" s="1"/>
  <c r="S17" i="8"/>
  <c r="Z17" i="8" s="1"/>
  <c r="AG17" i="8" s="1"/>
  <c r="S19" i="8"/>
  <c r="S25" i="8"/>
  <c r="Z25" i="8" s="1"/>
  <c r="AG25" i="8" s="1"/>
  <c r="AJ17" i="8"/>
  <c r="Y9" i="11"/>
  <c r="AF9" i="11" s="1"/>
  <c r="U9" i="11"/>
  <c r="AB9" i="11" s="1"/>
  <c r="AI9" i="11" s="1"/>
  <c r="Q12" i="11"/>
  <c r="X12" i="11" s="1"/>
  <c r="AE12" i="11" s="1"/>
  <c r="Q8" i="11"/>
  <c r="X8" i="11" s="1"/>
  <c r="AE8" i="11" s="1"/>
  <c r="Q13" i="11"/>
  <c r="X13" i="11" s="1"/>
  <c r="AE13" i="11" s="1"/>
  <c r="Q9" i="11"/>
  <c r="X9" i="11" s="1"/>
  <c r="AE9" i="11" s="1"/>
  <c r="AK9" i="11" s="1"/>
  <c r="Q14" i="11"/>
  <c r="X14" i="11" s="1"/>
  <c r="AE14" i="11" s="1"/>
  <c r="Q15" i="11"/>
  <c r="X15" i="11" s="1"/>
  <c r="AE15" i="11" s="1"/>
  <c r="Q10" i="11"/>
  <c r="X10" i="11" s="1"/>
  <c r="AE10" i="11" s="1"/>
  <c r="Q11" i="11"/>
  <c r="X11" i="11" s="1"/>
  <c r="AE11" i="11" s="1"/>
  <c r="Y8" i="8"/>
  <c r="AF8" i="8" s="1"/>
  <c r="AJ16" i="8"/>
  <c r="AJ8" i="8"/>
  <c r="AJ8" i="5"/>
  <c r="S17" i="11"/>
  <c r="S18" i="11"/>
  <c r="S19" i="11"/>
  <c r="AJ24" i="8"/>
  <c r="S8" i="11"/>
  <c r="S13" i="11"/>
  <c r="S9" i="11"/>
  <c r="Z9" i="11" s="1"/>
  <c r="AG9" i="11" s="1"/>
  <c r="S11" i="11"/>
  <c r="S14" i="11"/>
  <c r="S10" i="11"/>
  <c r="S12" i="11"/>
  <c r="S15" i="11"/>
  <c r="S12" i="5"/>
  <c r="Z12" i="5" s="1"/>
  <c r="AG12" i="5" s="1"/>
  <c r="S9" i="5"/>
  <c r="Z9" i="5" s="1"/>
  <c r="AG9" i="5" s="1"/>
  <c r="S8" i="5"/>
  <c r="S13" i="5"/>
  <c r="S11" i="5"/>
  <c r="S10" i="5"/>
  <c r="S15" i="5"/>
  <c r="Z15" i="5" s="1"/>
  <c r="AG15" i="5" s="1"/>
  <c r="S14" i="5"/>
  <c r="AJ13" i="8"/>
  <c r="P9" i="5"/>
  <c r="W9" i="5" s="1"/>
  <c r="AD9" i="5" s="1"/>
  <c r="P15" i="5"/>
  <c r="W15" i="5" s="1"/>
  <c r="AD15" i="5" s="1"/>
  <c r="AJ15" i="5" s="1"/>
  <c r="P12" i="5"/>
  <c r="W12" i="5" s="1"/>
  <c r="AD12" i="5" s="1"/>
  <c r="AJ12" i="5" s="1"/>
  <c r="P10" i="5"/>
  <c r="W10" i="5" s="1"/>
  <c r="AD10" i="5" s="1"/>
  <c r="P8" i="5"/>
  <c r="W8" i="5" s="1"/>
  <c r="AD8" i="5" s="1"/>
  <c r="P13" i="5"/>
  <c r="W13" i="5" s="1"/>
  <c r="AD13" i="5" s="1"/>
  <c r="AJ13" i="5" s="1"/>
  <c r="P11" i="5"/>
  <c r="W11" i="5" s="1"/>
  <c r="AD11" i="5" s="1"/>
  <c r="P14" i="5"/>
  <c r="W14" i="5" s="1"/>
  <c r="AD14" i="5" s="1"/>
  <c r="AJ14" i="5" s="1"/>
  <c r="AJ22" i="8"/>
  <c r="P17" i="8"/>
  <c r="W17" i="8" s="1"/>
  <c r="AD17" i="8" s="1"/>
  <c r="AJ14" i="8"/>
  <c r="P20" i="8"/>
  <c r="W20" i="8" s="1"/>
  <c r="AD20" i="8" s="1"/>
  <c r="P12" i="11"/>
  <c r="W12" i="11" s="1"/>
  <c r="AD12" i="11" s="1"/>
  <c r="O19" i="11"/>
  <c r="V19" i="11" s="1"/>
  <c r="AC19" i="11" s="1"/>
  <c r="AJ19" i="11" s="1"/>
  <c r="O12" i="11"/>
  <c r="V12" i="11" s="1"/>
  <c r="AC12" i="11" s="1"/>
  <c r="AJ12" i="11" s="1"/>
  <c r="O16" i="11"/>
  <c r="V16" i="11" s="1"/>
  <c r="AC16" i="11" s="1"/>
  <c r="AJ16" i="11" s="1"/>
  <c r="O8" i="11"/>
  <c r="V8" i="11" s="1"/>
  <c r="AC8" i="11" s="1"/>
  <c r="AJ8" i="11" s="1"/>
  <c r="O13" i="11"/>
  <c r="V13" i="11" s="1"/>
  <c r="AC13" i="11" s="1"/>
  <c r="AJ13" i="11" s="1"/>
  <c r="O9" i="11"/>
  <c r="V9" i="11" s="1"/>
  <c r="AC9" i="11" s="1"/>
  <c r="AJ9" i="11" s="1"/>
  <c r="O17" i="11"/>
  <c r="V17" i="11" s="1"/>
  <c r="AC17" i="11" s="1"/>
  <c r="AJ17" i="11" s="1"/>
  <c r="O10" i="11"/>
  <c r="V10" i="11" s="1"/>
  <c r="AC10" i="11" s="1"/>
  <c r="AJ10" i="11" s="1"/>
  <c r="O15" i="11"/>
  <c r="V15" i="11" s="1"/>
  <c r="AC15" i="11" s="1"/>
  <c r="AJ15" i="11" s="1"/>
  <c r="O18" i="11"/>
  <c r="V18" i="11" s="1"/>
  <c r="AC18" i="11" s="1"/>
  <c r="AJ18" i="11" s="1"/>
  <c r="O11" i="11"/>
  <c r="V11" i="11" s="1"/>
  <c r="AC11" i="11" s="1"/>
  <c r="AJ11" i="11" s="1"/>
  <c r="O14" i="11"/>
  <c r="V14" i="11" s="1"/>
  <c r="AC14" i="11" s="1"/>
  <c r="AJ14" i="11" s="1"/>
  <c r="AJ19" i="8"/>
  <c r="AJ11" i="5"/>
  <c r="AJ10" i="5"/>
  <c r="P15" i="8"/>
  <c r="W15" i="8" s="1"/>
  <c r="AD15" i="8" s="1"/>
  <c r="AJ15" i="8" s="1"/>
  <c r="Y25" i="8"/>
  <c r="AF25" i="8" s="1"/>
  <c r="AJ9" i="8"/>
  <c r="P18" i="8"/>
  <c r="W18" i="8" s="1"/>
  <c r="AD18" i="8" s="1"/>
  <c r="AJ18" i="8" s="1"/>
  <c r="AJ23" i="8"/>
  <c r="R12" i="5"/>
  <c r="R15" i="5"/>
  <c r="R9" i="5"/>
  <c r="Y14" i="8"/>
  <c r="AF14" i="8" s="1"/>
  <c r="S13" i="8"/>
  <c r="S10" i="8"/>
  <c r="S15" i="8"/>
  <c r="S14" i="8"/>
  <c r="Z14" i="8" s="1"/>
  <c r="AG14" i="8" s="1"/>
  <c r="S12" i="8"/>
  <c r="S8" i="8"/>
  <c r="Z8" i="8" s="1"/>
  <c r="AG8" i="8" s="1"/>
  <c r="S9" i="8"/>
  <c r="Q9" i="5"/>
  <c r="X9" i="5" s="1"/>
  <c r="AE9" i="5" s="1"/>
  <c r="Q15" i="5"/>
  <c r="X15" i="5" s="1"/>
  <c r="AE15" i="5" s="1"/>
  <c r="Q10" i="5"/>
  <c r="X10" i="5" s="1"/>
  <c r="AE10" i="5" s="1"/>
  <c r="Q12" i="5"/>
  <c r="X12" i="5" s="1"/>
  <c r="AE12" i="5" s="1"/>
  <c r="Q13" i="5"/>
  <c r="X13" i="5" s="1"/>
  <c r="AE13" i="5" s="1"/>
  <c r="Q11" i="5"/>
  <c r="X11" i="5" s="1"/>
  <c r="AE11" i="5" s="1"/>
  <c r="Q14" i="5"/>
  <c r="X14" i="5" s="1"/>
  <c r="AE14" i="5" s="1"/>
  <c r="AJ20" i="8"/>
  <c r="Q16" i="11"/>
  <c r="X16" i="11" s="1"/>
  <c r="AE16" i="11" s="1"/>
  <c r="AK16" i="11" s="1"/>
  <c r="Q19" i="11"/>
  <c r="X19" i="11" s="1"/>
  <c r="AE19" i="11" s="1"/>
  <c r="Q18" i="11"/>
  <c r="X18" i="11" s="1"/>
  <c r="AE18" i="11" s="1"/>
  <c r="Q17" i="11"/>
  <c r="X17" i="11" s="1"/>
  <c r="AE17" i="11" s="1"/>
  <c r="AJ10" i="8"/>
  <c r="AJ9" i="5"/>
  <c r="Y17" i="8"/>
  <c r="AF17" i="8" s="1"/>
  <c r="AJ12" i="8"/>
  <c r="Z14" i="5" l="1"/>
  <c r="AG14" i="5" s="1"/>
  <c r="U14" i="5"/>
  <c r="AB14" i="5" s="1"/>
  <c r="AI14" i="5" s="1"/>
  <c r="AK14" i="5"/>
  <c r="Z14" i="11"/>
  <c r="AG14" i="11" s="1"/>
  <c r="U14" i="11"/>
  <c r="AB14" i="11" s="1"/>
  <c r="AI14" i="11" s="1"/>
  <c r="U8" i="11"/>
  <c r="AB8" i="11" s="1"/>
  <c r="AI8" i="11" s="1"/>
  <c r="Z8" i="11"/>
  <c r="AG8" i="11" s="1"/>
  <c r="Z22" i="8"/>
  <c r="AG22" i="8" s="1"/>
  <c r="U22" i="8"/>
  <c r="AB22" i="8" s="1"/>
  <c r="AI22" i="8" s="1"/>
  <c r="AK22" i="8" s="1"/>
  <c r="U10" i="5"/>
  <c r="AB10" i="5" s="1"/>
  <c r="AI10" i="5" s="1"/>
  <c r="AK10" i="5" s="1"/>
  <c r="Z10" i="5"/>
  <c r="AG10" i="5" s="1"/>
  <c r="Z13" i="5"/>
  <c r="AG13" i="5" s="1"/>
  <c r="U13" i="5"/>
  <c r="AB13" i="5" s="1"/>
  <c r="AI13" i="5" s="1"/>
  <c r="AK13" i="5" s="1"/>
  <c r="AK13" i="11"/>
  <c r="AK8" i="11"/>
  <c r="Z15" i="11"/>
  <c r="AG15" i="11" s="1"/>
  <c r="U15" i="11"/>
  <c r="AB15" i="11" s="1"/>
  <c r="AI15" i="11" s="1"/>
  <c r="AK15" i="11" s="1"/>
  <c r="Z10" i="11"/>
  <c r="AG10" i="11" s="1"/>
  <c r="U10" i="11"/>
  <c r="AB10" i="11" s="1"/>
  <c r="AI10" i="11" s="1"/>
  <c r="AK10" i="11" s="1"/>
  <c r="U11" i="11"/>
  <c r="AB11" i="11" s="1"/>
  <c r="AI11" i="11" s="1"/>
  <c r="AK11" i="11" s="1"/>
  <c r="Z11" i="11"/>
  <c r="AG11" i="11" s="1"/>
  <c r="U9" i="8"/>
  <c r="AB9" i="8" s="1"/>
  <c r="AI9" i="8" s="1"/>
  <c r="AK9" i="8" s="1"/>
  <c r="Z9" i="8"/>
  <c r="AG9" i="8" s="1"/>
  <c r="Z18" i="11"/>
  <c r="AG18" i="11" s="1"/>
  <c r="U18" i="11"/>
  <c r="AB18" i="11" s="1"/>
  <c r="AI18" i="11" s="1"/>
  <c r="AK18" i="11" s="1"/>
  <c r="U10" i="8"/>
  <c r="AB10" i="8" s="1"/>
  <c r="AI10" i="8" s="1"/>
  <c r="AK10" i="8" s="1"/>
  <c r="Z10" i="8"/>
  <c r="AG10" i="8" s="1"/>
  <c r="U14" i="8"/>
  <c r="AB14" i="8" s="1"/>
  <c r="AI14" i="8" s="1"/>
  <c r="AK14" i="8" s="1"/>
  <c r="Z21" i="8"/>
  <c r="AG21" i="8" s="1"/>
  <c r="U21" i="8"/>
  <c r="AB21" i="8" s="1"/>
  <c r="AI21" i="8" s="1"/>
  <c r="AK21" i="8" s="1"/>
  <c r="Z15" i="8"/>
  <c r="AG15" i="8" s="1"/>
  <c r="U15" i="8"/>
  <c r="AB15" i="8" s="1"/>
  <c r="AI15" i="8" s="1"/>
  <c r="AK15" i="8" s="1"/>
  <c r="U17" i="8"/>
  <c r="AB17" i="8" s="1"/>
  <c r="AI17" i="8" s="1"/>
  <c r="AK17" i="8" s="1"/>
  <c r="AK14" i="11"/>
  <c r="Z8" i="5"/>
  <c r="AG8" i="5" s="1"/>
  <c r="U8" i="5"/>
  <c r="AB8" i="5" s="1"/>
  <c r="AI8" i="5" s="1"/>
  <c r="AK8" i="5" s="1"/>
  <c r="AK12" i="11"/>
  <c r="Z19" i="8"/>
  <c r="AG19" i="8" s="1"/>
  <c r="U19" i="8"/>
  <c r="AB19" i="8" s="1"/>
  <c r="AI19" i="8" s="1"/>
  <c r="AK19" i="8" s="1"/>
  <c r="Z13" i="11"/>
  <c r="AG13" i="11" s="1"/>
  <c r="U13" i="11"/>
  <c r="AB13" i="11" s="1"/>
  <c r="AI13" i="11" s="1"/>
  <c r="Z16" i="8"/>
  <c r="AG16" i="8" s="1"/>
  <c r="U16" i="8"/>
  <c r="AB16" i="8" s="1"/>
  <c r="AI16" i="8" s="1"/>
  <c r="AK16" i="8" s="1"/>
  <c r="U12" i="8"/>
  <c r="AB12" i="8" s="1"/>
  <c r="AI12" i="8" s="1"/>
  <c r="AK12" i="8" s="1"/>
  <c r="Z12" i="8"/>
  <c r="AG12" i="8" s="1"/>
  <c r="Z17" i="11"/>
  <c r="AG17" i="11" s="1"/>
  <c r="U17" i="11"/>
  <c r="AB17" i="11" s="1"/>
  <c r="AI17" i="11" s="1"/>
  <c r="AK17" i="11" s="1"/>
  <c r="Z13" i="8"/>
  <c r="AG13" i="8" s="1"/>
  <c r="U13" i="8"/>
  <c r="AB13" i="8" s="1"/>
  <c r="AI13" i="8" s="1"/>
  <c r="AK13" i="8" s="1"/>
  <c r="Y9" i="5"/>
  <c r="AF9" i="5" s="1"/>
  <c r="U9" i="5"/>
  <c r="AB9" i="5" s="1"/>
  <c r="AI9" i="5" s="1"/>
  <c r="AK9" i="5" s="1"/>
  <c r="U15" i="5"/>
  <c r="AB15" i="5" s="1"/>
  <c r="AI15" i="5" s="1"/>
  <c r="AK15" i="5" s="1"/>
  <c r="Y15" i="5"/>
  <c r="AF15" i="5" s="1"/>
  <c r="U12" i="5"/>
  <c r="AB12" i="5" s="1"/>
  <c r="AI12" i="5" s="1"/>
  <c r="AK12" i="5" s="1"/>
  <c r="Y12" i="5"/>
  <c r="AF12" i="5" s="1"/>
  <c r="U18" i="8"/>
  <c r="AB18" i="8" s="1"/>
  <c r="AI18" i="8" s="1"/>
  <c r="AK18" i="8" s="1"/>
  <c r="Z11" i="5"/>
  <c r="AG11" i="5" s="1"/>
  <c r="U11" i="5"/>
  <c r="AB11" i="5" s="1"/>
  <c r="AI11" i="5" s="1"/>
  <c r="AK11" i="5" s="1"/>
  <c r="Z12" i="11"/>
  <c r="AG12" i="11" s="1"/>
  <c r="U12" i="11"/>
  <c r="AB12" i="11" s="1"/>
  <c r="AI12" i="11" s="1"/>
  <c r="Z19" i="11"/>
  <c r="AG19" i="11" s="1"/>
  <c r="U19" i="11"/>
  <c r="AB19" i="11" s="1"/>
  <c r="AI19" i="11" s="1"/>
  <c r="AK19" i="11" s="1"/>
  <c r="Z20" i="8"/>
  <c r="AG20" i="8" s="1"/>
  <c r="U20" i="8"/>
  <c r="AB20" i="8" s="1"/>
  <c r="AI20" i="8" s="1"/>
  <c r="AK20" i="8" s="1"/>
  <c r="U25" i="8"/>
  <c r="AB25" i="8" s="1"/>
  <c r="AI25" i="8" s="1"/>
  <c r="AK25" i="8" s="1"/>
  <c r="U8" i="8"/>
  <c r="AB8" i="8" s="1"/>
  <c r="AI8" i="8" s="1"/>
  <c r="AK8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add back into paper?
	-Sally Vaux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3" authorId="0" shapeId="0" xr:uid="{00000000-0006-0000-0100-000048000000}">
      <text>
        <r>
          <rPr>
            <sz val="10"/>
            <color rgb="FF000000"/>
            <rFont val="Arial"/>
            <scheme val="minor"/>
          </rPr>
          <t>remove?
	-Sally Vaux</t>
        </r>
      </text>
    </comment>
    <comment ref="D3" authorId="0" shapeId="0" xr:uid="{00000000-0006-0000-0100-000001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E3" authorId="0" shapeId="0" xr:uid="{00000000-0006-0000-0100-000002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E5" authorId="0" shapeId="0" xr:uid="{00000000-0006-0000-0100-000003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E6" authorId="0" shapeId="0" xr:uid="{00000000-0006-0000-0100-000004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E8" authorId="0" shapeId="0" xr:uid="{00000000-0006-0000-0100-000005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E9" authorId="0" shapeId="0" xr:uid="{00000000-0006-0000-0100-000006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D11" authorId="0" shapeId="0" xr:uid="{00000000-0006-0000-0100-000007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E11" authorId="0" shapeId="0" xr:uid="{00000000-0006-0000-0100-000008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F11" authorId="0" shapeId="0" xr:uid="{00000000-0006-0000-0100-000009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G11" authorId="0" shapeId="0" xr:uid="{00000000-0006-0000-0100-00000A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H11" authorId="0" shapeId="0" xr:uid="{00000000-0006-0000-0100-00000B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E13" authorId="0" shapeId="0" xr:uid="{00000000-0006-0000-0100-00000C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B14" authorId="0" shapeId="0" xr:uid="{00000000-0006-0000-0100-00000D000000}">
      <text>
        <r>
          <rPr>
            <sz val="10"/>
            <color rgb="FF000000"/>
            <rFont val="Arial"/>
            <scheme val="minor"/>
          </rPr>
          <t>from autodil runs</t>
        </r>
      </text>
    </comment>
    <comment ref="C14" authorId="0" shapeId="0" xr:uid="{00000000-0006-0000-0100-00000E000000}">
      <text>
        <r>
          <rPr>
            <sz val="10"/>
            <color rgb="FF000000"/>
            <rFont val="Arial"/>
            <scheme val="minor"/>
          </rPr>
          <t>from autodil runs</t>
        </r>
      </text>
    </comment>
    <comment ref="E14" authorId="0" shapeId="0" xr:uid="{00000000-0006-0000-0100-00000F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B15" authorId="0" shapeId="0" xr:uid="{00000000-0006-0000-0100-000010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D15" authorId="0" shapeId="0" xr:uid="{00000000-0006-0000-0100-000011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E15" authorId="0" shapeId="0" xr:uid="{00000000-0006-0000-0100-000012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F15" authorId="0" shapeId="0" xr:uid="{00000000-0006-0000-0100-000013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G15" authorId="0" shapeId="0" xr:uid="{00000000-0006-0000-0100-000014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B16" authorId="0" shapeId="0" xr:uid="{00000000-0006-0000-0100-000015000000}">
      <text>
        <r>
          <rPr>
            <sz val="10"/>
            <color rgb="FF000000"/>
            <rFont val="Arial"/>
            <scheme val="minor"/>
          </rPr>
          <t>from autodil runs</t>
        </r>
      </text>
    </comment>
    <comment ref="C16" authorId="0" shapeId="0" xr:uid="{00000000-0006-0000-0100-000016000000}">
      <text>
        <r>
          <rPr>
            <sz val="10"/>
            <color rgb="FF000000"/>
            <rFont val="Arial"/>
            <scheme val="minor"/>
          </rPr>
          <t>from autodil runs</t>
        </r>
      </text>
    </comment>
    <comment ref="E16" authorId="0" shapeId="0" xr:uid="{00000000-0006-0000-0100-000017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B17" authorId="0" shapeId="0" xr:uid="{00000000-0006-0000-0100-000018000000}">
      <text>
        <r>
          <rPr>
            <sz val="10"/>
            <color rgb="FF000000"/>
            <rFont val="Arial"/>
            <scheme val="minor"/>
          </rPr>
          <t>from autodil runs</t>
        </r>
      </text>
    </comment>
    <comment ref="C17" authorId="0" shapeId="0" xr:uid="{00000000-0006-0000-0100-000019000000}">
      <text>
        <r>
          <rPr>
            <sz val="10"/>
            <color rgb="FF000000"/>
            <rFont val="Arial"/>
            <scheme val="minor"/>
          </rPr>
          <t>from autodil runs</t>
        </r>
      </text>
    </comment>
    <comment ref="E17" authorId="0" shapeId="0" xr:uid="{00000000-0006-0000-0100-00001A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E19" authorId="0" shapeId="0" xr:uid="{00000000-0006-0000-0100-00001B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E20" authorId="0" shapeId="0" xr:uid="{00000000-0006-0000-0100-00001C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B21" authorId="0" shapeId="0" xr:uid="{00000000-0006-0000-0100-00001D000000}">
      <text>
        <r>
          <rPr>
            <sz val="10"/>
            <color rgb="FF000000"/>
            <rFont val="Arial"/>
            <scheme val="minor"/>
          </rPr>
          <t>from autodil runs</t>
        </r>
      </text>
    </comment>
    <comment ref="C21" authorId="0" shapeId="0" xr:uid="{00000000-0006-0000-0100-00001E000000}">
      <text>
        <r>
          <rPr>
            <sz val="10"/>
            <color rgb="FF000000"/>
            <rFont val="Arial"/>
            <scheme val="minor"/>
          </rPr>
          <t>from autodil runs</t>
        </r>
      </text>
    </comment>
    <comment ref="E23" authorId="0" shapeId="0" xr:uid="{00000000-0006-0000-0100-00001F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G23" authorId="0" shapeId="0" xr:uid="{00000000-0006-0000-0100-000020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B24" authorId="0" shapeId="0" xr:uid="{00000000-0006-0000-0100-000021000000}">
      <text>
        <r>
          <rPr>
            <sz val="10"/>
            <color rgb="FF000000"/>
            <rFont val="Arial"/>
            <scheme val="minor"/>
          </rPr>
          <t>from autodil runs</t>
        </r>
      </text>
    </comment>
    <comment ref="C24" authorId="0" shapeId="0" xr:uid="{00000000-0006-0000-0100-000022000000}">
      <text>
        <r>
          <rPr>
            <sz val="10"/>
            <color rgb="FF000000"/>
            <rFont val="Arial"/>
            <scheme val="minor"/>
          </rPr>
          <t>from autodil runs</t>
        </r>
      </text>
    </comment>
    <comment ref="E24" authorId="0" shapeId="0" xr:uid="{00000000-0006-0000-0100-000023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G24" authorId="0" shapeId="0" xr:uid="{00000000-0006-0000-0100-000024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E25" authorId="0" shapeId="0" xr:uid="{00000000-0006-0000-0100-000025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E26" authorId="0" shapeId="0" xr:uid="{00000000-0006-0000-0100-000026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E27" authorId="0" shapeId="0" xr:uid="{00000000-0006-0000-0100-000027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G27" authorId="0" shapeId="0" xr:uid="{00000000-0006-0000-0100-000028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E28" authorId="0" shapeId="0" xr:uid="{00000000-0006-0000-0100-000029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G28" authorId="0" shapeId="0" xr:uid="{00000000-0006-0000-0100-00002A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E30" authorId="0" shapeId="0" xr:uid="{00000000-0006-0000-0100-00002B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G31" authorId="0" shapeId="0" xr:uid="{00000000-0006-0000-0100-00002C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B32" authorId="0" shapeId="0" xr:uid="{00000000-0006-0000-0100-00002D000000}">
      <text>
        <r>
          <rPr>
            <sz val="10"/>
            <color rgb="FF000000"/>
            <rFont val="Arial"/>
            <scheme val="minor"/>
          </rPr>
          <t>from autodil runs</t>
        </r>
      </text>
    </comment>
    <comment ref="C32" authorId="0" shapeId="0" xr:uid="{00000000-0006-0000-0100-00002E000000}">
      <text>
        <r>
          <rPr>
            <sz val="10"/>
            <color rgb="FF000000"/>
            <rFont val="Arial"/>
            <scheme val="minor"/>
          </rPr>
          <t>from autodil runs</t>
        </r>
      </text>
    </comment>
    <comment ref="E32" authorId="0" shapeId="0" xr:uid="{00000000-0006-0000-0100-00002F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E33" authorId="0" shapeId="0" xr:uid="{00000000-0006-0000-0100-000030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G33" authorId="0" shapeId="0" xr:uid="{00000000-0006-0000-0100-000031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E34" authorId="0" shapeId="0" xr:uid="{00000000-0006-0000-0100-000032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G34" authorId="0" shapeId="0" xr:uid="{00000000-0006-0000-0100-000033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E35" authorId="0" shapeId="0" xr:uid="{00000000-0006-0000-0100-000034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E36" authorId="0" shapeId="0" xr:uid="{00000000-0006-0000-0100-000035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G36" authorId="0" shapeId="0" xr:uid="{00000000-0006-0000-0100-000036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B37" authorId="0" shapeId="0" xr:uid="{00000000-0006-0000-0100-000037000000}">
      <text>
        <r>
          <rPr>
            <sz val="10"/>
            <color rgb="FF000000"/>
            <rFont val="Arial"/>
            <scheme val="minor"/>
          </rPr>
          <t>from autodil runs</t>
        </r>
      </text>
    </comment>
    <comment ref="C37" authorId="0" shapeId="0" xr:uid="{00000000-0006-0000-0100-000038000000}">
      <text>
        <r>
          <rPr>
            <sz val="10"/>
            <color rgb="FF000000"/>
            <rFont val="Arial"/>
            <scheme val="minor"/>
          </rPr>
          <t>from autodil runs</t>
        </r>
      </text>
    </comment>
    <comment ref="E37" authorId="0" shapeId="0" xr:uid="{00000000-0006-0000-0100-000039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G37" authorId="0" shapeId="0" xr:uid="{00000000-0006-0000-0100-00003A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B38" authorId="0" shapeId="0" xr:uid="{00000000-0006-0000-0100-00003B000000}">
      <text>
        <r>
          <rPr>
            <sz val="10"/>
            <color rgb="FF000000"/>
            <rFont val="Arial"/>
            <scheme val="minor"/>
          </rPr>
          <t>from autodil runs</t>
        </r>
      </text>
    </comment>
    <comment ref="C38" authorId="0" shapeId="0" xr:uid="{00000000-0006-0000-0100-00003C000000}">
      <text>
        <r>
          <rPr>
            <sz val="10"/>
            <color rgb="FF000000"/>
            <rFont val="Arial"/>
            <scheme val="minor"/>
          </rPr>
          <t>from autodil runs</t>
        </r>
      </text>
    </comment>
    <comment ref="E38" authorId="0" shapeId="0" xr:uid="{00000000-0006-0000-0100-00003D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F38" authorId="0" shapeId="0" xr:uid="{00000000-0006-0000-0100-00003E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G38" authorId="0" shapeId="0" xr:uid="{00000000-0006-0000-0100-00003F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B39" authorId="0" shapeId="0" xr:uid="{00000000-0006-0000-0100-000040000000}">
      <text>
        <r>
          <rPr>
            <sz val="10"/>
            <color rgb="FF000000"/>
            <rFont val="Arial"/>
            <scheme val="minor"/>
          </rPr>
          <t>from autodil runs</t>
        </r>
      </text>
    </comment>
    <comment ref="C39" authorId="0" shapeId="0" xr:uid="{00000000-0006-0000-0100-000041000000}">
      <text>
        <r>
          <rPr>
            <sz val="10"/>
            <color rgb="FF000000"/>
            <rFont val="Arial"/>
            <scheme val="minor"/>
          </rPr>
          <t>from autodil runs</t>
        </r>
      </text>
    </comment>
    <comment ref="E39" authorId="0" shapeId="0" xr:uid="{00000000-0006-0000-0100-000042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G39" authorId="0" shapeId="0" xr:uid="{00000000-0006-0000-0100-000043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E40" authorId="0" shapeId="0" xr:uid="{00000000-0006-0000-0100-000044000000}">
      <text>
        <r>
          <rPr>
            <sz val="10"/>
            <color rgb="FF000000"/>
            <rFont val="Arial"/>
            <scheme val="minor"/>
          </rPr>
          <t>below LoD</t>
        </r>
      </text>
    </comment>
    <comment ref="B41" authorId="0" shapeId="0" xr:uid="{00000000-0006-0000-0100-000045000000}">
      <text>
        <r>
          <rPr>
            <sz val="10"/>
            <color rgb="FF000000"/>
            <rFont val="Arial"/>
            <scheme val="minor"/>
          </rPr>
          <t>from autodil runs</t>
        </r>
      </text>
    </comment>
    <comment ref="C41" authorId="0" shapeId="0" xr:uid="{00000000-0006-0000-0100-000046000000}">
      <text>
        <r>
          <rPr>
            <sz val="10"/>
            <color rgb="FF000000"/>
            <rFont val="Arial"/>
            <scheme val="minor"/>
          </rPr>
          <t>from autodil runs</t>
        </r>
      </text>
    </comment>
    <comment ref="E41" authorId="0" shapeId="0" xr:uid="{00000000-0006-0000-0100-000047000000}">
      <text>
        <r>
          <rPr>
            <sz val="10"/>
            <color rgb="FF000000"/>
            <rFont val="Arial"/>
            <scheme val="minor"/>
          </rPr>
          <t>below LoD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4" authorId="0" shapeId="0" xr:uid="{00000000-0006-0000-0300-000001000000}">
      <text>
        <r>
          <rPr>
            <sz val="10"/>
            <color rgb="FF000000"/>
            <rFont val="Arial"/>
            <scheme val="minor"/>
          </rPr>
          <t>val = 1881693.27 (removed to improve curve)</t>
        </r>
      </text>
    </comment>
    <comment ref="G5" authorId="0" shapeId="0" xr:uid="{00000000-0006-0000-0300-000002000000}">
      <text>
        <r>
          <rPr>
            <sz val="10"/>
            <color rgb="FF000000"/>
            <rFont val="Arial"/>
            <scheme val="minor"/>
          </rPr>
          <t>removed value ( = 12505272.11) to improve curve</t>
        </r>
      </text>
    </comment>
    <comment ref="H5" authorId="0" shapeId="0" xr:uid="{00000000-0006-0000-0300-000003000000}">
      <text>
        <r>
          <rPr>
            <sz val="10"/>
            <color rgb="FF000000"/>
            <rFont val="Arial"/>
            <scheme val="minor"/>
          </rPr>
          <t>val = 1866717.85 (removed to improve curve)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13" authorId="0" shapeId="0" xr:uid="{00000000-0006-0000-0500-000001000000}">
      <text>
        <r>
          <rPr>
            <sz val="10"/>
            <color rgb="FF000000"/>
            <rFont val="Arial"/>
            <scheme val="minor"/>
          </rPr>
          <t>averaged 062522 DOC values</t>
        </r>
      </text>
    </comment>
    <comment ref="F14" authorId="0" shapeId="0" xr:uid="{00000000-0006-0000-0500-000002000000}">
      <text>
        <r>
          <rPr>
            <sz val="10"/>
            <color rgb="FF000000"/>
            <rFont val="Arial"/>
            <scheme val="minor"/>
          </rPr>
          <t>averaged 062522 DOC values</t>
        </r>
      </text>
    </comment>
    <comment ref="F15" authorId="0" shapeId="0" xr:uid="{00000000-0006-0000-0500-000003000000}">
      <text>
        <r>
          <rPr>
            <sz val="10"/>
            <color rgb="FF000000"/>
            <rFont val="Arial"/>
            <scheme val="minor"/>
          </rPr>
          <t>averaged 062522 DOC values</t>
        </r>
      </text>
    </comment>
    <comment ref="F16" authorId="0" shapeId="0" xr:uid="{00000000-0006-0000-0500-000004000000}">
      <text>
        <r>
          <rPr>
            <sz val="10"/>
            <color rgb="FF000000"/>
            <rFont val="Arial"/>
            <scheme val="minor"/>
          </rPr>
          <t>averaged 070822 DOC values</t>
        </r>
      </text>
    </comment>
    <comment ref="F17" authorId="0" shapeId="0" xr:uid="{00000000-0006-0000-0500-000005000000}">
      <text>
        <r>
          <rPr>
            <sz val="10"/>
            <color rgb="FF000000"/>
            <rFont val="Arial"/>
            <scheme val="minor"/>
          </rPr>
          <t>averaged 070822 DOC values</t>
        </r>
      </text>
    </comment>
    <comment ref="F18" authorId="0" shapeId="0" xr:uid="{00000000-0006-0000-0500-000006000000}">
      <text>
        <r>
          <rPr>
            <sz val="10"/>
            <color rgb="FF000000"/>
            <rFont val="Arial"/>
            <scheme val="minor"/>
          </rPr>
          <t>averaged 070822 DOC values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4" authorId="0" shapeId="0" xr:uid="{00000000-0006-0000-0600-000001000000}">
      <text>
        <r>
          <rPr>
            <sz val="10"/>
            <color rgb="FF000000"/>
            <rFont val="Arial"/>
            <scheme val="minor"/>
          </rPr>
          <t>removed value ( = 2665412.1) to improve curve</t>
        </r>
      </text>
    </comment>
    <comment ref="H4" authorId="0" shapeId="0" xr:uid="{00000000-0006-0000-0600-000002000000}">
      <text>
        <r>
          <rPr>
            <sz val="10"/>
            <color rgb="FF000000"/>
            <rFont val="Arial"/>
            <scheme val="minor"/>
          </rPr>
          <t>removed value ( = 1954199.28) to improve curve</t>
        </r>
      </text>
    </comment>
    <comment ref="G5" authorId="0" shapeId="0" xr:uid="{00000000-0006-0000-0600-000003000000}">
      <text>
        <r>
          <rPr>
            <sz val="10"/>
            <color rgb="FF000000"/>
            <rFont val="Arial"/>
            <scheme val="minor"/>
          </rPr>
          <t>removed value ( = 12170270.19) to improve curve</t>
        </r>
      </text>
    </comment>
    <comment ref="H5" authorId="0" shapeId="0" xr:uid="{00000000-0006-0000-0600-000004000000}">
      <text>
        <r>
          <rPr>
            <sz val="10"/>
            <color rgb="FF000000"/>
            <rFont val="Arial"/>
            <scheme val="minor"/>
          </rPr>
          <t>removed value ( = 1841269.07) to improve curve</t>
        </r>
      </text>
    </comment>
    <comment ref="E6" authorId="0" shapeId="0" xr:uid="{00000000-0006-0000-0600-000005000000}">
      <text>
        <r>
          <rPr>
            <sz val="10"/>
            <color rgb="FF000000"/>
            <rFont val="Arial"/>
            <scheme val="minor"/>
          </rPr>
          <t>removed value ( = 1078692.7) to improve curve</t>
        </r>
      </text>
    </comment>
    <comment ref="F19" authorId="0" shapeId="0" xr:uid="{00000000-0006-0000-0600-000006000000}">
      <text>
        <r>
          <rPr>
            <sz val="10"/>
            <color rgb="FF000000"/>
            <rFont val="Arial"/>
            <scheme val="minor"/>
          </rPr>
          <t>removed value ( = 185262.89) to improve curve</t>
        </r>
      </text>
    </comment>
    <comment ref="G20" authorId="0" shapeId="0" xr:uid="{00000000-0006-0000-0600-000007000000}">
      <text>
        <r>
          <rPr>
            <sz val="10"/>
            <color rgb="FF000000"/>
            <rFont val="Arial"/>
            <scheme val="minor"/>
          </rPr>
          <t>removed value ( = 13789438.7) to improve curve</t>
        </r>
      </text>
    </comment>
    <comment ref="H20" authorId="0" shapeId="0" xr:uid="{00000000-0006-0000-0600-000008000000}">
      <text>
        <r>
          <rPr>
            <sz val="10"/>
            <color rgb="FF000000"/>
            <rFont val="Arial"/>
            <scheme val="minor"/>
          </rPr>
          <t>removed value ( = 1848846.05) to improve curve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S23" authorId="0" shapeId="0" xr:uid="{00000000-0006-0000-0700-000001000000}">
      <text>
        <r>
          <rPr>
            <sz val="10"/>
            <color rgb="FF000000"/>
            <rFont val="Arial"/>
            <scheme val="minor"/>
          </rPr>
          <t>calculated negative conc. - removed</t>
        </r>
      </text>
    </comment>
    <comment ref="Z23" authorId="0" shapeId="0" xr:uid="{00000000-0006-0000-0700-000002000000}">
      <text>
        <r>
          <rPr>
            <sz val="10"/>
            <color rgb="FF000000"/>
            <rFont val="Arial"/>
            <scheme val="minor"/>
          </rPr>
          <t>calculated negative conc. - removed</t>
        </r>
      </text>
    </comment>
    <comment ref="AG23" authorId="0" shapeId="0" xr:uid="{00000000-0006-0000-0700-000003000000}">
      <text>
        <r>
          <rPr>
            <sz val="10"/>
            <color rgb="FF000000"/>
            <rFont val="Arial"/>
            <scheme val="minor"/>
          </rPr>
          <t>calculated negative conc. - removed</t>
        </r>
      </text>
    </comment>
    <comment ref="S24" authorId="0" shapeId="0" xr:uid="{00000000-0006-0000-0700-000004000000}">
      <text>
        <r>
          <rPr>
            <sz val="10"/>
            <color rgb="FF000000"/>
            <rFont val="Arial"/>
            <scheme val="minor"/>
          </rPr>
          <t>calculated negative conc. - removed</t>
        </r>
      </text>
    </comment>
    <comment ref="Z24" authorId="0" shapeId="0" xr:uid="{00000000-0006-0000-0700-000005000000}">
      <text>
        <r>
          <rPr>
            <sz val="10"/>
            <color rgb="FF000000"/>
            <rFont val="Arial"/>
            <scheme val="minor"/>
          </rPr>
          <t>calculated negative conc. - removed</t>
        </r>
      </text>
    </comment>
    <comment ref="AG24" authorId="0" shapeId="0" xr:uid="{00000000-0006-0000-0700-000006000000}">
      <text>
        <r>
          <rPr>
            <sz val="10"/>
            <color rgb="FF000000"/>
            <rFont val="Arial"/>
            <scheme val="minor"/>
          </rPr>
          <t>calculated negative conc. - removed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2" authorId="0" shapeId="0" xr:uid="{00000000-0006-0000-0800-000001000000}">
      <text>
        <r>
          <rPr>
            <sz val="10"/>
            <color rgb="FF000000"/>
            <rFont val="Arial"/>
            <scheme val="minor"/>
          </rPr>
          <t>ACTUAL RESULT: &lt;0.5</t>
        </r>
      </text>
    </comment>
    <comment ref="F5" authorId="0" shapeId="0" xr:uid="{00000000-0006-0000-0800-000002000000}">
      <text>
        <r>
          <rPr>
            <sz val="10"/>
            <color rgb="FF000000"/>
            <rFont val="Arial"/>
            <scheme val="minor"/>
          </rPr>
          <t>ACTUAL RESULT: &lt;0.2</t>
        </r>
      </text>
    </comment>
    <comment ref="F7" authorId="0" shapeId="0" xr:uid="{00000000-0006-0000-0800-000003000000}">
      <text>
        <r>
          <rPr>
            <sz val="10"/>
            <color rgb="FF000000"/>
            <rFont val="Arial"/>
            <scheme val="minor"/>
          </rPr>
          <t>ACTUAL RESULT: &lt;0.2</t>
        </r>
      </text>
    </comment>
    <comment ref="F8" authorId="0" shapeId="0" xr:uid="{00000000-0006-0000-0800-000004000000}">
      <text>
        <r>
          <rPr>
            <sz val="10"/>
            <color rgb="FF000000"/>
            <rFont val="Arial"/>
            <scheme val="minor"/>
          </rPr>
          <t>ACTUAL RESULT: &lt;0.2</t>
        </r>
      </text>
    </comment>
    <comment ref="F10" authorId="0" shapeId="0" xr:uid="{00000000-0006-0000-0800-000005000000}">
      <text>
        <r>
          <rPr>
            <sz val="10"/>
            <color rgb="FF000000"/>
            <rFont val="Arial"/>
            <scheme val="minor"/>
          </rPr>
          <t>ACTUAL RESULT: &lt;0.2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5" authorId="0" shapeId="0" xr:uid="{00000000-0006-0000-0900-000001000000}">
      <text>
        <r>
          <rPr>
            <sz val="10"/>
            <color rgb="FF000000"/>
            <rFont val="Arial"/>
            <scheme val="minor"/>
          </rPr>
          <t>removed value ( = 13518132.47) to improve curve</t>
        </r>
      </text>
    </comment>
    <comment ref="H5" authorId="0" shapeId="0" xr:uid="{00000000-0006-0000-0900-000002000000}">
      <text>
        <r>
          <rPr>
            <sz val="10"/>
            <color rgb="FF000000"/>
            <rFont val="Arial"/>
            <scheme val="minor"/>
          </rPr>
          <t>removed value ( = 1865280.33) to improve curve</t>
        </r>
      </text>
    </comment>
    <comment ref="G20" authorId="0" shapeId="0" xr:uid="{00000000-0006-0000-0900-000003000000}">
      <text>
        <r>
          <rPr>
            <sz val="10"/>
            <color rgb="FF000000"/>
            <rFont val="Arial"/>
            <scheme val="minor"/>
          </rPr>
          <t>removed value ( = 13424965.34) to improve curve</t>
        </r>
      </text>
    </comment>
    <comment ref="H20" authorId="0" shapeId="0" xr:uid="{00000000-0006-0000-0900-000004000000}">
      <text>
        <r>
          <rPr>
            <sz val="10"/>
            <color rgb="FF000000"/>
            <rFont val="Arial"/>
            <scheme val="minor"/>
          </rPr>
          <t>removed value ( = 1756737.32) to improve curve</t>
        </r>
      </text>
    </comment>
    <comment ref="F21" authorId="0" shapeId="0" xr:uid="{00000000-0006-0000-0900-000005000000}">
      <text>
        <r>
          <rPr>
            <sz val="10"/>
            <color rgb="FF000000"/>
            <rFont val="Arial"/>
            <scheme val="minor"/>
          </rPr>
          <t>removed value ( = 153461.05) to improve curve</t>
        </r>
      </text>
    </comment>
  </commentList>
</comments>
</file>

<file path=xl/sharedStrings.xml><?xml version="1.0" encoding="utf-8"?>
<sst xmlns="http://schemas.openxmlformats.org/spreadsheetml/2006/main" count="1463" uniqueCount="367">
  <si>
    <t>Sample ID</t>
  </si>
  <si>
    <t>Axis Label</t>
  </si>
  <si>
    <t>Sample Collection Date</t>
  </si>
  <si>
    <t>Sample Location</t>
  </si>
  <si>
    <t>Sample Location Description</t>
  </si>
  <si>
    <t>Sample Collection Time (Local)</t>
  </si>
  <si>
    <t>Latitude (N)</t>
  </si>
  <si>
    <t>Longitude (E)</t>
  </si>
  <si>
    <t>Elevation (m asl)</t>
  </si>
  <si>
    <t>Sample Type</t>
  </si>
  <si>
    <t>Season</t>
  </si>
  <si>
    <t>Year</t>
  </si>
  <si>
    <t>Early vs. Late Season (March-July vs. August-October)</t>
  </si>
  <si>
    <t>Denisty (kg/m3)</t>
  </si>
  <si>
    <t>Grain Size Estimate (µm)</t>
  </si>
  <si>
    <t>Snow Thickness Estimate (m)</t>
  </si>
  <si>
    <t>Cosine of Solar Zenith Angle</t>
  </si>
  <si>
    <t>Spectral Irradiance (Broadband Surface-Incident Solar Flux)</t>
  </si>
  <si>
    <t>Albedo (Broadband)</t>
  </si>
  <si>
    <t>RF</t>
  </si>
  <si>
    <t>[DOC] mg/L</t>
  </si>
  <si>
    <t>[DOC-Efficiency] mg/L</t>
  </si>
  <si>
    <t>[B6CA] uM</t>
  </si>
  <si>
    <t>[B5CA] uM</t>
  </si>
  <si>
    <t>[B4CA] uM</t>
  </si>
  <si>
    <t>[1,2,3-B3CA] uM</t>
  </si>
  <si>
    <t>[1,2,4-B3CA] uM</t>
  </si>
  <si>
    <t>[1,3,5-B5CA] uM</t>
  </si>
  <si>
    <t>[B3CA] uM</t>
  </si>
  <si>
    <t>Dittmar [DBC] µM-C IJV</t>
  </si>
  <si>
    <t>Dittmar [DBC] mg-C/L</t>
  </si>
  <si>
    <t>Dittmar [DBC] µg-C/L</t>
  </si>
  <si>
    <t>DBC:DOC (%) - Dittmar (2008)</t>
  </si>
  <si>
    <t>Sum BPCAs</t>
  </si>
  <si>
    <t>B6CA</t>
  </si>
  <si>
    <t>B5CA</t>
  </si>
  <si>
    <t>B4CA</t>
  </si>
  <si>
    <t>B3CA</t>
  </si>
  <si>
    <t>(B3+B4)/B5 (Khan)</t>
  </si>
  <si>
    <t>Ratio B6CA:B5CA</t>
  </si>
  <si>
    <t>Ratio B4CA:B3CA</t>
  </si>
  <si>
    <t>[B6CA] + [B5CA] uM</t>
  </si>
  <si>
    <t>[B4CA] + [B3CA] uM</t>
  </si>
  <si>
    <t>Ratio B6+B5:B4+B3</t>
  </si>
  <si>
    <t>Ratio B3+B4:B5+B6</t>
  </si>
  <si>
    <t>Stubbins [B6CA+B5CA] nM</t>
  </si>
  <si>
    <t>Stubbins [DBC] µM-C</t>
  </si>
  <si>
    <t>Stubbins [DBC] mg-C/L</t>
  </si>
  <si>
    <t>Stubbins [DBC] µg-C/L</t>
  </si>
  <si>
    <t>DBC:DOC (%) - Stubbins et al. (2015)</t>
  </si>
  <si>
    <t>2023-5-20-AP-DBC</t>
  </si>
  <si>
    <t>20-May-2023 (AP)</t>
  </si>
  <si>
    <t>Artist Point</t>
  </si>
  <si>
    <t>class sample near snow pit</t>
  </si>
  <si>
    <t>snow</t>
  </si>
  <si>
    <t>MAM</t>
  </si>
  <si>
    <t>Early</t>
  </si>
  <si>
    <t>2023-7-24-AP-DBC</t>
  </si>
  <si>
    <t>JJA</t>
  </si>
  <si>
    <t>2023-3-2-BB-DBC</t>
  </si>
  <si>
    <t>Bagley Basin</t>
  </si>
  <si>
    <t>above Bagley Basin, about 15 min walk from parking lot</t>
  </si>
  <si>
    <t>2023-5-6-BB-DBC</t>
  </si>
  <si>
    <t>Class sample spot near terminal lake</t>
  </si>
  <si>
    <t>2023-5-20-BB-DBC</t>
  </si>
  <si>
    <t>20-May-2023 (BB)</t>
  </si>
  <si>
    <t>above Bagley Basin, near upper restroom/visitor center</t>
  </si>
  <si>
    <t>2023-6-8-BB-DBC</t>
  </si>
  <si>
    <t>above Bagley Basin along south wall</t>
  </si>
  <si>
    <t>2023-6-26-BB-DBC</t>
  </si>
  <si>
    <t>2023-7-10-BB-DBC</t>
  </si>
  <si>
    <t>2023-7-17-BB-DBC</t>
  </si>
  <si>
    <t>2022-5-16-BB-DBC</t>
  </si>
  <si>
    <t>Lower Bagley Basin (LB)</t>
  </si>
  <si>
    <t>2022-6-BB-DBC</t>
  </si>
  <si>
    <t>Jun-2022</t>
  </si>
  <si>
    <t>2022-7-BB-DBC</t>
  </si>
  <si>
    <t>Jul-2022</t>
  </si>
  <si>
    <t>2023-8-6-CK-DBC</t>
  </si>
  <si>
    <t>Camp Kiser</t>
  </si>
  <si>
    <t>snow patch with bright red algae near Camp Kiser, above the Sholes Glacier</t>
  </si>
  <si>
    <t>Late</t>
  </si>
  <si>
    <t>2023-8-23-CK-DBC</t>
  </si>
  <si>
    <t>2022-8-11-EASTON-1-DBC</t>
  </si>
  <si>
    <t>Easton Glacier</t>
  </si>
  <si>
    <t>in debris-covered area near Deming Overlook</t>
  </si>
  <si>
    <t>2022-8-11-EASTON-sup-melt</t>
  </si>
  <si>
    <t>11-Aug-2022 (Melt)</t>
  </si>
  <si>
    <t>exposed blue ice near/above terminus</t>
  </si>
  <si>
    <t>supraglacial melt</t>
  </si>
  <si>
    <t>2022-07-14-NF2A</t>
  </si>
  <si>
    <t>14-Jul-2022 (NF)</t>
  </si>
  <si>
    <t>Narada Falls (Paradise River)</t>
  </si>
  <si>
    <t>Paradise River at Narada Falls</t>
  </si>
  <si>
    <t>river</t>
  </si>
  <si>
    <t>2022-8-15-NARADA</t>
  </si>
  <si>
    <t>15-Aug-2022 (NF)</t>
  </si>
  <si>
    <t>Narada Falls</t>
  </si>
  <si>
    <t>creek sample just above Narada Falls</t>
  </si>
  <si>
    <t>2022-07-14-PC1A</t>
  </si>
  <si>
    <t>14-Jul-2022 (PC)</t>
  </si>
  <si>
    <t>Pebble Creek</t>
  </si>
  <si>
    <t>Pebble Creek stream (high elevation)</t>
  </si>
  <si>
    <t>stream</t>
  </si>
  <si>
    <t>2022-8-15-PC</t>
  </si>
  <si>
    <t>15-Aug-2022 (PC)</t>
  </si>
  <si>
    <t>Pebble Creek water sample</t>
  </si>
  <si>
    <t>2022-9-15-PR-SNOW</t>
  </si>
  <si>
    <t>15-Sept-2022 (PR)</t>
  </si>
  <si>
    <t>Ptarmigan Ridge</t>
  </si>
  <si>
    <t>small snow patch along Ptarmigan Ridge trail</t>
  </si>
  <si>
    <t>SON</t>
  </si>
  <si>
    <t>2022-8-6-RAINBOW-1-DBC</t>
  </si>
  <si>
    <t>Rainbow Glacier</t>
  </si>
  <si>
    <t>sampling in area below Dorr fumarole - lots of red algae spread over a snow slope</t>
  </si>
  <si>
    <t>2022-8-5-SHOLES-1-DBC</t>
  </si>
  <si>
    <t>Sholes Glacier</t>
  </si>
  <si>
    <t>flat area beneath portals</t>
  </si>
  <si>
    <t>2022-9-15-SHOLES-1-DBC</t>
  </si>
  <si>
    <t>15-Sept-2022 (SH)</t>
  </si>
  <si>
    <t>edge of glacier near walking entrance (east)</t>
  </si>
  <si>
    <t>2022-9-15-NF</t>
  </si>
  <si>
    <t>15-Sept-2022 (NF)</t>
  </si>
  <si>
    <t>Nooksack River- North Fork</t>
  </si>
  <si>
    <t>Khan Lab NF sampling location near Warnick Bridge</t>
  </si>
  <si>
    <t>2022-9-25-SHOLES-1-DBC</t>
  </si>
  <si>
    <t>25-Sept-2022</t>
  </si>
  <si>
    <t>2022-9-25-NFE</t>
  </si>
  <si>
    <t>25-Sept-2022 (NF)</t>
  </si>
  <si>
    <t>Nooksack River - North Fork</t>
  </si>
  <si>
    <t>east of regular Khan NF sampling location - located
near the Salmon Ridge Sno-Park</t>
  </si>
  <si>
    <t>2022-10-14-SHOLES-1-DBC</t>
  </si>
  <si>
    <t>2022-7-15-MUIR-A-DBC</t>
  </si>
  <si>
    <t>Muir Snowfield</t>
  </si>
  <si>
    <t>elevation gradient up snowfield</t>
  </si>
  <si>
    <t>2022-8-15-MUIR-1-DBC</t>
  </si>
  <si>
    <t>elev profile down Muir Snowfield - tried to sample away from where people were walking
snow was very dirty- tried to sample where there was less dust/dirt</t>
  </si>
  <si>
    <t>2022-10-14-NF</t>
  </si>
  <si>
    <t>14-Oct-2022 (NF)</t>
  </si>
  <si>
    <t>2022-11-19-NF-KHAN4-DBC</t>
  </si>
  <si>
    <t>19-Nov-2022 (NF)</t>
  </si>
  <si>
    <t>Nooksack River (NF)</t>
  </si>
  <si>
    <t>north fork</t>
  </si>
  <si>
    <t>in original sample</t>
  </si>
  <si>
    <t>FINAL [BPCA] USED - in original sample</t>
  </si>
  <si>
    <t>[BPCA] standard deviation</t>
  </si>
  <si>
    <t>[B6CA] stdev</t>
  </si>
  <si>
    <t>[B5CA] stdev</t>
  </si>
  <si>
    <t>[B4CA] stdev</t>
  </si>
  <si>
    <t>[B3CA] stdev</t>
  </si>
  <si>
    <t>2022-7-15-MUIR-A-DBC-a</t>
  </si>
  <si>
    <t>2022-7-15-MUIR-A-DBC-b</t>
  </si>
  <si>
    <t>2022-8-5-SHOLES-1-DBC-a</t>
  </si>
  <si>
    <t>2022-8-5-SHOLES-1-DBC-b</t>
  </si>
  <si>
    <t>2022-6-BB-DBC-a</t>
  </si>
  <si>
    <t>2022-6-BB-DBC-b</t>
  </si>
  <si>
    <t>2022-6-BB-DBC-c</t>
  </si>
  <si>
    <t>2022-7-BB-DBC-a</t>
  </si>
  <si>
    <t>2022-7-BB-DBC-b</t>
  </si>
  <si>
    <t>2022-7-BB-DBC-c</t>
  </si>
  <si>
    <t>2023-5-6-BB-DBC-a</t>
  </si>
  <si>
    <t>2023-5-6-BB-DBC-b</t>
  </si>
  <si>
    <t>Location</t>
  </si>
  <si>
    <t>Date SPE Start</t>
  </si>
  <si>
    <t>Date SPE Finish</t>
  </si>
  <si>
    <t>V-SPE (mL)</t>
  </si>
  <si>
    <t>DOC (mg/L)</t>
  </si>
  <si>
    <t>DOC-SPE (uM)</t>
  </si>
  <si>
    <t>Empty Vial (g)</t>
  </si>
  <si>
    <t>Full Vial (g)</t>
  </si>
  <si>
    <t>V-MeOH (mL) (scale)</t>
  </si>
  <si>
    <t>V-MeOH (mL) (pipette)</t>
  </si>
  <si>
    <t>DOC-PPL (uM)</t>
  </si>
  <si>
    <t>DOC-PPL (mM)</t>
  </si>
  <si>
    <t>DOC-MeOH (mg/L)</t>
  </si>
  <si>
    <t>mg-DOC ox (SPE-DOC (mg))</t>
  </si>
  <si>
    <t>V-MeOH to dry (ml)</t>
  </si>
  <si>
    <t xml:space="preserve">#1 V-MeOH added (mL) </t>
  </si>
  <si>
    <t>#2 V-MeOH added (mL)</t>
  </si>
  <si>
    <t>#3 V-MeOH added (mL)</t>
  </si>
  <si>
    <t>#4 V-MeOH added (mL)</t>
  </si>
  <si>
    <t>#5 V-MeOH added (mL)</t>
  </si>
  <si>
    <t>Final V-MeOH to dry (mL)</t>
  </si>
  <si>
    <t>Final mg-DOC ox (mg)</t>
  </si>
  <si>
    <t>V-Mobile (uL)</t>
  </si>
  <si>
    <t>Target DOC for BPCA injection (umol/mL)</t>
  </si>
  <si>
    <t>Notes</t>
  </si>
  <si>
    <t>&lt;-- this value must be 180 umol/mL or greater for BPCA detection</t>
  </si>
  <si>
    <t>0.09</t>
  </si>
  <si>
    <t>0.29</t>
  </si>
  <si>
    <t>2022-11-19-NF</t>
  </si>
  <si>
    <t>sample identifier</t>
  </si>
  <si>
    <t>Sample V (mL)</t>
  </si>
  <si>
    <t>volume of sample passed through SPE cartridge; volume of filtered water extracted (MEASURED)</t>
  </si>
  <si>
    <t>Sample DOC (uM)</t>
  </si>
  <si>
    <t>concentration of DOC in filtered sample water (MEASURED)</t>
  </si>
  <si>
    <t>V MeOH (mL)</t>
  </si>
  <si>
    <t>volume of methanol used to elute DOC from SPE cartridge (MEASURED)</t>
  </si>
  <si>
    <t>concentration of DOC in methanol eluate (CALCULATED) Assumes 60% recovery (40% loss) this may need to be adjusted depending on sample type. Riverine samples can have 60-80% recovery whereas highly photodegraded samples or oceanic samples can have ~45% recovery. For unknown samples, we recommend estimating a 50% SPE recovery.</t>
  </si>
  <si>
    <t>mg-DOC ox</t>
  </si>
  <si>
    <t>target amount of DOC that needs to be oxidized for BPCA analysis (USUALLY 0.5 mg-C; can be modified based on expected sample composition; best practice is to keep this mass as consistent as possible throughout a given sample set)</t>
  </si>
  <si>
    <t>V MeOH to dry</t>
  </si>
  <si>
    <t>volume of methanol eluate that needs to be transferred to glass ampule; based on DOC-PPL concentration (CALCULATED)</t>
  </si>
  <si>
    <t>V mobile (uL)</t>
  </si>
  <si>
    <t>volume of mobile phase used to re-dissolve BPCAs in vial for HPLC analysis (USUALLY 200uL; volume can be decreased if C concentration is low or increased if C concentration is extremely high)</t>
  </si>
  <si>
    <t>Est. Extraction Efficiency</t>
  </si>
  <si>
    <r>
      <rPr>
        <b/>
        <sz val="11"/>
        <color theme="1"/>
        <rFont val="Calibri"/>
      </rPr>
      <t>r</t>
    </r>
    <r>
      <rPr>
        <b/>
        <sz val="11"/>
        <color theme="1"/>
        <rFont val="Calibri"/>
      </rPr>
      <t>MeOH (g/mL)</t>
    </r>
  </si>
  <si>
    <t>this value must be 180 umol/mL or greater for BPCA detection</t>
  </si>
  <si>
    <t>Fill in with your own values</t>
  </si>
  <si>
    <t>Highlighted for emphasis</t>
  </si>
  <si>
    <t>Peak Areas</t>
  </si>
  <si>
    <t>Retention Time (min)</t>
  </si>
  <si>
    <t>*for all samples other than 11/19/22 NF</t>
  </si>
  <si>
    <t>Std Conc. (uM-C)</t>
  </si>
  <si>
    <t>B6CA (area)</t>
  </si>
  <si>
    <t>B5CA (area)</t>
  </si>
  <si>
    <t>B4CA (area)</t>
  </si>
  <si>
    <t>1,2,3-B3CA (area)</t>
  </si>
  <si>
    <t>1,2,4-B3CA (area)</t>
  </si>
  <si>
    <t>1,3,5-B5CA (area)</t>
  </si>
  <si>
    <t>B6CA (rt)</t>
  </si>
  <si>
    <t>B5CA (rt)</t>
  </si>
  <si>
    <t>B4CA (rt)</t>
  </si>
  <si>
    <t>1,2,3-B3CA (rt)</t>
  </si>
  <si>
    <t>1,2,4-B3CA (rt)</t>
  </si>
  <si>
    <t>1,3,5-B5CA (rt)</t>
  </si>
  <si>
    <t>concentration of BPCA-C standard solution (this concentration is a CARBON concentration, see Wagner et al., 2017)</t>
  </si>
  <si>
    <t>BPCA (area)</t>
  </si>
  <si>
    <t>area of BPCA peak integrated from chromatogram (MEASURED)</t>
  </si>
  <si>
    <t>BPCA (rt)</t>
  </si>
  <si>
    <t>retention time of BPCA peak (MEASURED)</t>
  </si>
  <si>
    <t>BPCA (mass)</t>
  </si>
  <si>
    <t>mass of BPCA used to make 5000 uM BPCA-C stock solution using 100 mL of solute (MEASURED)</t>
  </si>
  <si>
    <t>[BPCA] uM</t>
  </si>
  <si>
    <t>concentration of individual BPCA in standard solutions (CALCULATED)</t>
  </si>
  <si>
    <t>volume (mL) of solute (0.6M phosphoric acid) used to creat 5000 uM-C BPCA stock solution</t>
  </si>
  <si>
    <t>B6CA (mass)</t>
  </si>
  <si>
    <t>B5CA (mass)</t>
  </si>
  <si>
    <t>B4CA (mass)</t>
  </si>
  <si>
    <t>1,2,3-B3CA (mass)</t>
  </si>
  <si>
    <t>1,2,4-B5CA (mass)</t>
  </si>
  <si>
    <t>1,3,5-B5CA (mass)</t>
  </si>
  <si>
    <t>mass for 5000 uM BPCA-C (mg)</t>
  </si>
  <si>
    <r>
      <rPr>
        <sz val="11"/>
        <rFont val="Calibri"/>
      </rPr>
      <t xml:space="preserve">(copied from </t>
    </r>
    <r>
      <rPr>
        <u/>
        <sz val="11"/>
        <color rgb="FF1155CC"/>
        <rFont val="Calibri"/>
      </rPr>
      <t>standards spreadsheet</t>
    </r>
    <r>
      <rPr>
        <sz val="11"/>
        <rFont val="Calibri"/>
      </rPr>
      <t>)</t>
    </r>
  </si>
  <si>
    <t>14 mg B6CA</t>
  </si>
  <si>
    <t>1 g BPCA</t>
  </si>
  <si>
    <t>1 mol</t>
  </si>
  <si>
    <t>1000 mmol</t>
  </si>
  <si>
    <t>1000 umol</t>
  </si>
  <si>
    <t>1000 mL</t>
  </si>
  <si>
    <t>=</t>
  </si>
  <si>
    <t>409 uM</t>
  </si>
  <si>
    <t>[1,2,4-B5CA] uM</t>
  </si>
  <si>
    <t>in 100 mL</t>
  </si>
  <si>
    <t>1000 mg BPCA</t>
  </si>
  <si>
    <t>342.17 g B6CA</t>
  </si>
  <si>
    <t>1 mmol</t>
  </si>
  <si>
    <t>1 L</t>
  </si>
  <si>
    <t>Calibration Equations are highlighted for emphasis</t>
  </si>
  <si>
    <t>Note: calibration equations for B6CA and B5CA are used for DBC calculations</t>
  </si>
  <si>
    <t xml:space="preserve"> </t>
  </si>
  <si>
    <t>1,2,3-B3CA</t>
  </si>
  <si>
    <t>1,2,4-B5CA</t>
  </si>
  <si>
    <t>1,3,5-B5CA</t>
  </si>
  <si>
    <t>slope</t>
  </si>
  <si>
    <t>intercept</t>
  </si>
  <si>
    <t>r^2</t>
  </si>
  <si>
    <t>BPCA formula</t>
  </si>
  <si>
    <t>molar mass (g/mol)</t>
  </si>
  <si>
    <t># C atoms</t>
  </si>
  <si>
    <r>
      <rPr>
        <sz val="11"/>
        <rFont val="Calibri"/>
      </rPr>
      <t xml:space="preserve">(copied from </t>
    </r>
    <r>
      <rPr>
        <u/>
        <sz val="11"/>
        <color rgb="FF1155CC"/>
        <rFont val="Calibri"/>
      </rPr>
      <t>standards spreadsheet</t>
    </r>
    <r>
      <rPr>
        <sz val="11"/>
        <rFont val="Calibri"/>
      </rPr>
      <t>)</t>
    </r>
  </si>
  <si>
    <t>1st LC run 2/22/2024</t>
  </si>
  <si>
    <t>*for 11/19/24 NF sample only</t>
  </si>
  <si>
    <r>
      <rPr>
        <sz val="11"/>
        <rFont val="Calibri"/>
      </rPr>
      <t xml:space="preserve">(copied from </t>
    </r>
    <r>
      <rPr>
        <u/>
        <sz val="11"/>
        <color rgb="FF1155CC"/>
        <rFont val="Calibri"/>
      </rPr>
      <t>standards spreadsheet</t>
    </r>
    <r>
      <rPr>
        <sz val="11"/>
        <rFont val="Calibri"/>
      </rPr>
      <t>)</t>
    </r>
  </si>
  <si>
    <r>
      <rPr>
        <sz val="11"/>
        <rFont val="Calibri"/>
      </rPr>
      <t xml:space="preserve">(copied from </t>
    </r>
    <r>
      <rPr>
        <u/>
        <sz val="11"/>
        <color rgb="FF1155CC"/>
        <rFont val="Calibri"/>
      </rPr>
      <t>standards spreadsheet</t>
    </r>
    <r>
      <rPr>
        <sz val="11"/>
        <rFont val="Calibri"/>
      </rPr>
      <t>)</t>
    </r>
  </si>
  <si>
    <t>under min LoD</t>
  </si>
  <si>
    <t>Slope</t>
  </si>
  <si>
    <t>Intercept</t>
  </si>
  <si>
    <t>Areas and Retention Times from HPLC + QTOF</t>
  </si>
  <si>
    <t>in HPLC vial</t>
  </si>
  <si>
    <t>in MeOH eluate</t>
  </si>
  <si>
    <t>Values necessary for calculations (Cascades 2022 River/Stream/Melt PPL tab)</t>
  </si>
  <si>
    <t>B6CA Peak A</t>
  </si>
  <si>
    <t>B5CA Peak A</t>
  </si>
  <si>
    <t>B4CA Peak A</t>
  </si>
  <si>
    <t>1,2,3-B3CA Peak A</t>
  </si>
  <si>
    <t>1,2,4-B3CA Peak A</t>
  </si>
  <si>
    <t>1,3,5-B5CA Peak A</t>
  </si>
  <si>
    <t>B6CA rt (min)</t>
  </si>
  <si>
    <t>B5CA rt (min)</t>
  </si>
  <si>
    <t>B4CA rt (min)</t>
  </si>
  <si>
    <t>1,2,3-B3CA rt (min)</t>
  </si>
  <si>
    <t>1,2,4-B3CA rt (min)</t>
  </si>
  <si>
    <t>1,3,5-B5CA rt (min)</t>
  </si>
  <si>
    <t>[DOC] uM-C</t>
  </si>
  <si>
    <t>[DOC] mg-C/L</t>
  </si>
  <si>
    <t>V Mobile (mL)</t>
  </si>
  <si>
    <t>V MeOH dried (mL)</t>
  </si>
  <si>
    <t>Integration Notes:</t>
  </si>
  <si>
    <t>Valley to Valley</t>
  </si>
  <si>
    <t>BPCA Peak A</t>
  </si>
  <si>
    <t>peak area from the HPLC (MEASURED)</t>
  </si>
  <si>
    <t>Minimum Area (0.5)</t>
  </si>
  <si>
    <t>rt (min)</t>
  </si>
  <si>
    <t>retention time of peak from the HPLC (MEASURED)</t>
  </si>
  <si>
    <t>Did not integrate shoulder on B5CA, no other shoulders seen</t>
  </si>
  <si>
    <t>[BPCA] uM in HPLC vial</t>
  </si>
  <si>
    <t>concentration of BPCA in the HPLC vial determined from peak area calibration (CALCULATED)</t>
  </si>
  <si>
    <t>[BPCA] uM in original sample</t>
  </si>
  <si>
    <t>concentration of B6CA scaled up to the original sample volume; note there are no BPCAs in the methanol eluate, rather this is useful for placing black carbon tracers "back into the original sample" (CALCULATED)</t>
  </si>
  <si>
    <t>[B6CA+B5CA]</t>
  </si>
  <si>
    <t>the sum of B6CA and B5CA concentrations to be used to calculate DBC concentration using Stubbins et al. (2015) Supplement (CALCULATED)</t>
  </si>
  <si>
    <t>[DBC]</t>
  </si>
  <si>
    <t>the concentration of dissolved black carbon using Stubbins et al. 2015 eqn (CALCULATED)</t>
  </si>
  <si>
    <t>DBC:DOC (%)</t>
  </si>
  <si>
    <t>the ratio between DBC and DOC (CALCULATED)</t>
  </si>
  <si>
    <t>[DOC]</t>
  </si>
  <si>
    <t>V mobile (mL)</t>
  </si>
  <si>
    <t>volume of mobile phase used to re-dissolve BPCAs in vial for HPLC analysis</t>
  </si>
  <si>
    <t>V MeOH dried</t>
  </si>
  <si>
    <t>volume of methanol eluate that was transferred to glass ampule and dried; based on DOC-PPL concentration (CALCULATED) this value may be different than the V MeOH to dry (see PPL tab) depending on procedure</t>
  </si>
  <si>
    <t>Important results are highlighted for emphasis</t>
  </si>
  <si>
    <t>Values should have carried over from BPCA Calculation sheet</t>
  </si>
  <si>
    <t>Important Notes:</t>
  </si>
  <si>
    <t>V mobile had a change of units from PPL tab</t>
  </si>
  <si>
    <t>[DOC] uM-C calculated from [DOC] mg-C/L</t>
  </si>
  <si>
    <t>V-MeOH to dry (mL)</t>
  </si>
  <si>
    <t>#5 V-MeOH added (ml)</t>
  </si>
  <si>
    <t>extremely slow. Took &gt; 3 weeks to process.</t>
  </si>
  <si>
    <t>extremely slow. Took &gt; 3 weeks to process. V (SPE) is likely under reported due to a spill.</t>
  </si>
  <si>
    <t>ampule tip broke when adding methanol</t>
  </si>
  <si>
    <t>3/4 bottle (1) from 5-16-22, averaged class DOC values from 5-16-22</t>
  </si>
  <si>
    <t>combined (2) full bottles from 6-25-22 and 6-30-22, used 6-25-22 A DOC value</t>
  </si>
  <si>
    <t>combined (1) bottle from 7-8-22 and (2) bottles from 7-25-22, averaged 7-25-22 1 and 2 and 7-8-22 1 DOC values</t>
  </si>
  <si>
    <r>
      <rPr>
        <b/>
        <sz val="11"/>
        <color theme="1"/>
        <rFont val="Calibri"/>
      </rPr>
      <t>r</t>
    </r>
    <r>
      <rPr>
        <b/>
        <sz val="11"/>
        <color theme="1"/>
        <rFont val="Calibri"/>
      </rPr>
      <t>MeOH (g/mL)</t>
    </r>
  </si>
  <si>
    <t>V MeOH to dry is highlighted for emphasis</t>
  </si>
  <si>
    <t>1st QTOF run 3/27/24</t>
  </si>
  <si>
    <t>2nd QTOF run 3/28/24</t>
  </si>
  <si>
    <r>
      <rPr>
        <sz val="11"/>
        <rFont val="Calibri"/>
      </rPr>
      <t xml:space="preserve">(copied from </t>
    </r>
    <r>
      <rPr>
        <u/>
        <sz val="11"/>
        <color rgb="FF1155CC"/>
        <rFont val="Calibri"/>
      </rPr>
      <t>standards spreadsheet</t>
    </r>
    <r>
      <rPr>
        <sz val="11"/>
        <rFont val="Calibri"/>
      </rPr>
      <t>)</t>
    </r>
  </si>
  <si>
    <r>
      <rPr>
        <sz val="11"/>
        <rFont val="Calibri"/>
      </rPr>
      <t xml:space="preserve">(copied from </t>
    </r>
    <r>
      <rPr>
        <u/>
        <sz val="11"/>
        <color rgb="FF1155CC"/>
        <rFont val="Calibri"/>
      </rPr>
      <t>standards spreadsheet</t>
    </r>
    <r>
      <rPr>
        <sz val="11"/>
        <rFont val="Calibri"/>
      </rPr>
      <t>)</t>
    </r>
  </si>
  <si>
    <t>Values necessary for calculations (Cascades Snow 2022 PPL tab)</t>
  </si>
  <si>
    <t>QTOF run 2</t>
  </si>
  <si>
    <t>vial empty after oxidation</t>
  </si>
  <si>
    <r>
      <rPr>
        <b/>
        <sz val="11"/>
        <color theme="1"/>
        <rFont val="Calibri"/>
      </rPr>
      <t>r</t>
    </r>
    <r>
      <rPr>
        <b/>
        <sz val="11"/>
        <color theme="1"/>
        <rFont val="Calibri"/>
      </rPr>
      <t>MeOH (g/mL)</t>
    </r>
  </si>
  <si>
    <t>1st QTOF run 3/21/24</t>
  </si>
  <si>
    <t>2nd QTOF run 3/22/24</t>
  </si>
  <si>
    <r>
      <rPr>
        <sz val="11"/>
        <rFont val="Calibri"/>
      </rPr>
      <t xml:space="preserve">(copied from </t>
    </r>
    <r>
      <rPr>
        <u/>
        <sz val="11"/>
        <color rgb="FF1155CC"/>
        <rFont val="Calibri"/>
      </rPr>
      <t>standards spreadsheet</t>
    </r>
    <r>
      <rPr>
        <sz val="11"/>
        <rFont val="Calibri"/>
      </rPr>
      <t>)</t>
    </r>
  </si>
  <si>
    <r>
      <rPr>
        <sz val="11"/>
        <rFont val="Calibri"/>
      </rPr>
      <t xml:space="preserve">(copied from </t>
    </r>
    <r>
      <rPr>
        <u/>
        <sz val="11"/>
        <color rgb="FF1155CC"/>
        <rFont val="Calibri"/>
      </rPr>
      <t>standards spreadsheet</t>
    </r>
    <r>
      <rPr>
        <sz val="11"/>
        <rFont val="Calibri"/>
      </rPr>
      <t>)</t>
    </r>
  </si>
  <si>
    <t>1,2,4-B3CA</t>
  </si>
  <si>
    <t xml:space="preserve">1,2,4-B3CA </t>
  </si>
  <si>
    <t>Values necessary for calculations (Baker 2023 PPL tab)</t>
  </si>
  <si>
    <t>1st QTOF run</t>
  </si>
  <si>
    <t>2nd QTOF run</t>
  </si>
  <si>
    <t>254 nm on LC</t>
  </si>
  <si>
    <t>1st LC run 5/6/2024</t>
  </si>
  <si>
    <t xml:space="preserve">2nd LC run </t>
  </si>
  <si>
    <t>3rd LC run 3/26/2024</t>
  </si>
  <si>
    <r>
      <rPr>
        <sz val="11"/>
        <rFont val="Calibri"/>
      </rPr>
      <t xml:space="preserve">(copied from </t>
    </r>
    <r>
      <rPr>
        <u/>
        <sz val="11"/>
        <color rgb="FF1155CC"/>
        <rFont val="Calibri"/>
      </rPr>
      <t>standards spreadsheet</t>
    </r>
    <r>
      <rPr>
        <sz val="11"/>
        <rFont val="Calibri"/>
      </rPr>
      <t>)</t>
    </r>
  </si>
  <si>
    <t>2nd LC run</t>
  </si>
  <si>
    <t>3rd LC run</t>
  </si>
  <si>
    <r>
      <rPr>
        <sz val="11"/>
        <rFont val="Calibri"/>
      </rPr>
      <t xml:space="preserve">(copied from </t>
    </r>
    <r>
      <rPr>
        <u/>
        <sz val="11"/>
        <color rgb="FF1155CC"/>
        <rFont val="Calibri"/>
      </rPr>
      <t>standards spreadsheet</t>
    </r>
    <r>
      <rPr>
        <sz val="11"/>
        <rFont val="Calibri"/>
      </rPr>
      <t>)</t>
    </r>
  </si>
  <si>
    <t>re-run 1</t>
  </si>
  <si>
    <t>re-run 2</t>
  </si>
  <si>
    <t>re-run 3</t>
  </si>
  <si>
    <t>Values necessary for calculations (from PPL tabs)</t>
  </si>
  <si>
    <t>2022-11-19-MF-KHAN5-DBC</t>
  </si>
  <si>
    <t>2022-12-17-MF-KHAN5-DBC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</si>
</sst>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yyyy&quot;-&quot;mm&quot;-&quot;dd"/>
    <numFmt numFmtId="165" formatCode="h&quot;:&quot;mm"/>
    <numFmt numFmtId="166" formatCode="yyyy"/>
    <numFmt numFmtId="167" formatCode="dd&quot;-&quot;mmm&quot;-&quot;yyyy"/>
    <numFmt numFmtId="168" formatCode="0.0000"/>
    <numFmt numFmtId="169" formatCode="0.000"/>
    <numFmt numFmtId="170" formatCode="0.0"/>
  </numFmts>
  <fonts count="13" x14ac:knownFonts="1">
    <font>
      <sz val="10"/>
      <color rgb="FF000000"/>
      <name val="Arial"/>
      <scheme val="minor"/>
    </font>
    <font>
      <b/>
      <sz val="11"/>
      <color theme="1"/>
      <name val="Calibri"/>
    </font>
    <font>
      <sz val="11"/>
      <color theme="1"/>
      <name val="Calibri"/>
    </font>
    <font>
      <sz val="10"/>
      <color theme="1"/>
      <name val="Arial"/>
      <scheme val="minor"/>
    </font>
    <font>
      <sz val="10"/>
      <color theme="1"/>
      <name val="Arial"/>
    </font>
    <font>
      <sz val="10"/>
      <name val="Arial"/>
    </font>
    <font>
      <b/>
      <sz val="11"/>
      <color rgb="FF000000"/>
      <name val="Calibri"/>
    </font>
    <font>
      <i/>
      <sz val="11"/>
      <color theme="1"/>
      <name val="Calibri"/>
    </font>
    <font>
      <u/>
      <sz val="11"/>
      <color rgb="FF0000FF"/>
      <name val="Calibri"/>
    </font>
    <font>
      <b/>
      <sz val="11"/>
      <color rgb="FFC0504D"/>
      <name val="Calibri"/>
    </font>
    <font>
      <sz val="11"/>
      <color rgb="FF000000"/>
      <name val="Calibri"/>
    </font>
    <font>
      <sz val="11"/>
      <name val="Calibri"/>
    </font>
    <font>
      <u/>
      <sz val="11"/>
      <color rgb="FF1155CC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D9D2E9"/>
        <bgColor rgb="FFD9D2E9"/>
      </patternFill>
    </fill>
    <fill>
      <patternFill patternType="solid">
        <fgColor rgb="FFD9EAD3"/>
        <bgColor rgb="FFD9EAD3"/>
      </patternFill>
    </fill>
    <fill>
      <patternFill patternType="solid">
        <fgColor rgb="FFEAF1DD"/>
        <bgColor rgb="FFEAF1DD"/>
      </patternFill>
    </fill>
    <fill>
      <patternFill patternType="solid">
        <fgColor rgb="FFE5DFEC"/>
        <bgColor rgb="FFE5DFEC"/>
      </patternFill>
    </fill>
    <fill>
      <patternFill patternType="solid">
        <fgColor rgb="FFF4CCCC"/>
        <bgColor rgb="FFF4CCCC"/>
      </patternFill>
    </fill>
    <fill>
      <patternFill patternType="solid">
        <fgColor rgb="FFFDE9D9"/>
        <bgColor rgb="FFFDE9D9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</fills>
  <borders count="24">
    <border>
      <left/>
      <right/>
      <top/>
      <bottom/>
      <diagonal/>
    </border>
    <border>
      <left/>
      <right/>
      <top style="medium">
        <color rgb="FF000000"/>
      </top>
      <bottom/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24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0" fontId="2" fillId="0" borderId="0" xfId="0" applyFont="1"/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166" fontId="2" fillId="0" borderId="0" xfId="0" applyNumberFormat="1" applyFont="1" applyAlignment="1">
      <alignment horizontal="right"/>
    </xf>
    <xf numFmtId="0" fontId="3" fillId="0" borderId="0" xfId="0" applyFont="1"/>
    <xf numFmtId="0" fontId="2" fillId="0" borderId="0" xfId="0" applyFont="1" applyAlignment="1">
      <alignment horizontal="left"/>
    </xf>
    <xf numFmtId="167" fontId="2" fillId="0" borderId="0" xfId="0" applyNumberFormat="1" applyFont="1" applyAlignment="1">
      <alignment horizontal="right"/>
    </xf>
    <xf numFmtId="165" fontId="2" fillId="0" borderId="0" xfId="0" applyNumberFormat="1" applyFont="1"/>
    <xf numFmtId="0" fontId="2" fillId="0" borderId="2" xfId="0" applyFont="1" applyBorder="1" applyAlignment="1">
      <alignment horizontal="right"/>
    </xf>
    <xf numFmtId="49" fontId="2" fillId="0" borderId="0" xfId="0" applyNumberFormat="1" applyFont="1"/>
    <xf numFmtId="167" fontId="2" fillId="0" borderId="0" xfId="0" applyNumberFormat="1" applyFont="1"/>
    <xf numFmtId="0" fontId="4" fillId="0" borderId="0" xfId="0" applyFont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2" fontId="2" fillId="0" borderId="7" xfId="0" applyNumberFormat="1" applyFont="1" applyBorder="1"/>
    <xf numFmtId="168" fontId="2" fillId="0" borderId="7" xfId="0" applyNumberFormat="1" applyFont="1" applyBorder="1"/>
    <xf numFmtId="168" fontId="2" fillId="0" borderId="1" xfId="0" applyNumberFormat="1" applyFont="1" applyBorder="1"/>
    <xf numFmtId="168" fontId="2" fillId="0" borderId="8" xfId="0" applyNumberFormat="1" applyFont="1" applyBorder="1"/>
    <xf numFmtId="4" fontId="2" fillId="0" borderId="0" xfId="0" applyNumberFormat="1" applyFont="1"/>
    <xf numFmtId="2" fontId="2" fillId="0" borderId="9" xfId="0" applyNumberFormat="1" applyFont="1" applyBorder="1"/>
    <xf numFmtId="168" fontId="2" fillId="0" borderId="9" xfId="0" applyNumberFormat="1" applyFont="1" applyBorder="1"/>
    <xf numFmtId="168" fontId="2" fillId="0" borderId="0" xfId="0" applyNumberFormat="1" applyFont="1"/>
    <xf numFmtId="168" fontId="2" fillId="0" borderId="10" xfId="0" applyNumberFormat="1" applyFont="1" applyBorder="1"/>
    <xf numFmtId="0" fontId="2" fillId="0" borderId="9" xfId="0" applyFont="1" applyBorder="1"/>
    <xf numFmtId="0" fontId="2" fillId="0" borderId="11" xfId="0" applyFont="1" applyBorder="1"/>
    <xf numFmtId="168" fontId="2" fillId="0" borderId="11" xfId="0" applyNumberFormat="1" applyFont="1" applyBorder="1"/>
    <xf numFmtId="168" fontId="2" fillId="0" borderId="12" xfId="0" applyNumberFormat="1" applyFont="1" applyBorder="1"/>
    <xf numFmtId="168" fontId="2" fillId="0" borderId="13" xfId="0" applyNumberFormat="1" applyFont="1" applyBorder="1"/>
    <xf numFmtId="0" fontId="2" fillId="0" borderId="14" xfId="0" applyFont="1" applyBorder="1"/>
    <xf numFmtId="2" fontId="2" fillId="0" borderId="14" xfId="0" applyNumberFormat="1" applyFont="1" applyBorder="1"/>
    <xf numFmtId="0" fontId="2" fillId="0" borderId="15" xfId="0" applyFont="1" applyBorder="1"/>
    <xf numFmtId="1" fontId="1" fillId="0" borderId="0" xfId="0" applyNumberFormat="1" applyFont="1"/>
    <xf numFmtId="2" fontId="1" fillId="0" borderId="0" xfId="0" applyNumberFormat="1" applyFont="1"/>
    <xf numFmtId="1" fontId="1" fillId="0" borderId="0" xfId="0" applyNumberFormat="1" applyFont="1" applyAlignment="1">
      <alignment wrapText="1"/>
    </xf>
    <xf numFmtId="169" fontId="1" fillId="0" borderId="0" xfId="0" applyNumberFormat="1" applyFont="1"/>
    <xf numFmtId="170" fontId="1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4" fontId="2" fillId="3" borderId="0" xfId="0" applyNumberFormat="1" applyFont="1" applyFill="1" applyAlignment="1">
      <alignment horizontal="right"/>
    </xf>
    <xf numFmtId="0" fontId="2" fillId="3" borderId="0" xfId="0" applyFont="1" applyFill="1" applyAlignment="1">
      <alignment horizontal="right"/>
    </xf>
    <xf numFmtId="168" fontId="2" fillId="3" borderId="0" xfId="0" applyNumberFormat="1" applyFont="1" applyFill="1" applyAlignment="1">
      <alignment horizontal="right"/>
    </xf>
    <xf numFmtId="1" fontId="2" fillId="0" borderId="0" xfId="0" applyNumberFormat="1" applyFont="1" applyAlignment="1">
      <alignment horizontal="right"/>
    </xf>
    <xf numFmtId="0" fontId="2" fillId="3" borderId="0" xfId="0" applyFont="1" applyFill="1"/>
    <xf numFmtId="168" fontId="2" fillId="0" borderId="0" xfId="0" applyNumberFormat="1" applyFont="1" applyAlignment="1">
      <alignment horizontal="right"/>
    </xf>
    <xf numFmtId="169" fontId="2" fillId="0" borderId="0" xfId="0" applyNumberFormat="1" applyFont="1" applyAlignment="1">
      <alignment horizontal="right"/>
    </xf>
    <xf numFmtId="170" fontId="1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right"/>
    </xf>
    <xf numFmtId="0" fontId="1" fillId="2" borderId="0" xfId="0" applyFont="1" applyFill="1" applyAlignment="1">
      <alignment horizontal="right"/>
    </xf>
    <xf numFmtId="1" fontId="6" fillId="2" borderId="0" xfId="0" applyNumberFormat="1" applyFont="1" applyFill="1" applyAlignment="1">
      <alignment horizontal="right"/>
    </xf>
    <xf numFmtId="170" fontId="2" fillId="3" borderId="0" xfId="0" applyNumberFormat="1" applyFont="1" applyFill="1" applyAlignment="1">
      <alignment horizontal="right"/>
    </xf>
    <xf numFmtId="4" fontId="2" fillId="2" borderId="0" xfId="0" applyNumberFormat="1" applyFont="1" applyFill="1" applyAlignment="1">
      <alignment horizontal="right"/>
    </xf>
    <xf numFmtId="1" fontId="2" fillId="2" borderId="0" xfId="0" applyNumberFormat="1" applyFont="1" applyFill="1" applyAlignment="1">
      <alignment horizontal="right"/>
    </xf>
    <xf numFmtId="0" fontId="1" fillId="0" borderId="0" xfId="0" applyFont="1" applyAlignment="1">
      <alignment wrapText="1"/>
    </xf>
    <xf numFmtId="0" fontId="7" fillId="0" borderId="0" xfId="0" applyFont="1"/>
    <xf numFmtId="170" fontId="1" fillId="0" borderId="0" xfId="0" applyNumberFormat="1" applyFont="1" applyAlignment="1">
      <alignment wrapText="1"/>
    </xf>
    <xf numFmtId="9" fontId="7" fillId="0" borderId="0" xfId="0" applyNumberFormat="1" applyFont="1" applyAlignment="1">
      <alignment horizontal="right"/>
    </xf>
    <xf numFmtId="0" fontId="6" fillId="0" borderId="0" xfId="0" applyFont="1"/>
    <xf numFmtId="0" fontId="7" fillId="0" borderId="0" xfId="0" applyFont="1" applyAlignment="1">
      <alignment horizontal="right"/>
    </xf>
    <xf numFmtId="0" fontId="7" fillId="3" borderId="0" xfId="0" applyFont="1" applyFill="1"/>
    <xf numFmtId="0" fontId="7" fillId="2" borderId="0" xfId="0" applyFont="1" applyFill="1"/>
    <xf numFmtId="0" fontId="4" fillId="0" borderId="12" xfId="0" applyFont="1" applyBorder="1"/>
    <xf numFmtId="0" fontId="4" fillId="0" borderId="10" xfId="0" applyFont="1" applyBorder="1"/>
    <xf numFmtId="0" fontId="1" fillId="0" borderId="9" xfId="0" applyFont="1" applyBorder="1"/>
    <xf numFmtId="0" fontId="1" fillId="0" borderId="10" xfId="0" applyFont="1" applyBorder="1"/>
    <xf numFmtId="0" fontId="2" fillId="4" borderId="9" xfId="0" applyFont="1" applyFill="1" applyBorder="1" applyAlignment="1">
      <alignment horizontal="right"/>
    </xf>
    <xf numFmtId="0" fontId="2" fillId="4" borderId="0" xfId="0" applyFont="1" applyFill="1" applyAlignment="1">
      <alignment horizontal="right"/>
    </xf>
    <xf numFmtId="0" fontId="2" fillId="4" borderId="10" xfId="0" applyFont="1" applyFill="1" applyBorder="1" applyAlignment="1">
      <alignment horizontal="right"/>
    </xf>
    <xf numFmtId="0" fontId="2" fillId="4" borderId="0" xfId="0" applyFont="1" applyFill="1"/>
    <xf numFmtId="0" fontId="2" fillId="4" borderId="10" xfId="0" applyFont="1" applyFill="1" applyBorder="1"/>
    <xf numFmtId="0" fontId="2" fillId="4" borderId="0" xfId="0" applyFont="1" applyFill="1" applyAlignment="1">
      <alignment horizontal="right" wrapText="1"/>
    </xf>
    <xf numFmtId="0" fontId="1" fillId="4" borderId="0" xfId="0" applyFont="1" applyFill="1" applyAlignment="1">
      <alignment horizontal="right"/>
    </xf>
    <xf numFmtId="169" fontId="2" fillId="4" borderId="9" xfId="0" applyNumberFormat="1" applyFont="1" applyFill="1" applyBorder="1" applyAlignment="1">
      <alignment horizontal="right"/>
    </xf>
    <xf numFmtId="0" fontId="1" fillId="0" borderId="0" xfId="0" applyFont="1" applyAlignment="1">
      <alignment horizontal="right"/>
    </xf>
    <xf numFmtId="0" fontId="2" fillId="4" borderId="10" xfId="0" applyFont="1" applyFill="1" applyBorder="1" applyAlignment="1">
      <alignment horizontal="right" wrapText="1"/>
    </xf>
    <xf numFmtId="169" fontId="2" fillId="4" borderId="0" xfId="0" applyNumberFormat="1" applyFont="1" applyFill="1" applyAlignment="1">
      <alignment horizontal="right"/>
    </xf>
    <xf numFmtId="0" fontId="2" fillId="0" borderId="12" xfId="0" applyFont="1" applyBorder="1" applyAlignment="1">
      <alignment horizontal="right"/>
    </xf>
    <xf numFmtId="0" fontId="2" fillId="4" borderId="11" xfId="0" applyFont="1" applyFill="1" applyBorder="1" applyAlignment="1">
      <alignment horizontal="right"/>
    </xf>
    <xf numFmtId="0" fontId="2" fillId="4" borderId="12" xfId="0" applyFont="1" applyFill="1" applyBorder="1" applyAlignment="1">
      <alignment horizontal="right"/>
    </xf>
    <xf numFmtId="0" fontId="2" fillId="4" borderId="12" xfId="0" applyFont="1" applyFill="1" applyBorder="1"/>
    <xf numFmtId="0" fontId="2" fillId="4" borderId="13" xfId="0" applyFont="1" applyFill="1" applyBorder="1" applyAlignment="1">
      <alignment horizontal="right"/>
    </xf>
    <xf numFmtId="169" fontId="2" fillId="4" borderId="12" xfId="0" applyNumberFormat="1" applyFont="1" applyFill="1" applyBorder="1" applyAlignment="1">
      <alignment horizontal="right"/>
    </xf>
    <xf numFmtId="0" fontId="2" fillId="4" borderId="13" xfId="0" applyFont="1" applyFill="1" applyBorder="1"/>
    <xf numFmtId="0" fontId="4" fillId="0" borderId="7" xfId="0" applyFont="1" applyBorder="1"/>
    <xf numFmtId="0" fontId="1" fillId="0" borderId="1" xfId="0" applyFont="1" applyBorder="1"/>
    <xf numFmtId="0" fontId="1" fillId="0" borderId="8" xfId="0" applyFont="1" applyBorder="1"/>
    <xf numFmtId="0" fontId="2" fillId="0" borderId="11" xfId="0" applyFont="1" applyBorder="1" applyAlignment="1">
      <alignment wrapText="1"/>
    </xf>
    <xf numFmtId="0" fontId="8" fillId="0" borderId="0" xfId="0" applyFont="1"/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1" fillId="0" borderId="7" xfId="0" applyFont="1" applyBorder="1"/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9" xfId="0" applyFont="1" applyBorder="1" applyAlignment="1">
      <alignment horizontal="right"/>
    </xf>
    <xf numFmtId="0" fontId="2" fillId="0" borderId="10" xfId="0" applyFont="1" applyBorder="1"/>
    <xf numFmtId="0" fontId="4" fillId="4" borderId="0" xfId="0" applyFont="1" applyFill="1"/>
    <xf numFmtId="0" fontId="4" fillId="5" borderId="0" xfId="0" applyFont="1" applyFill="1"/>
    <xf numFmtId="0" fontId="2" fillId="0" borderId="11" xfId="0" applyFont="1" applyBorder="1" applyAlignment="1">
      <alignment horizontal="right"/>
    </xf>
    <xf numFmtId="169" fontId="2" fillId="0" borderId="12" xfId="0" applyNumberFormat="1" applyFont="1" applyBorder="1" applyAlignment="1">
      <alignment horizontal="right"/>
    </xf>
    <xf numFmtId="0" fontId="2" fillId="0" borderId="12" xfId="0" applyFont="1" applyBorder="1"/>
    <xf numFmtId="0" fontId="2" fillId="0" borderId="13" xfId="0" applyFont="1" applyBorder="1"/>
    <xf numFmtId="169" fontId="2" fillId="5" borderId="0" xfId="0" applyNumberFormat="1" applyFont="1" applyFill="1" applyAlignment="1">
      <alignment horizontal="right"/>
    </xf>
    <xf numFmtId="0" fontId="2" fillId="5" borderId="0" xfId="0" applyFont="1" applyFill="1" applyAlignment="1">
      <alignment horizontal="right"/>
    </xf>
    <xf numFmtId="0" fontId="2" fillId="5" borderId="10" xfId="0" applyFont="1" applyFill="1" applyBorder="1" applyAlignment="1">
      <alignment horizontal="right"/>
    </xf>
    <xf numFmtId="169" fontId="2" fillId="5" borderId="10" xfId="0" applyNumberFormat="1" applyFont="1" applyFill="1" applyBorder="1" applyAlignment="1">
      <alignment horizontal="right"/>
    </xf>
    <xf numFmtId="0" fontId="1" fillId="0" borderId="11" xfId="0" applyFont="1" applyBorder="1"/>
    <xf numFmtId="0" fontId="2" fillId="5" borderId="12" xfId="0" applyFont="1" applyFill="1" applyBorder="1" applyAlignment="1">
      <alignment horizontal="right"/>
    </xf>
    <xf numFmtId="0" fontId="2" fillId="5" borderId="13" xfId="0" applyFont="1" applyFill="1" applyBorder="1" applyAlignment="1">
      <alignment horizontal="right"/>
    </xf>
    <xf numFmtId="0" fontId="2" fillId="0" borderId="10" xfId="0" applyFont="1" applyBorder="1" applyAlignment="1">
      <alignment horizontal="right"/>
    </xf>
    <xf numFmtId="0" fontId="2" fillId="0" borderId="13" xfId="0" applyFont="1" applyBorder="1" applyAlignment="1">
      <alignment horizontal="right"/>
    </xf>
    <xf numFmtId="0" fontId="4" fillId="4" borderId="9" xfId="0" applyFont="1" applyFill="1" applyBorder="1"/>
    <xf numFmtId="0" fontId="4" fillId="4" borderId="10" xfId="0" applyFont="1" applyFill="1" applyBorder="1"/>
    <xf numFmtId="169" fontId="4" fillId="4" borderId="9" xfId="0" applyNumberFormat="1" applyFont="1" applyFill="1" applyBorder="1"/>
    <xf numFmtId="169" fontId="4" fillId="4" borderId="0" xfId="0" applyNumberFormat="1" applyFont="1" applyFill="1"/>
    <xf numFmtId="0" fontId="4" fillId="4" borderId="11" xfId="0" applyFont="1" applyFill="1" applyBorder="1"/>
    <xf numFmtId="0" fontId="4" fillId="4" borderId="12" xfId="0" applyFont="1" applyFill="1" applyBorder="1"/>
    <xf numFmtId="169" fontId="4" fillId="4" borderId="12" xfId="0" applyNumberFormat="1" applyFont="1" applyFill="1" applyBorder="1"/>
    <xf numFmtId="0" fontId="4" fillId="4" borderId="13" xfId="0" applyFont="1" applyFill="1" applyBorder="1"/>
    <xf numFmtId="169" fontId="2" fillId="0" borderId="10" xfId="0" applyNumberFormat="1" applyFont="1" applyBorder="1" applyAlignment="1">
      <alignment horizontal="right"/>
    </xf>
    <xf numFmtId="169" fontId="2" fillId="0" borderId="13" xfId="0" applyNumberFormat="1" applyFont="1" applyBorder="1" applyAlignment="1">
      <alignment horizontal="right"/>
    </xf>
    <xf numFmtId="0" fontId="2" fillId="6" borderId="0" xfId="0" applyFont="1" applyFill="1"/>
    <xf numFmtId="170" fontId="4" fillId="0" borderId="0" xfId="0" applyNumberFormat="1" applyFont="1"/>
    <xf numFmtId="0" fontId="2" fillId="0" borderId="1" xfId="0" applyFont="1" applyBorder="1"/>
    <xf numFmtId="0" fontId="2" fillId="0" borderId="1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169" fontId="2" fillId="7" borderId="0" xfId="0" applyNumberFormat="1" applyFont="1" applyFill="1" applyAlignment="1">
      <alignment horizontal="right"/>
    </xf>
    <xf numFmtId="0" fontId="2" fillId="7" borderId="0" xfId="0" applyFont="1" applyFill="1" applyAlignment="1">
      <alignment horizontal="right"/>
    </xf>
    <xf numFmtId="0" fontId="2" fillId="7" borderId="10" xfId="0" applyFont="1" applyFill="1" applyBorder="1" applyAlignment="1">
      <alignment horizontal="right"/>
    </xf>
    <xf numFmtId="169" fontId="2" fillId="7" borderId="10" xfId="0" applyNumberFormat="1" applyFont="1" applyFill="1" applyBorder="1" applyAlignment="1">
      <alignment horizontal="right"/>
    </xf>
    <xf numFmtId="169" fontId="2" fillId="7" borderId="12" xfId="0" applyNumberFormat="1" applyFont="1" applyFill="1" applyBorder="1" applyAlignment="1">
      <alignment horizontal="right"/>
    </xf>
    <xf numFmtId="169" fontId="2" fillId="7" borderId="13" xfId="0" applyNumberFormat="1" applyFont="1" applyFill="1" applyBorder="1" applyAlignment="1">
      <alignment horizontal="right"/>
    </xf>
    <xf numFmtId="170" fontId="4" fillId="0" borderId="12" xfId="0" applyNumberFormat="1" applyFont="1" applyBorder="1"/>
    <xf numFmtId="4" fontId="4" fillId="0" borderId="6" xfId="0" applyNumberFormat="1" applyFont="1" applyBorder="1"/>
    <xf numFmtId="0" fontId="1" fillId="0" borderId="20" xfId="0" applyFont="1" applyBorder="1" applyAlignment="1">
      <alignment horizontal="center"/>
    </xf>
    <xf numFmtId="170" fontId="1" fillId="0" borderId="0" xfId="0" applyNumberFormat="1" applyFont="1" applyAlignment="1">
      <alignment horizontal="center"/>
    </xf>
    <xf numFmtId="2" fontId="1" fillId="0" borderId="1" xfId="0" applyNumberFormat="1" applyFont="1" applyBorder="1"/>
    <xf numFmtId="170" fontId="1" fillId="0" borderId="1" xfId="0" applyNumberFormat="1" applyFont="1" applyBorder="1"/>
    <xf numFmtId="0" fontId="2" fillId="4" borderId="20" xfId="0" applyFont="1" applyFill="1" applyBorder="1" applyAlignment="1">
      <alignment horizontal="right"/>
    </xf>
    <xf numFmtId="168" fontId="2" fillId="0" borderId="9" xfId="0" applyNumberFormat="1" applyFont="1" applyBorder="1" applyAlignment="1">
      <alignment horizontal="center"/>
    </xf>
    <xf numFmtId="168" fontId="2" fillId="0" borderId="0" xfId="0" applyNumberFormat="1" applyFont="1" applyAlignment="1">
      <alignment horizontal="center"/>
    </xf>
    <xf numFmtId="168" fontId="2" fillId="0" borderId="10" xfId="0" applyNumberFormat="1" applyFont="1" applyBorder="1" applyAlignment="1">
      <alignment horizontal="center"/>
    </xf>
    <xf numFmtId="168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10" xfId="0" applyFont="1" applyFill="1" applyBorder="1" applyAlignment="1">
      <alignment horizontal="center"/>
    </xf>
    <xf numFmtId="169" fontId="2" fillId="4" borderId="0" xfId="0" applyNumberFormat="1" applyFont="1" applyFill="1"/>
    <xf numFmtId="0" fontId="4" fillId="0" borderId="15" xfId="0" applyFont="1" applyBorder="1"/>
    <xf numFmtId="0" fontId="2" fillId="6" borderId="12" xfId="0" applyFont="1" applyFill="1" applyBorder="1" applyAlignment="1">
      <alignment horizontal="right"/>
    </xf>
    <xf numFmtId="169" fontId="2" fillId="6" borderId="12" xfId="0" applyNumberFormat="1" applyFont="1" applyFill="1" applyBorder="1" applyAlignment="1">
      <alignment horizontal="right"/>
    </xf>
    <xf numFmtId="0" fontId="2" fillId="4" borderId="21" xfId="0" applyFont="1" applyFill="1" applyBorder="1" applyAlignment="1">
      <alignment horizontal="right"/>
    </xf>
    <xf numFmtId="169" fontId="2" fillId="0" borderId="11" xfId="0" applyNumberFormat="1" applyFont="1" applyBorder="1" applyAlignment="1">
      <alignment horizontal="center"/>
    </xf>
    <xf numFmtId="169" fontId="2" fillId="0" borderId="12" xfId="0" applyNumberFormat="1" applyFont="1" applyBorder="1" applyAlignment="1">
      <alignment horizontal="center"/>
    </xf>
    <xf numFmtId="168" fontId="2" fillId="0" borderId="11" xfId="0" applyNumberFormat="1" applyFont="1" applyBorder="1" applyAlignment="1">
      <alignment horizontal="center"/>
    </xf>
    <xf numFmtId="168" fontId="2" fillId="0" borderId="12" xfId="0" applyNumberFormat="1" applyFont="1" applyBorder="1" applyAlignment="1">
      <alignment horizontal="center"/>
    </xf>
    <xf numFmtId="168" fontId="2" fillId="0" borderId="13" xfId="0" applyNumberFormat="1" applyFont="1" applyBorder="1" applyAlignment="1">
      <alignment horizontal="center"/>
    </xf>
    <xf numFmtId="4" fontId="4" fillId="0" borderId="0" xfId="0" applyNumberFormat="1" applyFont="1"/>
    <xf numFmtId="0" fontId="4" fillId="0" borderId="11" xfId="0" applyFont="1" applyBorder="1"/>
    <xf numFmtId="168" fontId="2" fillId="4" borderId="12" xfId="0" applyNumberFormat="1" applyFont="1" applyFill="1" applyBorder="1" applyAlignment="1">
      <alignment horizontal="center"/>
    </xf>
    <xf numFmtId="170" fontId="2" fillId="4" borderId="12" xfId="0" applyNumberFormat="1" applyFont="1" applyFill="1" applyBorder="1" applyAlignment="1">
      <alignment horizontal="center"/>
    </xf>
    <xf numFmtId="4" fontId="2" fillId="4" borderId="12" xfId="0" applyNumberFormat="1" applyFont="1" applyFill="1" applyBorder="1" applyAlignment="1">
      <alignment horizontal="center"/>
    </xf>
    <xf numFmtId="0" fontId="2" fillId="4" borderId="13" xfId="0" applyFont="1" applyFill="1" applyBorder="1" applyAlignment="1">
      <alignment horizontal="center"/>
    </xf>
    <xf numFmtId="2" fontId="4" fillId="0" borderId="0" xfId="0" applyNumberFormat="1" applyFont="1"/>
    <xf numFmtId="0" fontId="4" fillId="7" borderId="0" xfId="0" applyFont="1" applyFill="1"/>
    <xf numFmtId="0" fontId="9" fillId="0" borderId="0" xfId="0" applyFont="1"/>
    <xf numFmtId="168" fontId="10" fillId="8" borderId="0" xfId="0" applyNumberFormat="1" applyFont="1" applyFill="1"/>
    <xf numFmtId="4" fontId="2" fillId="3" borderId="0" xfId="0" applyNumberFormat="1" applyFont="1" applyFill="1" applyAlignment="1">
      <alignment horizontal="right"/>
    </xf>
    <xf numFmtId="170" fontId="2" fillId="2" borderId="0" xfId="0" applyNumberFormat="1" applyFont="1" applyFill="1" applyAlignment="1">
      <alignment horizontal="right"/>
    </xf>
    <xf numFmtId="1" fontId="10" fillId="2" borderId="0" xfId="0" applyNumberFormat="1" applyFont="1" applyFill="1" applyAlignment="1">
      <alignment horizontal="right"/>
    </xf>
    <xf numFmtId="4" fontId="1" fillId="2" borderId="0" xfId="0" applyNumberFormat="1" applyFont="1" applyFill="1" applyAlignment="1">
      <alignment horizontal="right"/>
    </xf>
    <xf numFmtId="1" fontId="2" fillId="0" borderId="0" xfId="0" applyNumberFormat="1" applyFont="1"/>
    <xf numFmtId="169" fontId="2" fillId="0" borderId="0" xfId="0" applyNumberFormat="1" applyFont="1"/>
    <xf numFmtId="170" fontId="2" fillId="0" borderId="0" xfId="0" applyNumberFormat="1" applyFont="1"/>
    <xf numFmtId="0" fontId="1" fillId="0" borderId="14" xfId="0" applyFont="1" applyBorder="1"/>
    <xf numFmtId="0" fontId="2" fillId="0" borderId="14" xfId="0" applyFont="1" applyBorder="1" applyAlignment="1">
      <alignment horizontal="right"/>
    </xf>
    <xf numFmtId="0" fontId="2" fillId="0" borderId="15" xfId="0" applyFont="1" applyBorder="1" applyAlignment="1">
      <alignment horizontal="right"/>
    </xf>
    <xf numFmtId="0" fontId="1" fillId="0" borderId="15" xfId="0" applyFont="1" applyBorder="1"/>
    <xf numFmtId="0" fontId="4" fillId="0" borderId="13" xfId="0" applyFont="1" applyBorder="1"/>
    <xf numFmtId="4" fontId="4" fillId="0" borderId="10" xfId="0" applyNumberFormat="1" applyFont="1" applyBorder="1"/>
    <xf numFmtId="4" fontId="4" fillId="0" borderId="13" xfId="0" applyNumberFormat="1" applyFont="1" applyBorder="1"/>
    <xf numFmtId="0" fontId="1" fillId="0" borderId="22" xfId="0" applyFont="1" applyBorder="1"/>
    <xf numFmtId="169" fontId="2" fillId="4" borderId="23" xfId="0" applyNumberFormat="1" applyFont="1" applyFill="1" applyBorder="1"/>
    <xf numFmtId="4" fontId="2" fillId="4" borderId="0" xfId="0" applyNumberFormat="1" applyFont="1" applyFill="1" applyAlignment="1">
      <alignment horizontal="center"/>
    </xf>
    <xf numFmtId="169" fontId="2" fillId="4" borderId="23" xfId="0" applyNumberFormat="1" applyFont="1" applyFill="1" applyBorder="1" applyAlignment="1">
      <alignment horizontal="right"/>
    </xf>
    <xf numFmtId="0" fontId="2" fillId="9" borderId="0" xfId="0" applyFont="1" applyFill="1" applyAlignment="1">
      <alignment horizontal="right"/>
    </xf>
    <xf numFmtId="168" fontId="2" fillId="9" borderId="0" xfId="0" applyNumberFormat="1" applyFont="1" applyFill="1" applyAlignment="1">
      <alignment horizontal="center"/>
    </xf>
    <xf numFmtId="169" fontId="2" fillId="4" borderId="19" xfId="0" applyNumberFormat="1" applyFont="1" applyFill="1" applyBorder="1" applyAlignment="1">
      <alignment horizontal="right"/>
    </xf>
    <xf numFmtId="0" fontId="2" fillId="4" borderId="12" xfId="0" applyFont="1" applyFill="1" applyBorder="1" applyAlignment="1">
      <alignment horizontal="center"/>
    </xf>
    <xf numFmtId="169" fontId="2" fillId="0" borderId="0" xfId="0" applyNumberFormat="1" applyFont="1" applyAlignment="1">
      <alignment horizontal="center"/>
    </xf>
    <xf numFmtId="0" fontId="2" fillId="10" borderId="0" xfId="0" applyFont="1" applyFill="1"/>
    <xf numFmtId="4" fontId="10" fillId="3" borderId="0" xfId="0" applyNumberFormat="1" applyFont="1" applyFill="1" applyAlignment="1">
      <alignment horizontal="right"/>
    </xf>
    <xf numFmtId="170" fontId="10" fillId="3" borderId="0" xfId="0" applyNumberFormat="1" applyFont="1" applyFill="1" applyAlignment="1">
      <alignment horizontal="right"/>
    </xf>
    <xf numFmtId="0" fontId="4" fillId="0" borderId="6" xfId="0" applyFont="1" applyBorder="1"/>
    <xf numFmtId="169" fontId="2" fillId="4" borderId="12" xfId="0" applyNumberFormat="1" applyFont="1" applyFill="1" applyBorder="1"/>
    <xf numFmtId="168" fontId="2" fillId="9" borderId="12" xfId="0" applyNumberFormat="1" applyFont="1" applyFill="1" applyBorder="1" applyAlignment="1">
      <alignment horizontal="center"/>
    </xf>
    <xf numFmtId="1" fontId="2" fillId="0" borderId="0" xfId="0" applyNumberFormat="1" applyFont="1" applyAlignment="1">
      <alignment horizontal="center"/>
    </xf>
    <xf numFmtId="169" fontId="2" fillId="4" borderId="10" xfId="0" applyNumberFormat="1" applyFont="1" applyFill="1" applyBorder="1" applyAlignment="1">
      <alignment horizontal="right"/>
    </xf>
    <xf numFmtId="169" fontId="2" fillId="4" borderId="13" xfId="0" applyNumberFormat="1" applyFont="1" applyFill="1" applyBorder="1" applyAlignment="1">
      <alignment horizontal="right"/>
    </xf>
    <xf numFmtId="0" fontId="2" fillId="4" borderId="9" xfId="0" applyFont="1" applyFill="1" applyBorder="1" applyAlignment="1">
      <alignment horizontal="right" wrapText="1"/>
    </xf>
    <xf numFmtId="0" fontId="2" fillId="0" borderId="7" xfId="0" applyFont="1" applyBorder="1"/>
    <xf numFmtId="0" fontId="2" fillId="0" borderId="8" xfId="0" applyFont="1" applyBorder="1"/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69" fontId="2" fillId="0" borderId="9" xfId="0" applyNumberFormat="1" applyFont="1" applyBorder="1"/>
    <xf numFmtId="169" fontId="2" fillId="0" borderId="10" xfId="0" applyNumberFormat="1" applyFont="1" applyBorder="1"/>
    <xf numFmtId="168" fontId="3" fillId="0" borderId="0" xfId="0" applyNumberFormat="1" applyFont="1"/>
    <xf numFmtId="0" fontId="2" fillId="4" borderId="9" xfId="0" applyFont="1" applyFill="1" applyBorder="1"/>
    <xf numFmtId="169" fontId="2" fillId="0" borderId="7" xfId="0" applyNumberFormat="1" applyFont="1" applyBorder="1"/>
    <xf numFmtId="169" fontId="2" fillId="0" borderId="8" xfId="0" applyNumberFormat="1" applyFont="1" applyBorder="1"/>
    <xf numFmtId="169" fontId="2" fillId="0" borderId="11" xfId="0" applyNumberFormat="1" applyFont="1" applyBorder="1"/>
    <xf numFmtId="169" fontId="2" fillId="0" borderId="13" xfId="0" applyNumberFormat="1" applyFont="1" applyBorder="1"/>
    <xf numFmtId="0" fontId="2" fillId="4" borderId="11" xfId="0" applyFont="1" applyFill="1" applyBorder="1"/>
    <xf numFmtId="169" fontId="3" fillId="0" borderId="0" xfId="0" applyNumberFormat="1" applyFont="1"/>
    <xf numFmtId="0" fontId="1" fillId="0" borderId="3" xfId="0" applyFont="1" applyBorder="1" applyAlignment="1">
      <alignment horizontal="center" vertical="center"/>
    </xf>
    <xf numFmtId="0" fontId="5" fillId="0" borderId="4" xfId="0" applyFont="1" applyBorder="1"/>
    <xf numFmtId="0" fontId="5" fillId="0" borderId="5" xfId="0" applyFont="1" applyBorder="1"/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/>
    </xf>
    <xf numFmtId="0" fontId="5" fillId="0" borderId="1" xfId="0" applyFont="1" applyBorder="1"/>
    <xf numFmtId="0" fontId="5" fillId="0" borderId="8" xfId="0" applyFont="1" applyBorder="1"/>
    <xf numFmtId="0" fontId="2" fillId="0" borderId="1" xfId="0" applyFont="1" applyBorder="1" applyAlignment="1">
      <alignment horizontal="center"/>
    </xf>
    <xf numFmtId="0" fontId="5" fillId="0" borderId="12" xfId="0" applyFont="1" applyBorder="1"/>
    <xf numFmtId="1" fontId="2" fillId="0" borderId="8" xfId="0" applyNumberFormat="1" applyFont="1" applyBorder="1" applyAlignment="1">
      <alignment horizontal="center"/>
    </xf>
    <xf numFmtId="0" fontId="5" fillId="0" borderId="13" xfId="0" applyFont="1" applyBorder="1"/>
    <xf numFmtId="0" fontId="1" fillId="0" borderId="4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4" fontId="1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/>
    <xf numFmtId="0" fontId="5" fillId="0" borderId="10" xfId="0" applyFont="1" applyBorder="1"/>
    <xf numFmtId="0" fontId="1" fillId="0" borderId="3" xfId="0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1" fontId="2" fillId="0" borderId="8" xfId="0" applyNumberFormat="1" applyFont="1" applyBorder="1" applyAlignment="1">
      <alignment horizontal="center" vertical="center"/>
    </xf>
  </cellXfs>
  <cellStyles count="1">
    <cellStyle name="Normal" xfId="0" builtinId="0"/>
  </cellStyles>
  <dxfs count="55"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D9D2E9"/>
          <bgColor rgb="FFD9D2E9"/>
        </patternFill>
      </fill>
    </dxf>
    <dxf>
      <fill>
        <patternFill patternType="solid">
          <fgColor rgb="FFEAD1DC"/>
          <bgColor rgb="FFEAD1D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Q0861UC0WbA_v-o_F1VHQ7MimuyELrEX/edit" TargetMode="External"/><Relationship Id="rId2" Type="http://schemas.openxmlformats.org/officeDocument/2006/relationships/hyperlink" Target="https://docs.google.com/spreadsheets/d/1Q0861UC0WbA_v-o_F1VHQ7MimuyELrEX/edit" TargetMode="External"/><Relationship Id="rId1" Type="http://schemas.openxmlformats.org/officeDocument/2006/relationships/hyperlink" Target="https://docs.google.com/spreadsheets/d/1Q0861UC0WbA_v-o_F1VHQ7MimuyELrEX/edit" TargetMode="External"/><Relationship Id="rId6" Type="http://schemas.openxmlformats.org/officeDocument/2006/relationships/comments" Target="../comments3.xml"/><Relationship Id="rId5" Type="http://schemas.openxmlformats.org/officeDocument/2006/relationships/vmlDrawing" Target="../drawings/vmlDrawing3.vml"/><Relationship Id="rId4" Type="http://schemas.openxmlformats.org/officeDocument/2006/relationships/hyperlink" Target="https://docs.google.com/spreadsheets/d/1Q0861UC0WbA_v-o_F1VHQ7MimuyELrEX/edit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hyperlink" Target="https://docs.google.com/spreadsheets/d/1Q0861UC0WbA_v-o_F1VHQ7MimuyELrEX/edit" TargetMode="External"/><Relationship Id="rId1" Type="http://schemas.openxmlformats.org/officeDocument/2006/relationships/hyperlink" Target="https://docs.google.com/spreadsheets/d/1Q0861UC0WbA_v-o_F1VHQ7MimuyELrEX/edit" TargetMode="External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hyperlink" Target="https://docs.google.com/spreadsheets/d/1Q0861UC0WbA_v-o_F1VHQ7MimuyELrEX/edit" TargetMode="External"/><Relationship Id="rId1" Type="http://schemas.openxmlformats.org/officeDocument/2006/relationships/hyperlink" Target="https://docs.google.com/spreadsheets/d/1Q0861UC0WbA_v-o_F1VHQ7MimuyELrEX/edit" TargetMode="External"/><Relationship Id="rId4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docs.google.com/spreadsheets/d/1Q0861UC0WbA_v-o_F1VHQ7MimuyELrEX/edit" TargetMode="External"/><Relationship Id="rId1" Type="http://schemas.openxmlformats.org/officeDocument/2006/relationships/hyperlink" Target="https://docs.google.com/spreadsheets/d/1Q0861UC0WbA_v-o_F1VHQ7MimuyELrEX/ed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X3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328125" defaultRowHeight="15.75" customHeight="1" x14ac:dyDescent="0.25"/>
  <cols>
    <col min="1" max="1" width="23.453125" customWidth="1"/>
    <col min="2" max="3" width="19.36328125" customWidth="1"/>
    <col min="4" max="4" width="22.453125" customWidth="1"/>
    <col min="5" max="5" width="59.08984375" customWidth="1"/>
    <col min="6" max="6" width="26.90625" customWidth="1"/>
    <col min="7" max="7" width="14.7265625" customWidth="1"/>
    <col min="8" max="8" width="14.26953125" customWidth="1"/>
    <col min="9" max="9" width="16" customWidth="1"/>
    <col min="10" max="10" width="13.7265625" customWidth="1"/>
    <col min="11" max="11" width="13.90625" customWidth="1"/>
    <col min="12" max="12" width="14.36328125" customWidth="1"/>
    <col min="13" max="13" width="42.08984375" customWidth="1"/>
    <col min="14" max="14" width="18" customWidth="1"/>
    <col min="15" max="15" width="21.36328125" customWidth="1"/>
    <col min="16" max="16" width="25.26953125" customWidth="1"/>
    <col min="17" max="17" width="24.26953125" customWidth="1"/>
    <col min="18" max="18" width="26.453125" customWidth="1"/>
    <col min="19" max="19" width="20.08984375" customWidth="1"/>
    <col min="21" max="21" width="21.6328125" customWidth="1"/>
    <col min="22" max="22" width="21.453125" customWidth="1"/>
    <col min="23" max="25" width="12.36328125" customWidth="1"/>
    <col min="26" max="26" width="16.36328125" customWidth="1"/>
    <col min="27" max="27" width="17.26953125" customWidth="1"/>
    <col min="28" max="28" width="16.26953125" customWidth="1"/>
    <col min="29" max="29" width="12.36328125" customWidth="1"/>
    <col min="30" max="30" width="18" customWidth="1"/>
    <col min="31" max="31" width="18.6328125" customWidth="1"/>
    <col min="32" max="32" width="19.08984375" customWidth="1"/>
    <col min="33" max="33" width="26.453125" customWidth="1"/>
    <col min="34" max="35" width="17.08984375" customWidth="1"/>
    <col min="36" max="36" width="14.90625" customWidth="1"/>
    <col min="37" max="37" width="15.453125" customWidth="1"/>
    <col min="38" max="38" width="15.08984375" customWidth="1"/>
    <col min="39" max="39" width="18.26953125" customWidth="1"/>
    <col min="40" max="40" width="16.453125" customWidth="1"/>
    <col min="41" max="41" width="18.08984375" customWidth="1"/>
    <col min="42" max="42" width="19.6328125" customWidth="1"/>
    <col min="43" max="43" width="20.26953125" customWidth="1"/>
    <col min="44" max="44" width="19.6328125" customWidth="1"/>
    <col min="45" max="45" width="20" customWidth="1"/>
    <col min="46" max="46" width="22.26953125" customWidth="1"/>
    <col min="47" max="47" width="17.90625" customWidth="1"/>
    <col min="48" max="48" width="19.36328125" customWidth="1"/>
    <col min="49" max="49" width="20.36328125" customWidth="1"/>
    <col min="50" max="50" width="30.6328125" customWidth="1"/>
  </cols>
  <sheetData>
    <row r="1" spans="1:50" ht="15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3" t="s">
        <v>22</v>
      </c>
      <c r="X1" s="3" t="s">
        <v>23</v>
      </c>
      <c r="Y1" s="3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1" t="s">
        <v>29</v>
      </c>
      <c r="AE1" s="1" t="s">
        <v>30</v>
      </c>
      <c r="AF1" s="1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5" t="s">
        <v>41</v>
      </c>
      <c r="AQ1" s="3" t="s">
        <v>42</v>
      </c>
      <c r="AR1" s="3" t="s">
        <v>43</v>
      </c>
      <c r="AS1" s="6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3" t="s">
        <v>49</v>
      </c>
    </row>
    <row r="2" spans="1:50" ht="15.75" customHeight="1" x14ac:dyDescent="0.35">
      <c r="A2" s="7" t="s">
        <v>50</v>
      </c>
      <c r="B2" s="7" t="s">
        <v>51</v>
      </c>
      <c r="C2" s="8">
        <v>45066</v>
      </c>
      <c r="D2" s="7" t="s">
        <v>52</v>
      </c>
      <c r="E2" s="7" t="s">
        <v>53</v>
      </c>
      <c r="F2" s="9">
        <v>0.54861111111111116</v>
      </c>
      <c r="G2" s="10">
        <v>48.847239999999999</v>
      </c>
      <c r="H2" s="10">
        <v>-121.69417</v>
      </c>
      <c r="I2" s="10">
        <v>1560.8810000000001</v>
      </c>
      <c r="J2" s="7" t="s">
        <v>54</v>
      </c>
      <c r="K2" s="7" t="s">
        <v>55</v>
      </c>
      <c r="L2" s="11">
        <v>45066</v>
      </c>
      <c r="M2" s="7" t="s">
        <v>56</v>
      </c>
      <c r="N2" s="10">
        <v>529</v>
      </c>
      <c r="O2" s="7">
        <v>1250</v>
      </c>
      <c r="P2" s="7">
        <v>2.166831666582</v>
      </c>
      <c r="Q2" s="10">
        <v>0.85289999999999999</v>
      </c>
      <c r="R2" s="10">
        <v>1041.4000000000001</v>
      </c>
      <c r="S2" s="12">
        <v>0.67615419447310221</v>
      </c>
      <c r="T2" s="7">
        <v>6.5702280594765492</v>
      </c>
      <c r="U2" s="13"/>
      <c r="V2" s="10">
        <v>0.3</v>
      </c>
      <c r="W2" s="10">
        <v>1.1000000000000001E-3</v>
      </c>
      <c r="X2" s="10">
        <v>6.7999999999999996E-3</v>
      </c>
      <c r="Y2" s="10">
        <v>6.9999999999999999E-4</v>
      </c>
      <c r="Z2" s="7"/>
      <c r="AA2" s="10">
        <v>1.21E-2</v>
      </c>
      <c r="AB2" s="7"/>
      <c r="AC2" s="10">
        <v>1.21E-2</v>
      </c>
      <c r="AD2" s="7">
        <f t="shared" ref="AD2:AD33" si="0">33.4*(W2+X2+0.5*Y2+0.5*AC2)</f>
        <v>0.47761999999999993</v>
      </c>
      <c r="AE2" s="7">
        <f t="shared" ref="AE2:AE33" si="1">AD2*12/1000</f>
        <v>5.7314399999999991E-3</v>
      </c>
      <c r="AF2" s="7">
        <f t="shared" ref="AF2:AF33" si="2">AE2*1000</f>
        <v>5.7314399999999992</v>
      </c>
      <c r="AG2" s="7"/>
      <c r="AH2" s="7">
        <f t="shared" ref="AH2:AH33" si="3">SUM(W2,X2,Y2,AC2)</f>
        <v>2.0699999999999996E-2</v>
      </c>
      <c r="AI2" s="7">
        <f t="shared" ref="AI2:AI33" si="4">W2/AH2*100</f>
        <v>5.3140096618357502</v>
      </c>
      <c r="AJ2" s="7">
        <f t="shared" ref="AJ2:AJ33" si="5">X2/AH2*100</f>
        <v>32.850241545893724</v>
      </c>
      <c r="AK2" s="7">
        <f t="shared" ref="AK2:AK19" si="6">Y2/AH2*100</f>
        <v>3.381642512077295</v>
      </c>
      <c r="AL2" s="7">
        <f t="shared" ref="AL2:AL9" si="7">AC2/AH2*100</f>
        <v>58.454106280193244</v>
      </c>
      <c r="AM2" s="7">
        <f t="shared" ref="AM2:AM32" si="8">(Y2+AC2)/X2</f>
        <v>1.8823529411764706</v>
      </c>
      <c r="AN2" s="7">
        <f t="shared" ref="AN2:AN33" si="9">W2/X2</f>
        <v>0.16176470588235295</v>
      </c>
      <c r="AO2" s="7">
        <f t="shared" ref="AO2:AO9" si="10">Y2/AC2</f>
        <v>5.7851239669421489E-2</v>
      </c>
      <c r="AP2" s="7">
        <f t="shared" ref="AP2:AP33" si="11">W2+X2</f>
        <v>7.899999999999999E-3</v>
      </c>
      <c r="AQ2" s="7">
        <f t="shared" ref="AQ2:AQ32" si="12">Y2+AC2</f>
        <v>1.2799999999999999E-2</v>
      </c>
      <c r="AR2" s="7">
        <f t="shared" ref="AR2:AR32" si="13">AP2/AQ2</f>
        <v>0.6171875</v>
      </c>
      <c r="AS2" s="7">
        <f t="shared" ref="AS2:AS32" si="14">AQ2/AP2</f>
        <v>1.620253164556962</v>
      </c>
      <c r="AT2" s="7">
        <f t="shared" ref="AT2:AT33" si="15">(W2+X2)*1000</f>
        <v>7.8999999999999995</v>
      </c>
      <c r="AU2" s="7">
        <f t="shared" ref="AU2:AU33" si="16">0.0891*(AT2)^0.9175</f>
        <v>0.59354077618220646</v>
      </c>
      <c r="AV2" s="7">
        <f t="shared" ref="AV2:AV33" si="17">AU2*12/1000</f>
        <v>7.1224893141864773E-3</v>
      </c>
      <c r="AW2" s="7">
        <f t="shared" ref="AW2:AW33" si="18">AV2*1000</f>
        <v>7.1224893141864776</v>
      </c>
      <c r="AX2" s="7"/>
    </row>
    <row r="3" spans="1:50" ht="15.75" customHeight="1" x14ac:dyDescent="0.35">
      <c r="A3" s="7" t="s">
        <v>57</v>
      </c>
      <c r="B3" s="14">
        <v>45131</v>
      </c>
      <c r="C3" s="8">
        <v>45131</v>
      </c>
      <c r="D3" s="7" t="s">
        <v>52</v>
      </c>
      <c r="E3" s="7"/>
      <c r="F3" s="15">
        <v>0.5</v>
      </c>
      <c r="G3" s="10">
        <v>48.503799999999998</v>
      </c>
      <c r="H3" s="10">
        <v>-121.41160000000001</v>
      </c>
      <c r="I3" s="7"/>
      <c r="J3" s="7" t="s">
        <v>54</v>
      </c>
      <c r="K3" s="7" t="s">
        <v>58</v>
      </c>
      <c r="L3" s="11">
        <v>45131</v>
      </c>
      <c r="M3" s="7" t="s">
        <v>56</v>
      </c>
      <c r="N3" s="7">
        <v>573.6</v>
      </c>
      <c r="O3" s="7">
        <v>1250</v>
      </c>
      <c r="P3" s="10">
        <v>0.3</v>
      </c>
      <c r="Q3" s="10">
        <v>0.84640000000000004</v>
      </c>
      <c r="R3" s="10">
        <v>1031.8</v>
      </c>
      <c r="S3" s="12">
        <v>0.66190416480406844</v>
      </c>
      <c r="T3" s="7">
        <v>15.57760691501136</v>
      </c>
      <c r="U3" s="10">
        <f>AVERAGE(0.3281,0.3139)</f>
        <v>0.32100000000000001</v>
      </c>
      <c r="V3" s="10">
        <v>0.1</v>
      </c>
      <c r="W3" s="10">
        <v>2.5000000000000001E-3</v>
      </c>
      <c r="X3" s="10">
        <v>1.3599999999999999E-2</v>
      </c>
      <c r="Y3" s="10">
        <v>1.1999999999999999E-3</v>
      </c>
      <c r="Z3" s="7"/>
      <c r="AA3" s="10">
        <v>6.3200000000000006E-2</v>
      </c>
      <c r="AB3" s="7"/>
      <c r="AC3" s="10">
        <v>6.3200000000000006E-2</v>
      </c>
      <c r="AD3" s="7">
        <f t="shared" si="0"/>
        <v>1.6132200000000001</v>
      </c>
      <c r="AE3" s="7">
        <f t="shared" si="1"/>
        <v>1.935864E-2</v>
      </c>
      <c r="AF3" s="7">
        <f t="shared" si="2"/>
        <v>19.358640000000001</v>
      </c>
      <c r="AG3" s="7">
        <f>AE3/U3*100</f>
        <v>6.030728971962616</v>
      </c>
      <c r="AH3" s="7">
        <f t="shared" si="3"/>
        <v>8.0500000000000002E-2</v>
      </c>
      <c r="AI3" s="7">
        <f t="shared" si="4"/>
        <v>3.1055900621118013</v>
      </c>
      <c r="AJ3" s="7">
        <f t="shared" si="5"/>
        <v>16.894409937888195</v>
      </c>
      <c r="AK3" s="7">
        <f t="shared" si="6"/>
        <v>1.4906832298136643</v>
      </c>
      <c r="AL3" s="7">
        <f t="shared" si="7"/>
        <v>78.509316770186345</v>
      </c>
      <c r="AM3" s="7">
        <f t="shared" si="8"/>
        <v>4.7352941176470598</v>
      </c>
      <c r="AN3" s="7">
        <f t="shared" si="9"/>
        <v>0.18382352941176472</v>
      </c>
      <c r="AO3" s="7">
        <f t="shared" si="10"/>
        <v>1.8987341772151896E-2</v>
      </c>
      <c r="AP3" s="7">
        <f t="shared" si="11"/>
        <v>1.61E-2</v>
      </c>
      <c r="AQ3" s="7">
        <f t="shared" si="12"/>
        <v>6.4400000000000013E-2</v>
      </c>
      <c r="AR3" s="7">
        <f t="shared" si="13"/>
        <v>0.24999999999999994</v>
      </c>
      <c r="AS3" s="7">
        <f t="shared" si="14"/>
        <v>4.0000000000000009</v>
      </c>
      <c r="AT3" s="7">
        <f t="shared" si="15"/>
        <v>16.100000000000001</v>
      </c>
      <c r="AU3" s="7">
        <f t="shared" si="16"/>
        <v>1.1406185894284742</v>
      </c>
      <c r="AV3" s="7">
        <f t="shared" si="17"/>
        <v>1.3687423073141691E-2</v>
      </c>
      <c r="AW3" s="7">
        <f t="shared" si="18"/>
        <v>13.687423073141691</v>
      </c>
      <c r="AX3" s="7">
        <f>AV3/U3*100</f>
        <v>4.2639947268354179</v>
      </c>
    </row>
    <row r="4" spans="1:50" ht="15.75" customHeight="1" x14ac:dyDescent="0.35">
      <c r="A4" s="7" t="s">
        <v>59</v>
      </c>
      <c r="B4" s="14">
        <v>44987</v>
      </c>
      <c r="C4" s="8">
        <v>44987</v>
      </c>
      <c r="D4" s="7" t="s">
        <v>60</v>
      </c>
      <c r="E4" s="7" t="s">
        <v>61</v>
      </c>
      <c r="F4" s="9">
        <v>0.43263888888888891</v>
      </c>
      <c r="G4" s="10">
        <v>48.85989</v>
      </c>
      <c r="H4" s="10">
        <v>-121.68254</v>
      </c>
      <c r="I4" s="10">
        <v>1313.383</v>
      </c>
      <c r="J4" s="7" t="s">
        <v>54</v>
      </c>
      <c r="K4" s="7" t="s">
        <v>55</v>
      </c>
      <c r="L4" s="11">
        <v>44987</v>
      </c>
      <c r="M4" s="7" t="s">
        <v>56</v>
      </c>
      <c r="N4" s="7">
        <v>200</v>
      </c>
      <c r="O4" s="7">
        <v>200</v>
      </c>
      <c r="P4" s="7">
        <v>3.85169833418</v>
      </c>
      <c r="Q4" s="10">
        <v>0.52210000000000001</v>
      </c>
      <c r="R4" s="10">
        <v>967.7</v>
      </c>
      <c r="S4" s="12">
        <v>0.79072462656957632</v>
      </c>
      <c r="T4" s="7">
        <v>3.2415628138336032</v>
      </c>
      <c r="U4" s="13"/>
      <c r="V4" s="10">
        <v>0.69530000000000003</v>
      </c>
      <c r="W4" s="10">
        <v>4.4000000000000003E-3</v>
      </c>
      <c r="X4" s="10">
        <v>1.8800000000000001E-2</v>
      </c>
      <c r="Y4" s="10">
        <v>2.0999999999999999E-3</v>
      </c>
      <c r="Z4" s="7"/>
      <c r="AA4" s="10">
        <v>1.4E-3</v>
      </c>
      <c r="AB4" s="10">
        <v>4.4000000000000003E-3</v>
      </c>
      <c r="AC4" s="10">
        <v>5.7999999999999996E-3</v>
      </c>
      <c r="AD4" s="7">
        <f t="shared" si="0"/>
        <v>0.90681</v>
      </c>
      <c r="AE4" s="7">
        <f t="shared" si="1"/>
        <v>1.0881719999999999E-2</v>
      </c>
      <c r="AF4" s="7">
        <f t="shared" si="2"/>
        <v>10.88172</v>
      </c>
      <c r="AG4" s="7"/>
      <c r="AH4" s="7">
        <f t="shared" si="3"/>
        <v>3.1100000000000003E-2</v>
      </c>
      <c r="AI4" s="7">
        <f t="shared" si="4"/>
        <v>14.14790996784566</v>
      </c>
      <c r="AJ4" s="7">
        <f t="shared" si="5"/>
        <v>60.450160771704176</v>
      </c>
      <c r="AK4" s="7">
        <f t="shared" si="6"/>
        <v>6.7524115755627001</v>
      </c>
      <c r="AL4" s="7">
        <f t="shared" si="7"/>
        <v>18.649517684887456</v>
      </c>
      <c r="AM4" s="7">
        <f t="shared" si="8"/>
        <v>0.42021276595744672</v>
      </c>
      <c r="AN4" s="7">
        <f t="shared" si="9"/>
        <v>0.23404255319148937</v>
      </c>
      <c r="AO4" s="7">
        <f t="shared" si="10"/>
        <v>0.36206896551724138</v>
      </c>
      <c r="AP4" s="7">
        <f t="shared" si="11"/>
        <v>2.3200000000000002E-2</v>
      </c>
      <c r="AQ4" s="7">
        <f t="shared" si="12"/>
        <v>7.899999999999999E-3</v>
      </c>
      <c r="AR4" s="7">
        <f t="shared" si="13"/>
        <v>2.9367088607594942</v>
      </c>
      <c r="AS4" s="7">
        <f t="shared" si="14"/>
        <v>0.34051724137931028</v>
      </c>
      <c r="AT4" s="7">
        <f t="shared" si="15"/>
        <v>23.200000000000003</v>
      </c>
      <c r="AU4" s="7">
        <f t="shared" si="16"/>
        <v>1.5948246153719634</v>
      </c>
      <c r="AV4" s="7">
        <f t="shared" si="17"/>
        <v>1.913789538446356E-2</v>
      </c>
      <c r="AW4" s="7">
        <f t="shared" si="18"/>
        <v>19.137895384463562</v>
      </c>
      <c r="AX4" s="7"/>
    </row>
    <row r="5" spans="1:50" ht="15.75" customHeight="1" x14ac:dyDescent="0.35">
      <c r="A5" s="7" t="s">
        <v>62</v>
      </c>
      <c r="B5" s="14">
        <v>45052</v>
      </c>
      <c r="C5" s="8">
        <v>45052</v>
      </c>
      <c r="D5" s="7" t="s">
        <v>60</v>
      </c>
      <c r="E5" s="7" t="s">
        <v>63</v>
      </c>
      <c r="F5" s="9">
        <v>0.58333333333333337</v>
      </c>
      <c r="G5" s="10">
        <v>48.853092969999999</v>
      </c>
      <c r="H5" s="10">
        <v>-121.68912235000001</v>
      </c>
      <c r="I5" s="10">
        <v>1316.8430000000001</v>
      </c>
      <c r="J5" s="7" t="s">
        <v>54</v>
      </c>
      <c r="K5" s="7" t="s">
        <v>55</v>
      </c>
      <c r="L5" s="11">
        <v>45052</v>
      </c>
      <c r="M5" s="7" t="s">
        <v>56</v>
      </c>
      <c r="N5" s="7">
        <v>559</v>
      </c>
      <c r="O5" s="7">
        <v>1250</v>
      </c>
      <c r="P5" s="7">
        <v>4.3922949999999998</v>
      </c>
      <c r="Q5" s="10">
        <v>0.82199999999999995</v>
      </c>
      <c r="R5" s="10">
        <v>1040.3</v>
      </c>
      <c r="S5" s="12">
        <v>0.6670647685418184</v>
      </c>
      <c r="T5" s="7">
        <v>15.561143921265607</v>
      </c>
      <c r="U5" s="10">
        <f>AVERAGE(0.7326,0.3938)</f>
        <v>0.56320000000000003</v>
      </c>
      <c r="V5" s="13"/>
      <c r="W5" s="10">
        <v>2.7499999999999998E-3</v>
      </c>
      <c r="X5" s="10">
        <v>2.4750000000000001E-2</v>
      </c>
      <c r="Y5" s="10">
        <v>6.4999999999999997E-4</v>
      </c>
      <c r="Z5" s="10">
        <v>2E-3</v>
      </c>
      <c r="AA5" s="10">
        <v>1.6550000000000002E-2</v>
      </c>
      <c r="AB5" s="10">
        <v>2.2499999999999999E-2</v>
      </c>
      <c r="AC5" s="10">
        <v>2.8799999999999999E-2</v>
      </c>
      <c r="AD5" s="7">
        <f t="shared" si="0"/>
        <v>1.410315</v>
      </c>
      <c r="AE5" s="7">
        <f t="shared" si="1"/>
        <v>1.6923779999999999E-2</v>
      </c>
      <c r="AF5" s="7">
        <f t="shared" si="2"/>
        <v>16.923780000000001</v>
      </c>
      <c r="AG5" s="7">
        <f t="shared" ref="AG5:AG6" si="19">AE5/U5*100</f>
        <v>3.0049325284090904</v>
      </c>
      <c r="AH5" s="7">
        <f t="shared" si="3"/>
        <v>5.6950000000000001E-2</v>
      </c>
      <c r="AI5" s="7">
        <f t="shared" si="4"/>
        <v>4.8287971905179976</v>
      </c>
      <c r="AJ5" s="7">
        <f t="shared" si="5"/>
        <v>43.459174714661984</v>
      </c>
      <c r="AK5" s="7">
        <f t="shared" si="6"/>
        <v>1.1413520632133449</v>
      </c>
      <c r="AL5" s="7">
        <f t="shared" si="7"/>
        <v>50.570676031606673</v>
      </c>
      <c r="AM5" s="7">
        <f t="shared" si="8"/>
        <v>1.1898989898989898</v>
      </c>
      <c r="AN5" s="7">
        <f t="shared" si="9"/>
        <v>0.1111111111111111</v>
      </c>
      <c r="AO5" s="7">
        <f t="shared" si="10"/>
        <v>2.2569444444444444E-2</v>
      </c>
      <c r="AP5" s="7">
        <f t="shared" si="11"/>
        <v>2.75E-2</v>
      </c>
      <c r="AQ5" s="7">
        <f t="shared" si="12"/>
        <v>2.945E-2</v>
      </c>
      <c r="AR5" s="7">
        <f t="shared" si="13"/>
        <v>0.93378607809847203</v>
      </c>
      <c r="AS5" s="7">
        <f t="shared" si="14"/>
        <v>1.0709090909090908</v>
      </c>
      <c r="AT5" s="7">
        <f t="shared" si="15"/>
        <v>27.5</v>
      </c>
      <c r="AU5" s="7">
        <f t="shared" si="16"/>
        <v>1.8640838791252581</v>
      </c>
      <c r="AV5" s="7">
        <f t="shared" si="17"/>
        <v>2.23690065495031E-2</v>
      </c>
      <c r="AW5" s="7">
        <f t="shared" si="18"/>
        <v>22.369006549503098</v>
      </c>
      <c r="AX5" s="7">
        <f t="shared" ref="AX5:AX6" si="20">AV5/U5*100</f>
        <v>3.9717696288180218</v>
      </c>
    </row>
    <row r="6" spans="1:50" ht="15.75" customHeight="1" x14ac:dyDescent="0.35">
      <c r="A6" s="7" t="s">
        <v>64</v>
      </c>
      <c r="B6" s="7" t="s">
        <v>65</v>
      </c>
      <c r="C6" s="8">
        <v>45066</v>
      </c>
      <c r="D6" s="7" t="s">
        <v>60</v>
      </c>
      <c r="E6" s="7" t="s">
        <v>66</v>
      </c>
      <c r="F6" s="9">
        <v>0.60347222222222219</v>
      </c>
      <c r="G6" s="10">
        <v>48.854210000000002</v>
      </c>
      <c r="H6" s="10">
        <v>-121.68651</v>
      </c>
      <c r="I6" s="10">
        <v>1342.0340000000001</v>
      </c>
      <c r="J6" s="7" t="s">
        <v>54</v>
      </c>
      <c r="K6" s="7" t="s">
        <v>55</v>
      </c>
      <c r="L6" s="11">
        <v>45066</v>
      </c>
      <c r="M6" s="7" t="s">
        <v>56</v>
      </c>
      <c r="N6" s="10">
        <v>529</v>
      </c>
      <c r="O6" s="7">
        <v>1250</v>
      </c>
      <c r="P6" s="7">
        <v>2.166831666582</v>
      </c>
      <c r="Q6" s="10">
        <v>0.8528</v>
      </c>
      <c r="R6" s="10">
        <v>1041.4000000000001</v>
      </c>
      <c r="S6" s="12">
        <v>0.67811570946203148</v>
      </c>
      <c r="T6" s="7">
        <v>5.124638620749975</v>
      </c>
      <c r="U6" s="10">
        <v>0.20080000000000001</v>
      </c>
      <c r="V6" s="10">
        <v>0.2</v>
      </c>
      <c r="W6" s="10">
        <v>1E-3</v>
      </c>
      <c r="X6" s="10">
        <v>3.8999999999999998E-3</v>
      </c>
      <c r="Y6" s="10">
        <v>8.0000000000000004E-4</v>
      </c>
      <c r="Z6" s="7"/>
      <c r="AA6" s="10">
        <v>1.09E-2</v>
      </c>
      <c r="AB6" s="7"/>
      <c r="AC6" s="10">
        <v>1.09E-2</v>
      </c>
      <c r="AD6" s="7">
        <f t="shared" si="0"/>
        <v>0.35904999999999998</v>
      </c>
      <c r="AE6" s="7">
        <f t="shared" si="1"/>
        <v>4.3086000000000001E-3</v>
      </c>
      <c r="AF6" s="7">
        <f t="shared" si="2"/>
        <v>4.3086000000000002</v>
      </c>
      <c r="AG6" s="7">
        <f t="shared" si="19"/>
        <v>2.1457171314741035</v>
      </c>
      <c r="AH6" s="7">
        <f t="shared" si="3"/>
        <v>1.66E-2</v>
      </c>
      <c r="AI6" s="7">
        <f t="shared" si="4"/>
        <v>6.024096385542169</v>
      </c>
      <c r="AJ6" s="7">
        <f t="shared" si="5"/>
        <v>23.493975903614455</v>
      </c>
      <c r="AK6" s="7">
        <f t="shared" si="6"/>
        <v>4.8192771084337354</v>
      </c>
      <c r="AL6" s="7">
        <f t="shared" si="7"/>
        <v>65.662650602409627</v>
      </c>
      <c r="AM6" s="7">
        <f t="shared" si="8"/>
        <v>3.0000000000000004</v>
      </c>
      <c r="AN6" s="7">
        <f t="shared" si="9"/>
        <v>0.25641025641025644</v>
      </c>
      <c r="AO6" s="7">
        <f t="shared" si="10"/>
        <v>7.3394495412844041E-2</v>
      </c>
      <c r="AP6" s="7">
        <f t="shared" si="11"/>
        <v>4.8999999999999998E-3</v>
      </c>
      <c r="AQ6" s="7">
        <f t="shared" si="12"/>
        <v>1.17E-2</v>
      </c>
      <c r="AR6" s="7">
        <f t="shared" si="13"/>
        <v>0.41880341880341876</v>
      </c>
      <c r="AS6" s="7">
        <f t="shared" si="14"/>
        <v>2.3877551020408165</v>
      </c>
      <c r="AT6" s="7">
        <f t="shared" si="15"/>
        <v>4.8999999999999995</v>
      </c>
      <c r="AU6" s="7">
        <f t="shared" si="16"/>
        <v>0.38294165285921566</v>
      </c>
      <c r="AV6" s="7">
        <f t="shared" si="17"/>
        <v>4.5952998343105874E-3</v>
      </c>
      <c r="AW6" s="7">
        <f t="shared" si="18"/>
        <v>4.5952998343105875</v>
      </c>
      <c r="AX6" s="7">
        <f t="shared" si="20"/>
        <v>2.2884959334216073</v>
      </c>
    </row>
    <row r="7" spans="1:50" ht="15.75" customHeight="1" x14ac:dyDescent="0.35">
      <c r="A7" s="7" t="s">
        <v>67</v>
      </c>
      <c r="B7" s="14">
        <v>45085</v>
      </c>
      <c r="C7" s="8">
        <v>45085</v>
      </c>
      <c r="D7" s="7" t="s">
        <v>60</v>
      </c>
      <c r="E7" s="7" t="s">
        <v>68</v>
      </c>
      <c r="F7" s="9">
        <v>0.71527777777777779</v>
      </c>
      <c r="G7" s="10">
        <v>48.852495259999998</v>
      </c>
      <c r="H7" s="10">
        <v>-121.69254481</v>
      </c>
      <c r="I7" s="10">
        <v>1303.73</v>
      </c>
      <c r="J7" s="7" t="s">
        <v>54</v>
      </c>
      <c r="K7" s="7" t="s">
        <v>58</v>
      </c>
      <c r="L7" s="11">
        <v>45085</v>
      </c>
      <c r="M7" s="7" t="s">
        <v>56</v>
      </c>
      <c r="N7" s="7">
        <v>564</v>
      </c>
      <c r="O7" s="7">
        <v>1250</v>
      </c>
      <c r="P7" s="7">
        <v>0.78338891658200005</v>
      </c>
      <c r="Q7" s="10">
        <v>0.87419999999999998</v>
      </c>
      <c r="R7" s="10">
        <v>1040</v>
      </c>
      <c r="S7" s="12">
        <v>0.67403228150317818</v>
      </c>
      <c r="T7" s="7">
        <v>6.122584769699424</v>
      </c>
      <c r="U7" s="13"/>
      <c r="V7" s="13"/>
      <c r="W7" s="10">
        <v>1.6000000000000001E-3</v>
      </c>
      <c r="X7" s="10">
        <v>6.3E-3</v>
      </c>
      <c r="Y7" s="10">
        <v>2.9999999999999997E-4</v>
      </c>
      <c r="Z7" s="7"/>
      <c r="AA7" s="10">
        <v>1.6000000000000001E-3</v>
      </c>
      <c r="AB7" s="10">
        <v>1.03E-2</v>
      </c>
      <c r="AC7" s="10">
        <v>1.1900000000000001E-2</v>
      </c>
      <c r="AD7" s="7">
        <f t="shared" si="0"/>
        <v>0.46760000000000007</v>
      </c>
      <c r="AE7" s="7">
        <f t="shared" si="1"/>
        <v>5.6112000000000011E-3</v>
      </c>
      <c r="AF7" s="7">
        <f t="shared" si="2"/>
        <v>5.6112000000000011</v>
      </c>
      <c r="AG7" s="7"/>
      <c r="AH7" s="7">
        <f t="shared" si="3"/>
        <v>2.01E-2</v>
      </c>
      <c r="AI7" s="7">
        <f t="shared" si="4"/>
        <v>7.9601990049751246</v>
      </c>
      <c r="AJ7" s="7">
        <f t="shared" si="5"/>
        <v>31.343283582089555</v>
      </c>
      <c r="AK7" s="7">
        <f t="shared" si="6"/>
        <v>1.4925373134328357</v>
      </c>
      <c r="AL7" s="7">
        <f t="shared" si="7"/>
        <v>59.203980099502495</v>
      </c>
      <c r="AM7" s="7">
        <f t="shared" si="8"/>
        <v>1.9365079365079365</v>
      </c>
      <c r="AN7" s="7">
        <f t="shared" si="9"/>
        <v>0.25396825396825395</v>
      </c>
      <c r="AO7" s="7">
        <f t="shared" si="10"/>
        <v>2.5210084033613443E-2</v>
      </c>
      <c r="AP7" s="7">
        <f t="shared" si="11"/>
        <v>7.9000000000000008E-3</v>
      </c>
      <c r="AQ7" s="7">
        <f t="shared" si="12"/>
        <v>1.2200000000000001E-2</v>
      </c>
      <c r="AR7" s="7">
        <f t="shared" si="13"/>
        <v>0.64754098360655743</v>
      </c>
      <c r="AS7" s="7">
        <f t="shared" si="14"/>
        <v>1.5443037974683544</v>
      </c>
      <c r="AT7" s="7">
        <f t="shared" si="15"/>
        <v>7.9</v>
      </c>
      <c r="AU7" s="7">
        <f t="shared" si="16"/>
        <v>0.59354077618220669</v>
      </c>
      <c r="AV7" s="7">
        <f t="shared" si="17"/>
        <v>7.1224893141864799E-3</v>
      </c>
      <c r="AW7" s="7">
        <f t="shared" si="18"/>
        <v>7.1224893141864802</v>
      </c>
      <c r="AX7" s="7"/>
    </row>
    <row r="8" spans="1:50" ht="15.75" customHeight="1" x14ac:dyDescent="0.35">
      <c r="A8" s="7" t="s">
        <v>69</v>
      </c>
      <c r="B8" s="14">
        <v>45103</v>
      </c>
      <c r="C8" s="8">
        <v>45103</v>
      </c>
      <c r="D8" s="7" t="s">
        <v>60</v>
      </c>
      <c r="E8" s="7" t="s">
        <v>68</v>
      </c>
      <c r="F8" s="9">
        <v>0.62569444444444444</v>
      </c>
      <c r="G8" s="10">
        <v>48.852621069999998</v>
      </c>
      <c r="H8" s="10">
        <v>-121.69435559999999</v>
      </c>
      <c r="I8" s="10">
        <v>1317.07</v>
      </c>
      <c r="J8" s="7" t="s">
        <v>54</v>
      </c>
      <c r="K8" s="7" t="s">
        <v>58</v>
      </c>
      <c r="L8" s="11">
        <v>45103</v>
      </c>
      <c r="M8" s="7" t="s">
        <v>56</v>
      </c>
      <c r="N8" s="7">
        <v>606</v>
      </c>
      <c r="O8" s="7">
        <v>1250</v>
      </c>
      <c r="P8" s="10">
        <v>0.3</v>
      </c>
      <c r="Q8" s="10">
        <v>0.87490000000000001</v>
      </c>
      <c r="R8" s="10">
        <v>1037.4000000000001</v>
      </c>
      <c r="S8" s="12">
        <v>0.66728481557007446</v>
      </c>
      <c r="T8" s="7">
        <v>9.8336196051897691</v>
      </c>
      <c r="U8" s="13"/>
      <c r="V8" s="10">
        <v>0.41920000000000002</v>
      </c>
      <c r="W8" s="10">
        <v>1.9E-3</v>
      </c>
      <c r="X8" s="10">
        <v>1.9699999999999999E-2</v>
      </c>
      <c r="Y8" s="10">
        <v>6.9999999999999999E-4</v>
      </c>
      <c r="Z8" s="7"/>
      <c r="AA8" s="10">
        <v>9.7999999999999997E-3</v>
      </c>
      <c r="AB8" s="7"/>
      <c r="AC8" s="10">
        <v>9.7999999999999997E-3</v>
      </c>
      <c r="AD8" s="7">
        <f t="shared" si="0"/>
        <v>0.89678999999999998</v>
      </c>
      <c r="AE8" s="7">
        <f t="shared" si="1"/>
        <v>1.0761479999999999E-2</v>
      </c>
      <c r="AF8" s="7">
        <f t="shared" si="2"/>
        <v>10.761479999999999</v>
      </c>
      <c r="AG8" s="7"/>
      <c r="AH8" s="7">
        <f t="shared" si="3"/>
        <v>3.2099999999999997E-2</v>
      </c>
      <c r="AI8" s="7">
        <f t="shared" si="4"/>
        <v>5.9190031152647986</v>
      </c>
      <c r="AJ8" s="7">
        <f t="shared" si="5"/>
        <v>61.370716510903435</v>
      </c>
      <c r="AK8" s="7">
        <f t="shared" si="6"/>
        <v>2.180685358255452</v>
      </c>
      <c r="AL8" s="7">
        <f t="shared" si="7"/>
        <v>30.529595015576326</v>
      </c>
      <c r="AM8" s="7">
        <f t="shared" si="8"/>
        <v>0.53299492385786795</v>
      </c>
      <c r="AN8" s="7">
        <f t="shared" si="9"/>
        <v>9.6446700507614225E-2</v>
      </c>
      <c r="AO8" s="7">
        <f t="shared" si="10"/>
        <v>7.1428571428571425E-2</v>
      </c>
      <c r="AP8" s="7">
        <f t="shared" si="11"/>
        <v>2.1599999999999998E-2</v>
      </c>
      <c r="AQ8" s="7">
        <f t="shared" si="12"/>
        <v>1.0499999999999999E-2</v>
      </c>
      <c r="AR8" s="7">
        <f t="shared" si="13"/>
        <v>2.0571428571428569</v>
      </c>
      <c r="AS8" s="7">
        <f t="shared" si="14"/>
        <v>0.4861111111111111</v>
      </c>
      <c r="AT8" s="7">
        <f t="shared" si="15"/>
        <v>21.599999999999998</v>
      </c>
      <c r="AU8" s="7">
        <f t="shared" si="16"/>
        <v>1.4936162183099504</v>
      </c>
      <c r="AV8" s="7">
        <f t="shared" si="17"/>
        <v>1.7923394619719403E-2</v>
      </c>
      <c r="AW8" s="7">
        <f t="shared" si="18"/>
        <v>17.923394619719403</v>
      </c>
      <c r="AX8" s="7"/>
    </row>
    <row r="9" spans="1:50" ht="15.75" customHeight="1" x14ac:dyDescent="0.35">
      <c r="A9" s="7" t="s">
        <v>70</v>
      </c>
      <c r="B9" s="14">
        <v>45117</v>
      </c>
      <c r="C9" s="8">
        <v>45117</v>
      </c>
      <c r="D9" s="7" t="s">
        <v>60</v>
      </c>
      <c r="E9" s="7" t="s">
        <v>68</v>
      </c>
      <c r="F9" s="9">
        <v>0.59930555555555554</v>
      </c>
      <c r="G9" s="10">
        <v>48.852622680000003</v>
      </c>
      <c r="H9" s="10">
        <v>-121.6942997</v>
      </c>
      <c r="I9" s="10">
        <v>1315.91</v>
      </c>
      <c r="J9" s="7" t="s">
        <v>54</v>
      </c>
      <c r="K9" s="7" t="s">
        <v>58</v>
      </c>
      <c r="L9" s="11">
        <v>45117</v>
      </c>
      <c r="M9" s="7" t="s">
        <v>56</v>
      </c>
      <c r="N9" s="7">
        <v>630</v>
      </c>
      <c r="O9" s="7">
        <v>1250</v>
      </c>
      <c r="P9" s="10">
        <v>0.3</v>
      </c>
      <c r="Q9" s="10">
        <v>0.86370000000000002</v>
      </c>
      <c r="R9" s="10">
        <v>1034.7</v>
      </c>
      <c r="S9" s="12">
        <v>0.67157189613594392</v>
      </c>
      <c r="T9" s="7">
        <v>7.5543944065325688</v>
      </c>
      <c r="U9" s="10">
        <v>0.2722</v>
      </c>
      <c r="V9" s="10">
        <v>0.4</v>
      </c>
      <c r="W9" s="10">
        <v>1.9E-3</v>
      </c>
      <c r="X9" s="10">
        <v>1.43E-2</v>
      </c>
      <c r="Y9" s="10">
        <v>4.0000000000000002E-4</v>
      </c>
      <c r="Z9" s="7"/>
      <c r="AA9" s="10">
        <v>7.0000000000000001E-3</v>
      </c>
      <c r="AB9" s="7"/>
      <c r="AC9" s="10">
        <v>7.0000000000000001E-3</v>
      </c>
      <c r="AD9" s="7">
        <f t="shared" si="0"/>
        <v>0.66465999999999992</v>
      </c>
      <c r="AE9" s="7">
        <f t="shared" si="1"/>
        <v>7.9759199999999992E-3</v>
      </c>
      <c r="AF9" s="7">
        <f t="shared" si="2"/>
        <v>7.9759199999999995</v>
      </c>
      <c r="AG9" s="7">
        <f>AE9/U9*100</f>
        <v>2.9301689933872148</v>
      </c>
      <c r="AH9" s="7">
        <f t="shared" si="3"/>
        <v>2.3599999999999999E-2</v>
      </c>
      <c r="AI9" s="7">
        <f t="shared" si="4"/>
        <v>8.0508474576271194</v>
      </c>
      <c r="AJ9" s="7">
        <f t="shared" si="5"/>
        <v>60.593220338983059</v>
      </c>
      <c r="AK9" s="7">
        <f t="shared" si="6"/>
        <v>1.6949152542372881</v>
      </c>
      <c r="AL9" s="7">
        <f t="shared" si="7"/>
        <v>29.66101694915254</v>
      </c>
      <c r="AM9" s="7">
        <f t="shared" si="8"/>
        <v>0.5174825174825175</v>
      </c>
      <c r="AN9" s="7">
        <f t="shared" si="9"/>
        <v>0.13286713286713286</v>
      </c>
      <c r="AO9" s="7">
        <f t="shared" si="10"/>
        <v>5.7142857142857141E-2</v>
      </c>
      <c r="AP9" s="7">
        <f t="shared" si="11"/>
        <v>1.6199999999999999E-2</v>
      </c>
      <c r="AQ9" s="7">
        <f t="shared" si="12"/>
        <v>7.4000000000000003E-3</v>
      </c>
      <c r="AR9" s="7">
        <f t="shared" si="13"/>
        <v>2.189189189189189</v>
      </c>
      <c r="AS9" s="7">
        <f t="shared" si="14"/>
        <v>0.45679012345679015</v>
      </c>
      <c r="AT9" s="7">
        <f t="shared" si="15"/>
        <v>16.2</v>
      </c>
      <c r="AU9" s="7">
        <f t="shared" si="16"/>
        <v>1.1471170367905785</v>
      </c>
      <c r="AV9" s="7">
        <f t="shared" si="17"/>
        <v>1.3765404441486943E-2</v>
      </c>
      <c r="AW9" s="7">
        <f t="shared" si="18"/>
        <v>13.765404441486943</v>
      </c>
      <c r="AX9" s="7">
        <f>AV9/U9*100</f>
        <v>5.0570920064242992</v>
      </c>
    </row>
    <row r="10" spans="1:50" ht="15.75" customHeight="1" x14ac:dyDescent="0.35">
      <c r="A10" s="7" t="s">
        <v>71</v>
      </c>
      <c r="B10" s="14">
        <v>45124</v>
      </c>
      <c r="C10" s="8">
        <v>45124</v>
      </c>
      <c r="D10" s="7" t="s">
        <v>60</v>
      </c>
      <c r="E10" s="7"/>
      <c r="F10" s="9">
        <v>0.56597222222222221</v>
      </c>
      <c r="G10" s="10">
        <v>48.8515224</v>
      </c>
      <c r="H10" s="10">
        <v>-121.69152</v>
      </c>
      <c r="I10" s="10">
        <v>1342.39</v>
      </c>
      <c r="J10" s="7" t="s">
        <v>54</v>
      </c>
      <c r="K10" s="7" t="s">
        <v>58</v>
      </c>
      <c r="L10" s="11">
        <v>45124</v>
      </c>
      <c r="M10" s="7" t="s">
        <v>56</v>
      </c>
      <c r="N10" s="7">
        <v>524</v>
      </c>
      <c r="O10" s="7">
        <v>1250</v>
      </c>
      <c r="P10" s="10">
        <v>0.3</v>
      </c>
      <c r="Q10" s="10">
        <v>0.85450000000000004</v>
      </c>
      <c r="R10" s="10">
        <v>1033</v>
      </c>
      <c r="S10" s="12">
        <v>0.67335699171356711</v>
      </c>
      <c r="T10" s="7">
        <v>5.7896257851648292</v>
      </c>
      <c r="U10" s="13"/>
      <c r="V10" s="10">
        <v>0.1</v>
      </c>
      <c r="W10" s="10">
        <v>2.0999999999999999E-3</v>
      </c>
      <c r="X10" s="10">
        <v>1.3899999999999999E-2</v>
      </c>
      <c r="Y10" s="10">
        <v>5.0000000000000001E-4</v>
      </c>
      <c r="Z10" s="7"/>
      <c r="AA10" s="7"/>
      <c r="AB10" s="7"/>
      <c r="AC10" s="7"/>
      <c r="AD10" s="7">
        <f t="shared" si="0"/>
        <v>0.54274999999999995</v>
      </c>
      <c r="AE10" s="7">
        <f t="shared" si="1"/>
        <v>6.5129999999999997E-3</v>
      </c>
      <c r="AF10" s="7">
        <f t="shared" si="2"/>
        <v>6.5129999999999999</v>
      </c>
      <c r="AG10" s="7"/>
      <c r="AH10" s="7">
        <f t="shared" si="3"/>
        <v>1.6500000000000001E-2</v>
      </c>
      <c r="AI10" s="7">
        <f t="shared" si="4"/>
        <v>12.727272727272727</v>
      </c>
      <c r="AJ10" s="7">
        <f t="shared" si="5"/>
        <v>84.242424242424235</v>
      </c>
      <c r="AK10" s="7">
        <f t="shared" si="6"/>
        <v>3.0303030303030303</v>
      </c>
      <c r="AL10" s="7"/>
      <c r="AM10" s="7">
        <f t="shared" si="8"/>
        <v>3.5971223021582739E-2</v>
      </c>
      <c r="AN10" s="7">
        <f t="shared" si="9"/>
        <v>0.15107913669064749</v>
      </c>
      <c r="AO10" s="7"/>
      <c r="AP10" s="7">
        <f t="shared" si="11"/>
        <v>1.6E-2</v>
      </c>
      <c r="AQ10" s="7">
        <f t="shared" si="12"/>
        <v>5.0000000000000001E-4</v>
      </c>
      <c r="AR10" s="7">
        <f t="shared" si="13"/>
        <v>32</v>
      </c>
      <c r="AS10" s="7">
        <f t="shared" si="14"/>
        <v>3.125E-2</v>
      </c>
      <c r="AT10" s="7">
        <f t="shared" si="15"/>
        <v>16</v>
      </c>
      <c r="AU10" s="7">
        <f t="shared" si="16"/>
        <v>1.134116811241012</v>
      </c>
      <c r="AV10" s="7">
        <f t="shared" si="17"/>
        <v>1.3609401734892146E-2</v>
      </c>
      <c r="AW10" s="7">
        <f t="shared" si="18"/>
        <v>13.609401734892145</v>
      </c>
      <c r="AX10" s="7"/>
    </row>
    <row r="11" spans="1:50" ht="15.75" customHeight="1" x14ac:dyDescent="0.35">
      <c r="A11" s="7" t="s">
        <v>72</v>
      </c>
      <c r="B11" s="14">
        <v>44697</v>
      </c>
      <c r="C11" s="8">
        <v>44697</v>
      </c>
      <c r="D11" s="7" t="s">
        <v>60</v>
      </c>
      <c r="E11" s="7" t="s">
        <v>73</v>
      </c>
      <c r="F11" s="7">
        <v>0.5</v>
      </c>
      <c r="G11" s="10">
        <v>48.860591999999997</v>
      </c>
      <c r="H11" s="16">
        <v>-121.68382699999999</v>
      </c>
      <c r="I11" s="7"/>
      <c r="J11" s="7" t="s">
        <v>54</v>
      </c>
      <c r="K11" s="7" t="s">
        <v>55</v>
      </c>
      <c r="L11" s="11">
        <v>44697</v>
      </c>
      <c r="M11" s="7" t="s">
        <v>56</v>
      </c>
      <c r="N11" s="7">
        <v>559.38333333333333</v>
      </c>
      <c r="O11" s="7">
        <v>1250</v>
      </c>
      <c r="P11" s="7">
        <v>3.6498733200000002</v>
      </c>
      <c r="Q11" s="10">
        <v>0.8458</v>
      </c>
      <c r="R11" s="10">
        <v>1041.3</v>
      </c>
      <c r="S11" s="12">
        <v>0.67152581002557743</v>
      </c>
      <c r="T11" s="7">
        <v>10.528106527609786</v>
      </c>
      <c r="U11" s="10">
        <f>AVERAGE(0.7409,0.6334,0.8957)</f>
        <v>0.75666666666666671</v>
      </c>
      <c r="V11" s="13"/>
      <c r="W11" s="10">
        <v>6.6E-3</v>
      </c>
      <c r="X11" s="10">
        <v>1.2800000000000001E-2</v>
      </c>
      <c r="Y11" s="10">
        <v>2.8999999999999998E-3</v>
      </c>
      <c r="Z11" s="10">
        <v>2.3999999999999998E-3</v>
      </c>
      <c r="AA11" s="10">
        <v>2.3E-3</v>
      </c>
      <c r="AB11" s="10">
        <v>4.1000000000000003E-3</v>
      </c>
      <c r="AC11" s="10">
        <v>8.8000000000000005E-3</v>
      </c>
      <c r="AD11" s="7">
        <f t="shared" si="0"/>
        <v>0.84335000000000004</v>
      </c>
      <c r="AE11" s="7">
        <f t="shared" si="1"/>
        <v>1.0120200000000001E-2</v>
      </c>
      <c r="AF11" s="7">
        <f t="shared" si="2"/>
        <v>10.120200000000001</v>
      </c>
      <c r="AG11" s="7">
        <f t="shared" ref="AG11:AG33" si="21">AE11/U11*100</f>
        <v>1.3374713656387667</v>
      </c>
      <c r="AH11" s="7">
        <f t="shared" si="3"/>
        <v>3.1100000000000003E-2</v>
      </c>
      <c r="AI11" s="7">
        <f t="shared" si="4"/>
        <v>21.221864951768488</v>
      </c>
      <c r="AJ11" s="7">
        <f t="shared" si="5"/>
        <v>41.157556270096464</v>
      </c>
      <c r="AK11" s="7">
        <f t="shared" si="6"/>
        <v>9.3247588424437282</v>
      </c>
      <c r="AL11" s="7">
        <f t="shared" ref="AL11:AL32" si="22">AC11/AH11*100</f>
        <v>28.29581993569132</v>
      </c>
      <c r="AM11" s="7">
        <f t="shared" si="8"/>
        <v>0.9140625</v>
      </c>
      <c r="AN11" s="7">
        <f t="shared" si="9"/>
        <v>0.515625</v>
      </c>
      <c r="AO11" s="7">
        <f t="shared" ref="AO11:AO32" si="23">Y11/AC11</f>
        <v>0.32954545454545453</v>
      </c>
      <c r="AP11" s="7">
        <f t="shared" si="11"/>
        <v>1.9400000000000001E-2</v>
      </c>
      <c r="AQ11" s="7">
        <f t="shared" si="12"/>
        <v>1.17E-2</v>
      </c>
      <c r="AR11" s="7">
        <f t="shared" si="13"/>
        <v>1.6581196581196582</v>
      </c>
      <c r="AS11" s="7">
        <f t="shared" si="14"/>
        <v>0.60309278350515461</v>
      </c>
      <c r="AT11" s="7">
        <f t="shared" si="15"/>
        <v>19.400000000000002</v>
      </c>
      <c r="AU11" s="7">
        <f t="shared" si="16"/>
        <v>1.3534299765141087</v>
      </c>
      <c r="AV11" s="7">
        <f t="shared" si="17"/>
        <v>1.6241159718169303E-2</v>
      </c>
      <c r="AW11" s="7">
        <f t="shared" si="18"/>
        <v>16.241159718169303</v>
      </c>
      <c r="AX11" s="7">
        <f t="shared" ref="AX11:AX33" si="24">AV11/U11*100</f>
        <v>2.1464087733263395</v>
      </c>
    </row>
    <row r="12" spans="1:50" ht="15.75" customHeight="1" x14ac:dyDescent="0.35">
      <c r="A12" s="7" t="s">
        <v>74</v>
      </c>
      <c r="B12" s="17" t="s">
        <v>75</v>
      </c>
      <c r="C12" s="8">
        <v>44742</v>
      </c>
      <c r="D12" s="7" t="s">
        <v>60</v>
      </c>
      <c r="E12" s="7" t="s">
        <v>73</v>
      </c>
      <c r="F12" s="7">
        <v>0.5</v>
      </c>
      <c r="G12" s="10">
        <v>48.860591999999997</v>
      </c>
      <c r="H12" s="16">
        <v>-121.68382699999999</v>
      </c>
      <c r="I12" s="7"/>
      <c r="J12" s="7" t="s">
        <v>54</v>
      </c>
      <c r="K12" s="7" t="s">
        <v>58</v>
      </c>
      <c r="L12" s="11">
        <v>44742</v>
      </c>
      <c r="M12" s="7" t="s">
        <v>56</v>
      </c>
      <c r="N12" s="7">
        <v>559.38333333333333</v>
      </c>
      <c r="O12" s="7">
        <v>1250</v>
      </c>
      <c r="P12" s="7">
        <v>1.976791688776</v>
      </c>
      <c r="Q12" s="10">
        <v>0.87250000000000005</v>
      </c>
      <c r="R12" s="10">
        <v>1036.7</v>
      </c>
      <c r="S12" s="12">
        <v>0.63884772673062651</v>
      </c>
      <c r="T12" s="7">
        <v>33.662567253024918</v>
      </c>
      <c r="U12" s="10">
        <f>AVERAGE(2.15,1.318,2.18)</f>
        <v>1.8826666666666665</v>
      </c>
      <c r="V12" s="13"/>
      <c r="W12" s="10">
        <v>5.3E-3</v>
      </c>
      <c r="X12" s="10">
        <v>7.3899999999999993E-2</v>
      </c>
      <c r="Y12" s="10">
        <v>3.5999999999999999E-3</v>
      </c>
      <c r="Z12" s="7"/>
      <c r="AA12" s="10">
        <v>5.8099999999999999E-2</v>
      </c>
      <c r="AB12" s="10">
        <v>3.4700000000000002E-2</v>
      </c>
      <c r="AC12" s="10">
        <v>6.9699999999999998E-2</v>
      </c>
      <c r="AD12" s="7">
        <f t="shared" si="0"/>
        <v>3.8693899999999992</v>
      </c>
      <c r="AE12" s="7">
        <f t="shared" si="1"/>
        <v>4.643267999999999E-2</v>
      </c>
      <c r="AF12" s="7">
        <f t="shared" si="2"/>
        <v>46.432679999999991</v>
      </c>
      <c r="AG12" s="7">
        <f t="shared" si="21"/>
        <v>2.4663250708215294</v>
      </c>
      <c r="AH12" s="7">
        <f t="shared" si="3"/>
        <v>0.1525</v>
      </c>
      <c r="AI12" s="7">
        <f t="shared" si="4"/>
        <v>3.4754098360655741</v>
      </c>
      <c r="AJ12" s="7">
        <f t="shared" si="5"/>
        <v>48.459016393442624</v>
      </c>
      <c r="AK12" s="7">
        <f t="shared" si="6"/>
        <v>2.360655737704918</v>
      </c>
      <c r="AL12" s="7">
        <f t="shared" si="22"/>
        <v>45.704918032786885</v>
      </c>
      <c r="AM12" s="7">
        <f t="shared" si="8"/>
        <v>0.99188092016238172</v>
      </c>
      <c r="AN12" s="7">
        <f t="shared" si="9"/>
        <v>7.1718538565629236E-2</v>
      </c>
      <c r="AO12" s="7">
        <f t="shared" si="23"/>
        <v>5.1649928263988523E-2</v>
      </c>
      <c r="AP12" s="7">
        <f t="shared" si="11"/>
        <v>7.9199999999999993E-2</v>
      </c>
      <c r="AQ12" s="7">
        <f t="shared" si="12"/>
        <v>7.3300000000000004E-2</v>
      </c>
      <c r="AR12" s="7">
        <f t="shared" si="13"/>
        <v>1.0804911323328785</v>
      </c>
      <c r="AS12" s="7">
        <f t="shared" si="14"/>
        <v>0.92550505050505061</v>
      </c>
      <c r="AT12" s="7">
        <f t="shared" si="15"/>
        <v>79.199999999999989</v>
      </c>
      <c r="AU12" s="7">
        <f t="shared" si="16"/>
        <v>4.9199201941051554</v>
      </c>
      <c r="AV12" s="7">
        <f t="shared" si="17"/>
        <v>5.9039042329261861E-2</v>
      </c>
      <c r="AW12" s="7">
        <f t="shared" si="18"/>
        <v>59.039042329261861</v>
      </c>
      <c r="AX12" s="7">
        <f t="shared" si="24"/>
        <v>3.1359264693304816</v>
      </c>
    </row>
    <row r="13" spans="1:50" ht="15.75" customHeight="1" x14ac:dyDescent="0.35">
      <c r="A13" s="7" t="s">
        <v>76</v>
      </c>
      <c r="B13" s="17" t="s">
        <v>77</v>
      </c>
      <c r="C13" s="8">
        <v>44773</v>
      </c>
      <c r="D13" s="7" t="s">
        <v>60</v>
      </c>
      <c r="E13" s="7" t="s">
        <v>73</v>
      </c>
      <c r="F13" s="7">
        <v>0.5</v>
      </c>
      <c r="G13" s="10">
        <v>48.860591999999997</v>
      </c>
      <c r="H13" s="16">
        <v>-121.68382699999999</v>
      </c>
      <c r="I13" s="7"/>
      <c r="J13" s="7" t="s">
        <v>54</v>
      </c>
      <c r="K13" s="7" t="s">
        <v>58</v>
      </c>
      <c r="L13" s="11">
        <v>44773</v>
      </c>
      <c r="M13" s="7" t="s">
        <v>56</v>
      </c>
      <c r="N13" s="7">
        <v>559.38333333333333</v>
      </c>
      <c r="O13" s="7">
        <v>1250</v>
      </c>
      <c r="P13" s="7">
        <v>0.1446009709702</v>
      </c>
      <c r="Q13" s="10">
        <v>0.82799999999999996</v>
      </c>
      <c r="R13" s="10">
        <v>1028.7</v>
      </c>
      <c r="S13" s="12">
        <v>0.63137374505201271</v>
      </c>
      <c r="T13" s="7">
        <v>17.212589051943283</v>
      </c>
      <c r="U13" s="10">
        <f>AVERAGE(4.5,3.62,4.21)</f>
        <v>4.1100000000000003</v>
      </c>
      <c r="V13" s="10">
        <v>0.8</v>
      </c>
      <c r="W13" s="10">
        <v>8.8999999999999999E-3</v>
      </c>
      <c r="X13" s="10">
        <v>6.83E-2</v>
      </c>
      <c r="Y13" s="10">
        <v>3.8999999999999998E-3</v>
      </c>
      <c r="Z13" s="7"/>
      <c r="AA13" s="10">
        <v>4.3700000000000003E-2</v>
      </c>
      <c r="AB13" s="10">
        <v>3.2899999999999999E-2</v>
      </c>
      <c r="AC13" s="10">
        <v>7.6600000000000001E-2</v>
      </c>
      <c r="AD13" s="7">
        <f t="shared" si="0"/>
        <v>3.9228299999999998</v>
      </c>
      <c r="AE13" s="7">
        <f t="shared" si="1"/>
        <v>4.7073959999999998E-2</v>
      </c>
      <c r="AF13" s="7">
        <f t="shared" si="2"/>
        <v>47.07396</v>
      </c>
      <c r="AG13" s="7">
        <f t="shared" si="21"/>
        <v>1.1453518248175181</v>
      </c>
      <c r="AH13" s="7">
        <f t="shared" si="3"/>
        <v>0.15770000000000001</v>
      </c>
      <c r="AI13" s="7">
        <f t="shared" si="4"/>
        <v>5.6436271401395048</v>
      </c>
      <c r="AJ13" s="7">
        <f t="shared" si="5"/>
        <v>43.310082435003167</v>
      </c>
      <c r="AK13" s="7">
        <f t="shared" si="6"/>
        <v>2.4730500951173111</v>
      </c>
      <c r="AL13" s="7">
        <f t="shared" si="22"/>
        <v>48.573240329740017</v>
      </c>
      <c r="AM13" s="7">
        <f t="shared" si="8"/>
        <v>1.1786237188872621</v>
      </c>
      <c r="AN13" s="7">
        <f t="shared" si="9"/>
        <v>0.13030746705710103</v>
      </c>
      <c r="AO13" s="7">
        <f t="shared" si="23"/>
        <v>5.0913838120104436E-2</v>
      </c>
      <c r="AP13" s="7">
        <f t="shared" si="11"/>
        <v>7.7200000000000005E-2</v>
      </c>
      <c r="AQ13" s="7">
        <f t="shared" si="12"/>
        <v>8.0500000000000002E-2</v>
      </c>
      <c r="AR13" s="7">
        <f t="shared" si="13"/>
        <v>0.9590062111801243</v>
      </c>
      <c r="AS13" s="7">
        <f t="shared" si="14"/>
        <v>1.0427461139896372</v>
      </c>
      <c r="AT13" s="7">
        <f t="shared" si="15"/>
        <v>77.2</v>
      </c>
      <c r="AU13" s="7">
        <f t="shared" si="16"/>
        <v>4.8058097823134815</v>
      </c>
      <c r="AV13" s="7">
        <f t="shared" si="17"/>
        <v>5.7669717387761776E-2</v>
      </c>
      <c r="AW13" s="7">
        <f t="shared" si="18"/>
        <v>57.669717387761779</v>
      </c>
      <c r="AX13" s="7">
        <f t="shared" si="24"/>
        <v>1.4031561408214543</v>
      </c>
    </row>
    <row r="14" spans="1:50" ht="15.75" customHeight="1" x14ac:dyDescent="0.35">
      <c r="A14" s="7" t="s">
        <v>78</v>
      </c>
      <c r="B14" s="14">
        <v>45144</v>
      </c>
      <c r="C14" s="8">
        <v>45144</v>
      </c>
      <c r="D14" s="7" t="s">
        <v>79</v>
      </c>
      <c r="E14" s="7" t="s">
        <v>80</v>
      </c>
      <c r="F14" s="9">
        <v>0.5</v>
      </c>
      <c r="G14" s="10">
        <v>48.81615</v>
      </c>
      <c r="H14" s="10">
        <v>-121.75976</v>
      </c>
      <c r="I14" s="10">
        <v>1843.7349999999999</v>
      </c>
      <c r="J14" s="7" t="s">
        <v>54</v>
      </c>
      <c r="K14" s="7" t="s">
        <v>58</v>
      </c>
      <c r="L14" s="11">
        <v>45144</v>
      </c>
      <c r="M14" s="7" t="s">
        <v>81</v>
      </c>
      <c r="N14" s="7">
        <v>564.79999999999995</v>
      </c>
      <c r="O14" s="7">
        <v>1250</v>
      </c>
      <c r="P14" s="10">
        <v>0.3</v>
      </c>
      <c r="Q14" s="10">
        <v>0.8145</v>
      </c>
      <c r="R14" s="10">
        <v>1026.8</v>
      </c>
      <c r="S14" s="12">
        <v>0.67980626158176238</v>
      </c>
      <c r="T14" s="7">
        <v>4.2673534464217493</v>
      </c>
      <c r="U14" s="10">
        <v>0.2863</v>
      </c>
      <c r="V14" s="10">
        <v>0.3</v>
      </c>
      <c r="W14" s="10">
        <v>1.6999999999999999E-3</v>
      </c>
      <c r="X14" s="10">
        <v>6.4999999999999997E-3</v>
      </c>
      <c r="Y14" s="10">
        <v>6.9999999999999999E-4</v>
      </c>
      <c r="Z14" s="7"/>
      <c r="AA14" s="10">
        <v>2.3E-3</v>
      </c>
      <c r="AB14" s="10">
        <v>4.1000000000000003E-3</v>
      </c>
      <c r="AC14" s="10">
        <v>6.4000000000000003E-3</v>
      </c>
      <c r="AD14" s="7">
        <f t="shared" si="0"/>
        <v>0.39244999999999991</v>
      </c>
      <c r="AE14" s="7">
        <f t="shared" si="1"/>
        <v>4.709399999999999E-3</v>
      </c>
      <c r="AF14" s="7">
        <f t="shared" si="2"/>
        <v>4.7093999999999987</v>
      </c>
      <c r="AG14" s="7">
        <f t="shared" si="21"/>
        <v>1.6449179182675511</v>
      </c>
      <c r="AH14" s="7">
        <f t="shared" si="3"/>
        <v>1.5299999999999998E-2</v>
      </c>
      <c r="AI14" s="7">
        <f t="shared" si="4"/>
        <v>11.111111111111112</v>
      </c>
      <c r="AJ14" s="7">
        <f t="shared" si="5"/>
        <v>42.48366013071896</v>
      </c>
      <c r="AK14" s="7">
        <f t="shared" si="6"/>
        <v>4.5751633986928111</v>
      </c>
      <c r="AL14" s="7">
        <f t="shared" si="22"/>
        <v>41.830065359477132</v>
      </c>
      <c r="AM14" s="7">
        <f t="shared" si="8"/>
        <v>1.0923076923076924</v>
      </c>
      <c r="AN14" s="7">
        <f t="shared" si="9"/>
        <v>0.26153846153846155</v>
      </c>
      <c r="AO14" s="7">
        <f t="shared" si="23"/>
        <v>0.109375</v>
      </c>
      <c r="AP14" s="7">
        <f t="shared" si="11"/>
        <v>8.199999999999999E-3</v>
      </c>
      <c r="AQ14" s="7">
        <f t="shared" si="12"/>
        <v>7.1000000000000004E-3</v>
      </c>
      <c r="AR14" s="7">
        <f t="shared" si="13"/>
        <v>1.1549295774647885</v>
      </c>
      <c r="AS14" s="7">
        <f t="shared" si="14"/>
        <v>0.86585365853658558</v>
      </c>
      <c r="AT14" s="7">
        <f t="shared" si="15"/>
        <v>8.1999999999999993</v>
      </c>
      <c r="AU14" s="7">
        <f t="shared" si="16"/>
        <v>0.6141888296541359</v>
      </c>
      <c r="AV14" s="7">
        <f t="shared" si="17"/>
        <v>7.3702659558496303E-3</v>
      </c>
      <c r="AW14" s="7">
        <f t="shared" si="18"/>
        <v>7.3702659558496304</v>
      </c>
      <c r="AX14" s="7">
        <f t="shared" si="24"/>
        <v>2.5743157372859344</v>
      </c>
    </row>
    <row r="15" spans="1:50" ht="15.75" customHeight="1" x14ac:dyDescent="0.35">
      <c r="A15" s="7" t="s">
        <v>82</v>
      </c>
      <c r="B15" s="14">
        <v>45161</v>
      </c>
      <c r="C15" s="8">
        <v>45161</v>
      </c>
      <c r="D15" s="7" t="s">
        <v>79</v>
      </c>
      <c r="E15" s="7" t="s">
        <v>80</v>
      </c>
      <c r="F15" s="9">
        <v>0.54513888888888884</v>
      </c>
      <c r="G15" s="10">
        <v>48.816029999999998</v>
      </c>
      <c r="H15" s="10">
        <v>-121.75972</v>
      </c>
      <c r="I15" s="10">
        <v>1845.9</v>
      </c>
      <c r="J15" s="7" t="s">
        <v>54</v>
      </c>
      <c r="K15" s="7" t="s">
        <v>58</v>
      </c>
      <c r="L15" s="11">
        <v>45161</v>
      </c>
      <c r="M15" s="7" t="s">
        <v>81</v>
      </c>
      <c r="N15" s="7">
        <v>575.20000000000005</v>
      </c>
      <c r="O15" s="7">
        <v>1250</v>
      </c>
      <c r="P15" s="10">
        <v>0.3</v>
      </c>
      <c r="Q15" s="10">
        <v>0.76400000000000001</v>
      </c>
      <c r="R15" s="10">
        <v>1017.3</v>
      </c>
      <c r="S15" s="12">
        <v>0.67903275696381427</v>
      </c>
      <c r="T15" s="7">
        <v>8.4489831517838567</v>
      </c>
      <c r="U15" s="10">
        <v>0.2298</v>
      </c>
      <c r="V15" s="10">
        <v>0.3</v>
      </c>
      <c r="W15" s="10">
        <v>2.5999999999999999E-3</v>
      </c>
      <c r="X15" s="10">
        <v>1.9E-2</v>
      </c>
      <c r="Y15" s="10">
        <v>4.0000000000000002E-4</v>
      </c>
      <c r="Z15" s="7"/>
      <c r="AA15" s="10">
        <v>3.8E-3</v>
      </c>
      <c r="AB15" s="10">
        <v>4.3E-3</v>
      </c>
      <c r="AC15" s="10">
        <v>8.0999999999999996E-3</v>
      </c>
      <c r="AD15" s="7">
        <f t="shared" si="0"/>
        <v>0.86338999999999988</v>
      </c>
      <c r="AE15" s="7">
        <f t="shared" si="1"/>
        <v>1.0360679999999999E-2</v>
      </c>
      <c r="AF15" s="7">
        <f t="shared" si="2"/>
        <v>10.360679999999999</v>
      </c>
      <c r="AG15" s="7">
        <f t="shared" si="21"/>
        <v>4.5085639686684065</v>
      </c>
      <c r="AH15" s="7">
        <f t="shared" si="3"/>
        <v>3.0100000000000002E-2</v>
      </c>
      <c r="AI15" s="7">
        <f t="shared" si="4"/>
        <v>8.6378737541528228</v>
      </c>
      <c r="AJ15" s="7">
        <f t="shared" si="5"/>
        <v>63.12292358803986</v>
      </c>
      <c r="AK15" s="7">
        <f t="shared" si="6"/>
        <v>1.3289036544850499</v>
      </c>
      <c r="AL15" s="7">
        <f t="shared" si="22"/>
        <v>26.910299003322258</v>
      </c>
      <c r="AM15" s="7">
        <f t="shared" si="8"/>
        <v>0.44736842105263153</v>
      </c>
      <c r="AN15" s="7">
        <f t="shared" si="9"/>
        <v>0.1368421052631579</v>
      </c>
      <c r="AO15" s="7">
        <f t="shared" si="23"/>
        <v>4.938271604938272E-2</v>
      </c>
      <c r="AP15" s="7">
        <f t="shared" si="11"/>
        <v>2.1600000000000001E-2</v>
      </c>
      <c r="AQ15" s="7">
        <f t="shared" si="12"/>
        <v>8.4999999999999989E-3</v>
      </c>
      <c r="AR15" s="7">
        <f t="shared" si="13"/>
        <v>2.5411764705882356</v>
      </c>
      <c r="AS15" s="7">
        <f t="shared" si="14"/>
        <v>0.39351851851851843</v>
      </c>
      <c r="AT15" s="7">
        <f t="shared" si="15"/>
        <v>21.6</v>
      </c>
      <c r="AU15" s="7">
        <f t="shared" si="16"/>
        <v>1.4936162183099504</v>
      </c>
      <c r="AV15" s="7">
        <f t="shared" si="17"/>
        <v>1.7923394619719403E-2</v>
      </c>
      <c r="AW15" s="7">
        <f t="shared" si="18"/>
        <v>17.923394619719403</v>
      </c>
      <c r="AX15" s="7">
        <f t="shared" si="24"/>
        <v>7.7995624977020892</v>
      </c>
    </row>
    <row r="16" spans="1:50" ht="15.75" customHeight="1" x14ac:dyDescent="0.35">
      <c r="A16" s="7" t="s">
        <v>83</v>
      </c>
      <c r="B16" s="14">
        <v>44784</v>
      </c>
      <c r="C16" s="8">
        <v>44784</v>
      </c>
      <c r="D16" s="7" t="s">
        <v>84</v>
      </c>
      <c r="E16" s="7" t="s">
        <v>85</v>
      </c>
      <c r="F16" s="7">
        <v>0.58333333333333337</v>
      </c>
      <c r="G16" s="10">
        <v>48.752800919999999</v>
      </c>
      <c r="H16" s="10">
        <v>-121.8384252</v>
      </c>
      <c r="I16" s="10">
        <v>2161.46</v>
      </c>
      <c r="J16" s="7" t="s">
        <v>54</v>
      </c>
      <c r="K16" s="7" t="s">
        <v>58</v>
      </c>
      <c r="L16" s="11">
        <v>44784</v>
      </c>
      <c r="M16" s="7" t="s">
        <v>81</v>
      </c>
      <c r="N16" s="7">
        <v>559.38333333333333</v>
      </c>
      <c r="O16" s="7">
        <v>1250</v>
      </c>
      <c r="P16" s="10">
        <v>0.3</v>
      </c>
      <c r="Q16" s="10">
        <v>0.80089999999999995</v>
      </c>
      <c r="R16" s="10">
        <v>1024.7</v>
      </c>
      <c r="S16" s="12">
        <v>0.6776101724516882</v>
      </c>
      <c r="T16" s="7">
        <v>6.7987141600543346</v>
      </c>
      <c r="U16" s="10">
        <f>AVERAGE(0.5186,0.3317,0.2807,0.3071)</f>
        <v>0.35952499999999998</v>
      </c>
      <c r="V16" s="13"/>
      <c r="W16" s="10">
        <v>1.1000000000000001E-3</v>
      </c>
      <c r="X16" s="10">
        <v>1.4500000000000001E-2</v>
      </c>
      <c r="Y16" s="10">
        <v>1.1000000000000001E-3</v>
      </c>
      <c r="Z16" s="7"/>
      <c r="AA16" s="10">
        <v>4.4999999999999997E-3</v>
      </c>
      <c r="AB16" s="10">
        <v>2.7000000000000001E-3</v>
      </c>
      <c r="AC16" s="10">
        <v>7.1999999999999998E-3</v>
      </c>
      <c r="AD16" s="7">
        <f t="shared" si="0"/>
        <v>0.65964999999999996</v>
      </c>
      <c r="AE16" s="7">
        <f t="shared" si="1"/>
        <v>7.9157999999999989E-3</v>
      </c>
      <c r="AF16" s="7">
        <f t="shared" si="2"/>
        <v>7.9157999999999991</v>
      </c>
      <c r="AG16" s="7">
        <f t="shared" si="21"/>
        <v>2.2017384048397188</v>
      </c>
      <c r="AH16" s="7">
        <f t="shared" si="3"/>
        <v>2.3899999999999998E-2</v>
      </c>
      <c r="AI16" s="7">
        <f t="shared" si="4"/>
        <v>4.6025104602510467</v>
      </c>
      <c r="AJ16" s="7">
        <f t="shared" si="5"/>
        <v>60.669456066945614</v>
      </c>
      <c r="AK16" s="7">
        <f t="shared" si="6"/>
        <v>4.6025104602510467</v>
      </c>
      <c r="AL16" s="7">
        <f t="shared" si="22"/>
        <v>30.125523012552303</v>
      </c>
      <c r="AM16" s="7">
        <f t="shared" si="8"/>
        <v>0.5724137931034482</v>
      </c>
      <c r="AN16" s="7">
        <f t="shared" si="9"/>
        <v>7.586206896551724E-2</v>
      </c>
      <c r="AO16" s="7">
        <f t="shared" si="23"/>
        <v>0.15277777777777779</v>
      </c>
      <c r="AP16" s="7">
        <f t="shared" si="11"/>
        <v>1.5600000000000001E-2</v>
      </c>
      <c r="AQ16" s="7">
        <f t="shared" si="12"/>
        <v>8.3000000000000001E-3</v>
      </c>
      <c r="AR16" s="7">
        <f t="shared" si="13"/>
        <v>1.8795180722891567</v>
      </c>
      <c r="AS16" s="7">
        <f t="shared" si="14"/>
        <v>0.53205128205128205</v>
      </c>
      <c r="AT16" s="7">
        <f t="shared" si="15"/>
        <v>15.600000000000001</v>
      </c>
      <c r="AU16" s="7">
        <f t="shared" si="16"/>
        <v>1.1080759349487537</v>
      </c>
      <c r="AV16" s="7">
        <f t="shared" si="17"/>
        <v>1.3296911219385045E-2</v>
      </c>
      <c r="AW16" s="7">
        <f t="shared" si="18"/>
        <v>13.296911219385045</v>
      </c>
      <c r="AX16" s="7">
        <f t="shared" si="24"/>
        <v>3.6984663707350105</v>
      </c>
    </row>
    <row r="17" spans="1:50" ht="15.75" customHeight="1" x14ac:dyDescent="0.35">
      <c r="A17" s="7" t="s">
        <v>86</v>
      </c>
      <c r="B17" s="7" t="s">
        <v>87</v>
      </c>
      <c r="C17" s="8">
        <v>44784</v>
      </c>
      <c r="D17" s="7" t="s">
        <v>84</v>
      </c>
      <c r="E17" s="7" t="s">
        <v>88</v>
      </c>
      <c r="F17" s="7">
        <v>0.63263888888888886</v>
      </c>
      <c r="G17" s="10">
        <v>48.815768310000003</v>
      </c>
      <c r="H17" s="10">
        <v>-121.77053789999999</v>
      </c>
      <c r="I17" s="10">
        <v>1721.74</v>
      </c>
      <c r="J17" s="7" t="s">
        <v>89</v>
      </c>
      <c r="K17" s="7" t="s">
        <v>58</v>
      </c>
      <c r="L17" s="11">
        <v>44784</v>
      </c>
      <c r="M17" s="7" t="s">
        <v>81</v>
      </c>
      <c r="N17" s="7"/>
      <c r="O17" s="7"/>
      <c r="P17" s="7"/>
      <c r="Q17" s="7"/>
      <c r="R17" s="7"/>
      <c r="S17" s="7"/>
      <c r="T17" s="7"/>
      <c r="U17" s="10">
        <v>0.18690000000000001</v>
      </c>
      <c r="V17" s="10">
        <v>0.31169999999999998</v>
      </c>
      <c r="W17" s="10">
        <v>4.1999999999999997E-3</v>
      </c>
      <c r="X17" s="10">
        <v>1.21E-2</v>
      </c>
      <c r="Y17" s="10">
        <v>1.6000000000000001E-3</v>
      </c>
      <c r="Z17" s="7"/>
      <c r="AA17" s="10">
        <v>1.5E-3</v>
      </c>
      <c r="AB17" s="10">
        <v>1.8E-3</v>
      </c>
      <c r="AC17" s="10">
        <v>3.3E-3</v>
      </c>
      <c r="AD17" s="7">
        <f t="shared" si="0"/>
        <v>0.62624999999999986</v>
      </c>
      <c r="AE17" s="7">
        <f t="shared" si="1"/>
        <v>7.5149999999999991E-3</v>
      </c>
      <c r="AF17" s="7">
        <f t="shared" si="2"/>
        <v>7.5149999999999988</v>
      </c>
      <c r="AG17" s="7">
        <f t="shared" si="21"/>
        <v>4.0208667736757615</v>
      </c>
      <c r="AH17" s="7">
        <f t="shared" si="3"/>
        <v>2.12E-2</v>
      </c>
      <c r="AI17" s="7">
        <f t="shared" si="4"/>
        <v>19.811320754716981</v>
      </c>
      <c r="AJ17" s="7">
        <f t="shared" si="5"/>
        <v>57.075471698113198</v>
      </c>
      <c r="AK17" s="7">
        <f t="shared" si="6"/>
        <v>7.5471698113207548</v>
      </c>
      <c r="AL17" s="7">
        <f t="shared" si="22"/>
        <v>15.566037735849056</v>
      </c>
      <c r="AM17" s="7">
        <f t="shared" si="8"/>
        <v>0.4049586776859504</v>
      </c>
      <c r="AN17" s="7">
        <f t="shared" si="9"/>
        <v>0.34710743801652894</v>
      </c>
      <c r="AO17" s="7">
        <f t="shared" si="23"/>
        <v>0.48484848484848486</v>
      </c>
      <c r="AP17" s="7">
        <f t="shared" si="11"/>
        <v>1.6299999999999999E-2</v>
      </c>
      <c r="AQ17" s="7">
        <f t="shared" si="12"/>
        <v>4.8999999999999998E-3</v>
      </c>
      <c r="AR17" s="7">
        <f t="shared" si="13"/>
        <v>3.3265306122448979</v>
      </c>
      <c r="AS17" s="7">
        <f t="shared" si="14"/>
        <v>0.30061349693251538</v>
      </c>
      <c r="AT17" s="7">
        <f t="shared" si="15"/>
        <v>16.299999999999997</v>
      </c>
      <c r="AU17" s="7">
        <f t="shared" si="16"/>
        <v>1.1536121755788471</v>
      </c>
      <c r="AV17" s="7">
        <f t="shared" si="17"/>
        <v>1.3843346106946165E-2</v>
      </c>
      <c r="AW17" s="7">
        <f t="shared" si="18"/>
        <v>13.843346106946164</v>
      </c>
      <c r="AX17" s="7">
        <f t="shared" si="24"/>
        <v>7.4068197468946844</v>
      </c>
    </row>
    <row r="18" spans="1:50" ht="15.75" customHeight="1" x14ac:dyDescent="0.35">
      <c r="A18" s="7" t="s">
        <v>90</v>
      </c>
      <c r="B18" s="7" t="s">
        <v>91</v>
      </c>
      <c r="C18" s="8">
        <v>44756</v>
      </c>
      <c r="D18" s="7" t="s">
        <v>92</v>
      </c>
      <c r="E18" s="7" t="s">
        <v>93</v>
      </c>
      <c r="F18" s="7">
        <v>0.75</v>
      </c>
      <c r="G18" s="10">
        <v>46.775408599999999</v>
      </c>
      <c r="H18" s="10">
        <v>-121.74620349999999</v>
      </c>
      <c r="I18" s="10">
        <v>1417.32</v>
      </c>
      <c r="J18" s="7" t="s">
        <v>94</v>
      </c>
      <c r="K18" s="7" t="s">
        <v>58</v>
      </c>
      <c r="L18" s="11">
        <v>44756</v>
      </c>
      <c r="M18" s="7" t="s">
        <v>56</v>
      </c>
      <c r="N18" s="7"/>
      <c r="O18" s="7"/>
      <c r="P18" s="7"/>
      <c r="Q18" s="7"/>
      <c r="R18" s="7"/>
      <c r="S18" s="7"/>
      <c r="T18" s="7"/>
      <c r="U18" s="10">
        <v>0.54459999999999997</v>
      </c>
      <c r="V18" s="7"/>
      <c r="W18" s="10">
        <v>4.3E-3</v>
      </c>
      <c r="X18" s="10">
        <v>5.1999999999999998E-3</v>
      </c>
      <c r="Y18" s="10">
        <v>4.0000000000000001E-3</v>
      </c>
      <c r="Z18" s="10">
        <v>2.0999999999999999E-3</v>
      </c>
      <c r="AA18" s="10">
        <v>4.7000000000000002E-3</v>
      </c>
      <c r="AB18" s="10">
        <v>1.9900000000000001E-2</v>
      </c>
      <c r="AC18" s="10">
        <v>2.6700000000000002E-2</v>
      </c>
      <c r="AD18" s="7">
        <f t="shared" si="0"/>
        <v>0.82999000000000001</v>
      </c>
      <c r="AE18" s="7">
        <f t="shared" si="1"/>
        <v>9.9598800000000008E-3</v>
      </c>
      <c r="AF18" s="7">
        <f t="shared" si="2"/>
        <v>9.9598800000000001</v>
      </c>
      <c r="AG18" s="7">
        <f t="shared" si="21"/>
        <v>1.8288431876606688</v>
      </c>
      <c r="AH18" s="7">
        <f t="shared" si="3"/>
        <v>4.02E-2</v>
      </c>
      <c r="AI18" s="7">
        <f t="shared" si="4"/>
        <v>10.696517412935323</v>
      </c>
      <c r="AJ18" s="7">
        <f t="shared" si="5"/>
        <v>12.935323383084576</v>
      </c>
      <c r="AK18" s="7">
        <f t="shared" si="6"/>
        <v>9.9502487562189064</v>
      </c>
      <c r="AL18" s="7">
        <f t="shared" si="22"/>
        <v>66.417910447761201</v>
      </c>
      <c r="AM18" s="7">
        <f t="shared" si="8"/>
        <v>5.9038461538461542</v>
      </c>
      <c r="AN18" s="7">
        <f t="shared" si="9"/>
        <v>0.82692307692307698</v>
      </c>
      <c r="AO18" s="7">
        <f t="shared" si="23"/>
        <v>0.14981273408239701</v>
      </c>
      <c r="AP18" s="7">
        <f t="shared" si="11"/>
        <v>9.4999999999999998E-3</v>
      </c>
      <c r="AQ18" s="7">
        <f t="shared" si="12"/>
        <v>3.0700000000000002E-2</v>
      </c>
      <c r="AR18" s="7">
        <f t="shared" si="13"/>
        <v>0.30944625407166121</v>
      </c>
      <c r="AS18" s="7">
        <f t="shared" si="14"/>
        <v>3.2315789473684213</v>
      </c>
      <c r="AT18" s="7">
        <f t="shared" si="15"/>
        <v>9.5</v>
      </c>
      <c r="AU18" s="7">
        <f t="shared" si="16"/>
        <v>0.70297375601482803</v>
      </c>
      <c r="AV18" s="7">
        <f t="shared" si="17"/>
        <v>8.4356850721779356E-3</v>
      </c>
      <c r="AW18" s="7">
        <f t="shared" si="18"/>
        <v>8.435685072177936</v>
      </c>
      <c r="AX18" s="7">
        <f t="shared" si="24"/>
        <v>1.5489689813033301</v>
      </c>
    </row>
    <row r="19" spans="1:50" ht="15.75" customHeight="1" x14ac:dyDescent="0.35">
      <c r="A19" s="7" t="s">
        <v>95</v>
      </c>
      <c r="B19" s="7" t="s">
        <v>96</v>
      </c>
      <c r="C19" s="8">
        <v>44788</v>
      </c>
      <c r="D19" s="7" t="s">
        <v>97</v>
      </c>
      <c r="E19" s="7" t="s">
        <v>98</v>
      </c>
      <c r="F19" s="7">
        <v>0.65138888888888891</v>
      </c>
      <c r="G19" s="10">
        <v>46.775289999999998</v>
      </c>
      <c r="H19" s="10">
        <v>-121.74629</v>
      </c>
      <c r="I19" s="10">
        <v>1407.8710000000001</v>
      </c>
      <c r="J19" s="7" t="s">
        <v>94</v>
      </c>
      <c r="K19" s="7" t="s">
        <v>58</v>
      </c>
      <c r="L19" s="11">
        <v>44788</v>
      </c>
      <c r="M19" s="7" t="s">
        <v>81</v>
      </c>
      <c r="N19" s="7"/>
      <c r="O19" s="7"/>
      <c r="P19" s="7"/>
      <c r="Q19" s="7"/>
      <c r="R19" s="7"/>
      <c r="S19" s="7"/>
      <c r="T19" s="7"/>
      <c r="U19" s="10">
        <v>0.28999999999999998</v>
      </c>
      <c r="V19" s="10">
        <v>0.59930000000000005</v>
      </c>
      <c r="W19" s="10">
        <v>9.7000000000000003E-3</v>
      </c>
      <c r="X19" s="10">
        <v>1.11E-2</v>
      </c>
      <c r="Y19" s="10">
        <v>2.5999999999999999E-3</v>
      </c>
      <c r="Z19" s="10">
        <v>1.9E-3</v>
      </c>
      <c r="AA19" s="10">
        <v>1.8E-3</v>
      </c>
      <c r="AB19" s="10">
        <v>1.4500000000000001E-2</v>
      </c>
      <c r="AC19" s="10">
        <v>1.8200000000000001E-2</v>
      </c>
      <c r="AD19" s="7">
        <f t="shared" si="0"/>
        <v>1.0420799999999999</v>
      </c>
      <c r="AE19" s="7">
        <f t="shared" si="1"/>
        <v>1.2504959999999999E-2</v>
      </c>
      <c r="AF19" s="7">
        <f t="shared" si="2"/>
        <v>12.504959999999999</v>
      </c>
      <c r="AG19" s="7">
        <f t="shared" si="21"/>
        <v>4.3120551724137934</v>
      </c>
      <c r="AH19" s="7">
        <f t="shared" si="3"/>
        <v>4.1599999999999998E-2</v>
      </c>
      <c r="AI19" s="7">
        <f t="shared" si="4"/>
        <v>23.317307692307693</v>
      </c>
      <c r="AJ19" s="7">
        <f t="shared" si="5"/>
        <v>26.682692307692314</v>
      </c>
      <c r="AK19" s="7">
        <f t="shared" si="6"/>
        <v>6.25</v>
      </c>
      <c r="AL19" s="7">
        <f t="shared" si="22"/>
        <v>43.750000000000007</v>
      </c>
      <c r="AM19" s="7">
        <f t="shared" si="8"/>
        <v>1.8738738738738736</v>
      </c>
      <c r="AN19" s="7">
        <f t="shared" si="9"/>
        <v>0.87387387387387383</v>
      </c>
      <c r="AO19" s="7">
        <f t="shared" si="23"/>
        <v>0.14285714285714285</v>
      </c>
      <c r="AP19" s="7">
        <f t="shared" si="11"/>
        <v>2.0799999999999999E-2</v>
      </c>
      <c r="AQ19" s="7">
        <f t="shared" si="12"/>
        <v>2.0799999999999999E-2</v>
      </c>
      <c r="AR19" s="7">
        <f t="shared" si="13"/>
        <v>1</v>
      </c>
      <c r="AS19" s="7">
        <f t="shared" si="14"/>
        <v>1</v>
      </c>
      <c r="AT19" s="7">
        <f t="shared" si="15"/>
        <v>20.8</v>
      </c>
      <c r="AU19" s="7">
        <f t="shared" si="16"/>
        <v>1.4427823268922202</v>
      </c>
      <c r="AV19" s="7">
        <f t="shared" si="17"/>
        <v>1.7313387922706643E-2</v>
      </c>
      <c r="AW19" s="7">
        <f t="shared" si="18"/>
        <v>17.313387922706642</v>
      </c>
      <c r="AX19" s="7">
        <f t="shared" si="24"/>
        <v>5.9701337664505676</v>
      </c>
    </row>
    <row r="20" spans="1:50" ht="15.75" customHeight="1" x14ac:dyDescent="0.35">
      <c r="A20" s="7" t="s">
        <v>99</v>
      </c>
      <c r="B20" s="7" t="s">
        <v>100</v>
      </c>
      <c r="C20" s="8">
        <v>44756</v>
      </c>
      <c r="D20" s="7" t="s">
        <v>101</v>
      </c>
      <c r="E20" s="7" t="s">
        <v>102</v>
      </c>
      <c r="F20" s="7">
        <v>0.70208333333333328</v>
      </c>
      <c r="G20" s="10">
        <v>46.808929999999997</v>
      </c>
      <c r="H20" s="10">
        <v>-121.72632</v>
      </c>
      <c r="I20" s="10">
        <v>2182.6729999999998</v>
      </c>
      <c r="J20" s="7" t="s">
        <v>103</v>
      </c>
      <c r="K20" s="7" t="s">
        <v>58</v>
      </c>
      <c r="L20" s="11">
        <v>44756</v>
      </c>
      <c r="M20" s="7" t="s">
        <v>56</v>
      </c>
      <c r="N20" s="7"/>
      <c r="O20" s="7"/>
      <c r="P20" s="7"/>
      <c r="Q20" s="7"/>
      <c r="R20" s="7"/>
      <c r="S20" s="7"/>
      <c r="T20" s="7"/>
      <c r="U20" s="10">
        <v>0.54339999999999999</v>
      </c>
      <c r="V20" s="7"/>
      <c r="W20" s="10">
        <v>2.5999999999999999E-3</v>
      </c>
      <c r="X20" s="10">
        <v>1.6000000000000001E-3</v>
      </c>
      <c r="Y20" s="7"/>
      <c r="Z20" s="7"/>
      <c r="AA20" s="10">
        <v>5.0000000000000001E-4</v>
      </c>
      <c r="AB20" s="10">
        <v>6.4000000000000003E-3</v>
      </c>
      <c r="AC20" s="10">
        <v>6.7999999999999996E-3</v>
      </c>
      <c r="AD20" s="7">
        <f t="shared" si="0"/>
        <v>0.25383999999999995</v>
      </c>
      <c r="AE20" s="7">
        <f t="shared" si="1"/>
        <v>3.0460799999999996E-3</v>
      </c>
      <c r="AF20" s="7">
        <f t="shared" si="2"/>
        <v>3.0460799999999995</v>
      </c>
      <c r="AG20" s="7">
        <f t="shared" si="21"/>
        <v>0.56055944055944051</v>
      </c>
      <c r="AH20" s="7">
        <f t="shared" si="3"/>
        <v>1.0999999999999999E-2</v>
      </c>
      <c r="AI20" s="7">
        <f t="shared" si="4"/>
        <v>23.636363636363637</v>
      </c>
      <c r="AJ20" s="7">
        <f t="shared" si="5"/>
        <v>14.545454545454547</v>
      </c>
      <c r="AK20" s="7"/>
      <c r="AL20" s="7">
        <f t="shared" si="22"/>
        <v>61.818181818181813</v>
      </c>
      <c r="AM20" s="7">
        <f t="shared" si="8"/>
        <v>4.25</v>
      </c>
      <c r="AN20" s="7">
        <f t="shared" si="9"/>
        <v>1.6249999999999998</v>
      </c>
      <c r="AO20" s="7">
        <f t="shared" si="23"/>
        <v>0</v>
      </c>
      <c r="AP20" s="7">
        <f t="shared" si="11"/>
        <v>4.1999999999999997E-3</v>
      </c>
      <c r="AQ20" s="7">
        <f t="shared" si="12"/>
        <v>6.7999999999999996E-3</v>
      </c>
      <c r="AR20" s="7">
        <f t="shared" si="13"/>
        <v>0.61764705882352944</v>
      </c>
      <c r="AS20" s="7">
        <f t="shared" si="14"/>
        <v>1.6190476190476191</v>
      </c>
      <c r="AT20" s="7">
        <f t="shared" si="15"/>
        <v>4.2</v>
      </c>
      <c r="AU20" s="7">
        <f t="shared" si="16"/>
        <v>0.33243667353719453</v>
      </c>
      <c r="AV20" s="7">
        <f t="shared" si="17"/>
        <v>3.9892400824463343E-3</v>
      </c>
      <c r="AW20" s="7">
        <f t="shared" si="18"/>
        <v>3.9892400824463343</v>
      </c>
      <c r="AX20" s="7">
        <f t="shared" si="24"/>
        <v>0.73412588929818445</v>
      </c>
    </row>
    <row r="21" spans="1:50" ht="15.75" customHeight="1" x14ac:dyDescent="0.35">
      <c r="A21" s="7" t="s">
        <v>104</v>
      </c>
      <c r="B21" s="7" t="s">
        <v>105</v>
      </c>
      <c r="C21" s="8">
        <v>44788</v>
      </c>
      <c r="D21" s="7" t="s">
        <v>101</v>
      </c>
      <c r="E21" s="7" t="s">
        <v>106</v>
      </c>
      <c r="F21" s="7">
        <v>0.45833333333333331</v>
      </c>
      <c r="G21" s="10">
        <v>46.809406289999998</v>
      </c>
      <c r="H21" s="10">
        <v>-121.72594106</v>
      </c>
      <c r="I21" s="10">
        <v>2192.84</v>
      </c>
      <c r="J21" s="7" t="s">
        <v>103</v>
      </c>
      <c r="K21" s="7" t="s">
        <v>58</v>
      </c>
      <c r="L21" s="11">
        <v>44788</v>
      </c>
      <c r="M21" s="7" t="s">
        <v>81</v>
      </c>
      <c r="N21" s="7"/>
      <c r="O21" s="7"/>
      <c r="P21" s="7"/>
      <c r="Q21" s="7"/>
      <c r="R21" s="7"/>
      <c r="S21" s="7"/>
      <c r="T21" s="7"/>
      <c r="U21" s="10">
        <v>0.09</v>
      </c>
      <c r="V21" s="13"/>
      <c r="W21" s="10">
        <v>3.2000000000000002E-3</v>
      </c>
      <c r="X21" s="10">
        <v>9.5999999999999992E-3</v>
      </c>
      <c r="Y21" s="10">
        <v>1.4E-3</v>
      </c>
      <c r="Z21" s="7"/>
      <c r="AA21" s="10">
        <v>1.1000000000000001E-3</v>
      </c>
      <c r="AB21" s="10">
        <v>1.6000000000000001E-3</v>
      </c>
      <c r="AC21" s="10">
        <v>2.8E-3</v>
      </c>
      <c r="AD21" s="7">
        <f t="shared" si="0"/>
        <v>0.49765999999999994</v>
      </c>
      <c r="AE21" s="7">
        <f t="shared" si="1"/>
        <v>5.9719199999999986E-3</v>
      </c>
      <c r="AF21" s="7">
        <f t="shared" si="2"/>
        <v>5.971919999999999</v>
      </c>
      <c r="AG21" s="7">
        <f t="shared" si="21"/>
        <v>6.635466666666666</v>
      </c>
      <c r="AH21" s="7">
        <f t="shared" si="3"/>
        <v>1.6999999999999998E-2</v>
      </c>
      <c r="AI21" s="7">
        <f t="shared" si="4"/>
        <v>18.82352941176471</v>
      </c>
      <c r="AJ21" s="7">
        <f t="shared" si="5"/>
        <v>56.470588235294116</v>
      </c>
      <c r="AK21" s="7">
        <f t="shared" ref="AK21:AK32" si="25">Y21/AH21*100</f>
        <v>8.2352941176470598</v>
      </c>
      <c r="AL21" s="7">
        <f t="shared" si="22"/>
        <v>16.47058823529412</v>
      </c>
      <c r="AM21" s="7">
        <f t="shared" si="8"/>
        <v>0.4375</v>
      </c>
      <c r="AN21" s="7">
        <f t="shared" si="9"/>
        <v>0.33333333333333337</v>
      </c>
      <c r="AO21" s="7">
        <f t="shared" si="23"/>
        <v>0.5</v>
      </c>
      <c r="AP21" s="7">
        <f t="shared" si="11"/>
        <v>1.2799999999999999E-2</v>
      </c>
      <c r="AQ21" s="7">
        <f t="shared" si="12"/>
        <v>4.1999999999999997E-3</v>
      </c>
      <c r="AR21" s="7">
        <f t="shared" si="13"/>
        <v>3.0476190476190474</v>
      </c>
      <c r="AS21" s="7">
        <f t="shared" si="14"/>
        <v>0.328125</v>
      </c>
      <c r="AT21" s="7">
        <f t="shared" si="15"/>
        <v>12.799999999999999</v>
      </c>
      <c r="AU21" s="7">
        <f t="shared" si="16"/>
        <v>0.92415081572195301</v>
      </c>
      <c r="AV21" s="7">
        <f t="shared" si="17"/>
        <v>1.1089809788663436E-2</v>
      </c>
      <c r="AW21" s="7">
        <f t="shared" si="18"/>
        <v>11.089809788663436</v>
      </c>
      <c r="AX21" s="7">
        <f t="shared" si="24"/>
        <v>12.322010876292707</v>
      </c>
    </row>
    <row r="22" spans="1:50" ht="15.75" customHeight="1" x14ac:dyDescent="0.35">
      <c r="A22" s="7" t="s">
        <v>107</v>
      </c>
      <c r="B22" s="7" t="s">
        <v>108</v>
      </c>
      <c r="C22" s="8">
        <v>44819</v>
      </c>
      <c r="D22" s="7" t="s">
        <v>109</v>
      </c>
      <c r="E22" s="7" t="s">
        <v>110</v>
      </c>
      <c r="F22" s="7">
        <v>0.6020833333333333</v>
      </c>
      <c r="G22" s="10">
        <v>48.324719999999999</v>
      </c>
      <c r="H22" s="10">
        <v>-121.69221</v>
      </c>
      <c r="I22" s="10">
        <v>1756.867</v>
      </c>
      <c r="J22" s="7" t="s">
        <v>54</v>
      </c>
      <c r="K22" s="7" t="s">
        <v>111</v>
      </c>
      <c r="L22" s="11">
        <v>44819</v>
      </c>
      <c r="M22" s="7" t="s">
        <v>81</v>
      </c>
      <c r="N22" s="7">
        <v>559.38333333333333</v>
      </c>
      <c r="O22" s="7">
        <v>1250</v>
      </c>
      <c r="P22" s="10">
        <v>0.3</v>
      </c>
      <c r="Q22" s="10">
        <v>0.67679999999999996</v>
      </c>
      <c r="R22" s="10">
        <v>997.1</v>
      </c>
      <c r="S22" s="12">
        <v>0.69055850348398351</v>
      </c>
      <c r="T22" s="7">
        <v>5.9317936315075528</v>
      </c>
      <c r="U22" s="10">
        <f>AVERAGE(0.2396,0.3164,0.2872)</f>
        <v>0.28106666666666669</v>
      </c>
      <c r="V22" s="10">
        <v>0.96650000000000003</v>
      </c>
      <c r="W22" s="10">
        <v>3.0000000000000001E-3</v>
      </c>
      <c r="X22" s="10">
        <v>1.0699999999999999E-2</v>
      </c>
      <c r="Y22" s="10">
        <v>2.0999999999999999E-3</v>
      </c>
      <c r="Z22" s="10">
        <v>2.8999999999999998E-3</v>
      </c>
      <c r="AA22" s="10">
        <v>3.0000000000000001E-3</v>
      </c>
      <c r="AB22" s="10">
        <v>3.7000000000000002E-3</v>
      </c>
      <c r="AC22" s="10">
        <v>9.5999999999999992E-3</v>
      </c>
      <c r="AD22" s="7">
        <f t="shared" si="0"/>
        <v>0.65297000000000005</v>
      </c>
      <c r="AE22" s="7">
        <f t="shared" si="1"/>
        <v>7.8356400000000014E-3</v>
      </c>
      <c r="AF22" s="7">
        <f t="shared" si="2"/>
        <v>7.8356400000000015</v>
      </c>
      <c r="AG22" s="7">
        <f t="shared" si="21"/>
        <v>2.7878225806451615</v>
      </c>
      <c r="AH22" s="7">
        <f t="shared" si="3"/>
        <v>2.5399999999999999E-2</v>
      </c>
      <c r="AI22" s="7">
        <f t="shared" si="4"/>
        <v>11.811023622047244</v>
      </c>
      <c r="AJ22" s="7">
        <f t="shared" si="5"/>
        <v>42.125984251968504</v>
      </c>
      <c r="AK22" s="7">
        <f t="shared" si="25"/>
        <v>8.2677165354330704</v>
      </c>
      <c r="AL22" s="7">
        <f t="shared" si="22"/>
        <v>37.795275590551178</v>
      </c>
      <c r="AM22" s="7">
        <f t="shared" si="8"/>
        <v>1.0934579439252337</v>
      </c>
      <c r="AN22" s="7">
        <f t="shared" si="9"/>
        <v>0.28037383177570097</v>
      </c>
      <c r="AO22" s="7">
        <f t="shared" si="23"/>
        <v>0.21875</v>
      </c>
      <c r="AP22" s="7">
        <f t="shared" si="11"/>
        <v>1.37E-2</v>
      </c>
      <c r="AQ22" s="7">
        <f t="shared" si="12"/>
        <v>1.1699999999999999E-2</v>
      </c>
      <c r="AR22" s="7">
        <f t="shared" si="13"/>
        <v>1.1709401709401712</v>
      </c>
      <c r="AS22" s="7">
        <f t="shared" si="14"/>
        <v>0.85401459854014583</v>
      </c>
      <c r="AT22" s="7">
        <f t="shared" si="15"/>
        <v>13.700000000000001</v>
      </c>
      <c r="AU22" s="7">
        <f t="shared" si="16"/>
        <v>0.98360068926777122</v>
      </c>
      <c r="AV22" s="7">
        <f t="shared" si="17"/>
        <v>1.1803208271213254E-2</v>
      </c>
      <c r="AW22" s="7">
        <f t="shared" si="18"/>
        <v>11.803208271213254</v>
      </c>
      <c r="AX22" s="7">
        <f t="shared" si="24"/>
        <v>4.1994336828320398</v>
      </c>
    </row>
    <row r="23" spans="1:50" ht="15.75" customHeight="1" x14ac:dyDescent="0.35">
      <c r="A23" s="7" t="s">
        <v>112</v>
      </c>
      <c r="B23" s="14">
        <v>44779</v>
      </c>
      <c r="C23" s="8">
        <v>44779</v>
      </c>
      <c r="D23" s="7" t="s">
        <v>113</v>
      </c>
      <c r="E23" s="7" t="s">
        <v>114</v>
      </c>
      <c r="F23" s="7">
        <v>0.58333333333333337</v>
      </c>
      <c r="G23" s="10">
        <v>48.794684119999999</v>
      </c>
      <c r="H23" s="10">
        <v>-121.79464989</v>
      </c>
      <c r="I23" s="10">
        <v>2108.7600000000002</v>
      </c>
      <c r="J23" s="7" t="s">
        <v>54</v>
      </c>
      <c r="K23" s="7" t="s">
        <v>58</v>
      </c>
      <c r="L23" s="11">
        <v>44779</v>
      </c>
      <c r="M23" s="7" t="s">
        <v>81</v>
      </c>
      <c r="N23" s="7">
        <v>559.38333333333333</v>
      </c>
      <c r="O23" s="7">
        <v>1250</v>
      </c>
      <c r="P23" s="10">
        <v>0.3</v>
      </c>
      <c r="Q23" s="10">
        <v>0.81389999999999996</v>
      </c>
      <c r="R23" s="10">
        <v>1026.8</v>
      </c>
      <c r="S23" s="12">
        <v>0.67502252763061765</v>
      </c>
      <c r="T23" s="7">
        <v>7.820129474203382</v>
      </c>
      <c r="U23" s="10">
        <f>AVERAGE(0.39,0.35,0.58,0.42)</f>
        <v>0.43499999999999994</v>
      </c>
      <c r="V23" s="10">
        <v>0.81410000000000005</v>
      </c>
      <c r="W23" s="10">
        <v>1.9E-3</v>
      </c>
      <c r="X23" s="10">
        <v>1.37E-2</v>
      </c>
      <c r="Y23" s="10">
        <v>1.2999999999999999E-3</v>
      </c>
      <c r="Z23" s="7"/>
      <c r="AA23" s="10">
        <v>9.2999999999999992E-3</v>
      </c>
      <c r="AB23" s="10">
        <v>3.7000000000000002E-3</v>
      </c>
      <c r="AC23" s="10">
        <v>1.2999999999999999E-2</v>
      </c>
      <c r="AD23" s="7">
        <f t="shared" si="0"/>
        <v>0.75984999999999991</v>
      </c>
      <c r="AE23" s="7">
        <f t="shared" si="1"/>
        <v>9.1181999999999982E-3</v>
      </c>
      <c r="AF23" s="7">
        <f t="shared" si="2"/>
        <v>9.1181999999999981</v>
      </c>
      <c r="AG23" s="7">
        <f t="shared" si="21"/>
        <v>2.0961379310344825</v>
      </c>
      <c r="AH23" s="7">
        <f t="shared" si="3"/>
        <v>2.9900000000000003E-2</v>
      </c>
      <c r="AI23" s="7">
        <f t="shared" si="4"/>
        <v>6.3545150501672243</v>
      </c>
      <c r="AJ23" s="7">
        <f t="shared" si="5"/>
        <v>45.819397993311036</v>
      </c>
      <c r="AK23" s="7">
        <f t="shared" si="25"/>
        <v>4.3478260869565206</v>
      </c>
      <c r="AL23" s="7">
        <f t="shared" si="22"/>
        <v>43.478260869565212</v>
      </c>
      <c r="AM23" s="7">
        <f t="shared" si="8"/>
        <v>1.0437956204379562</v>
      </c>
      <c r="AN23" s="7">
        <f t="shared" si="9"/>
        <v>0.13868613138686131</v>
      </c>
      <c r="AO23" s="7">
        <f t="shared" si="23"/>
        <v>0.1</v>
      </c>
      <c r="AP23" s="7">
        <f t="shared" si="11"/>
        <v>1.5600000000000001E-2</v>
      </c>
      <c r="AQ23" s="7">
        <f t="shared" si="12"/>
        <v>1.43E-2</v>
      </c>
      <c r="AR23" s="7">
        <f t="shared" si="13"/>
        <v>1.0909090909090911</v>
      </c>
      <c r="AS23" s="7">
        <f t="shared" si="14"/>
        <v>0.91666666666666663</v>
      </c>
      <c r="AT23" s="7">
        <f t="shared" si="15"/>
        <v>15.600000000000001</v>
      </c>
      <c r="AU23" s="7">
        <f t="shared" si="16"/>
        <v>1.1080759349487537</v>
      </c>
      <c r="AV23" s="7">
        <f t="shared" si="17"/>
        <v>1.3296911219385045E-2</v>
      </c>
      <c r="AW23" s="7">
        <f t="shared" si="18"/>
        <v>13.296911219385045</v>
      </c>
      <c r="AX23" s="7">
        <f t="shared" si="24"/>
        <v>3.0567611998586313</v>
      </c>
    </row>
    <row r="24" spans="1:50" ht="15.75" customHeight="1" x14ac:dyDescent="0.35">
      <c r="A24" s="7" t="s">
        <v>115</v>
      </c>
      <c r="B24" s="14">
        <v>44778</v>
      </c>
      <c r="C24" s="8">
        <v>44778</v>
      </c>
      <c r="D24" s="7" t="s">
        <v>116</v>
      </c>
      <c r="E24" s="7" t="s">
        <v>117</v>
      </c>
      <c r="F24" s="7">
        <v>0.74305555555555558</v>
      </c>
      <c r="G24" s="10">
        <v>48.809768769999998</v>
      </c>
      <c r="H24" s="10">
        <v>-121.77060956</v>
      </c>
      <c r="I24" s="10">
        <v>1890.28</v>
      </c>
      <c r="J24" s="7" t="s">
        <v>54</v>
      </c>
      <c r="K24" s="7" t="s">
        <v>58</v>
      </c>
      <c r="L24" s="11">
        <v>44778</v>
      </c>
      <c r="M24" s="7" t="s">
        <v>81</v>
      </c>
      <c r="N24" s="7">
        <v>559.38333333333333</v>
      </c>
      <c r="O24" s="7">
        <v>1250</v>
      </c>
      <c r="P24" s="10">
        <v>0.3</v>
      </c>
      <c r="Q24" s="10">
        <v>0.81640000000000001</v>
      </c>
      <c r="R24" s="10">
        <v>1027.2</v>
      </c>
      <c r="S24" s="12">
        <v>0.67662000613405981</v>
      </c>
      <c r="T24" s="7">
        <v>6.4459273921861868</v>
      </c>
      <c r="U24" s="10">
        <f>AVERAGE(1.039,0.235,0.4158,0.3246,0.3356)</f>
        <v>0.47000000000000003</v>
      </c>
      <c r="V24" s="13"/>
      <c r="W24" s="10">
        <v>1.4E-3</v>
      </c>
      <c r="X24" s="10">
        <v>7.4999999999999997E-3</v>
      </c>
      <c r="Y24" s="10">
        <v>1.4E-3</v>
      </c>
      <c r="Z24" s="7"/>
      <c r="AA24" s="10">
        <v>1.03E-2</v>
      </c>
      <c r="AB24" s="10">
        <v>7.1999999999999998E-3</v>
      </c>
      <c r="AC24" s="10">
        <v>1.7500000000000002E-2</v>
      </c>
      <c r="AD24" s="7">
        <f t="shared" si="0"/>
        <v>0.61288999999999993</v>
      </c>
      <c r="AE24" s="7">
        <f t="shared" si="1"/>
        <v>7.3546799999999989E-3</v>
      </c>
      <c r="AF24" s="7">
        <f t="shared" si="2"/>
        <v>7.3546799999999992</v>
      </c>
      <c r="AG24" s="7">
        <f t="shared" si="21"/>
        <v>1.5648255319148934</v>
      </c>
      <c r="AH24" s="7">
        <f t="shared" si="3"/>
        <v>2.7800000000000002E-2</v>
      </c>
      <c r="AI24" s="7">
        <f t="shared" si="4"/>
        <v>5.0359712230215825</v>
      </c>
      <c r="AJ24" s="7">
        <f t="shared" si="5"/>
        <v>26.978417266187048</v>
      </c>
      <c r="AK24" s="7">
        <f t="shared" si="25"/>
        <v>5.0359712230215825</v>
      </c>
      <c r="AL24" s="7">
        <f t="shared" si="22"/>
        <v>62.949640287769782</v>
      </c>
      <c r="AM24" s="7">
        <f t="shared" si="8"/>
        <v>2.52</v>
      </c>
      <c r="AN24" s="7">
        <f t="shared" si="9"/>
        <v>0.18666666666666668</v>
      </c>
      <c r="AO24" s="7">
        <f t="shared" si="23"/>
        <v>7.9999999999999988E-2</v>
      </c>
      <c r="AP24" s="7">
        <f t="shared" si="11"/>
        <v>8.8999999999999999E-3</v>
      </c>
      <c r="AQ24" s="7">
        <f t="shared" si="12"/>
        <v>1.89E-2</v>
      </c>
      <c r="AR24" s="7">
        <f t="shared" si="13"/>
        <v>0.47089947089947087</v>
      </c>
      <c r="AS24" s="7">
        <f t="shared" si="14"/>
        <v>2.1235955056179776</v>
      </c>
      <c r="AT24" s="7">
        <f t="shared" si="15"/>
        <v>8.9</v>
      </c>
      <c r="AU24" s="7">
        <f t="shared" si="16"/>
        <v>0.66212964880870673</v>
      </c>
      <c r="AV24" s="7">
        <f t="shared" si="17"/>
        <v>7.9455557857044806E-3</v>
      </c>
      <c r="AW24" s="7">
        <f t="shared" si="18"/>
        <v>7.9455557857044807</v>
      </c>
      <c r="AX24" s="7">
        <f t="shared" si="24"/>
        <v>1.6905437841924424</v>
      </c>
    </row>
    <row r="25" spans="1:50" ht="15.75" customHeight="1" x14ac:dyDescent="0.35">
      <c r="A25" s="7" t="s">
        <v>118</v>
      </c>
      <c r="B25" s="7" t="s">
        <v>119</v>
      </c>
      <c r="C25" s="8">
        <v>44819</v>
      </c>
      <c r="D25" s="7" t="s">
        <v>116</v>
      </c>
      <c r="E25" s="7" t="s">
        <v>120</v>
      </c>
      <c r="F25" s="7">
        <v>0.55902777777777779</v>
      </c>
      <c r="G25" s="10">
        <v>48.818809999999999</v>
      </c>
      <c r="H25" s="10">
        <v>-121.75543999999999</v>
      </c>
      <c r="I25" s="10">
        <v>1812.95</v>
      </c>
      <c r="J25" s="7" t="s">
        <v>54</v>
      </c>
      <c r="K25" s="7" t="s">
        <v>111</v>
      </c>
      <c r="L25" s="11">
        <v>44819</v>
      </c>
      <c r="M25" s="7" t="s">
        <v>81</v>
      </c>
      <c r="N25" s="7">
        <v>559.38333333333333</v>
      </c>
      <c r="O25" s="7">
        <v>1250</v>
      </c>
      <c r="P25" s="10">
        <v>0.3</v>
      </c>
      <c r="Q25" s="10">
        <v>0.67069999999999996</v>
      </c>
      <c r="R25" s="10">
        <v>994.7</v>
      </c>
      <c r="S25" s="12">
        <v>0.69560227138818631</v>
      </c>
      <c r="T25" s="10">
        <v>2.7703001295864205</v>
      </c>
      <c r="U25" s="10">
        <f>AVERAGE(0.1546,0.194)</f>
        <v>0.17430000000000001</v>
      </c>
      <c r="V25" s="13"/>
      <c r="W25" s="10">
        <v>1.4E-3</v>
      </c>
      <c r="X25" s="10">
        <v>6.0000000000000001E-3</v>
      </c>
      <c r="Y25" s="10">
        <v>8.0000000000000004E-4</v>
      </c>
      <c r="Z25" s="7"/>
      <c r="AA25" s="10">
        <v>5.0000000000000001E-4</v>
      </c>
      <c r="AB25" s="10">
        <v>1.4E-3</v>
      </c>
      <c r="AC25" s="10">
        <v>1.9E-3</v>
      </c>
      <c r="AD25" s="7">
        <f t="shared" si="0"/>
        <v>0.29225000000000001</v>
      </c>
      <c r="AE25" s="7">
        <f t="shared" si="1"/>
        <v>3.5070000000000001E-3</v>
      </c>
      <c r="AF25" s="7">
        <f t="shared" si="2"/>
        <v>3.5070000000000001</v>
      </c>
      <c r="AG25" s="7">
        <f t="shared" si="21"/>
        <v>2.012048192771084</v>
      </c>
      <c r="AH25" s="7">
        <f t="shared" si="3"/>
        <v>1.0100000000000001E-2</v>
      </c>
      <c r="AI25" s="7">
        <f t="shared" si="4"/>
        <v>13.861386138613859</v>
      </c>
      <c r="AJ25" s="7">
        <f t="shared" si="5"/>
        <v>59.405940594059402</v>
      </c>
      <c r="AK25" s="7">
        <f t="shared" si="25"/>
        <v>7.9207920792079198</v>
      </c>
      <c r="AL25" s="7">
        <f t="shared" si="22"/>
        <v>18.811881188118811</v>
      </c>
      <c r="AM25" s="7">
        <f t="shared" si="8"/>
        <v>0.45</v>
      </c>
      <c r="AN25" s="7">
        <f t="shared" si="9"/>
        <v>0.23333333333333334</v>
      </c>
      <c r="AO25" s="7">
        <f t="shared" si="23"/>
        <v>0.4210526315789474</v>
      </c>
      <c r="AP25" s="7">
        <f t="shared" si="11"/>
        <v>7.4000000000000003E-3</v>
      </c>
      <c r="AQ25" s="7">
        <f t="shared" si="12"/>
        <v>2.7000000000000001E-3</v>
      </c>
      <c r="AR25" s="7">
        <f t="shared" si="13"/>
        <v>2.7407407407407409</v>
      </c>
      <c r="AS25" s="7">
        <f t="shared" si="14"/>
        <v>0.36486486486486486</v>
      </c>
      <c r="AT25" s="7">
        <f t="shared" si="15"/>
        <v>7.4</v>
      </c>
      <c r="AU25" s="7">
        <f t="shared" si="16"/>
        <v>0.55898197897706625</v>
      </c>
      <c r="AV25" s="7">
        <f t="shared" si="17"/>
        <v>6.7077837477247954E-3</v>
      </c>
      <c r="AW25" s="7">
        <f t="shared" si="18"/>
        <v>6.707783747724795</v>
      </c>
      <c r="AX25" s="7">
        <f t="shared" si="24"/>
        <v>3.8484129361588035</v>
      </c>
    </row>
    <row r="26" spans="1:50" ht="15.75" customHeight="1" x14ac:dyDescent="0.35">
      <c r="A26" s="7" t="s">
        <v>121</v>
      </c>
      <c r="B26" s="7" t="s">
        <v>122</v>
      </c>
      <c r="C26" s="8">
        <v>44819</v>
      </c>
      <c r="D26" s="7" t="s">
        <v>123</v>
      </c>
      <c r="E26" s="7" t="s">
        <v>124</v>
      </c>
      <c r="F26" s="7">
        <v>0.72430555555555554</v>
      </c>
      <c r="G26" s="10">
        <v>48.904510000000002</v>
      </c>
      <c r="H26" s="10">
        <v>-121.99272999999999</v>
      </c>
      <c r="I26" s="10">
        <v>218.846</v>
      </c>
      <c r="J26" s="7" t="s">
        <v>94</v>
      </c>
      <c r="K26" s="7" t="s">
        <v>111</v>
      </c>
      <c r="L26" s="11">
        <v>44819</v>
      </c>
      <c r="M26" s="7" t="s">
        <v>81</v>
      </c>
      <c r="N26" s="7"/>
      <c r="O26" s="7"/>
      <c r="P26" s="7"/>
      <c r="Q26" s="7"/>
      <c r="R26" s="7"/>
      <c r="S26" s="7"/>
      <c r="T26" s="10"/>
      <c r="U26" s="10">
        <v>0.27539999999999998</v>
      </c>
      <c r="V26" s="10">
        <v>0.32940000000000003</v>
      </c>
      <c r="W26" s="10">
        <v>4.1000000000000003E-3</v>
      </c>
      <c r="X26" s="10">
        <v>3.5000000000000001E-3</v>
      </c>
      <c r="Y26" s="10">
        <v>1.6000000000000001E-3</v>
      </c>
      <c r="Z26" s="7"/>
      <c r="AA26" s="10">
        <v>1.5E-3</v>
      </c>
      <c r="AB26" s="10">
        <v>1.9099999999999999E-2</v>
      </c>
      <c r="AC26" s="10">
        <v>2.06E-2</v>
      </c>
      <c r="AD26" s="7">
        <f t="shared" si="0"/>
        <v>0.62458000000000002</v>
      </c>
      <c r="AE26" s="7">
        <f t="shared" si="1"/>
        <v>7.494960000000001E-3</v>
      </c>
      <c r="AF26" s="7">
        <f t="shared" si="2"/>
        <v>7.4949600000000007</v>
      </c>
      <c r="AG26" s="7">
        <f t="shared" si="21"/>
        <v>2.7214814814814821</v>
      </c>
      <c r="AH26" s="7">
        <f t="shared" si="3"/>
        <v>2.98E-2</v>
      </c>
      <c r="AI26" s="7">
        <f t="shared" si="4"/>
        <v>13.758389261744968</v>
      </c>
      <c r="AJ26" s="7">
        <f t="shared" si="5"/>
        <v>11.74496644295302</v>
      </c>
      <c r="AK26" s="7">
        <f t="shared" si="25"/>
        <v>5.3691275167785237</v>
      </c>
      <c r="AL26" s="7">
        <f t="shared" si="22"/>
        <v>69.127516778523486</v>
      </c>
      <c r="AM26" s="7">
        <f t="shared" si="8"/>
        <v>6.3428571428571434</v>
      </c>
      <c r="AN26" s="7">
        <f t="shared" si="9"/>
        <v>1.1714285714285715</v>
      </c>
      <c r="AO26" s="7">
        <f t="shared" si="23"/>
        <v>7.7669902912621366E-2</v>
      </c>
      <c r="AP26" s="7">
        <f t="shared" si="11"/>
        <v>7.6000000000000009E-3</v>
      </c>
      <c r="AQ26" s="7">
        <f t="shared" si="12"/>
        <v>2.2200000000000001E-2</v>
      </c>
      <c r="AR26" s="7">
        <f t="shared" si="13"/>
        <v>0.34234234234234234</v>
      </c>
      <c r="AS26" s="7">
        <f t="shared" si="14"/>
        <v>2.9210526315789473</v>
      </c>
      <c r="AT26" s="7">
        <f t="shared" si="15"/>
        <v>7.6000000000000005</v>
      </c>
      <c r="AU26" s="7">
        <f t="shared" si="16"/>
        <v>0.57282791650124854</v>
      </c>
      <c r="AV26" s="7">
        <f t="shared" si="17"/>
        <v>6.8739349980149831E-3</v>
      </c>
      <c r="AW26" s="7">
        <f t="shared" si="18"/>
        <v>6.8739349980149829</v>
      </c>
      <c r="AX26" s="7">
        <f t="shared" si="24"/>
        <v>2.4959822069771183</v>
      </c>
    </row>
    <row r="27" spans="1:50" ht="15.75" customHeight="1" x14ac:dyDescent="0.35">
      <c r="A27" s="7" t="s">
        <v>125</v>
      </c>
      <c r="B27" s="10" t="s">
        <v>126</v>
      </c>
      <c r="C27" s="8">
        <v>44829</v>
      </c>
      <c r="D27" s="7" t="s">
        <v>116</v>
      </c>
      <c r="E27" s="7" t="s">
        <v>120</v>
      </c>
      <c r="F27" s="7">
        <v>0.58333333333333337</v>
      </c>
      <c r="G27" s="10">
        <v>48.347169999999998</v>
      </c>
      <c r="H27" s="10">
        <v>-121.69096999999999</v>
      </c>
      <c r="I27" s="10">
        <v>1719.9860000000001</v>
      </c>
      <c r="J27" s="7" t="s">
        <v>54</v>
      </c>
      <c r="K27" s="7" t="s">
        <v>111</v>
      </c>
      <c r="L27" s="11">
        <v>44829</v>
      </c>
      <c r="M27" s="7" t="s">
        <v>81</v>
      </c>
      <c r="N27" s="7">
        <v>559.38333333333333</v>
      </c>
      <c r="O27" s="7">
        <v>1250</v>
      </c>
      <c r="P27" s="10">
        <v>0.3</v>
      </c>
      <c r="Q27" s="10">
        <v>0.62929999999999997</v>
      </c>
      <c r="R27" s="10">
        <v>981.8</v>
      </c>
      <c r="S27" s="12">
        <v>0.69551761240570542</v>
      </c>
      <c r="T27" s="10">
        <v>5.6091355012321831</v>
      </c>
      <c r="U27" s="10">
        <f>AVERAGE(0.27,0.25,0.29,0.34)</f>
        <v>0.28750000000000003</v>
      </c>
      <c r="V27" s="10">
        <v>1.492</v>
      </c>
      <c r="W27" s="10">
        <v>1.6999999999999999E-3</v>
      </c>
      <c r="X27" s="10">
        <v>7.7000000000000002E-3</v>
      </c>
      <c r="Y27" s="10">
        <v>1E-3</v>
      </c>
      <c r="Z27" s="7"/>
      <c r="AA27" s="10">
        <v>1.4500000000000001E-2</v>
      </c>
      <c r="AB27" s="10">
        <v>4.8999999999999998E-3</v>
      </c>
      <c r="AC27" s="10">
        <v>1.9400000000000001E-2</v>
      </c>
      <c r="AD27" s="7">
        <f t="shared" si="0"/>
        <v>0.65464</v>
      </c>
      <c r="AE27" s="7">
        <f t="shared" si="1"/>
        <v>7.8556800000000003E-3</v>
      </c>
      <c r="AF27" s="7">
        <f t="shared" si="2"/>
        <v>7.8556800000000004</v>
      </c>
      <c r="AG27" s="7">
        <f t="shared" si="21"/>
        <v>2.7324104347826084</v>
      </c>
      <c r="AH27" s="7">
        <f t="shared" si="3"/>
        <v>2.98E-2</v>
      </c>
      <c r="AI27" s="7">
        <f t="shared" si="4"/>
        <v>5.7046979865771803</v>
      </c>
      <c r="AJ27" s="7">
        <f t="shared" si="5"/>
        <v>25.838926174496645</v>
      </c>
      <c r="AK27" s="7">
        <f t="shared" si="25"/>
        <v>3.3557046979865772</v>
      </c>
      <c r="AL27" s="7">
        <f t="shared" si="22"/>
        <v>65.100671140939596</v>
      </c>
      <c r="AM27" s="7">
        <f t="shared" si="8"/>
        <v>2.6493506493506493</v>
      </c>
      <c r="AN27" s="7">
        <f t="shared" si="9"/>
        <v>0.22077922077922077</v>
      </c>
      <c r="AO27" s="7">
        <f t="shared" si="23"/>
        <v>5.1546391752577317E-2</v>
      </c>
      <c r="AP27" s="7">
        <f t="shared" si="11"/>
        <v>9.4000000000000004E-3</v>
      </c>
      <c r="AQ27" s="7">
        <f t="shared" si="12"/>
        <v>2.0400000000000001E-2</v>
      </c>
      <c r="AR27" s="7">
        <f t="shared" si="13"/>
        <v>0.46078431372549017</v>
      </c>
      <c r="AS27" s="7">
        <f t="shared" si="14"/>
        <v>2.1702127659574471</v>
      </c>
      <c r="AT27" s="7">
        <f t="shared" si="15"/>
        <v>9.4</v>
      </c>
      <c r="AU27" s="7">
        <f t="shared" si="16"/>
        <v>0.69618155025531259</v>
      </c>
      <c r="AV27" s="7">
        <f t="shared" si="17"/>
        <v>8.3541786030637503E-3</v>
      </c>
      <c r="AW27" s="7">
        <f t="shared" si="18"/>
        <v>8.354178603063751</v>
      </c>
      <c r="AX27" s="7">
        <f t="shared" si="24"/>
        <v>2.9058012532395647</v>
      </c>
    </row>
    <row r="28" spans="1:50" ht="15.75" customHeight="1" x14ac:dyDescent="0.35">
      <c r="A28" s="7" t="s">
        <v>127</v>
      </c>
      <c r="B28" s="7" t="s">
        <v>128</v>
      </c>
      <c r="C28" s="8">
        <v>44829</v>
      </c>
      <c r="D28" s="7" t="s">
        <v>129</v>
      </c>
      <c r="E28" s="7" t="s">
        <v>130</v>
      </c>
      <c r="F28" s="7">
        <v>0.45208333333333334</v>
      </c>
      <c r="G28" s="10">
        <v>48.90551</v>
      </c>
      <c r="H28" s="10">
        <v>-121.69286</v>
      </c>
      <c r="I28" s="10">
        <v>621.48720000000003</v>
      </c>
      <c r="J28" s="7" t="s">
        <v>94</v>
      </c>
      <c r="K28" s="7" t="s">
        <v>111</v>
      </c>
      <c r="L28" s="11">
        <v>44829</v>
      </c>
      <c r="M28" s="7" t="s">
        <v>81</v>
      </c>
      <c r="N28" s="7"/>
      <c r="O28" s="7"/>
      <c r="P28" s="7"/>
      <c r="Q28" s="7"/>
      <c r="R28" s="7"/>
      <c r="S28" s="7"/>
      <c r="T28" s="7"/>
      <c r="U28" s="10">
        <v>0.25490000000000002</v>
      </c>
      <c r="V28" s="10">
        <v>0.23119999999999999</v>
      </c>
      <c r="W28" s="10">
        <v>4.7000000000000002E-3</v>
      </c>
      <c r="X28" s="10">
        <v>3.7000000000000002E-3</v>
      </c>
      <c r="Y28" s="10">
        <v>1.2999999999999999E-3</v>
      </c>
      <c r="Z28" s="7"/>
      <c r="AA28" s="10">
        <v>8.9999999999999998E-4</v>
      </c>
      <c r="AB28" s="10">
        <v>1.03E-2</v>
      </c>
      <c r="AC28" s="10">
        <v>1.12E-2</v>
      </c>
      <c r="AD28" s="7">
        <f t="shared" si="0"/>
        <v>0.48930999999999997</v>
      </c>
      <c r="AE28" s="7">
        <f t="shared" si="1"/>
        <v>5.8717199999999995E-3</v>
      </c>
      <c r="AF28" s="7">
        <f t="shared" si="2"/>
        <v>5.8717199999999998</v>
      </c>
      <c r="AG28" s="7">
        <f t="shared" si="21"/>
        <v>2.3035386426049427</v>
      </c>
      <c r="AH28" s="7">
        <f t="shared" si="3"/>
        <v>2.0900000000000002E-2</v>
      </c>
      <c r="AI28" s="7">
        <f t="shared" si="4"/>
        <v>22.488038277511961</v>
      </c>
      <c r="AJ28" s="7">
        <f t="shared" si="5"/>
        <v>17.703349282296649</v>
      </c>
      <c r="AK28" s="7">
        <f t="shared" si="25"/>
        <v>6.2200956937799035</v>
      </c>
      <c r="AL28" s="7">
        <f t="shared" si="22"/>
        <v>53.588516746411472</v>
      </c>
      <c r="AM28" s="7">
        <f t="shared" si="8"/>
        <v>3.3783783783783785</v>
      </c>
      <c r="AN28" s="7">
        <f t="shared" si="9"/>
        <v>1.2702702702702702</v>
      </c>
      <c r="AO28" s="7">
        <f t="shared" si="23"/>
        <v>0.11607142857142856</v>
      </c>
      <c r="AP28" s="7">
        <f t="shared" si="11"/>
        <v>8.4000000000000012E-3</v>
      </c>
      <c r="AQ28" s="7">
        <f t="shared" si="12"/>
        <v>1.2500000000000001E-2</v>
      </c>
      <c r="AR28" s="7">
        <f t="shared" si="13"/>
        <v>0.67200000000000004</v>
      </c>
      <c r="AS28" s="7">
        <f t="shared" si="14"/>
        <v>1.4880952380952379</v>
      </c>
      <c r="AT28" s="7">
        <f t="shared" si="15"/>
        <v>8.4</v>
      </c>
      <c r="AU28" s="7">
        <f t="shared" si="16"/>
        <v>0.62791946926648501</v>
      </c>
      <c r="AV28" s="7">
        <f t="shared" si="17"/>
        <v>7.5350336311978197E-3</v>
      </c>
      <c r="AW28" s="7">
        <f t="shared" si="18"/>
        <v>7.5350336311978197</v>
      </c>
      <c r="AX28" s="7">
        <f t="shared" si="24"/>
        <v>2.9560743943498702</v>
      </c>
    </row>
    <row r="29" spans="1:50" ht="15.75" customHeight="1" x14ac:dyDescent="0.35">
      <c r="A29" s="7" t="s">
        <v>131</v>
      </c>
      <c r="B29" s="18">
        <v>44848</v>
      </c>
      <c r="C29" s="8">
        <v>44848</v>
      </c>
      <c r="D29" s="7" t="s">
        <v>116</v>
      </c>
      <c r="E29" s="7" t="s">
        <v>120</v>
      </c>
      <c r="F29" s="7">
        <v>0.62083333333333335</v>
      </c>
      <c r="G29" s="10">
        <v>48.818739999999998</v>
      </c>
      <c r="H29" s="10">
        <v>-121.73954000000001</v>
      </c>
      <c r="I29" s="10">
        <v>1778.203</v>
      </c>
      <c r="J29" s="7" t="s">
        <v>54</v>
      </c>
      <c r="K29" s="7" t="s">
        <v>111</v>
      </c>
      <c r="L29" s="11">
        <v>44848</v>
      </c>
      <c r="M29" s="7" t="s">
        <v>81</v>
      </c>
      <c r="N29" s="7">
        <v>559.38333333333333</v>
      </c>
      <c r="O29" s="7">
        <v>1250</v>
      </c>
      <c r="P29" s="10">
        <v>0.3</v>
      </c>
      <c r="Q29" s="10">
        <v>0.52529999999999999</v>
      </c>
      <c r="R29" s="10">
        <v>936.1</v>
      </c>
      <c r="S29" s="12">
        <v>0.70123162133428651</v>
      </c>
      <c r="T29" s="10">
        <v>8.2544943538719586</v>
      </c>
      <c r="U29" s="10">
        <v>0.37209999999999999</v>
      </c>
      <c r="V29" s="10">
        <v>0.25879999999999997</v>
      </c>
      <c r="W29" s="10">
        <v>1.6999999999999999E-3</v>
      </c>
      <c r="X29" s="10">
        <v>1.9900000000000001E-2</v>
      </c>
      <c r="Y29" s="10">
        <v>1E-3</v>
      </c>
      <c r="Z29" s="10">
        <v>7.7999999999999996E-3</v>
      </c>
      <c r="AA29" s="10">
        <v>1.4800000000000001E-2</v>
      </c>
      <c r="AB29" s="10">
        <v>4.8999999999999998E-3</v>
      </c>
      <c r="AC29" s="10">
        <v>2.75E-2</v>
      </c>
      <c r="AD29" s="7">
        <f t="shared" si="0"/>
        <v>1.19739</v>
      </c>
      <c r="AE29" s="7">
        <f t="shared" si="1"/>
        <v>1.436868E-2</v>
      </c>
      <c r="AF29" s="7">
        <f t="shared" si="2"/>
        <v>14.368679999999999</v>
      </c>
      <c r="AG29" s="7">
        <f t="shared" si="21"/>
        <v>3.8615103466809999</v>
      </c>
      <c r="AH29" s="7">
        <f t="shared" si="3"/>
        <v>5.0100000000000006E-2</v>
      </c>
      <c r="AI29" s="7">
        <f t="shared" si="4"/>
        <v>3.3932135728542909</v>
      </c>
      <c r="AJ29" s="7">
        <f t="shared" si="5"/>
        <v>39.720558882235522</v>
      </c>
      <c r="AK29" s="7">
        <f t="shared" si="25"/>
        <v>1.9960079840319358</v>
      </c>
      <c r="AL29" s="7">
        <f t="shared" si="22"/>
        <v>54.890219560878236</v>
      </c>
      <c r="AM29" s="7">
        <f t="shared" si="8"/>
        <v>1.4321608040201004</v>
      </c>
      <c r="AN29" s="7">
        <f t="shared" si="9"/>
        <v>8.5427135678391955E-2</v>
      </c>
      <c r="AO29" s="7">
        <f t="shared" si="23"/>
        <v>3.6363636363636362E-2</v>
      </c>
      <c r="AP29" s="7">
        <f t="shared" si="11"/>
        <v>2.1600000000000001E-2</v>
      </c>
      <c r="AQ29" s="7">
        <f t="shared" si="12"/>
        <v>2.8500000000000001E-2</v>
      </c>
      <c r="AR29" s="7">
        <f t="shared" si="13"/>
        <v>0.75789473684210529</v>
      </c>
      <c r="AS29" s="7">
        <f t="shared" si="14"/>
        <v>1.3194444444444444</v>
      </c>
      <c r="AT29" s="7">
        <f t="shared" si="15"/>
        <v>21.6</v>
      </c>
      <c r="AU29" s="7">
        <f t="shared" si="16"/>
        <v>1.4936162183099504</v>
      </c>
      <c r="AV29" s="7">
        <f t="shared" si="17"/>
        <v>1.7923394619719403E-2</v>
      </c>
      <c r="AW29" s="7">
        <f t="shared" si="18"/>
        <v>17.923394619719403</v>
      </c>
      <c r="AX29" s="7">
        <f t="shared" si="24"/>
        <v>4.8168219886373027</v>
      </c>
    </row>
    <row r="30" spans="1:50" ht="15.75" customHeight="1" x14ac:dyDescent="0.35">
      <c r="A30" s="7" t="s">
        <v>132</v>
      </c>
      <c r="B30" s="18">
        <v>44757</v>
      </c>
      <c r="C30" s="8">
        <v>44757</v>
      </c>
      <c r="D30" s="7" t="s">
        <v>133</v>
      </c>
      <c r="E30" s="7" t="s">
        <v>134</v>
      </c>
      <c r="F30" s="7">
        <v>0.46944444444444444</v>
      </c>
      <c r="G30" s="10">
        <v>46.810718389999998</v>
      </c>
      <c r="H30" s="10">
        <v>-121.7254678</v>
      </c>
      <c r="I30" s="10">
        <v>2232.83</v>
      </c>
      <c r="J30" s="7" t="s">
        <v>54</v>
      </c>
      <c r="K30" s="7" t="s">
        <v>58</v>
      </c>
      <c r="L30" s="11">
        <v>44757</v>
      </c>
      <c r="M30" s="7" t="s">
        <v>56</v>
      </c>
      <c r="N30" s="7">
        <v>559.38333333333333</v>
      </c>
      <c r="O30" s="7">
        <v>1250</v>
      </c>
      <c r="P30" s="7">
        <v>0.70243699999999998</v>
      </c>
      <c r="Q30" s="10">
        <v>0.87150000000000005</v>
      </c>
      <c r="R30" s="10">
        <v>1037.4000000000001</v>
      </c>
      <c r="S30" s="12">
        <v>0.67107592130319693</v>
      </c>
      <c r="T30" s="7">
        <v>8.2209594375649377</v>
      </c>
      <c r="U30" s="10">
        <v>0.71140000000000003</v>
      </c>
      <c r="V30" s="10">
        <v>9.7609999999999992</v>
      </c>
      <c r="W30" s="10">
        <v>1.6000000000000001E-3</v>
      </c>
      <c r="X30" s="10">
        <v>3.5000000000000001E-3</v>
      </c>
      <c r="Y30" s="10">
        <v>1.1999999999999999E-3</v>
      </c>
      <c r="Z30" s="10">
        <v>7.4000000000000003E-3</v>
      </c>
      <c r="AA30" s="10">
        <v>1.6799999999999999E-2</v>
      </c>
      <c r="AB30" s="10">
        <v>8.5000000000000006E-3</v>
      </c>
      <c r="AC30" s="10">
        <v>2.9000000000000001E-2</v>
      </c>
      <c r="AD30" s="7">
        <f t="shared" si="0"/>
        <v>0.67468000000000006</v>
      </c>
      <c r="AE30" s="7">
        <f t="shared" si="1"/>
        <v>8.0961600000000015E-3</v>
      </c>
      <c r="AF30" s="7">
        <f t="shared" si="2"/>
        <v>8.0961600000000011</v>
      </c>
      <c r="AG30" s="7">
        <f t="shared" si="21"/>
        <v>1.1380601630587577</v>
      </c>
      <c r="AH30" s="7">
        <f t="shared" si="3"/>
        <v>3.5299999999999998E-2</v>
      </c>
      <c r="AI30" s="7">
        <f t="shared" si="4"/>
        <v>4.5325779036827196</v>
      </c>
      <c r="AJ30" s="7">
        <f t="shared" si="5"/>
        <v>9.9150141643059495</v>
      </c>
      <c r="AK30" s="7">
        <f t="shared" si="25"/>
        <v>3.3994334277620393</v>
      </c>
      <c r="AL30" s="7">
        <f t="shared" si="22"/>
        <v>82.1529745042493</v>
      </c>
      <c r="AM30" s="7">
        <f t="shared" si="8"/>
        <v>8.6285714285714281</v>
      </c>
      <c r="AN30" s="7">
        <f t="shared" si="9"/>
        <v>0.45714285714285713</v>
      </c>
      <c r="AO30" s="7">
        <f t="shared" si="23"/>
        <v>4.1379310344827579E-2</v>
      </c>
      <c r="AP30" s="7">
        <f t="shared" si="11"/>
        <v>5.1000000000000004E-3</v>
      </c>
      <c r="AQ30" s="7">
        <f t="shared" si="12"/>
        <v>3.0200000000000001E-2</v>
      </c>
      <c r="AR30" s="7">
        <f t="shared" si="13"/>
        <v>0.16887417218543047</v>
      </c>
      <c r="AS30" s="7">
        <f t="shared" si="14"/>
        <v>5.9215686274509798</v>
      </c>
      <c r="AT30" s="7">
        <f t="shared" si="15"/>
        <v>5.1000000000000005</v>
      </c>
      <c r="AU30" s="7">
        <f t="shared" si="16"/>
        <v>0.39725863005700685</v>
      </c>
      <c r="AV30" s="7">
        <f t="shared" si="17"/>
        <v>4.7671035606840816E-3</v>
      </c>
      <c r="AW30" s="7">
        <f t="shared" si="18"/>
        <v>4.7671035606840819</v>
      </c>
      <c r="AX30" s="7">
        <f t="shared" si="24"/>
        <v>0.67010170940175451</v>
      </c>
    </row>
    <row r="31" spans="1:50" ht="15.75" customHeight="1" x14ac:dyDescent="0.35">
      <c r="A31" s="7" t="s">
        <v>135</v>
      </c>
      <c r="B31" s="18">
        <v>44788</v>
      </c>
      <c r="C31" s="8">
        <v>44788</v>
      </c>
      <c r="D31" s="7" t="s">
        <v>133</v>
      </c>
      <c r="E31" s="7" t="s">
        <v>136</v>
      </c>
      <c r="F31" s="7">
        <v>0.5</v>
      </c>
      <c r="G31" s="10">
        <v>46.815613040000002</v>
      </c>
      <c r="H31" s="10">
        <v>-121.72434925</v>
      </c>
      <c r="I31" s="10">
        <v>2379.88</v>
      </c>
      <c r="J31" s="7" t="s">
        <v>54</v>
      </c>
      <c r="K31" s="7" t="s">
        <v>58</v>
      </c>
      <c r="L31" s="11">
        <v>44788</v>
      </c>
      <c r="M31" s="7" t="s">
        <v>81</v>
      </c>
      <c r="N31" s="7">
        <v>559.38333333333333</v>
      </c>
      <c r="O31" s="7">
        <v>1250</v>
      </c>
      <c r="P31" s="7">
        <v>1.59947113049</v>
      </c>
      <c r="Q31" s="10">
        <v>0.80740000000000001</v>
      </c>
      <c r="R31" s="10">
        <v>1028</v>
      </c>
      <c r="S31" s="12">
        <v>0.68037042313679508</v>
      </c>
      <c r="T31" s="7">
        <v>6.4806934203985245</v>
      </c>
      <c r="U31" s="10">
        <f>AVERAGE(0.42,0.32,0.23,0.26)</f>
        <v>0.3075</v>
      </c>
      <c r="V31" s="13"/>
      <c r="W31" s="10">
        <v>1.4E-3</v>
      </c>
      <c r="X31" s="10">
        <v>2.3E-3</v>
      </c>
      <c r="Y31" s="10">
        <v>4.0000000000000002E-4</v>
      </c>
      <c r="Z31" s="10">
        <v>4.7999999999999996E-3</v>
      </c>
      <c r="AA31" s="10">
        <v>3.0999999999999999E-3</v>
      </c>
      <c r="AB31" s="10">
        <v>1.41E-2</v>
      </c>
      <c r="AC31" s="10">
        <v>2.1999999999999999E-2</v>
      </c>
      <c r="AD31" s="7">
        <f t="shared" si="0"/>
        <v>0.49765999999999999</v>
      </c>
      <c r="AE31" s="7">
        <f t="shared" si="1"/>
        <v>5.9719199999999995E-3</v>
      </c>
      <c r="AF31" s="7">
        <f t="shared" si="2"/>
        <v>5.9719199999999999</v>
      </c>
      <c r="AG31" s="7">
        <f t="shared" si="21"/>
        <v>1.9420878048780486</v>
      </c>
      <c r="AH31" s="7">
        <f t="shared" si="3"/>
        <v>2.6099999999999998E-2</v>
      </c>
      <c r="AI31" s="7">
        <f t="shared" si="4"/>
        <v>5.3639846743295019</v>
      </c>
      <c r="AJ31" s="7">
        <f t="shared" si="5"/>
        <v>8.812260536398469</v>
      </c>
      <c r="AK31" s="7">
        <f t="shared" si="25"/>
        <v>1.5325670498084292</v>
      </c>
      <c r="AL31" s="7">
        <f t="shared" si="22"/>
        <v>84.291187739463595</v>
      </c>
      <c r="AM31" s="7">
        <f t="shared" si="8"/>
        <v>9.7391304347826093</v>
      </c>
      <c r="AN31" s="7">
        <f t="shared" si="9"/>
        <v>0.60869565217391308</v>
      </c>
      <c r="AO31" s="7">
        <f t="shared" si="23"/>
        <v>1.8181818181818184E-2</v>
      </c>
      <c r="AP31" s="7">
        <f t="shared" si="11"/>
        <v>3.7000000000000002E-3</v>
      </c>
      <c r="AQ31" s="7">
        <f t="shared" si="12"/>
        <v>2.24E-2</v>
      </c>
      <c r="AR31" s="7">
        <f t="shared" si="13"/>
        <v>0.16517857142857142</v>
      </c>
      <c r="AS31" s="7">
        <f t="shared" si="14"/>
        <v>6.0540540540540535</v>
      </c>
      <c r="AT31" s="7">
        <f t="shared" si="15"/>
        <v>3.7</v>
      </c>
      <c r="AU31" s="7">
        <f t="shared" si="16"/>
        <v>0.29593939789038531</v>
      </c>
      <c r="AV31" s="7">
        <f t="shared" si="17"/>
        <v>3.551272774684624E-3</v>
      </c>
      <c r="AW31" s="7">
        <f t="shared" si="18"/>
        <v>3.551272774684624</v>
      </c>
      <c r="AX31" s="7">
        <f t="shared" si="24"/>
        <v>1.1548854551819916</v>
      </c>
    </row>
    <row r="32" spans="1:50" ht="15.75" customHeight="1" x14ac:dyDescent="0.35">
      <c r="A32" s="7" t="s">
        <v>137</v>
      </c>
      <c r="B32" s="7" t="s">
        <v>138</v>
      </c>
      <c r="C32" s="8">
        <v>44848</v>
      </c>
      <c r="D32" s="7" t="s">
        <v>123</v>
      </c>
      <c r="E32" s="7" t="s">
        <v>124</v>
      </c>
      <c r="F32" s="7">
        <v>0.47638888888888886</v>
      </c>
      <c r="G32" s="10">
        <v>48.904629999999997</v>
      </c>
      <c r="H32" s="10">
        <v>-121.99281000000001</v>
      </c>
      <c r="I32" s="10">
        <v>217.62700000000001</v>
      </c>
      <c r="J32" s="7" t="s">
        <v>94</v>
      </c>
      <c r="K32" s="7" t="s">
        <v>111</v>
      </c>
      <c r="L32" s="11">
        <v>44848</v>
      </c>
      <c r="M32" s="7" t="s">
        <v>81</v>
      </c>
      <c r="N32" s="7"/>
      <c r="O32" s="7"/>
      <c r="P32" s="7"/>
      <c r="Q32" s="7"/>
      <c r="R32" s="7"/>
      <c r="S32" s="7"/>
      <c r="T32" s="7"/>
      <c r="U32" s="10">
        <v>0.27</v>
      </c>
      <c r="V32" s="10">
        <v>0.245</v>
      </c>
      <c r="W32" s="10">
        <v>1.0500000000000001E-2</v>
      </c>
      <c r="X32" s="10">
        <v>1.89E-2</v>
      </c>
      <c r="Y32" s="10">
        <v>4.1999999999999997E-3</v>
      </c>
      <c r="Z32" s="10">
        <v>1.2999999999999999E-3</v>
      </c>
      <c r="AA32" s="10">
        <v>3.2000000000000002E-3</v>
      </c>
      <c r="AB32" s="10">
        <v>1.6000000000000001E-3</v>
      </c>
      <c r="AC32" s="10">
        <v>6.1000000000000004E-3</v>
      </c>
      <c r="AD32" s="7">
        <f t="shared" si="0"/>
        <v>1.1539699999999999</v>
      </c>
      <c r="AE32" s="7">
        <f t="shared" si="1"/>
        <v>1.3847639999999998E-2</v>
      </c>
      <c r="AF32" s="7">
        <f t="shared" si="2"/>
        <v>13.847639999999998</v>
      </c>
      <c r="AG32" s="7">
        <f t="shared" si="21"/>
        <v>5.1287555555555544</v>
      </c>
      <c r="AH32" s="7">
        <f t="shared" si="3"/>
        <v>3.9700000000000006E-2</v>
      </c>
      <c r="AI32" s="7">
        <f t="shared" si="4"/>
        <v>26.448362720403018</v>
      </c>
      <c r="AJ32" s="7">
        <f t="shared" si="5"/>
        <v>47.607052896725435</v>
      </c>
      <c r="AK32" s="7">
        <f t="shared" si="25"/>
        <v>10.579345088161208</v>
      </c>
      <c r="AL32" s="7">
        <f t="shared" si="22"/>
        <v>15.365239294710326</v>
      </c>
      <c r="AM32" s="7">
        <f t="shared" si="8"/>
        <v>0.544973544973545</v>
      </c>
      <c r="AN32" s="7">
        <f t="shared" si="9"/>
        <v>0.55555555555555558</v>
      </c>
      <c r="AO32" s="7">
        <f t="shared" si="23"/>
        <v>0.6885245901639343</v>
      </c>
      <c r="AP32" s="7">
        <f t="shared" si="11"/>
        <v>2.9400000000000003E-2</v>
      </c>
      <c r="AQ32" s="7">
        <f t="shared" si="12"/>
        <v>1.03E-2</v>
      </c>
      <c r="AR32" s="7">
        <f t="shared" si="13"/>
        <v>2.854368932038835</v>
      </c>
      <c r="AS32" s="7">
        <f t="shared" si="14"/>
        <v>0.35034013605442177</v>
      </c>
      <c r="AT32" s="7">
        <f t="shared" si="15"/>
        <v>29.400000000000002</v>
      </c>
      <c r="AU32" s="7">
        <f t="shared" si="16"/>
        <v>1.98192118396384</v>
      </c>
      <c r="AV32" s="7">
        <f t="shared" si="17"/>
        <v>2.378305420756608E-2</v>
      </c>
      <c r="AW32" s="7">
        <f t="shared" si="18"/>
        <v>23.783054207566082</v>
      </c>
      <c r="AX32" s="7">
        <f t="shared" si="24"/>
        <v>8.8085385953948432</v>
      </c>
    </row>
    <row r="33" spans="1:50" ht="15.75" customHeight="1" x14ac:dyDescent="0.35">
      <c r="A33" s="7" t="s">
        <v>139</v>
      </c>
      <c r="B33" s="12" t="s">
        <v>140</v>
      </c>
      <c r="C33" s="8">
        <v>44884</v>
      </c>
      <c r="D33" s="7" t="s">
        <v>141</v>
      </c>
      <c r="E33" s="7" t="s">
        <v>142</v>
      </c>
      <c r="F33" s="19"/>
      <c r="G33" s="10">
        <v>48.904609999999998</v>
      </c>
      <c r="H33" s="10">
        <v>-121.99265</v>
      </c>
      <c r="I33" s="10">
        <v>217.018</v>
      </c>
      <c r="J33" s="7" t="s">
        <v>94</v>
      </c>
      <c r="K33" s="7" t="s">
        <v>111</v>
      </c>
      <c r="L33" s="11">
        <v>44848</v>
      </c>
      <c r="M33" s="7" t="s">
        <v>81</v>
      </c>
      <c r="N33" s="12"/>
      <c r="O33" s="12"/>
      <c r="P33" s="12"/>
      <c r="Q33" s="12"/>
      <c r="R33" s="12"/>
      <c r="U33" s="10">
        <v>0.53910000000000002</v>
      </c>
      <c r="V33" s="19"/>
      <c r="W33" s="10">
        <v>1.9400000000000001E-2</v>
      </c>
      <c r="X33" s="10">
        <v>3.6900000000000002E-2</v>
      </c>
      <c r="Y33" s="19"/>
      <c r="Z33" s="19"/>
      <c r="AA33" s="19"/>
      <c r="AB33" s="19"/>
      <c r="AC33" s="10"/>
      <c r="AD33" s="7">
        <f t="shared" si="0"/>
        <v>1.88042</v>
      </c>
      <c r="AE33" s="10">
        <f t="shared" si="1"/>
        <v>2.2565040000000001E-2</v>
      </c>
      <c r="AF33" s="10">
        <f t="shared" si="2"/>
        <v>22.56504</v>
      </c>
      <c r="AG33" s="10">
        <f t="shared" si="21"/>
        <v>4.1856872565386753</v>
      </c>
      <c r="AH33" s="10">
        <f t="shared" si="3"/>
        <v>5.6300000000000003E-2</v>
      </c>
      <c r="AI33" s="10">
        <f t="shared" si="4"/>
        <v>34.458259325044402</v>
      </c>
      <c r="AJ33" s="10">
        <f t="shared" si="5"/>
        <v>65.541740674955591</v>
      </c>
      <c r="AK33" s="10"/>
      <c r="AL33" s="10"/>
      <c r="AM33" s="10">
        <f>SUM(Y33+AC33)/X33</f>
        <v>0</v>
      </c>
      <c r="AN33" s="10">
        <f t="shared" si="9"/>
        <v>0.5257452574525745</v>
      </c>
      <c r="AO33" s="10"/>
      <c r="AP33" s="10">
        <f t="shared" si="11"/>
        <v>5.6300000000000003E-2</v>
      </c>
      <c r="AQ33" s="10"/>
      <c r="AR33" s="10"/>
      <c r="AS33" s="10"/>
      <c r="AT33" s="10">
        <f t="shared" si="15"/>
        <v>56.300000000000004</v>
      </c>
      <c r="AU33" s="10">
        <f t="shared" si="16"/>
        <v>3.5972378658824002</v>
      </c>
      <c r="AV33" s="10">
        <f t="shared" si="17"/>
        <v>4.3166854390588802E-2</v>
      </c>
      <c r="AW33" s="10">
        <f t="shared" si="18"/>
        <v>43.166854390588803</v>
      </c>
      <c r="AX33" s="10">
        <f t="shared" si="24"/>
        <v>8.0072072696324987</v>
      </c>
    </row>
  </sheetData>
  <autoFilter ref="A1:AX33" xr:uid="{00000000-0009-0000-0000-000000000000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V86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6328125" defaultRowHeight="15.75" customHeight="1" x14ac:dyDescent="0.25"/>
  <cols>
    <col min="1" max="1" width="25.36328125" customWidth="1"/>
    <col min="5" max="5" width="13.26953125" customWidth="1"/>
    <col min="6" max="6" width="13.6328125" customWidth="1"/>
    <col min="7" max="7" width="14.453125" customWidth="1"/>
    <col min="12" max="12" width="13.26953125" customWidth="1"/>
    <col min="13" max="13" width="13.6328125" customWidth="1"/>
    <col min="14" max="14" width="14.453125" customWidth="1"/>
    <col min="18" max="18" width="13.26953125" customWidth="1"/>
  </cols>
  <sheetData>
    <row r="1" spans="1:22" ht="15.75" customHeight="1" x14ac:dyDescent="0.35">
      <c r="A1" s="7"/>
      <c r="B1" s="220" t="s">
        <v>143</v>
      </c>
      <c r="C1" s="221"/>
      <c r="D1" s="221"/>
      <c r="E1" s="221"/>
      <c r="F1" s="221"/>
      <c r="G1" s="221"/>
      <c r="H1" s="222"/>
      <c r="I1" s="220" t="s">
        <v>144</v>
      </c>
      <c r="J1" s="221"/>
      <c r="K1" s="221"/>
      <c r="L1" s="221"/>
      <c r="M1" s="221"/>
      <c r="N1" s="221"/>
      <c r="O1" s="222"/>
      <c r="P1" s="223" t="s">
        <v>145</v>
      </c>
      <c r="Q1" s="221"/>
      <c r="R1" s="221"/>
      <c r="S1" s="222"/>
      <c r="T1" s="3"/>
      <c r="U1" s="3"/>
      <c r="V1" s="3"/>
    </row>
    <row r="2" spans="1:22" ht="15.75" customHeight="1" x14ac:dyDescent="0.35">
      <c r="A2" s="20" t="s">
        <v>0</v>
      </c>
      <c r="B2" s="21" t="s">
        <v>22</v>
      </c>
      <c r="C2" s="5" t="s">
        <v>23</v>
      </c>
      <c r="D2" s="5" t="s">
        <v>24</v>
      </c>
      <c r="E2" s="22" t="s">
        <v>25</v>
      </c>
      <c r="F2" s="22" t="s">
        <v>26</v>
      </c>
      <c r="G2" s="22" t="s">
        <v>27</v>
      </c>
      <c r="H2" s="23" t="s">
        <v>28</v>
      </c>
      <c r="I2" s="21" t="s">
        <v>22</v>
      </c>
      <c r="J2" s="5" t="s">
        <v>23</v>
      </c>
      <c r="K2" s="5" t="s">
        <v>24</v>
      </c>
      <c r="L2" s="22" t="s">
        <v>25</v>
      </c>
      <c r="M2" s="22" t="s">
        <v>26</v>
      </c>
      <c r="N2" s="22" t="s">
        <v>27</v>
      </c>
      <c r="O2" s="23" t="s">
        <v>28</v>
      </c>
      <c r="P2" s="21" t="s">
        <v>146</v>
      </c>
      <c r="Q2" s="5" t="s">
        <v>147</v>
      </c>
      <c r="R2" s="5" t="s">
        <v>148</v>
      </c>
      <c r="S2" s="23" t="s">
        <v>149</v>
      </c>
      <c r="T2" s="3"/>
      <c r="U2" s="3"/>
      <c r="V2" s="3"/>
    </row>
    <row r="3" spans="1:22" ht="15.75" customHeight="1" x14ac:dyDescent="0.35">
      <c r="A3" s="24" t="s">
        <v>99</v>
      </c>
      <c r="B3" s="25">
        <v>2.5999999999999999E-3</v>
      </c>
      <c r="C3" s="26">
        <v>1.6000000000000001E-3</v>
      </c>
      <c r="D3" s="26"/>
      <c r="E3" s="26"/>
      <c r="F3" s="26">
        <v>5.0000000000000001E-4</v>
      </c>
      <c r="G3" s="26">
        <v>6.4000000000000003E-3</v>
      </c>
      <c r="H3" s="27">
        <v>6.7999999999999996E-3</v>
      </c>
      <c r="I3" s="25">
        <f t="shared" ref="I3:O3" si="0">B3</f>
        <v>2.5999999999999999E-3</v>
      </c>
      <c r="J3" s="26">
        <f t="shared" si="0"/>
        <v>1.6000000000000001E-3</v>
      </c>
      <c r="K3" s="26">
        <f t="shared" si="0"/>
        <v>0</v>
      </c>
      <c r="L3" s="26">
        <f t="shared" si="0"/>
        <v>0</v>
      </c>
      <c r="M3" s="26">
        <f t="shared" si="0"/>
        <v>5.0000000000000001E-4</v>
      </c>
      <c r="N3" s="26">
        <f t="shared" si="0"/>
        <v>6.4000000000000003E-3</v>
      </c>
      <c r="O3" s="27">
        <f t="shared" si="0"/>
        <v>6.7999999999999996E-3</v>
      </c>
      <c r="P3" s="26"/>
      <c r="Q3" s="26"/>
      <c r="R3" s="26"/>
      <c r="S3" s="27"/>
      <c r="T3" s="28"/>
      <c r="U3" s="28"/>
      <c r="V3" s="28"/>
    </row>
    <row r="4" spans="1:22" ht="15.75" customHeight="1" x14ac:dyDescent="0.35">
      <c r="A4" s="29" t="s">
        <v>90</v>
      </c>
      <c r="B4" s="30">
        <v>4.3E-3</v>
      </c>
      <c r="C4" s="31">
        <v>5.1999999999999998E-3</v>
      </c>
      <c r="D4" s="31">
        <v>4.0000000000000001E-3</v>
      </c>
      <c r="E4" s="31">
        <v>2.0999999999999999E-3</v>
      </c>
      <c r="F4" s="31">
        <v>4.7000000000000002E-3</v>
      </c>
      <c r="G4" s="31">
        <v>1.9900000000000001E-2</v>
      </c>
      <c r="H4" s="32">
        <v>2.6700000000000002E-2</v>
      </c>
      <c r="I4" s="30">
        <f t="shared" ref="I4:O4" si="1">B4</f>
        <v>4.3E-3</v>
      </c>
      <c r="J4" s="31">
        <f t="shared" si="1"/>
        <v>5.1999999999999998E-3</v>
      </c>
      <c r="K4" s="31">
        <f t="shared" si="1"/>
        <v>4.0000000000000001E-3</v>
      </c>
      <c r="L4" s="31">
        <f t="shared" si="1"/>
        <v>2.0999999999999999E-3</v>
      </c>
      <c r="M4" s="31">
        <f t="shared" si="1"/>
        <v>4.7000000000000002E-3</v>
      </c>
      <c r="N4" s="31">
        <f t="shared" si="1"/>
        <v>1.9900000000000001E-2</v>
      </c>
      <c r="O4" s="32">
        <f t="shared" si="1"/>
        <v>2.6700000000000002E-2</v>
      </c>
      <c r="P4" s="31"/>
      <c r="Q4" s="31"/>
      <c r="R4" s="31"/>
      <c r="S4" s="32"/>
      <c r="T4" s="28"/>
      <c r="U4" s="28"/>
      <c r="V4" s="28"/>
    </row>
    <row r="5" spans="1:22" ht="15.75" customHeight="1" x14ac:dyDescent="0.35">
      <c r="A5" s="29" t="s">
        <v>86</v>
      </c>
      <c r="B5" s="30">
        <v>4.1999999999999997E-3</v>
      </c>
      <c r="C5" s="31">
        <v>1.21E-2</v>
      </c>
      <c r="D5" s="31">
        <v>1.6000000000000001E-3</v>
      </c>
      <c r="E5" s="31"/>
      <c r="F5" s="31">
        <v>1.5E-3</v>
      </c>
      <c r="G5" s="31">
        <v>1.8E-3</v>
      </c>
      <c r="H5" s="32">
        <v>3.3E-3</v>
      </c>
      <c r="I5" s="30">
        <f t="shared" ref="I5:O5" si="2">B5</f>
        <v>4.1999999999999997E-3</v>
      </c>
      <c r="J5" s="31">
        <f t="shared" si="2"/>
        <v>1.21E-2</v>
      </c>
      <c r="K5" s="31">
        <f t="shared" si="2"/>
        <v>1.6000000000000001E-3</v>
      </c>
      <c r="L5" s="31">
        <f t="shared" si="2"/>
        <v>0</v>
      </c>
      <c r="M5" s="31">
        <f t="shared" si="2"/>
        <v>1.5E-3</v>
      </c>
      <c r="N5" s="31">
        <f t="shared" si="2"/>
        <v>1.8E-3</v>
      </c>
      <c r="O5" s="32">
        <f t="shared" si="2"/>
        <v>3.3E-3</v>
      </c>
      <c r="P5" s="31"/>
      <c r="Q5" s="31"/>
      <c r="R5" s="31"/>
      <c r="S5" s="32"/>
      <c r="T5" s="28"/>
      <c r="U5" s="28"/>
      <c r="V5" s="28"/>
    </row>
    <row r="6" spans="1:22" ht="15.75" customHeight="1" x14ac:dyDescent="0.35">
      <c r="A6" s="29" t="s">
        <v>104</v>
      </c>
      <c r="B6" s="30">
        <v>3.2000000000000002E-3</v>
      </c>
      <c r="C6" s="31">
        <v>9.5999999999999992E-3</v>
      </c>
      <c r="D6" s="31">
        <v>1.4E-3</v>
      </c>
      <c r="E6" s="31"/>
      <c r="F6" s="31">
        <v>1.1000000000000001E-3</v>
      </c>
      <c r="G6" s="31">
        <v>1.6000000000000001E-3</v>
      </c>
      <c r="H6" s="32">
        <v>2.8E-3</v>
      </c>
      <c r="I6" s="30">
        <f t="shared" ref="I6:O6" si="3">B6</f>
        <v>3.2000000000000002E-3</v>
      </c>
      <c r="J6" s="31">
        <f t="shared" si="3"/>
        <v>9.5999999999999992E-3</v>
      </c>
      <c r="K6" s="31">
        <f t="shared" si="3"/>
        <v>1.4E-3</v>
      </c>
      <c r="L6" s="31">
        <f t="shared" si="3"/>
        <v>0</v>
      </c>
      <c r="M6" s="31">
        <f t="shared" si="3"/>
        <v>1.1000000000000001E-3</v>
      </c>
      <c r="N6" s="31">
        <f t="shared" si="3"/>
        <v>1.6000000000000001E-3</v>
      </c>
      <c r="O6" s="32">
        <f t="shared" si="3"/>
        <v>2.8E-3</v>
      </c>
      <c r="P6" s="31"/>
      <c r="Q6" s="31"/>
      <c r="R6" s="31"/>
      <c r="S6" s="32"/>
      <c r="T6" s="28"/>
      <c r="U6" s="28"/>
      <c r="V6" s="28"/>
    </row>
    <row r="7" spans="1:22" ht="15.75" customHeight="1" x14ac:dyDescent="0.35">
      <c r="A7" s="29" t="s">
        <v>95</v>
      </c>
      <c r="B7" s="30">
        <v>9.7000000000000003E-3</v>
      </c>
      <c r="C7" s="31">
        <v>1.11E-2</v>
      </c>
      <c r="D7" s="31">
        <v>2.5999999999999999E-3</v>
      </c>
      <c r="E7" s="31">
        <v>1.9E-3</v>
      </c>
      <c r="F7" s="31">
        <v>1.8E-3</v>
      </c>
      <c r="G7" s="31">
        <v>1.4500000000000001E-2</v>
      </c>
      <c r="H7" s="32">
        <v>1.8200000000000001E-2</v>
      </c>
      <c r="I7" s="30">
        <f t="shared" ref="I7:O7" si="4">B7</f>
        <v>9.7000000000000003E-3</v>
      </c>
      <c r="J7" s="31">
        <f t="shared" si="4"/>
        <v>1.11E-2</v>
      </c>
      <c r="K7" s="31">
        <f t="shared" si="4"/>
        <v>2.5999999999999999E-3</v>
      </c>
      <c r="L7" s="31">
        <f t="shared" si="4"/>
        <v>1.9E-3</v>
      </c>
      <c r="M7" s="31">
        <f t="shared" si="4"/>
        <v>1.8E-3</v>
      </c>
      <c r="N7" s="31">
        <f t="shared" si="4"/>
        <v>1.4500000000000001E-2</v>
      </c>
      <c r="O7" s="32">
        <f t="shared" si="4"/>
        <v>1.8200000000000001E-2</v>
      </c>
      <c r="P7" s="31"/>
      <c r="Q7" s="31"/>
      <c r="R7" s="31"/>
      <c r="S7" s="32"/>
      <c r="T7" s="28"/>
      <c r="U7" s="28"/>
      <c r="V7" s="28"/>
    </row>
    <row r="8" spans="1:22" ht="15.75" customHeight="1" x14ac:dyDescent="0.35">
      <c r="A8" s="33" t="s">
        <v>121</v>
      </c>
      <c r="B8" s="30">
        <v>4.1000000000000003E-3</v>
      </c>
      <c r="C8" s="31">
        <v>3.5000000000000001E-3</v>
      </c>
      <c r="D8" s="31">
        <v>1.6000000000000001E-3</v>
      </c>
      <c r="E8" s="31"/>
      <c r="F8" s="31">
        <v>1.5E-3</v>
      </c>
      <c r="G8" s="31">
        <v>1.9099999999999999E-2</v>
      </c>
      <c r="H8" s="32">
        <v>2.06E-2</v>
      </c>
      <c r="I8" s="30">
        <f t="shared" ref="I8:O8" si="5">B8</f>
        <v>4.1000000000000003E-3</v>
      </c>
      <c r="J8" s="31">
        <f t="shared" si="5"/>
        <v>3.5000000000000001E-3</v>
      </c>
      <c r="K8" s="31">
        <f t="shared" si="5"/>
        <v>1.6000000000000001E-3</v>
      </c>
      <c r="L8" s="31">
        <f t="shared" si="5"/>
        <v>0</v>
      </c>
      <c r="M8" s="31">
        <f t="shared" si="5"/>
        <v>1.5E-3</v>
      </c>
      <c r="N8" s="31">
        <f t="shared" si="5"/>
        <v>1.9099999999999999E-2</v>
      </c>
      <c r="O8" s="32">
        <f t="shared" si="5"/>
        <v>2.06E-2</v>
      </c>
      <c r="P8" s="31"/>
      <c r="Q8" s="31"/>
      <c r="R8" s="31"/>
      <c r="S8" s="32"/>
      <c r="T8" s="28"/>
      <c r="U8" s="28"/>
      <c r="V8" s="28"/>
    </row>
    <row r="9" spans="1:22" ht="15.75" customHeight="1" x14ac:dyDescent="0.35">
      <c r="A9" s="33" t="s">
        <v>127</v>
      </c>
      <c r="B9" s="30">
        <v>4.7000000000000002E-3</v>
      </c>
      <c r="C9" s="31">
        <v>3.7000000000000002E-3</v>
      </c>
      <c r="D9" s="31">
        <v>1.2999999999999999E-3</v>
      </c>
      <c r="E9" s="31"/>
      <c r="F9" s="31">
        <v>8.9999999999999998E-4</v>
      </c>
      <c r="G9" s="31">
        <v>1.03E-2</v>
      </c>
      <c r="H9" s="32">
        <v>1.12E-2</v>
      </c>
      <c r="I9" s="30">
        <f t="shared" ref="I9:O9" si="6">B9</f>
        <v>4.7000000000000002E-3</v>
      </c>
      <c r="J9" s="31">
        <f t="shared" si="6"/>
        <v>3.7000000000000002E-3</v>
      </c>
      <c r="K9" s="31">
        <f t="shared" si="6"/>
        <v>1.2999999999999999E-3</v>
      </c>
      <c r="L9" s="31">
        <f t="shared" si="6"/>
        <v>0</v>
      </c>
      <c r="M9" s="31">
        <f t="shared" si="6"/>
        <v>8.9999999999999998E-4</v>
      </c>
      <c r="N9" s="31">
        <f t="shared" si="6"/>
        <v>1.03E-2</v>
      </c>
      <c r="O9" s="32">
        <f t="shared" si="6"/>
        <v>1.12E-2</v>
      </c>
      <c r="P9" s="31"/>
      <c r="Q9" s="31"/>
      <c r="R9" s="31"/>
      <c r="S9" s="32"/>
      <c r="T9" s="28"/>
      <c r="U9" s="28"/>
      <c r="V9" s="28"/>
    </row>
    <row r="10" spans="1:22" ht="15.75" customHeight="1" x14ac:dyDescent="0.35">
      <c r="A10" s="33" t="s">
        <v>137</v>
      </c>
      <c r="B10" s="30">
        <v>1.0500000000000001E-2</v>
      </c>
      <c r="C10" s="31">
        <v>1.89E-2</v>
      </c>
      <c r="D10" s="31">
        <v>4.1999999999999997E-3</v>
      </c>
      <c r="E10" s="31">
        <v>1.2999999999999999E-3</v>
      </c>
      <c r="F10" s="31">
        <v>3.2000000000000002E-3</v>
      </c>
      <c r="G10" s="31">
        <v>1.6000000000000001E-3</v>
      </c>
      <c r="H10" s="32">
        <v>6.1000000000000004E-3</v>
      </c>
      <c r="I10" s="30">
        <f t="shared" ref="I10:O10" si="7">B10</f>
        <v>1.0500000000000001E-2</v>
      </c>
      <c r="J10" s="31">
        <f t="shared" si="7"/>
        <v>1.89E-2</v>
      </c>
      <c r="K10" s="31">
        <f t="shared" si="7"/>
        <v>4.1999999999999997E-3</v>
      </c>
      <c r="L10" s="31">
        <f t="shared" si="7"/>
        <v>1.2999999999999999E-3</v>
      </c>
      <c r="M10" s="31">
        <f t="shared" si="7"/>
        <v>3.2000000000000002E-3</v>
      </c>
      <c r="N10" s="31">
        <f t="shared" si="7"/>
        <v>1.6000000000000001E-3</v>
      </c>
      <c r="O10" s="32">
        <f t="shared" si="7"/>
        <v>6.1000000000000004E-3</v>
      </c>
      <c r="P10" s="31"/>
      <c r="Q10" s="31"/>
      <c r="R10" s="31"/>
      <c r="S10" s="32"/>
      <c r="T10" s="28"/>
      <c r="U10" s="28"/>
      <c r="V10" s="28"/>
    </row>
    <row r="11" spans="1:22" ht="15.75" customHeight="1" x14ac:dyDescent="0.35">
      <c r="A11" s="34" t="s">
        <v>139</v>
      </c>
      <c r="B11" s="35">
        <v>1.9400000000000001E-2</v>
      </c>
      <c r="C11" s="36">
        <v>3.6900000000000002E-2</v>
      </c>
      <c r="D11" s="36"/>
      <c r="E11" s="36"/>
      <c r="F11" s="36"/>
      <c r="G11" s="36"/>
      <c r="H11" s="37"/>
      <c r="I11" s="35">
        <f t="shared" ref="I11:N11" si="8">B11</f>
        <v>1.9400000000000001E-2</v>
      </c>
      <c r="J11" s="36">
        <f t="shared" si="8"/>
        <v>3.6900000000000002E-2</v>
      </c>
      <c r="K11" s="36">
        <f t="shared" si="8"/>
        <v>0</v>
      </c>
      <c r="L11" s="36">
        <f t="shared" si="8"/>
        <v>0</v>
      </c>
      <c r="M11" s="36">
        <f t="shared" si="8"/>
        <v>0</v>
      </c>
      <c r="N11" s="36">
        <f t="shared" si="8"/>
        <v>0</v>
      </c>
      <c r="O11" s="37"/>
      <c r="P11" s="36"/>
      <c r="Q11" s="36"/>
      <c r="R11" s="36"/>
      <c r="S11" s="37"/>
      <c r="T11" s="28"/>
      <c r="U11" s="28"/>
      <c r="V11" s="28"/>
    </row>
    <row r="12" spans="1:22" ht="15.75" customHeight="1" x14ac:dyDescent="0.35">
      <c r="A12" s="38" t="s">
        <v>150</v>
      </c>
      <c r="B12" s="30">
        <v>1.1000000000000001E-3</v>
      </c>
      <c r="C12" s="31">
        <v>1.6000000000000001E-3</v>
      </c>
      <c r="D12" s="31">
        <v>1.1000000000000001E-3</v>
      </c>
      <c r="E12" s="31">
        <v>7.4000000000000003E-3</v>
      </c>
      <c r="F12" s="31">
        <v>1.32E-2</v>
      </c>
      <c r="G12" s="31">
        <v>7.6E-3</v>
      </c>
      <c r="H12" s="32">
        <f t="shared" ref="H12:H14" si="9">SUM(E12:G12)</f>
        <v>2.8199999999999999E-2</v>
      </c>
      <c r="I12" s="30">
        <f t="shared" ref="I12:O12" si="10">AVERAGE(B12:B13)</f>
        <v>1.5500000000000002E-3</v>
      </c>
      <c r="J12" s="31">
        <f t="shared" si="10"/>
        <v>3.4499999999999999E-3</v>
      </c>
      <c r="K12" s="31">
        <f t="shared" si="10"/>
        <v>1.2000000000000001E-3</v>
      </c>
      <c r="L12" s="31">
        <f t="shared" si="10"/>
        <v>7.4000000000000003E-3</v>
      </c>
      <c r="M12" s="31">
        <f t="shared" si="10"/>
        <v>1.6800000000000002E-2</v>
      </c>
      <c r="N12" s="31">
        <f t="shared" si="10"/>
        <v>8.5000000000000006E-3</v>
      </c>
      <c r="O12" s="32">
        <f t="shared" si="10"/>
        <v>2.8999999999999998E-2</v>
      </c>
      <c r="P12" s="31">
        <f t="shared" ref="P12:R12" si="11">STDEV(B12:B13)</f>
        <v>6.3639610306789277E-4</v>
      </c>
      <c r="Q12" s="31">
        <f t="shared" si="11"/>
        <v>2.6162950903902259E-3</v>
      </c>
      <c r="R12" s="31">
        <f t="shared" si="11"/>
        <v>1.414213562373094E-4</v>
      </c>
      <c r="S12" s="32">
        <f>STDEV(H12:H13)</f>
        <v>1.1313708498984767E-3</v>
      </c>
      <c r="T12" s="28"/>
      <c r="U12" s="28"/>
      <c r="V12" s="28"/>
    </row>
    <row r="13" spans="1:22" ht="15.75" customHeight="1" x14ac:dyDescent="0.35">
      <c r="A13" s="38" t="s">
        <v>151</v>
      </c>
      <c r="B13" s="30">
        <v>2E-3</v>
      </c>
      <c r="C13" s="31">
        <v>5.3E-3</v>
      </c>
      <c r="D13" s="31">
        <v>1.2999999999999999E-3</v>
      </c>
      <c r="E13" s="31"/>
      <c r="F13" s="31">
        <v>2.0400000000000001E-2</v>
      </c>
      <c r="G13" s="31">
        <v>9.4000000000000004E-3</v>
      </c>
      <c r="H13" s="32">
        <f t="shared" si="9"/>
        <v>2.98E-2</v>
      </c>
      <c r="I13" s="30"/>
      <c r="J13" s="31"/>
      <c r="K13" s="31"/>
      <c r="L13" s="31"/>
      <c r="M13" s="31"/>
      <c r="N13" s="31"/>
      <c r="O13" s="32"/>
      <c r="P13" s="31"/>
      <c r="Q13" s="31"/>
      <c r="R13" s="31"/>
      <c r="S13" s="32"/>
      <c r="T13" s="28"/>
      <c r="U13" s="28"/>
      <c r="V13" s="28"/>
    </row>
    <row r="14" spans="1:22" ht="15.75" customHeight="1" x14ac:dyDescent="0.35">
      <c r="A14" s="39" t="s">
        <v>152</v>
      </c>
      <c r="B14" s="30">
        <v>2.8E-3</v>
      </c>
      <c r="C14" s="31">
        <v>1.46E-2</v>
      </c>
      <c r="D14" s="31">
        <v>1.4E-3</v>
      </c>
      <c r="E14" s="31"/>
      <c r="F14" s="31">
        <v>1.03E-2</v>
      </c>
      <c r="G14" s="31">
        <v>7.1999999999999998E-3</v>
      </c>
      <c r="H14" s="32">
        <f t="shared" si="9"/>
        <v>1.7500000000000002E-2</v>
      </c>
      <c r="I14" s="30">
        <f t="shared" ref="I14:K14" si="12">AVERAGE(B14:B15)</f>
        <v>1.4E-3</v>
      </c>
      <c r="J14" s="31">
        <f t="shared" si="12"/>
        <v>7.4999999999999997E-3</v>
      </c>
      <c r="K14" s="31">
        <f t="shared" si="12"/>
        <v>1.4E-3</v>
      </c>
      <c r="L14" s="31"/>
      <c r="M14" s="31">
        <f t="shared" ref="M14:N14" si="13">AVERAGE(F14:F15)</f>
        <v>1.03E-2</v>
      </c>
      <c r="N14" s="31">
        <f t="shared" si="13"/>
        <v>7.1999999999999998E-3</v>
      </c>
      <c r="O14" s="32">
        <f>SUM(L14:N14)</f>
        <v>1.7500000000000002E-2</v>
      </c>
      <c r="P14" s="31"/>
      <c r="Q14" s="31">
        <f>STDEV(C14:C15)</f>
        <v>1.0040916292848975E-2</v>
      </c>
      <c r="R14" s="31"/>
      <c r="S14" s="32"/>
      <c r="T14" s="28"/>
      <c r="U14" s="28"/>
      <c r="V14" s="28"/>
    </row>
    <row r="15" spans="1:22" ht="15.75" customHeight="1" x14ac:dyDescent="0.35">
      <c r="A15" s="39" t="s">
        <v>153</v>
      </c>
      <c r="B15" s="30">
        <v>0</v>
      </c>
      <c r="C15" s="31">
        <v>4.0000000000000002E-4</v>
      </c>
      <c r="D15" s="31"/>
      <c r="E15" s="31"/>
      <c r="F15" s="31"/>
      <c r="G15" s="31"/>
      <c r="H15" s="32"/>
      <c r="I15" s="30"/>
      <c r="J15" s="31"/>
      <c r="K15" s="31"/>
      <c r="L15" s="31"/>
      <c r="M15" s="31"/>
      <c r="N15" s="31"/>
      <c r="O15" s="32"/>
      <c r="P15" s="31"/>
      <c r="Q15" s="31"/>
      <c r="R15" s="31"/>
      <c r="S15" s="32"/>
      <c r="T15" s="28"/>
      <c r="U15" s="28"/>
      <c r="V15" s="28"/>
    </row>
    <row r="16" spans="1:22" ht="15.75" customHeight="1" x14ac:dyDescent="0.35">
      <c r="A16" s="39" t="s">
        <v>112</v>
      </c>
      <c r="B16" s="30">
        <v>1.9E-3</v>
      </c>
      <c r="C16" s="31">
        <v>1.37E-2</v>
      </c>
      <c r="D16" s="31">
        <v>1.2999999999999999E-3</v>
      </c>
      <c r="E16" s="31"/>
      <c r="F16" s="31">
        <v>9.2999999999999992E-3</v>
      </c>
      <c r="G16" s="31">
        <v>3.7000000000000002E-3</v>
      </c>
      <c r="H16" s="32">
        <f t="shared" ref="H16:H18" si="14">SUM(E16:G16)</f>
        <v>1.2999999999999999E-2</v>
      </c>
      <c r="I16" s="30">
        <f t="shared" ref="I16:K16" si="15">B16</f>
        <v>1.9E-3</v>
      </c>
      <c r="J16" s="31">
        <f t="shared" si="15"/>
        <v>1.37E-2</v>
      </c>
      <c r="K16" s="31">
        <f t="shared" si="15"/>
        <v>1.2999999999999999E-3</v>
      </c>
      <c r="L16" s="31"/>
      <c r="M16" s="31">
        <f t="shared" ref="M16:N16" si="16">F16</f>
        <v>9.2999999999999992E-3</v>
      </c>
      <c r="N16" s="31">
        <f t="shared" si="16"/>
        <v>3.7000000000000002E-3</v>
      </c>
      <c r="O16" s="32">
        <f>SUM(L16:N16)</f>
        <v>1.2999999999999999E-2</v>
      </c>
      <c r="P16" s="31"/>
      <c r="Q16" s="31"/>
      <c r="R16" s="31"/>
      <c r="S16" s="32"/>
      <c r="T16" s="28"/>
      <c r="U16" s="28"/>
      <c r="V16" s="28"/>
    </row>
    <row r="17" spans="1:22" ht="15.75" customHeight="1" x14ac:dyDescent="0.35">
      <c r="A17" s="39" t="s">
        <v>83</v>
      </c>
      <c r="B17" s="30">
        <v>1.1000000000000001E-3</v>
      </c>
      <c r="C17" s="31">
        <v>1.4500000000000001E-2</v>
      </c>
      <c r="D17" s="31">
        <v>1.1000000000000001E-3</v>
      </c>
      <c r="E17" s="31"/>
      <c r="F17" s="31">
        <v>4.4999999999999997E-3</v>
      </c>
      <c r="G17" s="31">
        <v>2.7000000000000001E-3</v>
      </c>
      <c r="H17" s="32">
        <f t="shared" si="14"/>
        <v>7.1999999999999998E-3</v>
      </c>
      <c r="I17" s="30">
        <f t="shared" ref="I17:K17" si="17">B17</f>
        <v>1.1000000000000001E-3</v>
      </c>
      <c r="J17" s="31">
        <f t="shared" si="17"/>
        <v>1.4500000000000001E-2</v>
      </c>
      <c r="K17" s="31">
        <f t="shared" si="17"/>
        <v>1.1000000000000001E-3</v>
      </c>
      <c r="L17" s="31"/>
      <c r="M17" s="31">
        <f t="shared" ref="M17:N17" si="18">F17</f>
        <v>4.4999999999999997E-3</v>
      </c>
      <c r="N17" s="31">
        <f t="shared" si="18"/>
        <v>2.7000000000000001E-3</v>
      </c>
      <c r="O17" s="32">
        <f t="shared" ref="O17:O22" si="19">SUM(L17:N17)</f>
        <v>7.1999999999999998E-3</v>
      </c>
      <c r="P17" s="31"/>
      <c r="Q17" s="31"/>
      <c r="R17" s="31"/>
      <c r="S17" s="32"/>
      <c r="T17" s="28"/>
      <c r="U17" s="28"/>
      <c r="V17" s="28"/>
    </row>
    <row r="18" spans="1:22" ht="15.75" customHeight="1" x14ac:dyDescent="0.35">
      <c r="A18" s="39" t="s">
        <v>135</v>
      </c>
      <c r="B18" s="30">
        <v>1E-3</v>
      </c>
      <c r="C18" s="31">
        <v>2.3E-3</v>
      </c>
      <c r="D18" s="31">
        <v>4.0000000000000002E-4</v>
      </c>
      <c r="E18" s="31">
        <v>4.7999999999999996E-3</v>
      </c>
      <c r="F18" s="31">
        <v>3.0999999999999999E-3</v>
      </c>
      <c r="G18" s="31">
        <v>1.41E-2</v>
      </c>
      <c r="H18" s="32">
        <f t="shared" si="14"/>
        <v>2.1999999999999999E-2</v>
      </c>
      <c r="I18" s="30">
        <f t="shared" ref="I18:N18" si="20">B18</f>
        <v>1E-3</v>
      </c>
      <c r="J18" s="31">
        <f t="shared" si="20"/>
        <v>2.3E-3</v>
      </c>
      <c r="K18" s="31">
        <f t="shared" si="20"/>
        <v>4.0000000000000002E-4</v>
      </c>
      <c r="L18" s="31">
        <f t="shared" si="20"/>
        <v>4.7999999999999996E-3</v>
      </c>
      <c r="M18" s="31">
        <f t="shared" si="20"/>
        <v>3.0999999999999999E-3</v>
      </c>
      <c r="N18" s="31">
        <f t="shared" si="20"/>
        <v>1.41E-2</v>
      </c>
      <c r="O18" s="32">
        <f t="shared" si="19"/>
        <v>2.1999999999999999E-2</v>
      </c>
      <c r="P18" s="31"/>
      <c r="Q18" s="31"/>
      <c r="R18" s="31"/>
      <c r="S18" s="32"/>
      <c r="T18" s="28"/>
      <c r="U18" s="28"/>
      <c r="V18" s="28"/>
    </row>
    <row r="19" spans="1:22" ht="15.75" customHeight="1" x14ac:dyDescent="0.35">
      <c r="A19" s="38" t="s">
        <v>118</v>
      </c>
      <c r="B19" s="30">
        <v>1.4E-3</v>
      </c>
      <c r="C19" s="31">
        <v>6.0000000000000001E-3</v>
      </c>
      <c r="D19" s="31">
        <v>8.0000000000000004E-4</v>
      </c>
      <c r="E19" s="31"/>
      <c r="F19" s="31">
        <v>5.0000000000000001E-4</v>
      </c>
      <c r="G19" s="31">
        <v>1.4E-3</v>
      </c>
      <c r="H19" s="32">
        <f t="shared" ref="H19:H20" si="21">SUM(E19:G19)</f>
        <v>1.9E-3</v>
      </c>
      <c r="I19" s="30">
        <f t="shared" ref="I19:K19" si="22">B19</f>
        <v>1.4E-3</v>
      </c>
      <c r="J19" s="31">
        <f t="shared" si="22"/>
        <v>6.0000000000000001E-3</v>
      </c>
      <c r="K19" s="31">
        <f t="shared" si="22"/>
        <v>8.0000000000000004E-4</v>
      </c>
      <c r="L19" s="31"/>
      <c r="M19" s="31">
        <f t="shared" ref="M19:N19" si="23">F19</f>
        <v>5.0000000000000001E-4</v>
      </c>
      <c r="N19" s="31">
        <f t="shared" si="23"/>
        <v>1.4E-3</v>
      </c>
      <c r="O19" s="32">
        <f t="shared" si="19"/>
        <v>1.9E-3</v>
      </c>
      <c r="P19" s="31"/>
      <c r="Q19" s="31"/>
      <c r="R19" s="31"/>
      <c r="S19" s="32"/>
      <c r="T19" s="28"/>
      <c r="U19" s="28"/>
      <c r="V19" s="28"/>
    </row>
    <row r="20" spans="1:22" ht="15.75" customHeight="1" x14ac:dyDescent="0.35">
      <c r="A20" s="38" t="s">
        <v>125</v>
      </c>
      <c r="B20" s="30">
        <v>1.6999999999999999E-3</v>
      </c>
      <c r="C20" s="31">
        <v>7.7000000000000002E-3</v>
      </c>
      <c r="D20" s="31">
        <v>1E-3</v>
      </c>
      <c r="E20" s="31"/>
      <c r="F20" s="31">
        <v>1.4500000000000001E-2</v>
      </c>
      <c r="G20" s="31">
        <v>4.8999999999999998E-3</v>
      </c>
      <c r="H20" s="32">
        <f t="shared" si="21"/>
        <v>1.9400000000000001E-2</v>
      </c>
      <c r="I20" s="30">
        <f t="shared" ref="I20:K20" si="24">B20</f>
        <v>1.6999999999999999E-3</v>
      </c>
      <c r="J20" s="31">
        <f t="shared" si="24"/>
        <v>7.7000000000000002E-3</v>
      </c>
      <c r="K20" s="31">
        <f t="shared" si="24"/>
        <v>1E-3</v>
      </c>
      <c r="L20" s="31"/>
      <c r="M20" s="31">
        <f t="shared" ref="M20:N20" si="25">F20</f>
        <v>1.4500000000000001E-2</v>
      </c>
      <c r="N20" s="31">
        <f t="shared" si="25"/>
        <v>4.8999999999999998E-3</v>
      </c>
      <c r="O20" s="32">
        <f t="shared" si="19"/>
        <v>1.9400000000000001E-2</v>
      </c>
      <c r="P20" s="31"/>
      <c r="Q20" s="31"/>
      <c r="R20" s="31"/>
      <c r="S20" s="32"/>
      <c r="T20" s="28"/>
      <c r="U20" s="28"/>
      <c r="V20" s="28"/>
    </row>
    <row r="21" spans="1:22" ht="15.75" customHeight="1" x14ac:dyDescent="0.35">
      <c r="A21" s="38" t="s">
        <v>131</v>
      </c>
      <c r="B21" s="30">
        <v>1.6999999999999999E-3</v>
      </c>
      <c r="C21" s="31">
        <v>1.9900000000000001E-2</v>
      </c>
      <c r="D21" s="31">
        <v>1E-3</v>
      </c>
      <c r="E21" s="31">
        <v>7.7999999999999996E-3</v>
      </c>
      <c r="F21" s="31">
        <v>1.4800000000000001E-2</v>
      </c>
      <c r="G21" s="31">
        <v>4.8999999999999998E-3</v>
      </c>
      <c r="H21" s="32">
        <f>SUM(E21:G21)</f>
        <v>2.7500000000000004E-2</v>
      </c>
      <c r="I21" s="30">
        <f t="shared" ref="I21:N21" si="26">B21</f>
        <v>1.6999999999999999E-3</v>
      </c>
      <c r="J21" s="31">
        <f t="shared" si="26"/>
        <v>1.9900000000000001E-2</v>
      </c>
      <c r="K21" s="31">
        <f t="shared" si="26"/>
        <v>1E-3</v>
      </c>
      <c r="L21" s="31">
        <f t="shared" si="26"/>
        <v>7.7999999999999996E-3</v>
      </c>
      <c r="M21" s="31">
        <f t="shared" si="26"/>
        <v>1.4800000000000001E-2</v>
      </c>
      <c r="N21" s="31">
        <f t="shared" si="26"/>
        <v>4.8999999999999998E-3</v>
      </c>
      <c r="O21" s="32">
        <f t="shared" si="19"/>
        <v>2.7500000000000004E-2</v>
      </c>
      <c r="P21" s="31"/>
      <c r="Q21" s="31"/>
      <c r="R21" s="31"/>
      <c r="S21" s="32"/>
      <c r="T21" s="28"/>
      <c r="U21" s="28"/>
      <c r="V21" s="28"/>
    </row>
    <row r="22" spans="1:22" ht="15.75" customHeight="1" x14ac:dyDescent="0.35">
      <c r="A22" s="38" t="s">
        <v>72</v>
      </c>
      <c r="B22" s="30">
        <v>6.6E-3</v>
      </c>
      <c r="C22" s="31">
        <v>1.2800000000000001E-2</v>
      </c>
      <c r="D22" s="31">
        <v>2.8999999999999998E-3</v>
      </c>
      <c r="E22" s="31">
        <v>2.3999999999999998E-3</v>
      </c>
      <c r="F22" s="31">
        <v>2.3E-3</v>
      </c>
      <c r="G22" s="31">
        <v>4.1000000000000003E-3</v>
      </c>
      <c r="H22" s="32">
        <f t="shared" ref="H22:H26" si="27">SUM(E22:G22)</f>
        <v>8.7999999999999988E-3</v>
      </c>
      <c r="I22" s="30">
        <f t="shared" ref="I22:N22" si="28">B22</f>
        <v>6.6E-3</v>
      </c>
      <c r="J22" s="31">
        <f t="shared" si="28"/>
        <v>1.2800000000000001E-2</v>
      </c>
      <c r="K22" s="31">
        <f t="shared" si="28"/>
        <v>2.8999999999999998E-3</v>
      </c>
      <c r="L22" s="31">
        <f t="shared" si="28"/>
        <v>2.3999999999999998E-3</v>
      </c>
      <c r="M22" s="31">
        <f t="shared" si="28"/>
        <v>2.3E-3</v>
      </c>
      <c r="N22" s="31">
        <f t="shared" si="28"/>
        <v>4.1000000000000003E-3</v>
      </c>
      <c r="O22" s="32">
        <f t="shared" si="19"/>
        <v>8.7999999999999988E-3</v>
      </c>
      <c r="P22" s="31"/>
      <c r="Q22" s="31"/>
      <c r="R22" s="31"/>
      <c r="S22" s="32"/>
      <c r="T22" s="28"/>
      <c r="U22" s="28"/>
      <c r="V22" s="28"/>
    </row>
    <row r="23" spans="1:22" ht="15.75" customHeight="1" x14ac:dyDescent="0.35">
      <c r="A23" s="38" t="s">
        <v>154</v>
      </c>
      <c r="B23" s="30">
        <v>4.4999999999999997E-3</v>
      </c>
      <c r="C23" s="31">
        <v>4.2700000000000002E-2</v>
      </c>
      <c r="D23" s="31">
        <v>2.8E-3</v>
      </c>
      <c r="E23" s="31"/>
      <c r="F23" s="31">
        <v>3.9300000000000002E-2</v>
      </c>
      <c r="G23" s="31"/>
      <c r="H23" s="32">
        <f t="shared" si="27"/>
        <v>3.9300000000000002E-2</v>
      </c>
      <c r="I23" s="30">
        <f t="shared" ref="I23:K23" si="29">AVERAGE(B23:B25)</f>
        <v>5.3333333333333332E-3</v>
      </c>
      <c r="J23" s="31">
        <f t="shared" si="29"/>
        <v>7.3866666666666664E-2</v>
      </c>
      <c r="K23" s="31">
        <f t="shared" si="29"/>
        <v>3.5666666666666672E-3</v>
      </c>
      <c r="L23" s="31"/>
      <c r="M23" s="31">
        <f t="shared" ref="M23:O23" si="30">AVERAGE(F23:F25)</f>
        <v>5.8133333333333335E-2</v>
      </c>
      <c r="N23" s="31">
        <f t="shared" si="30"/>
        <v>3.4700000000000002E-2</v>
      </c>
      <c r="O23" s="32">
        <f t="shared" si="30"/>
        <v>6.9699999999999998E-2</v>
      </c>
      <c r="P23" s="31">
        <f t="shared" ref="P23:R23" si="31">STDEV(B23:B25)</f>
        <v>1.2741009902410927E-3</v>
      </c>
      <c r="Q23" s="31">
        <f t="shared" si="31"/>
        <v>3.0710638764658307E-2</v>
      </c>
      <c r="R23" s="31">
        <f t="shared" si="31"/>
        <v>7.5055534994651347E-4</v>
      </c>
      <c r="S23" s="32">
        <f>STDEV(H23:H25)</f>
        <v>2.9016547003390999E-2</v>
      </c>
      <c r="T23" s="28"/>
      <c r="U23" s="28"/>
      <c r="V23" s="28"/>
    </row>
    <row r="24" spans="1:22" ht="15.75" customHeight="1" x14ac:dyDescent="0.35">
      <c r="A24" s="38" t="s">
        <v>155</v>
      </c>
      <c r="B24" s="30">
        <v>6.7999999999999996E-3</v>
      </c>
      <c r="C24" s="31">
        <v>0.1041</v>
      </c>
      <c r="D24" s="31">
        <v>4.3E-3</v>
      </c>
      <c r="E24" s="31"/>
      <c r="F24" s="31">
        <v>7.2700000000000001E-2</v>
      </c>
      <c r="G24" s="31"/>
      <c r="H24" s="32">
        <f t="shared" si="27"/>
        <v>7.2700000000000001E-2</v>
      </c>
      <c r="I24" s="30"/>
      <c r="J24" s="31"/>
      <c r="K24" s="31"/>
      <c r="L24" s="31"/>
      <c r="M24" s="31"/>
      <c r="N24" s="31"/>
      <c r="O24" s="32"/>
      <c r="P24" s="31"/>
      <c r="Q24" s="31"/>
      <c r="R24" s="31"/>
      <c r="S24" s="32"/>
      <c r="T24" s="28"/>
      <c r="U24" s="28"/>
      <c r="V24" s="28"/>
    </row>
    <row r="25" spans="1:22" ht="15.75" customHeight="1" x14ac:dyDescent="0.35">
      <c r="A25" s="38" t="s">
        <v>156</v>
      </c>
      <c r="B25" s="30">
        <v>4.7000000000000002E-3</v>
      </c>
      <c r="C25" s="31">
        <v>7.4800000000000005E-2</v>
      </c>
      <c r="D25" s="31">
        <v>3.5999999999999999E-3</v>
      </c>
      <c r="E25" s="31"/>
      <c r="F25" s="31">
        <v>6.2399999999999997E-2</v>
      </c>
      <c r="G25" s="31">
        <v>3.4700000000000002E-2</v>
      </c>
      <c r="H25" s="32">
        <f t="shared" si="27"/>
        <v>9.7099999999999992E-2</v>
      </c>
      <c r="I25" s="30"/>
      <c r="J25" s="31"/>
      <c r="K25" s="31"/>
      <c r="L25" s="31"/>
      <c r="M25" s="31"/>
      <c r="N25" s="31"/>
      <c r="O25" s="32"/>
      <c r="P25" s="31"/>
      <c r="Q25" s="31"/>
      <c r="R25" s="31"/>
      <c r="S25" s="32"/>
      <c r="T25" s="28"/>
      <c r="U25" s="28"/>
      <c r="V25" s="28"/>
    </row>
    <row r="26" spans="1:22" ht="15.75" customHeight="1" x14ac:dyDescent="0.35">
      <c r="A26" s="38" t="s">
        <v>157</v>
      </c>
      <c r="B26" s="30">
        <v>1.01E-2</v>
      </c>
      <c r="C26" s="31">
        <v>8.6599999999999996E-2</v>
      </c>
      <c r="D26" s="31">
        <v>6.6E-3</v>
      </c>
      <c r="E26" s="31"/>
      <c r="F26" s="31">
        <v>4.3700000000000003E-2</v>
      </c>
      <c r="G26" s="31">
        <v>3.2899999999999999E-2</v>
      </c>
      <c r="H26" s="32">
        <f t="shared" si="27"/>
        <v>7.6600000000000001E-2</v>
      </c>
      <c r="I26" s="30">
        <f t="shared" ref="I26:K26" si="32">AVERAGE(B26:B28)</f>
        <v>8.8666666666666668E-3</v>
      </c>
      <c r="J26" s="31">
        <f t="shared" si="32"/>
        <v>6.83E-2</v>
      </c>
      <c r="K26" s="31">
        <f t="shared" si="32"/>
        <v>3.9000000000000003E-3</v>
      </c>
      <c r="L26" s="31"/>
      <c r="M26" s="31">
        <f t="shared" ref="M26:N26" si="33">AVERAGE(F26:F28)</f>
        <v>4.3700000000000003E-2</v>
      </c>
      <c r="N26" s="31">
        <f t="shared" si="33"/>
        <v>3.2899999999999999E-2</v>
      </c>
      <c r="O26" s="32">
        <f>SUM(L26:N26)</f>
        <v>7.6600000000000001E-2</v>
      </c>
      <c r="P26" s="31">
        <f t="shared" ref="P26:R26" si="34">STDEV(B26:B28)</f>
        <v>2.136195996001615E-3</v>
      </c>
      <c r="Q26" s="31">
        <f t="shared" si="34"/>
        <v>3.3619785841078748E-2</v>
      </c>
      <c r="R26" s="31">
        <f t="shared" si="34"/>
        <v>2.3388031127052991E-3</v>
      </c>
      <c r="S26" s="32"/>
      <c r="T26" s="28"/>
      <c r="U26" s="28"/>
      <c r="V26" s="28"/>
    </row>
    <row r="27" spans="1:22" ht="15.75" customHeight="1" x14ac:dyDescent="0.35">
      <c r="A27" s="38" t="s">
        <v>158</v>
      </c>
      <c r="B27" s="30">
        <v>6.4000000000000003E-3</v>
      </c>
      <c r="C27" s="31">
        <v>2.9499999999999998E-2</v>
      </c>
      <c r="D27" s="31">
        <v>2.5999999999999999E-3</v>
      </c>
      <c r="E27" s="31"/>
      <c r="F27" s="31"/>
      <c r="G27" s="31"/>
      <c r="H27" s="32"/>
      <c r="I27" s="30"/>
      <c r="J27" s="31"/>
      <c r="K27" s="31"/>
      <c r="L27" s="31"/>
      <c r="M27" s="31"/>
      <c r="N27" s="31"/>
      <c r="O27" s="32"/>
      <c r="P27" s="31"/>
      <c r="Q27" s="31"/>
      <c r="R27" s="31"/>
      <c r="S27" s="32"/>
      <c r="T27" s="28"/>
      <c r="U27" s="28"/>
      <c r="V27" s="28"/>
    </row>
    <row r="28" spans="1:22" ht="15.75" customHeight="1" x14ac:dyDescent="0.35">
      <c r="A28" s="38" t="s">
        <v>159</v>
      </c>
      <c r="B28" s="30">
        <v>1.01E-2</v>
      </c>
      <c r="C28" s="31">
        <v>8.8800000000000004E-2</v>
      </c>
      <c r="D28" s="31">
        <v>2.5000000000000001E-3</v>
      </c>
      <c r="E28" s="31"/>
      <c r="F28" s="31"/>
      <c r="G28" s="31"/>
      <c r="H28" s="32"/>
      <c r="I28" s="30"/>
      <c r="J28" s="31"/>
      <c r="K28" s="31"/>
      <c r="L28" s="31"/>
      <c r="M28" s="31"/>
      <c r="N28" s="31"/>
      <c r="O28" s="32"/>
      <c r="P28" s="31"/>
      <c r="Q28" s="31"/>
      <c r="R28" s="31"/>
      <c r="S28" s="32"/>
      <c r="T28" s="28"/>
      <c r="U28" s="28"/>
      <c r="V28" s="28"/>
    </row>
    <row r="29" spans="1:22" ht="15.75" customHeight="1" x14ac:dyDescent="0.35">
      <c r="A29" s="40" t="s">
        <v>107</v>
      </c>
      <c r="B29" s="35">
        <v>3.0000000000000001E-3</v>
      </c>
      <c r="C29" s="36">
        <v>1.0699999999999999E-2</v>
      </c>
      <c r="D29" s="36">
        <v>2.0999999999999999E-3</v>
      </c>
      <c r="E29" s="36">
        <v>2.8999999999999998E-3</v>
      </c>
      <c r="F29" s="36">
        <v>3.0000000000000001E-3</v>
      </c>
      <c r="G29" s="36">
        <v>3.7000000000000002E-3</v>
      </c>
      <c r="H29" s="37">
        <f>SUM(E29:G29)</f>
        <v>9.6000000000000009E-3</v>
      </c>
      <c r="I29" s="35">
        <f t="shared" ref="I29:N29" si="35">B29</f>
        <v>3.0000000000000001E-3</v>
      </c>
      <c r="J29" s="36">
        <f t="shared" si="35"/>
        <v>1.0699999999999999E-2</v>
      </c>
      <c r="K29" s="36">
        <f t="shared" si="35"/>
        <v>2.0999999999999999E-3</v>
      </c>
      <c r="L29" s="36">
        <f t="shared" si="35"/>
        <v>2.8999999999999998E-3</v>
      </c>
      <c r="M29" s="36">
        <f t="shared" si="35"/>
        <v>3.0000000000000001E-3</v>
      </c>
      <c r="N29" s="36">
        <f t="shared" si="35"/>
        <v>3.7000000000000002E-3</v>
      </c>
      <c r="O29" s="37">
        <f>SUM(L29:N29)</f>
        <v>9.6000000000000009E-3</v>
      </c>
      <c r="P29" s="36"/>
      <c r="Q29" s="36"/>
      <c r="R29" s="36"/>
      <c r="S29" s="32"/>
      <c r="T29" s="28"/>
      <c r="U29" s="28"/>
      <c r="V29" s="28"/>
    </row>
    <row r="30" spans="1:22" ht="15.75" customHeight="1" x14ac:dyDescent="0.35">
      <c r="A30" s="38" t="s">
        <v>59</v>
      </c>
      <c r="B30" s="25">
        <v>4.4000000000000003E-3</v>
      </c>
      <c r="C30" s="26">
        <v>1.8800000000000001E-2</v>
      </c>
      <c r="D30" s="26">
        <v>2.0999999999999999E-3</v>
      </c>
      <c r="E30" s="26"/>
      <c r="F30" s="26">
        <v>1.4E-3</v>
      </c>
      <c r="G30" s="26">
        <v>4.4000000000000003E-3</v>
      </c>
      <c r="H30" s="27">
        <f t="shared" ref="H30:H37" si="36">SUM(E30:G30)</f>
        <v>5.8000000000000005E-3</v>
      </c>
      <c r="I30" s="25">
        <f t="shared" ref="I30:K30" si="37">B30</f>
        <v>4.4000000000000003E-3</v>
      </c>
      <c r="J30" s="26">
        <f t="shared" si="37"/>
        <v>1.8800000000000001E-2</v>
      </c>
      <c r="K30" s="26">
        <f t="shared" si="37"/>
        <v>2.0999999999999999E-3</v>
      </c>
      <c r="L30" s="26"/>
      <c r="M30" s="26">
        <f t="shared" ref="M30:N30" si="38">F30</f>
        <v>1.4E-3</v>
      </c>
      <c r="N30" s="26">
        <f t="shared" si="38"/>
        <v>4.4000000000000003E-3</v>
      </c>
      <c r="O30" s="27">
        <f>SUM(L30:N30)</f>
        <v>5.8000000000000005E-3</v>
      </c>
      <c r="P30" s="26"/>
      <c r="Q30" s="26"/>
      <c r="R30" s="26"/>
      <c r="S30" s="27"/>
      <c r="T30" s="28"/>
      <c r="U30" s="28"/>
      <c r="V30" s="28"/>
    </row>
    <row r="31" spans="1:22" ht="15.75" customHeight="1" x14ac:dyDescent="0.35">
      <c r="A31" s="38" t="s">
        <v>160</v>
      </c>
      <c r="B31" s="30">
        <v>2.3999999999999998E-3</v>
      </c>
      <c r="C31" s="31">
        <v>7.0000000000000001E-3</v>
      </c>
      <c r="D31" s="31">
        <v>5.9999999999999995E-4</v>
      </c>
      <c r="E31" s="31">
        <v>2E-3</v>
      </c>
      <c r="F31" s="31">
        <v>1.4999999999999999E-2</v>
      </c>
      <c r="G31" s="31"/>
      <c r="H31" s="32">
        <f t="shared" si="36"/>
        <v>1.7000000000000001E-2</v>
      </c>
      <c r="I31" s="30">
        <f t="shared" ref="I31:O31" si="39">AVERAGE(B31:B32)</f>
        <v>2.7499999999999998E-3</v>
      </c>
      <c r="J31" s="31">
        <f t="shared" si="39"/>
        <v>2.4750000000000001E-2</v>
      </c>
      <c r="K31" s="31">
        <f t="shared" si="39"/>
        <v>6.4999999999999997E-4</v>
      </c>
      <c r="L31" s="31">
        <f t="shared" si="39"/>
        <v>2E-3</v>
      </c>
      <c r="M31" s="31">
        <f t="shared" si="39"/>
        <v>1.6550000000000002E-2</v>
      </c>
      <c r="N31" s="31">
        <f t="shared" si="39"/>
        <v>2.2499999999999999E-2</v>
      </c>
      <c r="O31" s="32">
        <f t="shared" si="39"/>
        <v>2.8799999999999999E-2</v>
      </c>
      <c r="P31" s="31">
        <f t="shared" ref="P31:R31" si="40">STDEV(B31:B32)</f>
        <v>4.949747468305834E-4</v>
      </c>
      <c r="Q31" s="31">
        <f t="shared" si="40"/>
        <v>2.5102290732122442E-2</v>
      </c>
      <c r="R31" s="31">
        <f t="shared" si="40"/>
        <v>7.0710678118654781E-5</v>
      </c>
      <c r="S31" s="32">
        <f>STDEV(H31:H32)</f>
        <v>1.6687720036002517E-2</v>
      </c>
      <c r="T31" s="28"/>
      <c r="U31" s="28"/>
      <c r="V31" s="28"/>
    </row>
    <row r="32" spans="1:22" ht="15.75" customHeight="1" x14ac:dyDescent="0.35">
      <c r="A32" s="39" t="s">
        <v>161</v>
      </c>
      <c r="B32" s="30">
        <v>3.0999999999999999E-3</v>
      </c>
      <c r="C32" s="31">
        <v>4.2500000000000003E-2</v>
      </c>
      <c r="D32" s="31">
        <v>6.9999999999999999E-4</v>
      </c>
      <c r="E32" s="31"/>
      <c r="F32" s="31">
        <v>1.8100000000000002E-2</v>
      </c>
      <c r="G32" s="31">
        <v>2.2499999999999999E-2</v>
      </c>
      <c r="H32" s="32">
        <f t="shared" si="36"/>
        <v>4.0599999999999997E-2</v>
      </c>
      <c r="I32" s="30"/>
      <c r="J32" s="31"/>
      <c r="K32" s="31"/>
      <c r="L32" s="31"/>
      <c r="M32" s="31"/>
      <c r="N32" s="31"/>
      <c r="O32" s="32"/>
      <c r="P32" s="31"/>
      <c r="Q32" s="31"/>
      <c r="R32" s="31"/>
      <c r="S32" s="32"/>
      <c r="T32" s="28"/>
      <c r="U32" s="28"/>
      <c r="V32" s="28"/>
    </row>
    <row r="33" spans="1:22" ht="15.75" customHeight="1" x14ac:dyDescent="0.35">
      <c r="A33" s="39" t="s">
        <v>50</v>
      </c>
      <c r="B33" s="30">
        <v>1.1000000000000001E-3</v>
      </c>
      <c r="C33" s="31">
        <v>6.7999999999999996E-3</v>
      </c>
      <c r="D33" s="31">
        <v>6.9999999999999999E-4</v>
      </c>
      <c r="E33" s="31"/>
      <c r="F33" s="31">
        <v>1.21E-2</v>
      </c>
      <c r="G33" s="31"/>
      <c r="H33" s="32">
        <f t="shared" si="36"/>
        <v>1.21E-2</v>
      </c>
      <c r="I33" s="30">
        <f t="shared" ref="I33:K33" si="41">B33</f>
        <v>1.1000000000000001E-3</v>
      </c>
      <c r="J33" s="31">
        <f t="shared" si="41"/>
        <v>6.7999999999999996E-3</v>
      </c>
      <c r="K33" s="31">
        <f t="shared" si="41"/>
        <v>6.9999999999999999E-4</v>
      </c>
      <c r="L33" s="31"/>
      <c r="M33" s="31">
        <f t="shared" ref="M33:M37" si="42">F33</f>
        <v>1.21E-2</v>
      </c>
      <c r="N33" s="31"/>
      <c r="O33" s="32">
        <f t="shared" ref="O33:O37" si="43">SUM(L33:N33)</f>
        <v>1.21E-2</v>
      </c>
      <c r="P33" s="31"/>
      <c r="Q33" s="31"/>
      <c r="R33" s="31"/>
      <c r="S33" s="32"/>
      <c r="T33" s="28"/>
      <c r="U33" s="28"/>
      <c r="V33" s="28"/>
    </row>
    <row r="34" spans="1:22" ht="15.75" customHeight="1" x14ac:dyDescent="0.35">
      <c r="A34" s="39" t="s">
        <v>64</v>
      </c>
      <c r="B34" s="30">
        <v>1E-3</v>
      </c>
      <c r="C34" s="31">
        <v>3.8999999999999998E-3</v>
      </c>
      <c r="D34" s="31">
        <v>8.0000000000000004E-4</v>
      </c>
      <c r="E34" s="31"/>
      <c r="F34" s="31">
        <v>1.09E-2</v>
      </c>
      <c r="G34" s="31"/>
      <c r="H34" s="32">
        <f t="shared" si="36"/>
        <v>1.09E-2</v>
      </c>
      <c r="I34" s="30">
        <f t="shared" ref="I34:K34" si="44">B34</f>
        <v>1E-3</v>
      </c>
      <c r="J34" s="31">
        <f t="shared" si="44"/>
        <v>3.8999999999999998E-3</v>
      </c>
      <c r="K34" s="31">
        <f t="shared" si="44"/>
        <v>8.0000000000000004E-4</v>
      </c>
      <c r="L34" s="31"/>
      <c r="M34" s="31">
        <f t="shared" si="42"/>
        <v>1.09E-2</v>
      </c>
      <c r="N34" s="31"/>
      <c r="O34" s="32">
        <f t="shared" si="43"/>
        <v>1.09E-2</v>
      </c>
      <c r="P34" s="31"/>
      <c r="Q34" s="31"/>
      <c r="R34" s="31"/>
      <c r="S34" s="32"/>
      <c r="T34" s="28"/>
      <c r="U34" s="28"/>
      <c r="V34" s="28"/>
    </row>
    <row r="35" spans="1:22" ht="15.75" customHeight="1" x14ac:dyDescent="0.35">
      <c r="A35" s="38" t="s">
        <v>67</v>
      </c>
      <c r="B35" s="30">
        <v>1.6000000000000001E-3</v>
      </c>
      <c r="C35" s="31">
        <v>6.3E-3</v>
      </c>
      <c r="D35" s="31">
        <v>2.9999999999999997E-4</v>
      </c>
      <c r="E35" s="31"/>
      <c r="F35" s="31">
        <v>1.6000000000000001E-3</v>
      </c>
      <c r="G35" s="31">
        <v>1.03E-2</v>
      </c>
      <c r="H35" s="32">
        <f t="shared" si="36"/>
        <v>1.1900000000000001E-2</v>
      </c>
      <c r="I35" s="30">
        <f t="shared" ref="I35:K35" si="45">B35</f>
        <v>1.6000000000000001E-3</v>
      </c>
      <c r="J35" s="31">
        <f t="shared" si="45"/>
        <v>6.3E-3</v>
      </c>
      <c r="K35" s="31">
        <f t="shared" si="45"/>
        <v>2.9999999999999997E-4</v>
      </c>
      <c r="L35" s="31"/>
      <c r="M35" s="31">
        <f t="shared" si="42"/>
        <v>1.6000000000000001E-3</v>
      </c>
      <c r="N35" s="31">
        <f>G35</f>
        <v>1.03E-2</v>
      </c>
      <c r="O35" s="32">
        <f t="shared" si="43"/>
        <v>1.1900000000000001E-2</v>
      </c>
      <c r="P35" s="31"/>
      <c r="Q35" s="31"/>
      <c r="R35" s="31"/>
      <c r="S35" s="32"/>
      <c r="T35" s="28"/>
      <c r="U35" s="28"/>
      <c r="V35" s="28"/>
    </row>
    <row r="36" spans="1:22" ht="15.75" customHeight="1" x14ac:dyDescent="0.35">
      <c r="A36" s="38" t="s">
        <v>69</v>
      </c>
      <c r="B36" s="30">
        <v>1.9E-3</v>
      </c>
      <c r="C36" s="31">
        <v>1.9699999999999999E-2</v>
      </c>
      <c r="D36" s="31">
        <v>6.9999999999999999E-4</v>
      </c>
      <c r="E36" s="31"/>
      <c r="F36" s="31">
        <v>9.7999999999999997E-3</v>
      </c>
      <c r="G36" s="31"/>
      <c r="H36" s="32">
        <f t="shared" si="36"/>
        <v>9.7999999999999997E-3</v>
      </c>
      <c r="I36" s="30">
        <f t="shared" ref="I36:K36" si="46">B36</f>
        <v>1.9E-3</v>
      </c>
      <c r="J36" s="31">
        <f t="shared" si="46"/>
        <v>1.9699999999999999E-2</v>
      </c>
      <c r="K36" s="31">
        <f t="shared" si="46"/>
        <v>6.9999999999999999E-4</v>
      </c>
      <c r="L36" s="31"/>
      <c r="M36" s="31">
        <f t="shared" si="42"/>
        <v>9.7999999999999997E-3</v>
      </c>
      <c r="N36" s="31"/>
      <c r="O36" s="32">
        <f t="shared" si="43"/>
        <v>9.7999999999999997E-3</v>
      </c>
      <c r="P36" s="31"/>
      <c r="Q36" s="31"/>
      <c r="R36" s="31"/>
      <c r="S36" s="32"/>
      <c r="T36" s="28"/>
      <c r="U36" s="28"/>
      <c r="V36" s="28"/>
    </row>
    <row r="37" spans="1:22" ht="15.75" customHeight="1" x14ac:dyDescent="0.35">
      <c r="A37" s="38" t="s">
        <v>70</v>
      </c>
      <c r="B37" s="30">
        <v>1.9E-3</v>
      </c>
      <c r="C37" s="31">
        <v>1.43E-2</v>
      </c>
      <c r="D37" s="31">
        <v>4.0000000000000002E-4</v>
      </c>
      <c r="E37" s="31"/>
      <c r="F37" s="31">
        <v>7.0000000000000001E-3</v>
      </c>
      <c r="G37" s="31"/>
      <c r="H37" s="32">
        <f t="shared" si="36"/>
        <v>7.0000000000000001E-3</v>
      </c>
      <c r="I37" s="30">
        <f t="shared" ref="I37:K37" si="47">B37</f>
        <v>1.9E-3</v>
      </c>
      <c r="J37" s="31">
        <f t="shared" si="47"/>
        <v>1.43E-2</v>
      </c>
      <c r="K37" s="31">
        <f t="shared" si="47"/>
        <v>4.0000000000000002E-4</v>
      </c>
      <c r="L37" s="31"/>
      <c r="M37" s="31">
        <f t="shared" si="42"/>
        <v>7.0000000000000001E-3</v>
      </c>
      <c r="N37" s="31"/>
      <c r="O37" s="32">
        <f t="shared" si="43"/>
        <v>7.0000000000000001E-3</v>
      </c>
      <c r="P37" s="31"/>
      <c r="Q37" s="31"/>
      <c r="R37" s="31"/>
      <c r="S37" s="32"/>
      <c r="T37" s="28"/>
      <c r="U37" s="28"/>
      <c r="V37" s="28"/>
    </row>
    <row r="38" spans="1:22" ht="15.75" customHeight="1" x14ac:dyDescent="0.35">
      <c r="A38" s="38" t="s">
        <v>71</v>
      </c>
      <c r="B38" s="30">
        <v>2.0999999999999999E-3</v>
      </c>
      <c r="C38" s="31">
        <v>1.3899999999999999E-2</v>
      </c>
      <c r="D38" s="31">
        <v>5.0000000000000001E-4</v>
      </c>
      <c r="E38" s="31"/>
      <c r="F38" s="31"/>
      <c r="G38" s="31"/>
      <c r="H38" s="32"/>
      <c r="I38" s="30">
        <f t="shared" ref="I38:K38" si="48">B38</f>
        <v>2.0999999999999999E-3</v>
      </c>
      <c r="J38" s="31">
        <f t="shared" si="48"/>
        <v>1.3899999999999999E-2</v>
      </c>
      <c r="K38" s="31">
        <f t="shared" si="48"/>
        <v>5.0000000000000001E-4</v>
      </c>
      <c r="L38" s="31"/>
      <c r="M38" s="31"/>
      <c r="N38" s="31"/>
      <c r="O38" s="32"/>
      <c r="P38" s="31"/>
      <c r="Q38" s="31"/>
      <c r="R38" s="31"/>
      <c r="S38" s="32"/>
      <c r="T38" s="28"/>
      <c r="U38" s="28"/>
      <c r="V38" s="28"/>
    </row>
    <row r="39" spans="1:22" ht="15.75" customHeight="1" x14ac:dyDescent="0.35">
      <c r="A39" s="38" t="s">
        <v>57</v>
      </c>
      <c r="B39" s="30">
        <v>2.5000000000000001E-3</v>
      </c>
      <c r="C39" s="31">
        <v>1.3599999999999999E-2</v>
      </c>
      <c r="D39" s="31">
        <v>1.1999999999999999E-3</v>
      </c>
      <c r="E39" s="31"/>
      <c r="F39" s="31">
        <v>6.3200000000000006E-2</v>
      </c>
      <c r="G39" s="31"/>
      <c r="H39" s="32">
        <f t="shared" ref="H39:H41" si="49">SUM(E39:G39)</f>
        <v>6.3200000000000006E-2</v>
      </c>
      <c r="I39" s="30">
        <f t="shared" ref="I39:K39" si="50">B39</f>
        <v>2.5000000000000001E-3</v>
      </c>
      <c r="J39" s="31">
        <f t="shared" si="50"/>
        <v>1.3599999999999999E-2</v>
      </c>
      <c r="K39" s="31">
        <f t="shared" si="50"/>
        <v>1.1999999999999999E-3</v>
      </c>
      <c r="L39" s="31"/>
      <c r="M39" s="31">
        <f t="shared" ref="M39:M41" si="51">F39</f>
        <v>6.3200000000000006E-2</v>
      </c>
      <c r="N39" s="31"/>
      <c r="O39" s="32">
        <f t="shared" ref="O39:O41" si="52">SUM(L39:N39)</f>
        <v>6.3200000000000006E-2</v>
      </c>
      <c r="P39" s="31"/>
      <c r="Q39" s="31"/>
      <c r="R39" s="31"/>
      <c r="S39" s="32"/>
      <c r="T39" s="28"/>
      <c r="U39" s="28"/>
      <c r="V39" s="28"/>
    </row>
    <row r="40" spans="1:22" ht="15.75" customHeight="1" x14ac:dyDescent="0.35">
      <c r="A40" s="38" t="s">
        <v>78</v>
      </c>
      <c r="B40" s="30">
        <v>1.6999999999999999E-3</v>
      </c>
      <c r="C40" s="31">
        <v>6.4999999999999997E-3</v>
      </c>
      <c r="D40" s="31">
        <v>6.9999999999999999E-4</v>
      </c>
      <c r="E40" s="31"/>
      <c r="F40" s="31">
        <v>2.3E-3</v>
      </c>
      <c r="G40" s="31">
        <v>4.1000000000000003E-3</v>
      </c>
      <c r="H40" s="32">
        <f t="shared" si="49"/>
        <v>6.4000000000000003E-3</v>
      </c>
      <c r="I40" s="30">
        <f t="shared" ref="I40:K40" si="53">B40</f>
        <v>1.6999999999999999E-3</v>
      </c>
      <c r="J40" s="31">
        <f t="shared" si="53"/>
        <v>6.4999999999999997E-3</v>
      </c>
      <c r="K40" s="31">
        <f t="shared" si="53"/>
        <v>6.9999999999999999E-4</v>
      </c>
      <c r="L40" s="31"/>
      <c r="M40" s="31">
        <f t="shared" si="51"/>
        <v>2.3E-3</v>
      </c>
      <c r="N40" s="31">
        <f t="shared" ref="N40:N41" si="54">G40</f>
        <v>4.1000000000000003E-3</v>
      </c>
      <c r="O40" s="32">
        <f t="shared" si="52"/>
        <v>6.4000000000000003E-3</v>
      </c>
      <c r="P40" s="31"/>
      <c r="Q40" s="31"/>
      <c r="R40" s="31"/>
      <c r="S40" s="32"/>
      <c r="T40" s="28"/>
      <c r="U40" s="28"/>
      <c r="V40" s="28"/>
    </row>
    <row r="41" spans="1:22" ht="15.75" customHeight="1" x14ac:dyDescent="0.35">
      <c r="A41" s="40" t="s">
        <v>82</v>
      </c>
      <c r="B41" s="35">
        <v>2.5999999999999999E-3</v>
      </c>
      <c r="C41" s="36">
        <v>1.9E-2</v>
      </c>
      <c r="D41" s="36">
        <v>4.0000000000000002E-4</v>
      </c>
      <c r="E41" s="36"/>
      <c r="F41" s="36">
        <v>3.8E-3</v>
      </c>
      <c r="G41" s="36">
        <v>4.3E-3</v>
      </c>
      <c r="H41" s="37">
        <f t="shared" si="49"/>
        <v>8.0999999999999996E-3</v>
      </c>
      <c r="I41" s="35">
        <f t="shared" ref="I41:K41" si="55">B41</f>
        <v>2.5999999999999999E-3</v>
      </c>
      <c r="J41" s="36">
        <f t="shared" si="55"/>
        <v>1.9E-2</v>
      </c>
      <c r="K41" s="36">
        <f t="shared" si="55"/>
        <v>4.0000000000000002E-4</v>
      </c>
      <c r="L41" s="36"/>
      <c r="M41" s="36">
        <f t="shared" si="51"/>
        <v>3.8E-3</v>
      </c>
      <c r="N41" s="36">
        <f t="shared" si="54"/>
        <v>4.3E-3</v>
      </c>
      <c r="O41" s="37">
        <f t="shared" si="52"/>
        <v>8.0999999999999996E-3</v>
      </c>
      <c r="P41" s="36"/>
      <c r="Q41" s="36"/>
      <c r="R41" s="36"/>
      <c r="S41" s="37"/>
      <c r="T41" s="28"/>
      <c r="U41" s="28"/>
      <c r="V41" s="28"/>
    </row>
    <row r="42" spans="1:22" ht="15.75" customHeight="1" x14ac:dyDescent="0.3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spans="1:22" ht="15.75" customHeight="1" x14ac:dyDescent="0.3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</row>
    <row r="44" spans="1:22" ht="15.75" customHeight="1" x14ac:dyDescent="0.3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</row>
    <row r="45" spans="1:22" ht="15.75" customHeight="1" x14ac:dyDescent="0.3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</row>
    <row r="46" spans="1:22" ht="15.75" customHeight="1" x14ac:dyDescent="0.3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spans="1:22" ht="15.75" customHeight="1" x14ac:dyDescent="0.3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</row>
    <row r="48" spans="1:22" ht="15.75" customHeight="1" x14ac:dyDescent="0.3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</row>
    <row r="49" spans="1:22" ht="15.75" customHeight="1" x14ac:dyDescent="0.3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</row>
    <row r="50" spans="1:22" ht="15.75" customHeight="1" x14ac:dyDescent="0.3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</row>
    <row r="51" spans="1:22" ht="15.75" customHeight="1" x14ac:dyDescent="0.3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spans="1:22" ht="15.75" customHeight="1" x14ac:dyDescent="0.3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</row>
    <row r="53" spans="1:22" ht="15.75" customHeight="1" x14ac:dyDescent="0.3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</row>
    <row r="54" spans="1:22" ht="15.75" customHeight="1" x14ac:dyDescent="0.3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</row>
    <row r="55" spans="1:22" ht="15.75" customHeight="1" x14ac:dyDescent="0.3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</row>
    <row r="56" spans="1:22" ht="15.75" customHeight="1" x14ac:dyDescent="0.3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</row>
    <row r="57" spans="1:22" ht="15.75" customHeight="1" x14ac:dyDescent="0.3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spans="1:22" ht="14.5" x14ac:dyDescent="0.3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</row>
    <row r="59" spans="1:22" ht="14.5" x14ac:dyDescent="0.3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</row>
    <row r="60" spans="1:22" ht="14.5" x14ac:dyDescent="0.3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</row>
    <row r="61" spans="1:22" ht="14.5" x14ac:dyDescent="0.3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</row>
    <row r="62" spans="1:22" ht="14.5" x14ac:dyDescent="0.3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</row>
    <row r="63" spans="1:22" ht="14.5" x14ac:dyDescent="0.3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</row>
    <row r="64" spans="1:22" ht="14.5" x14ac:dyDescent="0.3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</row>
    <row r="65" spans="1:22" ht="14.5" x14ac:dyDescent="0.3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</row>
    <row r="66" spans="1:22" ht="14.5" x14ac:dyDescent="0.3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</row>
    <row r="67" spans="1:22" ht="14.5" x14ac:dyDescent="0.3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</row>
    <row r="68" spans="1:22" ht="14.5" x14ac:dyDescent="0.3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spans="1:22" ht="14.5" x14ac:dyDescent="0.3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</row>
    <row r="70" spans="1:22" ht="14.5" x14ac:dyDescent="0.3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</row>
    <row r="71" spans="1:22" ht="14.5" x14ac:dyDescent="0.3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</row>
    <row r="72" spans="1:22" ht="14.5" x14ac:dyDescent="0.3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</row>
    <row r="73" spans="1:22" ht="14.5" x14ac:dyDescent="0.3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</row>
    <row r="74" spans="1:22" ht="14.5" x14ac:dyDescent="0.3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</row>
    <row r="75" spans="1:22" ht="14.5" x14ac:dyDescent="0.3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</row>
    <row r="76" spans="1:22" ht="14.5" x14ac:dyDescent="0.3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</row>
    <row r="77" spans="1:22" ht="14.5" x14ac:dyDescent="0.3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</row>
    <row r="78" spans="1:22" ht="14.5" x14ac:dyDescent="0.3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</row>
    <row r="79" spans="1:22" ht="14.5" x14ac:dyDescent="0.3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spans="1:22" ht="14.5" x14ac:dyDescent="0.3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</row>
    <row r="81" spans="1:22" ht="14.5" x14ac:dyDescent="0.3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</row>
    <row r="82" spans="1:22" ht="14.5" x14ac:dyDescent="0.3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</row>
    <row r="83" spans="1:22" ht="14.5" x14ac:dyDescent="0.3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</row>
    <row r="84" spans="1:22" ht="14.5" x14ac:dyDescent="0.3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</row>
    <row r="85" spans="1:22" ht="14.5" x14ac:dyDescent="0.3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</row>
    <row r="86" spans="1:22" ht="14.5" x14ac:dyDescent="0.3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</row>
    <row r="87" spans="1:22" ht="14.5" x14ac:dyDescent="0.3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</row>
    <row r="88" spans="1:22" ht="14.5" x14ac:dyDescent="0.3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</row>
    <row r="89" spans="1:22" ht="14.5" x14ac:dyDescent="0.3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</row>
    <row r="90" spans="1:22" ht="14.5" x14ac:dyDescent="0.3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</row>
    <row r="91" spans="1:22" ht="14.5" x14ac:dyDescent="0.3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</row>
    <row r="92" spans="1:22" ht="14.5" x14ac:dyDescent="0.3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</row>
    <row r="93" spans="1:22" ht="14.5" x14ac:dyDescent="0.3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</row>
    <row r="94" spans="1:22" ht="14.5" x14ac:dyDescent="0.3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</row>
    <row r="95" spans="1:22" ht="14.5" x14ac:dyDescent="0.3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</row>
    <row r="96" spans="1:22" ht="14.5" x14ac:dyDescent="0.3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</row>
    <row r="97" spans="1:22" ht="14.5" x14ac:dyDescent="0.3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</row>
    <row r="98" spans="1:22" ht="14.5" x14ac:dyDescent="0.3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</row>
    <row r="99" spans="1:22" ht="14.5" x14ac:dyDescent="0.3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</row>
    <row r="100" spans="1:22" ht="14.5" x14ac:dyDescent="0.3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</row>
    <row r="101" spans="1:22" ht="14.5" x14ac:dyDescent="0.3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</row>
    <row r="102" spans="1:22" ht="14.5" x14ac:dyDescent="0.3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</row>
    <row r="103" spans="1:22" ht="14.5" x14ac:dyDescent="0.3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</row>
    <row r="104" spans="1:22" ht="14.5" x14ac:dyDescent="0.3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</row>
    <row r="105" spans="1:22" ht="14.5" x14ac:dyDescent="0.3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</row>
    <row r="106" spans="1:22" ht="14.5" x14ac:dyDescent="0.3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</row>
    <row r="107" spans="1:22" ht="14.5" x14ac:dyDescent="0.3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</row>
    <row r="108" spans="1:22" ht="14.5" x14ac:dyDescent="0.3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spans="1:22" ht="14.5" x14ac:dyDescent="0.3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spans="1:22" ht="14.5" x14ac:dyDescent="0.3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</row>
    <row r="111" spans="1:22" ht="14.5" x14ac:dyDescent="0.3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</row>
    <row r="112" spans="1:22" ht="14.5" x14ac:dyDescent="0.3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</row>
    <row r="113" spans="1:22" ht="14.5" x14ac:dyDescent="0.3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</row>
    <row r="114" spans="1:22" ht="14.5" x14ac:dyDescent="0.3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</row>
    <row r="115" spans="1:22" ht="14.5" x14ac:dyDescent="0.3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</row>
    <row r="116" spans="1:22" ht="14.5" x14ac:dyDescent="0.3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</row>
    <row r="117" spans="1:22" ht="14.5" x14ac:dyDescent="0.3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</row>
    <row r="118" spans="1:22" ht="14.5" x14ac:dyDescent="0.3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</row>
    <row r="119" spans="1:22" ht="14.5" x14ac:dyDescent="0.3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</row>
    <row r="120" spans="1:22" ht="14.5" x14ac:dyDescent="0.3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</row>
    <row r="121" spans="1:22" ht="14.5" x14ac:dyDescent="0.3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</row>
    <row r="122" spans="1:22" ht="14.5" x14ac:dyDescent="0.3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</row>
    <row r="123" spans="1:22" ht="14.5" x14ac:dyDescent="0.3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</row>
    <row r="124" spans="1:22" ht="14.5" x14ac:dyDescent="0.3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</row>
    <row r="125" spans="1:22" ht="14.5" x14ac:dyDescent="0.3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</row>
    <row r="126" spans="1:22" ht="14.5" x14ac:dyDescent="0.3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</row>
    <row r="127" spans="1:22" ht="14.5" x14ac:dyDescent="0.3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</row>
    <row r="128" spans="1:22" ht="14.5" x14ac:dyDescent="0.3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</row>
    <row r="129" spans="1:22" ht="14.5" x14ac:dyDescent="0.3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</row>
    <row r="130" spans="1:22" ht="14.5" x14ac:dyDescent="0.3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</row>
    <row r="131" spans="1:22" ht="14.5" x14ac:dyDescent="0.3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</row>
    <row r="132" spans="1:22" ht="14.5" x14ac:dyDescent="0.3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</row>
    <row r="133" spans="1:22" ht="14.5" x14ac:dyDescent="0.3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</row>
    <row r="134" spans="1:22" ht="14.5" x14ac:dyDescent="0.3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</row>
    <row r="135" spans="1:22" ht="14.5" x14ac:dyDescent="0.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</row>
    <row r="136" spans="1:22" ht="14.5" x14ac:dyDescent="0.3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</row>
    <row r="137" spans="1:22" ht="14.5" x14ac:dyDescent="0.3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</row>
    <row r="138" spans="1:22" ht="14.5" x14ac:dyDescent="0.3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</row>
    <row r="139" spans="1:22" ht="14.5" x14ac:dyDescent="0.3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</row>
    <row r="140" spans="1:22" ht="14.5" x14ac:dyDescent="0.3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</row>
    <row r="141" spans="1:22" ht="14.5" x14ac:dyDescent="0.3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</row>
    <row r="142" spans="1:22" ht="14.5" x14ac:dyDescent="0.3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</row>
    <row r="143" spans="1:22" ht="14.5" x14ac:dyDescent="0.3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</row>
    <row r="144" spans="1:22" ht="14.5" x14ac:dyDescent="0.3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</row>
    <row r="145" spans="1:22" ht="14.5" x14ac:dyDescent="0.3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</row>
    <row r="146" spans="1:22" ht="14.5" x14ac:dyDescent="0.3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</row>
    <row r="147" spans="1:22" ht="14.5" x14ac:dyDescent="0.3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</row>
    <row r="148" spans="1:22" ht="14.5" x14ac:dyDescent="0.3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</row>
    <row r="149" spans="1:22" ht="14.5" x14ac:dyDescent="0.3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</row>
    <row r="150" spans="1:22" ht="14.5" x14ac:dyDescent="0.3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</row>
    <row r="151" spans="1:22" ht="14.5" x14ac:dyDescent="0.3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</row>
    <row r="152" spans="1:22" ht="14.5" x14ac:dyDescent="0.3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</row>
    <row r="153" spans="1:22" ht="14.5" x14ac:dyDescent="0.3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</row>
    <row r="154" spans="1:22" ht="14.5" x14ac:dyDescent="0.3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</row>
    <row r="155" spans="1:22" ht="14.5" x14ac:dyDescent="0.3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</row>
    <row r="156" spans="1:22" ht="14.5" x14ac:dyDescent="0.3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</row>
    <row r="157" spans="1:22" ht="14.5" x14ac:dyDescent="0.3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</row>
    <row r="158" spans="1:22" ht="14.5" x14ac:dyDescent="0.3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</row>
    <row r="159" spans="1:22" ht="14.5" x14ac:dyDescent="0.3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</row>
    <row r="160" spans="1:22" ht="14.5" x14ac:dyDescent="0.3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</row>
    <row r="161" spans="1:22" ht="14.5" x14ac:dyDescent="0.3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</row>
    <row r="162" spans="1:22" ht="14.5" x14ac:dyDescent="0.3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</row>
    <row r="163" spans="1:22" ht="14.5" x14ac:dyDescent="0.3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</row>
    <row r="164" spans="1:22" ht="14.5" x14ac:dyDescent="0.3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</row>
    <row r="165" spans="1:22" ht="14.5" x14ac:dyDescent="0.3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</row>
    <row r="166" spans="1:22" ht="14.5" x14ac:dyDescent="0.3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</row>
    <row r="167" spans="1:22" ht="14.5" x14ac:dyDescent="0.3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</row>
    <row r="168" spans="1:22" ht="14.5" x14ac:dyDescent="0.3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</row>
    <row r="169" spans="1:22" ht="14.5" x14ac:dyDescent="0.3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</row>
    <row r="170" spans="1:22" ht="14.5" x14ac:dyDescent="0.3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</row>
    <row r="171" spans="1:22" ht="14.5" x14ac:dyDescent="0.3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</row>
    <row r="172" spans="1:22" ht="14.5" x14ac:dyDescent="0.3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</row>
    <row r="173" spans="1:22" ht="14.5" x14ac:dyDescent="0.3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</row>
    <row r="174" spans="1:22" ht="14.5" x14ac:dyDescent="0.3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</row>
    <row r="175" spans="1:22" ht="14.5" x14ac:dyDescent="0.3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</row>
    <row r="176" spans="1:22" ht="14.5" x14ac:dyDescent="0.3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</row>
    <row r="177" spans="1:22" ht="14.5" x14ac:dyDescent="0.3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</row>
    <row r="178" spans="1:22" ht="14.5" x14ac:dyDescent="0.3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</row>
    <row r="179" spans="1:22" ht="14.5" x14ac:dyDescent="0.3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</row>
    <row r="180" spans="1:22" ht="14.5" x14ac:dyDescent="0.3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</row>
    <row r="181" spans="1:22" ht="14.5" x14ac:dyDescent="0.3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</row>
    <row r="182" spans="1:22" ht="14.5" x14ac:dyDescent="0.3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</row>
    <row r="183" spans="1:22" ht="14.5" x14ac:dyDescent="0.3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</row>
    <row r="184" spans="1:22" ht="14.5" x14ac:dyDescent="0.3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</row>
    <row r="185" spans="1:22" ht="14.5" x14ac:dyDescent="0.3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</row>
    <row r="186" spans="1:22" ht="14.5" x14ac:dyDescent="0.3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</row>
    <row r="187" spans="1:22" ht="14.5" x14ac:dyDescent="0.3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</row>
    <row r="188" spans="1:22" ht="14.5" x14ac:dyDescent="0.3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</row>
    <row r="189" spans="1:22" ht="14.5" x14ac:dyDescent="0.3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</row>
    <row r="190" spans="1:22" ht="14.5" x14ac:dyDescent="0.3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</row>
    <row r="191" spans="1:22" ht="14.5" x14ac:dyDescent="0.3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</row>
    <row r="192" spans="1:22" ht="14.5" x14ac:dyDescent="0.3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</row>
    <row r="193" spans="1:22" ht="14.5" x14ac:dyDescent="0.3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</row>
    <row r="194" spans="1:22" ht="14.5" x14ac:dyDescent="0.3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</row>
    <row r="195" spans="1:22" ht="14.5" x14ac:dyDescent="0.3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</row>
    <row r="196" spans="1:22" ht="14.5" x14ac:dyDescent="0.3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</row>
    <row r="197" spans="1:22" ht="14.5" x14ac:dyDescent="0.3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</row>
    <row r="198" spans="1:22" ht="14.5" x14ac:dyDescent="0.3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</row>
    <row r="199" spans="1:22" ht="14.5" x14ac:dyDescent="0.3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</row>
    <row r="200" spans="1:22" ht="14.5" x14ac:dyDescent="0.3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</row>
    <row r="201" spans="1:22" ht="14.5" x14ac:dyDescent="0.3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</row>
    <row r="202" spans="1:22" ht="14.5" x14ac:dyDescent="0.3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</row>
    <row r="203" spans="1:22" ht="14.5" x14ac:dyDescent="0.3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</row>
    <row r="204" spans="1:22" ht="14.5" x14ac:dyDescent="0.3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</row>
    <row r="205" spans="1:22" ht="14.5" x14ac:dyDescent="0.3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</row>
    <row r="206" spans="1:22" ht="14.5" x14ac:dyDescent="0.3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</row>
    <row r="207" spans="1:22" ht="14.5" x14ac:dyDescent="0.3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</row>
    <row r="208" spans="1:22" ht="14.5" x14ac:dyDescent="0.3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</row>
    <row r="209" spans="1:22" ht="14.5" x14ac:dyDescent="0.3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</row>
    <row r="210" spans="1:22" ht="14.5" x14ac:dyDescent="0.3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</row>
    <row r="211" spans="1:22" ht="14.5" x14ac:dyDescent="0.3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</row>
    <row r="212" spans="1:22" ht="14.5" x14ac:dyDescent="0.3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</row>
    <row r="213" spans="1:22" ht="14.5" x14ac:dyDescent="0.3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</row>
    <row r="214" spans="1:22" ht="14.5" x14ac:dyDescent="0.3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</row>
    <row r="215" spans="1:22" ht="14.5" x14ac:dyDescent="0.3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</row>
    <row r="216" spans="1:22" ht="14.5" x14ac:dyDescent="0.3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</row>
    <row r="217" spans="1:22" ht="14.5" x14ac:dyDescent="0.3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</row>
    <row r="218" spans="1:22" ht="14.5" x14ac:dyDescent="0.3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</row>
    <row r="219" spans="1:22" ht="14.5" x14ac:dyDescent="0.3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</row>
    <row r="220" spans="1:22" ht="14.5" x14ac:dyDescent="0.3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</row>
    <row r="221" spans="1:22" ht="14.5" x14ac:dyDescent="0.3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</row>
    <row r="222" spans="1:22" ht="14.5" x14ac:dyDescent="0.3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</row>
    <row r="223" spans="1:22" ht="14.5" x14ac:dyDescent="0.3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</row>
    <row r="224" spans="1:22" ht="14.5" x14ac:dyDescent="0.3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</row>
    <row r="225" spans="1:22" ht="14.5" x14ac:dyDescent="0.3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</row>
    <row r="226" spans="1:22" ht="14.5" x14ac:dyDescent="0.3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</row>
    <row r="227" spans="1:22" ht="14.5" x14ac:dyDescent="0.3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</row>
    <row r="228" spans="1:22" ht="14.5" x14ac:dyDescent="0.3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</row>
    <row r="229" spans="1:22" ht="14.5" x14ac:dyDescent="0.3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</row>
    <row r="230" spans="1:22" ht="14.5" x14ac:dyDescent="0.3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</row>
    <row r="231" spans="1:22" ht="14.5" x14ac:dyDescent="0.3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</row>
    <row r="232" spans="1:22" ht="14.5" x14ac:dyDescent="0.3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</row>
    <row r="233" spans="1:22" ht="14.5" x14ac:dyDescent="0.3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</row>
    <row r="234" spans="1:22" ht="14.5" x14ac:dyDescent="0.3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</row>
    <row r="235" spans="1:22" ht="14.5" x14ac:dyDescent="0.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</row>
    <row r="236" spans="1:22" ht="14.5" x14ac:dyDescent="0.3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</row>
    <row r="237" spans="1:22" ht="14.5" x14ac:dyDescent="0.3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</row>
    <row r="238" spans="1:22" ht="14.5" x14ac:dyDescent="0.3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</row>
    <row r="239" spans="1:22" ht="14.5" x14ac:dyDescent="0.3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</row>
    <row r="240" spans="1:22" ht="14.5" x14ac:dyDescent="0.3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</row>
    <row r="241" spans="1:22" ht="14.5" x14ac:dyDescent="0.3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</row>
    <row r="242" spans="1:22" ht="14.5" x14ac:dyDescent="0.3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</row>
    <row r="243" spans="1:22" ht="14.5" x14ac:dyDescent="0.3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</row>
    <row r="244" spans="1:22" ht="14.5" x14ac:dyDescent="0.3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</row>
    <row r="245" spans="1:22" ht="14.5" x14ac:dyDescent="0.3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</row>
    <row r="246" spans="1:22" ht="14.5" x14ac:dyDescent="0.3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</row>
    <row r="247" spans="1:22" ht="14.5" x14ac:dyDescent="0.3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</row>
    <row r="248" spans="1:22" ht="14.5" x14ac:dyDescent="0.3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</row>
    <row r="249" spans="1:22" ht="14.5" x14ac:dyDescent="0.3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</row>
    <row r="250" spans="1:22" ht="14.5" x14ac:dyDescent="0.3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</row>
    <row r="251" spans="1:22" ht="14.5" x14ac:dyDescent="0.3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</row>
    <row r="252" spans="1:22" ht="14.5" x14ac:dyDescent="0.3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</row>
    <row r="253" spans="1:22" ht="14.5" x14ac:dyDescent="0.3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</row>
    <row r="254" spans="1:22" ht="14.5" x14ac:dyDescent="0.3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</row>
    <row r="255" spans="1:22" ht="14.5" x14ac:dyDescent="0.3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</row>
    <row r="256" spans="1:22" ht="14.5" x14ac:dyDescent="0.3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</row>
    <row r="257" spans="1:22" ht="14.5" x14ac:dyDescent="0.3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</row>
    <row r="258" spans="1:22" ht="14.5" x14ac:dyDescent="0.3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</row>
    <row r="259" spans="1:22" ht="14.5" x14ac:dyDescent="0.3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</row>
    <row r="260" spans="1:22" ht="14.5" x14ac:dyDescent="0.3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</row>
    <row r="261" spans="1:22" ht="14.5" x14ac:dyDescent="0.3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</row>
    <row r="262" spans="1:22" ht="14.5" x14ac:dyDescent="0.3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</row>
    <row r="263" spans="1:22" ht="14.5" x14ac:dyDescent="0.3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</row>
    <row r="264" spans="1:22" ht="14.5" x14ac:dyDescent="0.3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</row>
    <row r="265" spans="1:22" ht="14.5" x14ac:dyDescent="0.3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</row>
    <row r="266" spans="1:22" ht="14.5" x14ac:dyDescent="0.3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</row>
    <row r="267" spans="1:22" ht="14.5" x14ac:dyDescent="0.3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</row>
    <row r="268" spans="1:22" ht="14.5" x14ac:dyDescent="0.3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</row>
    <row r="269" spans="1:22" ht="14.5" x14ac:dyDescent="0.3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</row>
    <row r="270" spans="1:22" ht="14.5" x14ac:dyDescent="0.3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</row>
    <row r="271" spans="1:22" ht="14.5" x14ac:dyDescent="0.3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</row>
    <row r="272" spans="1:22" ht="14.5" x14ac:dyDescent="0.3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</row>
    <row r="273" spans="1:22" ht="14.5" x14ac:dyDescent="0.3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</row>
    <row r="274" spans="1:22" ht="14.5" x14ac:dyDescent="0.3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</row>
    <row r="275" spans="1:22" ht="14.5" x14ac:dyDescent="0.3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</row>
    <row r="276" spans="1:22" ht="14.5" x14ac:dyDescent="0.3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</row>
    <row r="277" spans="1:22" ht="14.5" x14ac:dyDescent="0.3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</row>
    <row r="278" spans="1:22" ht="14.5" x14ac:dyDescent="0.3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</row>
    <row r="279" spans="1:22" ht="14.5" x14ac:dyDescent="0.3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</row>
    <row r="280" spans="1:22" ht="14.5" x14ac:dyDescent="0.3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</row>
    <row r="281" spans="1:22" ht="14.5" x14ac:dyDescent="0.3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</row>
    <row r="282" spans="1:22" ht="14.5" x14ac:dyDescent="0.3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</row>
    <row r="283" spans="1:22" ht="14.5" x14ac:dyDescent="0.3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</row>
    <row r="284" spans="1:22" ht="14.5" x14ac:dyDescent="0.3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</row>
    <row r="285" spans="1:22" ht="14.5" x14ac:dyDescent="0.3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</row>
    <row r="286" spans="1:22" ht="14.5" x14ac:dyDescent="0.3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</row>
    <row r="287" spans="1:22" ht="14.5" x14ac:dyDescent="0.3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</row>
    <row r="288" spans="1:22" ht="14.5" x14ac:dyDescent="0.3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</row>
    <row r="289" spans="1:22" ht="14.5" x14ac:dyDescent="0.3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</row>
    <row r="290" spans="1:22" ht="14.5" x14ac:dyDescent="0.3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</row>
    <row r="291" spans="1:22" ht="14.5" x14ac:dyDescent="0.3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</row>
    <row r="292" spans="1:22" ht="14.5" x14ac:dyDescent="0.3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</row>
    <row r="293" spans="1:22" ht="14.5" x14ac:dyDescent="0.3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</row>
    <row r="294" spans="1:22" ht="14.5" x14ac:dyDescent="0.3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</row>
    <row r="295" spans="1:22" ht="14.5" x14ac:dyDescent="0.3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</row>
    <row r="296" spans="1:22" ht="14.5" x14ac:dyDescent="0.3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</row>
    <row r="297" spans="1:22" ht="14.5" x14ac:dyDescent="0.3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</row>
    <row r="298" spans="1:22" ht="14.5" x14ac:dyDescent="0.3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</row>
    <row r="299" spans="1:22" ht="14.5" x14ac:dyDescent="0.3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</row>
    <row r="300" spans="1:22" ht="14.5" x14ac:dyDescent="0.3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</row>
    <row r="301" spans="1:22" ht="14.5" x14ac:dyDescent="0.3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</row>
    <row r="302" spans="1:22" ht="14.5" x14ac:dyDescent="0.3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</row>
    <row r="303" spans="1:22" ht="14.5" x14ac:dyDescent="0.3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</row>
    <row r="304" spans="1:22" ht="14.5" x14ac:dyDescent="0.3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</row>
    <row r="305" spans="1:22" ht="14.5" x14ac:dyDescent="0.3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</row>
    <row r="306" spans="1:22" ht="14.5" x14ac:dyDescent="0.3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</row>
    <row r="307" spans="1:22" ht="14.5" x14ac:dyDescent="0.3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</row>
    <row r="308" spans="1:22" ht="14.5" x14ac:dyDescent="0.3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</row>
    <row r="309" spans="1:22" ht="14.5" x14ac:dyDescent="0.3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</row>
    <row r="310" spans="1:22" ht="14.5" x14ac:dyDescent="0.3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</row>
    <row r="311" spans="1:22" ht="14.5" x14ac:dyDescent="0.3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</row>
    <row r="312" spans="1:22" ht="14.5" x14ac:dyDescent="0.3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</row>
    <row r="313" spans="1:22" ht="14.5" x14ac:dyDescent="0.3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</row>
    <row r="314" spans="1:22" ht="14.5" x14ac:dyDescent="0.3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</row>
    <row r="315" spans="1:22" ht="14.5" x14ac:dyDescent="0.3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</row>
    <row r="316" spans="1:22" ht="14.5" x14ac:dyDescent="0.3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</row>
    <row r="317" spans="1:22" ht="14.5" x14ac:dyDescent="0.3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</row>
    <row r="318" spans="1:22" ht="14.5" x14ac:dyDescent="0.3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</row>
    <row r="319" spans="1:22" ht="14.5" x14ac:dyDescent="0.3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</row>
    <row r="320" spans="1:22" ht="14.5" x14ac:dyDescent="0.3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</row>
    <row r="321" spans="1:22" ht="14.5" x14ac:dyDescent="0.3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</row>
    <row r="322" spans="1:22" ht="14.5" x14ac:dyDescent="0.3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</row>
    <row r="323" spans="1:22" ht="14.5" x14ac:dyDescent="0.3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</row>
    <row r="324" spans="1:22" ht="14.5" x14ac:dyDescent="0.3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</row>
    <row r="325" spans="1:22" ht="14.5" x14ac:dyDescent="0.3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</row>
    <row r="326" spans="1:22" ht="14.5" x14ac:dyDescent="0.3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</row>
    <row r="327" spans="1:22" ht="14.5" x14ac:dyDescent="0.3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</row>
    <row r="328" spans="1:22" ht="14.5" x14ac:dyDescent="0.3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</row>
    <row r="329" spans="1:22" ht="14.5" x14ac:dyDescent="0.3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</row>
    <row r="330" spans="1:22" ht="14.5" x14ac:dyDescent="0.3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</row>
    <row r="331" spans="1:22" ht="14.5" x14ac:dyDescent="0.3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</row>
    <row r="332" spans="1:22" ht="14.5" x14ac:dyDescent="0.3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</row>
    <row r="333" spans="1:22" ht="14.5" x14ac:dyDescent="0.3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</row>
    <row r="334" spans="1:22" ht="14.5" x14ac:dyDescent="0.3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</row>
    <row r="335" spans="1:22" ht="14.5" x14ac:dyDescent="0.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</row>
    <row r="336" spans="1:22" ht="14.5" x14ac:dyDescent="0.3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</row>
    <row r="337" spans="1:22" ht="14.5" x14ac:dyDescent="0.3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</row>
    <row r="338" spans="1:22" ht="14.5" x14ac:dyDescent="0.3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</row>
    <row r="339" spans="1:22" ht="14.5" x14ac:dyDescent="0.3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</row>
    <row r="340" spans="1:22" ht="14.5" x14ac:dyDescent="0.3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</row>
    <row r="341" spans="1:22" ht="14.5" x14ac:dyDescent="0.3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</row>
    <row r="342" spans="1:22" ht="14.5" x14ac:dyDescent="0.3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</row>
    <row r="343" spans="1:22" ht="14.5" x14ac:dyDescent="0.3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</row>
    <row r="344" spans="1:22" ht="14.5" x14ac:dyDescent="0.3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</row>
    <row r="345" spans="1:22" ht="14.5" x14ac:dyDescent="0.3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</row>
    <row r="346" spans="1:22" ht="14.5" x14ac:dyDescent="0.3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</row>
    <row r="347" spans="1:22" ht="14.5" x14ac:dyDescent="0.3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</row>
    <row r="348" spans="1:22" ht="14.5" x14ac:dyDescent="0.3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</row>
    <row r="349" spans="1:22" ht="14.5" x14ac:dyDescent="0.3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</row>
    <row r="350" spans="1:22" ht="14.5" x14ac:dyDescent="0.3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</row>
    <row r="351" spans="1:22" ht="14.5" x14ac:dyDescent="0.3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</row>
    <row r="352" spans="1:22" ht="14.5" x14ac:dyDescent="0.3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</row>
    <row r="353" spans="1:22" ht="14.5" x14ac:dyDescent="0.3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</row>
    <row r="354" spans="1:22" ht="14.5" x14ac:dyDescent="0.3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</row>
    <row r="355" spans="1:22" ht="14.5" x14ac:dyDescent="0.3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</row>
    <row r="356" spans="1:22" ht="14.5" x14ac:dyDescent="0.3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</row>
    <row r="357" spans="1:22" ht="14.5" x14ac:dyDescent="0.3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</row>
    <row r="358" spans="1:22" ht="14.5" x14ac:dyDescent="0.3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</row>
    <row r="359" spans="1:22" ht="14.5" x14ac:dyDescent="0.3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</row>
    <row r="360" spans="1:22" ht="14.5" x14ac:dyDescent="0.3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</row>
    <row r="361" spans="1:22" ht="14.5" x14ac:dyDescent="0.3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</row>
    <row r="362" spans="1:22" ht="14.5" x14ac:dyDescent="0.3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</row>
    <row r="363" spans="1:22" ht="14.5" x14ac:dyDescent="0.3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</row>
    <row r="364" spans="1:22" ht="14.5" x14ac:dyDescent="0.3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</row>
    <row r="365" spans="1:22" ht="14.5" x14ac:dyDescent="0.3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</row>
    <row r="366" spans="1:22" ht="14.5" x14ac:dyDescent="0.3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</row>
    <row r="367" spans="1:22" ht="14.5" x14ac:dyDescent="0.3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</row>
    <row r="368" spans="1:22" ht="14.5" x14ac:dyDescent="0.3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</row>
    <row r="369" spans="1:22" ht="14.5" x14ac:dyDescent="0.3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</row>
    <row r="370" spans="1:22" ht="14.5" x14ac:dyDescent="0.3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</row>
    <row r="371" spans="1:22" ht="14.5" x14ac:dyDescent="0.3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</row>
    <row r="372" spans="1:22" ht="14.5" x14ac:dyDescent="0.3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</row>
    <row r="373" spans="1:22" ht="14.5" x14ac:dyDescent="0.3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</row>
    <row r="374" spans="1:22" ht="14.5" x14ac:dyDescent="0.3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</row>
    <row r="375" spans="1:22" ht="14.5" x14ac:dyDescent="0.3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</row>
    <row r="376" spans="1:22" ht="14.5" x14ac:dyDescent="0.3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</row>
    <row r="377" spans="1:22" ht="14.5" x14ac:dyDescent="0.3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</row>
    <row r="378" spans="1:22" ht="14.5" x14ac:dyDescent="0.3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</row>
    <row r="379" spans="1:22" ht="14.5" x14ac:dyDescent="0.3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</row>
    <row r="380" spans="1:22" ht="14.5" x14ac:dyDescent="0.3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</row>
    <row r="381" spans="1:22" ht="14.5" x14ac:dyDescent="0.3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</row>
    <row r="382" spans="1:22" ht="14.5" x14ac:dyDescent="0.3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</row>
    <row r="383" spans="1:22" ht="14.5" x14ac:dyDescent="0.3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</row>
    <row r="384" spans="1:22" ht="14.5" x14ac:dyDescent="0.3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</row>
    <row r="385" spans="1:22" ht="14.5" x14ac:dyDescent="0.3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</row>
    <row r="386" spans="1:22" ht="14.5" x14ac:dyDescent="0.3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</row>
    <row r="387" spans="1:22" ht="14.5" x14ac:dyDescent="0.3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</row>
    <row r="388" spans="1:22" ht="14.5" x14ac:dyDescent="0.3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</row>
    <row r="389" spans="1:22" ht="14.5" x14ac:dyDescent="0.3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</row>
    <row r="390" spans="1:22" ht="14.5" x14ac:dyDescent="0.3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</row>
    <row r="391" spans="1:22" ht="14.5" x14ac:dyDescent="0.3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</row>
    <row r="392" spans="1:22" ht="14.5" x14ac:dyDescent="0.3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</row>
    <row r="393" spans="1:22" ht="14.5" x14ac:dyDescent="0.3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</row>
    <row r="394" spans="1:22" ht="14.5" x14ac:dyDescent="0.3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</row>
    <row r="395" spans="1:22" ht="14.5" x14ac:dyDescent="0.3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</row>
    <row r="396" spans="1:22" ht="14.5" x14ac:dyDescent="0.3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</row>
    <row r="397" spans="1:22" ht="14.5" x14ac:dyDescent="0.3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</row>
    <row r="398" spans="1:22" ht="14.5" x14ac:dyDescent="0.3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</row>
    <row r="399" spans="1:22" ht="14.5" x14ac:dyDescent="0.3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</row>
    <row r="400" spans="1:22" ht="14.5" x14ac:dyDescent="0.3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</row>
    <row r="401" spans="1:22" ht="14.5" x14ac:dyDescent="0.3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</row>
    <row r="402" spans="1:22" ht="14.5" x14ac:dyDescent="0.3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</row>
    <row r="403" spans="1:22" ht="14.5" x14ac:dyDescent="0.3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</row>
    <row r="404" spans="1:22" ht="14.5" x14ac:dyDescent="0.3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</row>
    <row r="405" spans="1:22" ht="14.5" x14ac:dyDescent="0.3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</row>
    <row r="406" spans="1:22" ht="14.5" x14ac:dyDescent="0.3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</row>
    <row r="407" spans="1:22" ht="14.5" x14ac:dyDescent="0.3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</row>
    <row r="408" spans="1:22" ht="14.5" x14ac:dyDescent="0.3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</row>
    <row r="409" spans="1:22" ht="14.5" x14ac:dyDescent="0.3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</row>
    <row r="410" spans="1:22" ht="14.5" x14ac:dyDescent="0.3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</row>
    <row r="411" spans="1:22" ht="14.5" x14ac:dyDescent="0.3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</row>
    <row r="412" spans="1:22" ht="14.5" x14ac:dyDescent="0.3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</row>
    <row r="413" spans="1:22" ht="14.5" x14ac:dyDescent="0.3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</row>
    <row r="414" spans="1:22" ht="14.5" x14ac:dyDescent="0.3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</row>
    <row r="415" spans="1:22" ht="14.5" x14ac:dyDescent="0.3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</row>
    <row r="416" spans="1:22" ht="14.5" x14ac:dyDescent="0.3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</row>
    <row r="417" spans="1:22" ht="14.5" x14ac:dyDescent="0.3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</row>
    <row r="418" spans="1:22" ht="14.5" x14ac:dyDescent="0.3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</row>
    <row r="419" spans="1:22" ht="14.5" x14ac:dyDescent="0.3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</row>
    <row r="420" spans="1:22" ht="14.5" x14ac:dyDescent="0.3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</row>
    <row r="421" spans="1:22" ht="14.5" x14ac:dyDescent="0.3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</row>
    <row r="422" spans="1:22" ht="14.5" x14ac:dyDescent="0.3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</row>
    <row r="423" spans="1:22" ht="14.5" x14ac:dyDescent="0.3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</row>
    <row r="424" spans="1:22" ht="14.5" x14ac:dyDescent="0.3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</row>
    <row r="425" spans="1:22" ht="14.5" x14ac:dyDescent="0.3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</row>
    <row r="426" spans="1:22" ht="14.5" x14ac:dyDescent="0.3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</row>
    <row r="427" spans="1:22" ht="14.5" x14ac:dyDescent="0.3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</row>
    <row r="428" spans="1:22" ht="14.5" x14ac:dyDescent="0.3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</row>
    <row r="429" spans="1:22" ht="14.5" x14ac:dyDescent="0.3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</row>
    <row r="430" spans="1:22" ht="14.5" x14ac:dyDescent="0.3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</row>
    <row r="431" spans="1:22" ht="14.5" x14ac:dyDescent="0.3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</row>
    <row r="432" spans="1:22" ht="14.5" x14ac:dyDescent="0.3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</row>
    <row r="433" spans="1:22" ht="14.5" x14ac:dyDescent="0.3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</row>
    <row r="434" spans="1:22" ht="14.5" x14ac:dyDescent="0.3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</row>
    <row r="435" spans="1:22" ht="14.5" x14ac:dyDescent="0.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</row>
    <row r="436" spans="1:22" ht="14.5" x14ac:dyDescent="0.3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</row>
    <row r="437" spans="1:22" ht="14.5" x14ac:dyDescent="0.3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</row>
    <row r="438" spans="1:22" ht="14.5" x14ac:dyDescent="0.3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</row>
    <row r="439" spans="1:22" ht="14.5" x14ac:dyDescent="0.3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</row>
    <row r="440" spans="1:22" ht="14.5" x14ac:dyDescent="0.3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</row>
    <row r="441" spans="1:22" ht="14.5" x14ac:dyDescent="0.3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</row>
    <row r="442" spans="1:22" ht="14.5" x14ac:dyDescent="0.3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</row>
    <row r="443" spans="1:22" ht="14.5" x14ac:dyDescent="0.3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</row>
    <row r="444" spans="1:22" ht="14.5" x14ac:dyDescent="0.3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</row>
    <row r="445" spans="1:22" ht="14.5" x14ac:dyDescent="0.3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</row>
    <row r="446" spans="1:22" ht="14.5" x14ac:dyDescent="0.3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</row>
    <row r="447" spans="1:22" ht="14.5" x14ac:dyDescent="0.3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</row>
    <row r="448" spans="1:22" ht="14.5" x14ac:dyDescent="0.3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</row>
    <row r="449" spans="1:22" ht="14.5" x14ac:dyDescent="0.3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</row>
    <row r="450" spans="1:22" ht="14.5" x14ac:dyDescent="0.3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</row>
    <row r="451" spans="1:22" ht="14.5" x14ac:dyDescent="0.3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</row>
    <row r="452" spans="1:22" ht="14.5" x14ac:dyDescent="0.3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</row>
    <row r="453" spans="1:22" ht="14.5" x14ac:dyDescent="0.3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</row>
    <row r="454" spans="1:22" ht="14.5" x14ac:dyDescent="0.3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</row>
    <row r="455" spans="1:22" ht="14.5" x14ac:dyDescent="0.3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</row>
    <row r="456" spans="1:22" ht="14.5" x14ac:dyDescent="0.3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</row>
    <row r="457" spans="1:22" ht="14.5" x14ac:dyDescent="0.3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</row>
    <row r="458" spans="1:22" ht="14.5" x14ac:dyDescent="0.3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</row>
    <row r="459" spans="1:22" ht="14.5" x14ac:dyDescent="0.3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</row>
    <row r="460" spans="1:22" ht="14.5" x14ac:dyDescent="0.3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</row>
    <row r="461" spans="1:22" ht="14.5" x14ac:dyDescent="0.3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</row>
    <row r="462" spans="1:22" ht="14.5" x14ac:dyDescent="0.3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</row>
    <row r="463" spans="1:22" ht="14.5" x14ac:dyDescent="0.3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</row>
    <row r="464" spans="1:22" ht="14.5" x14ac:dyDescent="0.3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</row>
    <row r="465" spans="1:22" ht="14.5" x14ac:dyDescent="0.3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</row>
    <row r="466" spans="1:22" ht="14.5" x14ac:dyDescent="0.3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</row>
    <row r="467" spans="1:22" ht="14.5" x14ac:dyDescent="0.3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</row>
    <row r="468" spans="1:22" ht="14.5" x14ac:dyDescent="0.3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</row>
    <row r="469" spans="1:22" ht="14.5" x14ac:dyDescent="0.3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</row>
    <row r="470" spans="1:22" ht="14.5" x14ac:dyDescent="0.3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</row>
    <row r="471" spans="1:22" ht="14.5" x14ac:dyDescent="0.3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</row>
    <row r="472" spans="1:22" ht="14.5" x14ac:dyDescent="0.3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</row>
    <row r="473" spans="1:22" ht="14.5" x14ac:dyDescent="0.3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</row>
    <row r="474" spans="1:22" ht="14.5" x14ac:dyDescent="0.3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</row>
    <row r="475" spans="1:22" ht="14.5" x14ac:dyDescent="0.3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</row>
    <row r="476" spans="1:22" ht="14.5" x14ac:dyDescent="0.3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</row>
    <row r="477" spans="1:22" ht="14.5" x14ac:dyDescent="0.3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</row>
    <row r="478" spans="1:22" ht="14.5" x14ac:dyDescent="0.3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</row>
    <row r="479" spans="1:22" ht="14.5" x14ac:dyDescent="0.3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</row>
    <row r="480" spans="1:22" ht="14.5" x14ac:dyDescent="0.3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</row>
    <row r="481" spans="1:22" ht="14.5" x14ac:dyDescent="0.3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</row>
    <row r="482" spans="1:22" ht="14.5" x14ac:dyDescent="0.3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</row>
    <row r="483" spans="1:22" ht="14.5" x14ac:dyDescent="0.3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</row>
    <row r="484" spans="1:22" ht="14.5" x14ac:dyDescent="0.3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</row>
    <row r="485" spans="1:22" ht="14.5" x14ac:dyDescent="0.3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</row>
    <row r="486" spans="1:22" ht="14.5" x14ac:dyDescent="0.3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</row>
    <row r="487" spans="1:22" ht="14.5" x14ac:dyDescent="0.3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</row>
    <row r="488" spans="1:22" ht="14.5" x14ac:dyDescent="0.3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</row>
    <row r="489" spans="1:22" ht="14.5" x14ac:dyDescent="0.3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</row>
    <row r="490" spans="1:22" ht="14.5" x14ac:dyDescent="0.3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</row>
    <row r="491" spans="1:22" ht="14.5" x14ac:dyDescent="0.3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</row>
    <row r="492" spans="1:22" ht="14.5" x14ac:dyDescent="0.3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</row>
    <row r="493" spans="1:22" ht="14.5" x14ac:dyDescent="0.3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</row>
    <row r="494" spans="1:22" ht="14.5" x14ac:dyDescent="0.3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</row>
    <row r="495" spans="1:22" ht="14.5" x14ac:dyDescent="0.3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</row>
    <row r="496" spans="1:22" ht="14.5" x14ac:dyDescent="0.3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</row>
    <row r="497" spans="1:22" ht="14.5" x14ac:dyDescent="0.3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</row>
    <row r="498" spans="1:22" ht="14.5" x14ac:dyDescent="0.3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</row>
    <row r="499" spans="1:22" ht="14.5" x14ac:dyDescent="0.3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</row>
    <row r="500" spans="1:22" ht="14.5" x14ac:dyDescent="0.3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</row>
    <row r="501" spans="1:22" ht="14.5" x14ac:dyDescent="0.3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</row>
    <row r="502" spans="1:22" ht="14.5" x14ac:dyDescent="0.3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</row>
    <row r="503" spans="1:22" ht="14.5" x14ac:dyDescent="0.3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</row>
    <row r="504" spans="1:22" ht="14.5" x14ac:dyDescent="0.3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</row>
    <row r="505" spans="1:22" ht="14.5" x14ac:dyDescent="0.3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</row>
    <row r="506" spans="1:22" ht="14.5" x14ac:dyDescent="0.3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</row>
    <row r="507" spans="1:22" ht="14.5" x14ac:dyDescent="0.3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</row>
    <row r="508" spans="1:22" ht="14.5" x14ac:dyDescent="0.3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</row>
    <row r="509" spans="1:22" ht="14.5" x14ac:dyDescent="0.3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</row>
    <row r="510" spans="1:22" ht="14.5" x14ac:dyDescent="0.3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</row>
    <row r="511" spans="1:22" ht="14.5" x14ac:dyDescent="0.3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</row>
    <row r="512" spans="1:22" ht="14.5" x14ac:dyDescent="0.3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</row>
    <row r="513" spans="1:22" ht="14.5" x14ac:dyDescent="0.3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</row>
    <row r="514" spans="1:22" ht="14.5" x14ac:dyDescent="0.3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</row>
    <row r="515" spans="1:22" ht="14.5" x14ac:dyDescent="0.3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</row>
    <row r="516" spans="1:22" ht="14.5" x14ac:dyDescent="0.3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</row>
    <row r="517" spans="1:22" ht="14.5" x14ac:dyDescent="0.3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</row>
    <row r="518" spans="1:22" ht="14.5" x14ac:dyDescent="0.3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</row>
    <row r="519" spans="1:22" ht="14.5" x14ac:dyDescent="0.3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</row>
    <row r="520" spans="1:22" ht="14.5" x14ac:dyDescent="0.3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</row>
    <row r="521" spans="1:22" ht="14.5" x14ac:dyDescent="0.3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</row>
    <row r="522" spans="1:22" ht="14.5" x14ac:dyDescent="0.3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</row>
    <row r="523" spans="1:22" ht="14.5" x14ac:dyDescent="0.3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</row>
    <row r="524" spans="1:22" ht="14.5" x14ac:dyDescent="0.3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</row>
    <row r="525" spans="1:22" ht="14.5" x14ac:dyDescent="0.3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</row>
    <row r="526" spans="1:22" ht="14.5" x14ac:dyDescent="0.3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</row>
    <row r="527" spans="1:22" ht="14.5" x14ac:dyDescent="0.3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</row>
    <row r="528" spans="1:22" ht="14.5" x14ac:dyDescent="0.3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</row>
    <row r="529" spans="1:22" ht="14.5" x14ac:dyDescent="0.3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</row>
    <row r="530" spans="1:22" ht="14.5" x14ac:dyDescent="0.3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</row>
    <row r="531" spans="1:22" ht="14.5" x14ac:dyDescent="0.3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</row>
    <row r="532" spans="1:22" ht="14.5" x14ac:dyDescent="0.3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</row>
    <row r="533" spans="1:22" ht="14.5" x14ac:dyDescent="0.3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</row>
    <row r="534" spans="1:22" ht="14.5" x14ac:dyDescent="0.3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</row>
    <row r="535" spans="1:22" ht="14.5" x14ac:dyDescent="0.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</row>
    <row r="536" spans="1:22" ht="14.5" x14ac:dyDescent="0.3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</row>
    <row r="537" spans="1:22" ht="14.5" x14ac:dyDescent="0.3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</row>
    <row r="538" spans="1:22" ht="14.5" x14ac:dyDescent="0.3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</row>
    <row r="539" spans="1:22" ht="14.5" x14ac:dyDescent="0.3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</row>
    <row r="540" spans="1:22" ht="14.5" x14ac:dyDescent="0.3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</row>
    <row r="541" spans="1:22" ht="14.5" x14ac:dyDescent="0.3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</row>
    <row r="542" spans="1:22" ht="14.5" x14ac:dyDescent="0.3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</row>
    <row r="543" spans="1:22" ht="14.5" x14ac:dyDescent="0.3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</row>
    <row r="544" spans="1:22" ht="14.5" x14ac:dyDescent="0.3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</row>
    <row r="545" spans="1:22" ht="14.5" x14ac:dyDescent="0.3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</row>
    <row r="546" spans="1:22" ht="14.5" x14ac:dyDescent="0.3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</row>
    <row r="547" spans="1:22" ht="14.5" x14ac:dyDescent="0.3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</row>
    <row r="548" spans="1:22" ht="14.5" x14ac:dyDescent="0.3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</row>
    <row r="549" spans="1:22" ht="14.5" x14ac:dyDescent="0.3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</row>
    <row r="550" spans="1:22" ht="14.5" x14ac:dyDescent="0.3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</row>
    <row r="551" spans="1:22" ht="14.5" x14ac:dyDescent="0.3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</row>
    <row r="552" spans="1:22" ht="14.5" x14ac:dyDescent="0.3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</row>
    <row r="553" spans="1:22" ht="14.5" x14ac:dyDescent="0.3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</row>
    <row r="554" spans="1:22" ht="14.5" x14ac:dyDescent="0.3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</row>
    <row r="555" spans="1:22" ht="14.5" x14ac:dyDescent="0.3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</row>
    <row r="556" spans="1:22" ht="14.5" x14ac:dyDescent="0.3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</row>
    <row r="557" spans="1:22" ht="14.5" x14ac:dyDescent="0.3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</row>
    <row r="558" spans="1:22" ht="14.5" x14ac:dyDescent="0.3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</row>
    <row r="559" spans="1:22" ht="14.5" x14ac:dyDescent="0.3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</row>
    <row r="560" spans="1:22" ht="14.5" x14ac:dyDescent="0.3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</row>
    <row r="561" spans="1:22" ht="14.5" x14ac:dyDescent="0.3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</row>
    <row r="562" spans="1:22" ht="14.5" x14ac:dyDescent="0.3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</row>
    <row r="563" spans="1:22" ht="14.5" x14ac:dyDescent="0.3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</row>
    <row r="564" spans="1:22" ht="14.5" x14ac:dyDescent="0.3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</row>
    <row r="565" spans="1:22" ht="14.5" x14ac:dyDescent="0.3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</row>
    <row r="566" spans="1:22" ht="14.5" x14ac:dyDescent="0.3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</row>
    <row r="567" spans="1:22" ht="14.5" x14ac:dyDescent="0.3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</row>
    <row r="568" spans="1:22" ht="14.5" x14ac:dyDescent="0.3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</row>
    <row r="569" spans="1:22" ht="14.5" x14ac:dyDescent="0.3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</row>
    <row r="570" spans="1:22" ht="14.5" x14ac:dyDescent="0.3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</row>
    <row r="571" spans="1:22" ht="14.5" x14ac:dyDescent="0.3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</row>
    <row r="572" spans="1:22" ht="14.5" x14ac:dyDescent="0.3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</row>
    <row r="573" spans="1:22" ht="14.5" x14ac:dyDescent="0.3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</row>
    <row r="574" spans="1:22" ht="14.5" x14ac:dyDescent="0.3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</row>
    <row r="575" spans="1:22" ht="14.5" x14ac:dyDescent="0.3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</row>
    <row r="576" spans="1:22" ht="14.5" x14ac:dyDescent="0.3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</row>
    <row r="577" spans="1:22" ht="14.5" x14ac:dyDescent="0.3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</row>
    <row r="578" spans="1:22" ht="14.5" x14ac:dyDescent="0.3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</row>
    <row r="579" spans="1:22" ht="14.5" x14ac:dyDescent="0.3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</row>
    <row r="580" spans="1:22" ht="14.5" x14ac:dyDescent="0.3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</row>
    <row r="581" spans="1:22" ht="14.5" x14ac:dyDescent="0.3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</row>
    <row r="582" spans="1:22" ht="14.5" x14ac:dyDescent="0.3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</row>
    <row r="583" spans="1:22" ht="14.5" x14ac:dyDescent="0.3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</row>
    <row r="584" spans="1:22" ht="14.5" x14ac:dyDescent="0.3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</row>
    <row r="585" spans="1:22" ht="14.5" x14ac:dyDescent="0.3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</row>
    <row r="586" spans="1:22" ht="14.5" x14ac:dyDescent="0.3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</row>
    <row r="587" spans="1:22" ht="14.5" x14ac:dyDescent="0.3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</row>
    <row r="588" spans="1:22" ht="14.5" x14ac:dyDescent="0.3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</row>
    <row r="589" spans="1:22" ht="14.5" x14ac:dyDescent="0.3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</row>
    <row r="590" spans="1:22" ht="14.5" x14ac:dyDescent="0.3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</row>
    <row r="591" spans="1:22" ht="14.5" x14ac:dyDescent="0.3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</row>
    <row r="592" spans="1:22" ht="14.5" x14ac:dyDescent="0.3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</row>
    <row r="593" spans="1:22" ht="14.5" x14ac:dyDescent="0.3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</row>
    <row r="594" spans="1:22" ht="14.5" x14ac:dyDescent="0.3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</row>
    <row r="595" spans="1:22" ht="14.5" x14ac:dyDescent="0.3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</row>
    <row r="596" spans="1:22" ht="14.5" x14ac:dyDescent="0.3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</row>
    <row r="597" spans="1:22" ht="14.5" x14ac:dyDescent="0.3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</row>
    <row r="598" spans="1:22" ht="14.5" x14ac:dyDescent="0.3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</row>
    <row r="599" spans="1:22" ht="14.5" x14ac:dyDescent="0.3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</row>
    <row r="600" spans="1:22" ht="14.5" x14ac:dyDescent="0.3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</row>
    <row r="601" spans="1:22" ht="14.5" x14ac:dyDescent="0.3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</row>
    <row r="602" spans="1:22" ht="14.5" x14ac:dyDescent="0.3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</row>
    <row r="603" spans="1:22" ht="14.5" x14ac:dyDescent="0.3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</row>
    <row r="604" spans="1:22" ht="14.5" x14ac:dyDescent="0.3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</row>
    <row r="605" spans="1:22" ht="14.5" x14ac:dyDescent="0.3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</row>
    <row r="606" spans="1:22" ht="14.5" x14ac:dyDescent="0.3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</row>
    <row r="607" spans="1:22" ht="14.5" x14ac:dyDescent="0.3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</row>
    <row r="608" spans="1:22" ht="14.5" x14ac:dyDescent="0.3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</row>
    <row r="609" spans="1:22" ht="14.5" x14ac:dyDescent="0.3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</row>
    <row r="610" spans="1:22" ht="14.5" x14ac:dyDescent="0.3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</row>
    <row r="611" spans="1:22" ht="14.5" x14ac:dyDescent="0.3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</row>
    <row r="612" spans="1:22" ht="14.5" x14ac:dyDescent="0.3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</row>
    <row r="613" spans="1:22" ht="14.5" x14ac:dyDescent="0.3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</row>
    <row r="614" spans="1:22" ht="14.5" x14ac:dyDescent="0.3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</row>
    <row r="615" spans="1:22" ht="14.5" x14ac:dyDescent="0.3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</row>
    <row r="616" spans="1:22" ht="14.5" x14ac:dyDescent="0.3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</row>
    <row r="617" spans="1:22" ht="14.5" x14ac:dyDescent="0.3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</row>
    <row r="618" spans="1:22" ht="14.5" x14ac:dyDescent="0.3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</row>
    <row r="619" spans="1:22" ht="14.5" x14ac:dyDescent="0.3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</row>
    <row r="620" spans="1:22" ht="14.5" x14ac:dyDescent="0.3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</row>
    <row r="621" spans="1:22" ht="14.5" x14ac:dyDescent="0.3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</row>
    <row r="622" spans="1:22" ht="14.5" x14ac:dyDescent="0.3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</row>
    <row r="623" spans="1:22" ht="14.5" x14ac:dyDescent="0.3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</row>
    <row r="624" spans="1:22" ht="14.5" x14ac:dyDescent="0.3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</row>
    <row r="625" spans="1:22" ht="14.5" x14ac:dyDescent="0.3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</row>
    <row r="626" spans="1:22" ht="14.5" x14ac:dyDescent="0.3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</row>
    <row r="627" spans="1:22" ht="14.5" x14ac:dyDescent="0.3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</row>
    <row r="628" spans="1:22" ht="14.5" x14ac:dyDescent="0.3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</row>
    <row r="629" spans="1:22" ht="14.5" x14ac:dyDescent="0.3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</row>
    <row r="630" spans="1:22" ht="14.5" x14ac:dyDescent="0.3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</row>
    <row r="631" spans="1:22" ht="14.5" x14ac:dyDescent="0.3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</row>
    <row r="632" spans="1:22" ht="14.5" x14ac:dyDescent="0.3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</row>
    <row r="633" spans="1:22" ht="14.5" x14ac:dyDescent="0.3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</row>
    <row r="634" spans="1:22" ht="14.5" x14ac:dyDescent="0.3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</row>
    <row r="635" spans="1:22" ht="14.5" x14ac:dyDescent="0.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</row>
    <row r="636" spans="1:22" ht="14.5" x14ac:dyDescent="0.3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</row>
    <row r="637" spans="1:22" ht="14.5" x14ac:dyDescent="0.3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</row>
    <row r="638" spans="1:22" ht="14.5" x14ac:dyDescent="0.3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</row>
    <row r="639" spans="1:22" ht="14.5" x14ac:dyDescent="0.3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</row>
    <row r="640" spans="1:22" ht="14.5" x14ac:dyDescent="0.3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</row>
    <row r="641" spans="1:22" ht="14.5" x14ac:dyDescent="0.3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</row>
    <row r="642" spans="1:22" ht="14.5" x14ac:dyDescent="0.3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</row>
    <row r="643" spans="1:22" ht="14.5" x14ac:dyDescent="0.3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</row>
    <row r="644" spans="1:22" ht="14.5" x14ac:dyDescent="0.3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</row>
    <row r="645" spans="1:22" ht="14.5" x14ac:dyDescent="0.3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</row>
    <row r="646" spans="1:22" ht="14.5" x14ac:dyDescent="0.3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</row>
    <row r="647" spans="1:22" ht="14.5" x14ac:dyDescent="0.3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</row>
    <row r="648" spans="1:22" ht="14.5" x14ac:dyDescent="0.3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</row>
    <row r="649" spans="1:22" ht="14.5" x14ac:dyDescent="0.3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</row>
    <row r="650" spans="1:22" ht="14.5" x14ac:dyDescent="0.3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</row>
    <row r="651" spans="1:22" ht="14.5" x14ac:dyDescent="0.3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</row>
    <row r="652" spans="1:22" ht="14.5" x14ac:dyDescent="0.3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</row>
    <row r="653" spans="1:22" ht="14.5" x14ac:dyDescent="0.3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</row>
    <row r="654" spans="1:22" ht="14.5" x14ac:dyDescent="0.3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</row>
    <row r="655" spans="1:22" ht="14.5" x14ac:dyDescent="0.3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</row>
    <row r="656" spans="1:22" ht="14.5" x14ac:dyDescent="0.3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</row>
    <row r="657" spans="1:22" ht="14.5" x14ac:dyDescent="0.3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</row>
    <row r="658" spans="1:22" ht="14.5" x14ac:dyDescent="0.3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</row>
    <row r="659" spans="1:22" ht="14.5" x14ac:dyDescent="0.3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</row>
    <row r="660" spans="1:22" ht="14.5" x14ac:dyDescent="0.3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</row>
    <row r="661" spans="1:22" ht="14.5" x14ac:dyDescent="0.3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</row>
    <row r="662" spans="1:22" ht="14.5" x14ac:dyDescent="0.3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</row>
    <row r="663" spans="1:22" ht="14.5" x14ac:dyDescent="0.3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</row>
    <row r="664" spans="1:22" ht="14.5" x14ac:dyDescent="0.3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</row>
    <row r="665" spans="1:22" ht="14.5" x14ac:dyDescent="0.3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</row>
    <row r="666" spans="1:22" ht="14.5" x14ac:dyDescent="0.3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</row>
    <row r="667" spans="1:22" ht="14.5" x14ac:dyDescent="0.3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</row>
    <row r="668" spans="1:22" ht="14.5" x14ac:dyDescent="0.3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</row>
    <row r="669" spans="1:22" ht="14.5" x14ac:dyDescent="0.3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</row>
    <row r="670" spans="1:22" ht="14.5" x14ac:dyDescent="0.3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</row>
    <row r="671" spans="1:22" ht="14.5" x14ac:dyDescent="0.3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</row>
    <row r="672" spans="1:22" ht="14.5" x14ac:dyDescent="0.3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</row>
    <row r="673" spans="1:22" ht="14.5" x14ac:dyDescent="0.3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</row>
    <row r="674" spans="1:22" ht="14.5" x14ac:dyDescent="0.3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</row>
    <row r="675" spans="1:22" ht="14.5" x14ac:dyDescent="0.3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</row>
    <row r="676" spans="1:22" ht="14.5" x14ac:dyDescent="0.3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</row>
    <row r="677" spans="1:22" ht="14.5" x14ac:dyDescent="0.3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</row>
    <row r="678" spans="1:22" ht="14.5" x14ac:dyDescent="0.3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</row>
    <row r="679" spans="1:22" ht="14.5" x14ac:dyDescent="0.3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</row>
    <row r="680" spans="1:22" ht="14.5" x14ac:dyDescent="0.3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</row>
    <row r="681" spans="1:22" ht="14.5" x14ac:dyDescent="0.3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</row>
    <row r="682" spans="1:22" ht="14.5" x14ac:dyDescent="0.3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</row>
    <row r="683" spans="1:22" ht="14.5" x14ac:dyDescent="0.3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</row>
    <row r="684" spans="1:22" ht="14.5" x14ac:dyDescent="0.3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</row>
    <row r="685" spans="1:22" ht="14.5" x14ac:dyDescent="0.3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</row>
    <row r="686" spans="1:22" ht="14.5" x14ac:dyDescent="0.3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</row>
    <row r="687" spans="1:22" ht="14.5" x14ac:dyDescent="0.3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</row>
    <row r="688" spans="1:22" ht="14.5" x14ac:dyDescent="0.3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</row>
    <row r="689" spans="1:22" ht="14.5" x14ac:dyDescent="0.3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</row>
    <row r="690" spans="1:22" ht="14.5" x14ac:dyDescent="0.3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</row>
    <row r="691" spans="1:22" ht="14.5" x14ac:dyDescent="0.3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</row>
    <row r="692" spans="1:22" ht="14.5" x14ac:dyDescent="0.3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</row>
    <row r="693" spans="1:22" ht="14.5" x14ac:dyDescent="0.3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</row>
    <row r="694" spans="1:22" ht="14.5" x14ac:dyDescent="0.3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</row>
    <row r="695" spans="1:22" ht="14.5" x14ac:dyDescent="0.3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</row>
    <row r="696" spans="1:22" ht="14.5" x14ac:dyDescent="0.3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</row>
    <row r="697" spans="1:22" ht="14.5" x14ac:dyDescent="0.3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</row>
    <row r="698" spans="1:22" ht="14.5" x14ac:dyDescent="0.3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</row>
    <row r="699" spans="1:22" ht="14.5" x14ac:dyDescent="0.3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</row>
    <row r="700" spans="1:22" ht="14.5" x14ac:dyDescent="0.3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</row>
    <row r="701" spans="1:22" ht="14.5" x14ac:dyDescent="0.3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</row>
    <row r="702" spans="1:22" ht="14.5" x14ac:dyDescent="0.3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</row>
    <row r="703" spans="1:22" ht="14.5" x14ac:dyDescent="0.3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</row>
    <row r="704" spans="1:22" ht="14.5" x14ac:dyDescent="0.3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</row>
    <row r="705" spans="1:22" ht="14.5" x14ac:dyDescent="0.3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</row>
    <row r="706" spans="1:22" ht="14.5" x14ac:dyDescent="0.3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</row>
    <row r="707" spans="1:22" ht="14.5" x14ac:dyDescent="0.3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</row>
    <row r="708" spans="1:22" ht="14.5" x14ac:dyDescent="0.3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</row>
    <row r="709" spans="1:22" ht="14.5" x14ac:dyDescent="0.3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</row>
    <row r="710" spans="1:22" ht="14.5" x14ac:dyDescent="0.3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</row>
    <row r="711" spans="1:22" ht="14.5" x14ac:dyDescent="0.3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</row>
    <row r="712" spans="1:22" ht="14.5" x14ac:dyDescent="0.3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</row>
    <row r="713" spans="1:22" ht="14.5" x14ac:dyDescent="0.3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</row>
    <row r="714" spans="1:22" ht="14.5" x14ac:dyDescent="0.3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</row>
    <row r="715" spans="1:22" ht="14.5" x14ac:dyDescent="0.3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</row>
    <row r="716" spans="1:22" ht="14.5" x14ac:dyDescent="0.3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</row>
    <row r="717" spans="1:22" ht="14.5" x14ac:dyDescent="0.3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</row>
    <row r="718" spans="1:22" ht="14.5" x14ac:dyDescent="0.3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</row>
    <row r="719" spans="1:22" ht="14.5" x14ac:dyDescent="0.3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</row>
    <row r="720" spans="1:22" ht="14.5" x14ac:dyDescent="0.3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</row>
    <row r="721" spans="1:22" ht="14.5" x14ac:dyDescent="0.3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</row>
    <row r="722" spans="1:22" ht="14.5" x14ac:dyDescent="0.3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</row>
    <row r="723" spans="1:22" ht="14.5" x14ac:dyDescent="0.3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</row>
    <row r="724" spans="1:22" ht="14.5" x14ac:dyDescent="0.3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</row>
    <row r="725" spans="1:22" ht="14.5" x14ac:dyDescent="0.3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</row>
    <row r="726" spans="1:22" ht="14.5" x14ac:dyDescent="0.3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</row>
    <row r="727" spans="1:22" ht="14.5" x14ac:dyDescent="0.3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</row>
    <row r="728" spans="1:22" ht="14.5" x14ac:dyDescent="0.3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</row>
    <row r="729" spans="1:22" ht="14.5" x14ac:dyDescent="0.3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</row>
    <row r="730" spans="1:22" ht="14.5" x14ac:dyDescent="0.3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</row>
    <row r="731" spans="1:22" ht="14.5" x14ac:dyDescent="0.3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</row>
    <row r="732" spans="1:22" ht="14.5" x14ac:dyDescent="0.3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</row>
    <row r="733" spans="1:22" ht="14.5" x14ac:dyDescent="0.3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</row>
    <row r="734" spans="1:22" ht="14.5" x14ac:dyDescent="0.3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</row>
    <row r="735" spans="1:22" ht="14.5" x14ac:dyDescent="0.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</row>
    <row r="736" spans="1:22" ht="14.5" x14ac:dyDescent="0.3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</row>
    <row r="737" spans="1:22" ht="14.5" x14ac:dyDescent="0.3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</row>
    <row r="738" spans="1:22" ht="14.5" x14ac:dyDescent="0.3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</row>
    <row r="739" spans="1:22" ht="14.5" x14ac:dyDescent="0.3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</row>
    <row r="740" spans="1:22" ht="14.5" x14ac:dyDescent="0.3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</row>
    <row r="741" spans="1:22" ht="14.5" x14ac:dyDescent="0.3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</row>
    <row r="742" spans="1:22" ht="14.5" x14ac:dyDescent="0.3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</row>
    <row r="743" spans="1:22" ht="14.5" x14ac:dyDescent="0.3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</row>
    <row r="744" spans="1:22" ht="14.5" x14ac:dyDescent="0.3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</row>
    <row r="745" spans="1:22" ht="14.5" x14ac:dyDescent="0.3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</row>
    <row r="746" spans="1:22" ht="14.5" x14ac:dyDescent="0.3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</row>
    <row r="747" spans="1:22" ht="14.5" x14ac:dyDescent="0.3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</row>
    <row r="748" spans="1:22" ht="14.5" x14ac:dyDescent="0.3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</row>
    <row r="749" spans="1:22" ht="14.5" x14ac:dyDescent="0.3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</row>
    <row r="750" spans="1:22" ht="14.5" x14ac:dyDescent="0.3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</row>
    <row r="751" spans="1:22" ht="14.5" x14ac:dyDescent="0.3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</row>
    <row r="752" spans="1:22" ht="14.5" x14ac:dyDescent="0.3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</row>
    <row r="753" spans="1:22" ht="14.5" x14ac:dyDescent="0.3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</row>
    <row r="754" spans="1:22" ht="14.5" x14ac:dyDescent="0.3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</row>
    <row r="755" spans="1:22" ht="14.5" x14ac:dyDescent="0.3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</row>
    <row r="756" spans="1:22" ht="14.5" x14ac:dyDescent="0.3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</row>
    <row r="757" spans="1:22" ht="14.5" x14ac:dyDescent="0.3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</row>
    <row r="758" spans="1:22" ht="14.5" x14ac:dyDescent="0.3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</row>
    <row r="759" spans="1:22" ht="14.5" x14ac:dyDescent="0.3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</row>
    <row r="760" spans="1:22" ht="14.5" x14ac:dyDescent="0.3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</row>
    <row r="761" spans="1:22" ht="14.5" x14ac:dyDescent="0.3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</row>
    <row r="762" spans="1:22" ht="14.5" x14ac:dyDescent="0.3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</row>
    <row r="763" spans="1:22" ht="14.5" x14ac:dyDescent="0.3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</row>
    <row r="764" spans="1:22" ht="14.5" x14ac:dyDescent="0.3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</row>
    <row r="765" spans="1:22" ht="14.5" x14ac:dyDescent="0.3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</row>
    <row r="766" spans="1:22" ht="14.5" x14ac:dyDescent="0.3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</row>
    <row r="767" spans="1:22" ht="14.5" x14ac:dyDescent="0.3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</row>
    <row r="768" spans="1:22" ht="14.5" x14ac:dyDescent="0.3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</row>
    <row r="769" spans="1:22" ht="14.5" x14ac:dyDescent="0.3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</row>
    <row r="770" spans="1:22" ht="14.5" x14ac:dyDescent="0.3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</row>
    <row r="771" spans="1:22" ht="14.5" x14ac:dyDescent="0.3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</row>
    <row r="772" spans="1:22" ht="14.5" x14ac:dyDescent="0.3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</row>
    <row r="773" spans="1:22" ht="14.5" x14ac:dyDescent="0.3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</row>
    <row r="774" spans="1:22" ht="14.5" x14ac:dyDescent="0.3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</row>
    <row r="775" spans="1:22" ht="14.5" x14ac:dyDescent="0.3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</row>
    <row r="776" spans="1:22" ht="14.5" x14ac:dyDescent="0.3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</row>
    <row r="777" spans="1:22" ht="14.5" x14ac:dyDescent="0.3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</row>
    <row r="778" spans="1:22" ht="14.5" x14ac:dyDescent="0.3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</row>
    <row r="779" spans="1:22" ht="14.5" x14ac:dyDescent="0.3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</row>
    <row r="780" spans="1:22" ht="14.5" x14ac:dyDescent="0.3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</row>
    <row r="781" spans="1:22" ht="14.5" x14ac:dyDescent="0.3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</row>
    <row r="782" spans="1:22" ht="14.5" x14ac:dyDescent="0.3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</row>
    <row r="783" spans="1:22" ht="14.5" x14ac:dyDescent="0.3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</row>
    <row r="784" spans="1:22" ht="14.5" x14ac:dyDescent="0.3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</row>
    <row r="785" spans="1:22" ht="14.5" x14ac:dyDescent="0.3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</row>
    <row r="786" spans="1:22" ht="14.5" x14ac:dyDescent="0.3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</row>
    <row r="787" spans="1:22" ht="14.5" x14ac:dyDescent="0.3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</row>
    <row r="788" spans="1:22" ht="14.5" x14ac:dyDescent="0.3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</row>
    <row r="789" spans="1:22" ht="14.5" x14ac:dyDescent="0.3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</row>
    <row r="790" spans="1:22" ht="14.5" x14ac:dyDescent="0.3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</row>
    <row r="791" spans="1:22" ht="14.5" x14ac:dyDescent="0.3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</row>
    <row r="792" spans="1:22" ht="14.5" x14ac:dyDescent="0.3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</row>
    <row r="793" spans="1:22" ht="14.5" x14ac:dyDescent="0.3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</row>
    <row r="794" spans="1:22" ht="14.5" x14ac:dyDescent="0.3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</row>
    <row r="795" spans="1:22" ht="14.5" x14ac:dyDescent="0.3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</row>
    <row r="796" spans="1:22" ht="14.5" x14ac:dyDescent="0.3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</row>
    <row r="797" spans="1:22" ht="14.5" x14ac:dyDescent="0.3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</row>
    <row r="798" spans="1:22" ht="14.5" x14ac:dyDescent="0.3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</row>
    <row r="799" spans="1:22" ht="14.5" x14ac:dyDescent="0.3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</row>
    <row r="800" spans="1:22" ht="14.5" x14ac:dyDescent="0.3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</row>
    <row r="801" spans="1:22" ht="14.5" x14ac:dyDescent="0.3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</row>
    <row r="802" spans="1:22" ht="14.5" x14ac:dyDescent="0.3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</row>
    <row r="803" spans="1:22" ht="14.5" x14ac:dyDescent="0.3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</row>
    <row r="804" spans="1:22" ht="14.5" x14ac:dyDescent="0.3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</row>
    <row r="805" spans="1:22" ht="14.5" x14ac:dyDescent="0.3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</row>
    <row r="806" spans="1:22" ht="14.5" x14ac:dyDescent="0.3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</row>
    <row r="807" spans="1:22" ht="14.5" x14ac:dyDescent="0.3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</row>
    <row r="808" spans="1:22" ht="14.5" x14ac:dyDescent="0.3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</row>
    <row r="809" spans="1:22" ht="14.5" x14ac:dyDescent="0.3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</row>
    <row r="810" spans="1:22" ht="14.5" x14ac:dyDescent="0.3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</row>
    <row r="811" spans="1:22" ht="14.5" x14ac:dyDescent="0.3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</row>
    <row r="812" spans="1:22" ht="14.5" x14ac:dyDescent="0.3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</row>
    <row r="813" spans="1:22" ht="14.5" x14ac:dyDescent="0.3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</row>
    <row r="814" spans="1:22" ht="14.5" x14ac:dyDescent="0.3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</row>
    <row r="815" spans="1:22" ht="14.5" x14ac:dyDescent="0.3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</row>
    <row r="816" spans="1:22" ht="14.5" x14ac:dyDescent="0.3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</row>
    <row r="817" spans="1:22" ht="14.5" x14ac:dyDescent="0.3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</row>
    <row r="818" spans="1:22" ht="14.5" x14ac:dyDescent="0.3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</row>
    <row r="819" spans="1:22" ht="14.5" x14ac:dyDescent="0.3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</row>
    <row r="820" spans="1:22" ht="14.5" x14ac:dyDescent="0.3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</row>
    <row r="821" spans="1:22" ht="14.5" x14ac:dyDescent="0.3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</row>
    <row r="822" spans="1:22" ht="14.5" x14ac:dyDescent="0.3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</row>
    <row r="823" spans="1:22" ht="14.5" x14ac:dyDescent="0.3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</row>
    <row r="824" spans="1:22" ht="14.5" x14ac:dyDescent="0.3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</row>
    <row r="825" spans="1:22" ht="14.5" x14ac:dyDescent="0.3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</row>
    <row r="826" spans="1:22" ht="14.5" x14ac:dyDescent="0.3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</row>
    <row r="827" spans="1:22" ht="14.5" x14ac:dyDescent="0.3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</row>
    <row r="828" spans="1:22" ht="14.5" x14ac:dyDescent="0.3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</row>
    <row r="829" spans="1:22" ht="14.5" x14ac:dyDescent="0.3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</row>
    <row r="830" spans="1:22" ht="14.5" x14ac:dyDescent="0.3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</row>
    <row r="831" spans="1:22" ht="14.5" x14ac:dyDescent="0.3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</row>
    <row r="832" spans="1:22" ht="14.5" x14ac:dyDescent="0.3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</row>
    <row r="833" spans="1:22" ht="14.5" x14ac:dyDescent="0.3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</row>
    <row r="834" spans="1:22" ht="14.5" x14ac:dyDescent="0.3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</row>
    <row r="835" spans="1:22" ht="14.5" x14ac:dyDescent="0.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</row>
    <row r="836" spans="1:22" ht="14.5" x14ac:dyDescent="0.3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</row>
    <row r="837" spans="1:22" ht="14.5" x14ac:dyDescent="0.3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</row>
    <row r="838" spans="1:22" ht="14.5" x14ac:dyDescent="0.3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</row>
    <row r="839" spans="1:22" ht="14.5" x14ac:dyDescent="0.3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</row>
    <row r="840" spans="1:22" ht="14.5" x14ac:dyDescent="0.3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</row>
    <row r="841" spans="1:22" ht="14.5" x14ac:dyDescent="0.3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</row>
    <row r="842" spans="1:22" ht="14.5" x14ac:dyDescent="0.3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</row>
    <row r="843" spans="1:22" ht="14.5" x14ac:dyDescent="0.3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</row>
    <row r="844" spans="1:22" ht="14.5" x14ac:dyDescent="0.3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</row>
    <row r="845" spans="1:22" ht="14.5" x14ac:dyDescent="0.3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</row>
    <row r="846" spans="1:22" ht="14.5" x14ac:dyDescent="0.3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</row>
    <row r="847" spans="1:22" ht="14.5" x14ac:dyDescent="0.3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</row>
    <row r="848" spans="1:22" ht="14.5" x14ac:dyDescent="0.3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</row>
    <row r="849" spans="1:22" ht="14.5" x14ac:dyDescent="0.3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</row>
    <row r="850" spans="1:22" ht="14.5" x14ac:dyDescent="0.3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</row>
    <row r="851" spans="1:22" ht="14.5" x14ac:dyDescent="0.3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</row>
    <row r="852" spans="1:22" ht="14.5" x14ac:dyDescent="0.3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</row>
    <row r="853" spans="1:22" ht="14.5" x14ac:dyDescent="0.3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</row>
    <row r="854" spans="1:22" ht="14.5" x14ac:dyDescent="0.3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</row>
    <row r="855" spans="1:22" ht="14.5" x14ac:dyDescent="0.3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</row>
    <row r="856" spans="1:22" ht="14.5" x14ac:dyDescent="0.3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</row>
    <row r="857" spans="1:22" ht="14.5" x14ac:dyDescent="0.3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</row>
    <row r="858" spans="1:22" ht="14.5" x14ac:dyDescent="0.3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</row>
    <row r="859" spans="1:22" ht="14.5" x14ac:dyDescent="0.3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</row>
    <row r="860" spans="1:22" ht="14.5" x14ac:dyDescent="0.3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</row>
    <row r="861" spans="1:22" ht="14.5" x14ac:dyDescent="0.3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</row>
    <row r="862" spans="1:22" ht="14.5" x14ac:dyDescent="0.3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</row>
    <row r="863" spans="1:22" ht="14.5" x14ac:dyDescent="0.3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</row>
    <row r="864" spans="1:22" ht="14.5" x14ac:dyDescent="0.3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</row>
    <row r="865" spans="1:22" ht="14.5" x14ac:dyDescent="0.3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</row>
    <row r="866" spans="1:22" ht="14.5" x14ac:dyDescent="0.3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</row>
    <row r="867" spans="1:22" ht="14.5" x14ac:dyDescent="0.3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</row>
  </sheetData>
  <mergeCells count="3">
    <mergeCell ref="B1:H1"/>
    <mergeCell ref="I1:O1"/>
    <mergeCell ref="P1:S1"/>
  </mergeCells>
  <conditionalFormatting sqref="B1:H867 I30:S30">
    <cfRule type="beginsWith" dxfId="54" priority="2" operator="beginsWith" text="-">
      <formula>LEFT((B1),LEN("-"))=("-")</formula>
    </cfRule>
  </conditionalFormatting>
  <conditionalFormatting sqref="T3:V41">
    <cfRule type="cellIs" dxfId="53" priority="1" operator="greaterThan">
      <formula>10</formula>
    </cfRule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H99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328125" defaultRowHeight="15.75" customHeight="1" x14ac:dyDescent="0.25"/>
  <cols>
    <col min="1" max="1" width="23.90625" customWidth="1"/>
    <col min="2" max="2" width="24" customWidth="1"/>
    <col min="4" max="4" width="13.7265625" customWidth="1"/>
    <col min="10" max="10" width="17.453125" customWidth="1"/>
    <col min="11" max="11" width="18.7265625" customWidth="1"/>
    <col min="14" max="14" width="16.08984375" customWidth="1"/>
    <col min="15" max="15" width="23.6328125" customWidth="1"/>
    <col min="16" max="16" width="16.36328125" customWidth="1"/>
    <col min="17" max="17" width="19" customWidth="1"/>
    <col min="18" max="18" width="19.36328125" customWidth="1"/>
    <col min="19" max="19" width="19.08984375" customWidth="1"/>
    <col min="20" max="22" width="21" customWidth="1"/>
    <col min="23" max="23" width="19.08984375" customWidth="1"/>
    <col min="25" max="25" width="34.6328125" customWidth="1"/>
  </cols>
  <sheetData>
    <row r="1" spans="1:34" ht="15.75" customHeight="1" x14ac:dyDescent="0.35">
      <c r="A1" s="1" t="s">
        <v>162</v>
      </c>
      <c r="B1" s="1" t="s">
        <v>0</v>
      </c>
      <c r="C1" s="41" t="s">
        <v>163</v>
      </c>
      <c r="D1" s="41" t="s">
        <v>164</v>
      </c>
      <c r="E1" s="41" t="s">
        <v>165</v>
      </c>
      <c r="F1" s="42" t="s">
        <v>166</v>
      </c>
      <c r="G1" s="41" t="s">
        <v>167</v>
      </c>
      <c r="H1" s="43" t="s">
        <v>168</v>
      </c>
      <c r="I1" s="43" t="s">
        <v>169</v>
      </c>
      <c r="J1" s="41" t="s">
        <v>170</v>
      </c>
      <c r="K1" s="41" t="s">
        <v>171</v>
      </c>
      <c r="L1" s="41" t="s">
        <v>172</v>
      </c>
      <c r="M1" s="44" t="s">
        <v>173</v>
      </c>
      <c r="N1" s="41" t="s">
        <v>174</v>
      </c>
      <c r="O1" s="45" t="s">
        <v>175</v>
      </c>
      <c r="P1" s="45" t="s">
        <v>176</v>
      </c>
      <c r="Q1" s="1" t="s">
        <v>177</v>
      </c>
      <c r="R1" s="1" t="s">
        <v>178</v>
      </c>
      <c r="S1" s="1" t="s">
        <v>179</v>
      </c>
      <c r="T1" s="1" t="s">
        <v>180</v>
      </c>
      <c r="U1" s="1" t="s">
        <v>181</v>
      </c>
      <c r="V1" s="1" t="s">
        <v>182</v>
      </c>
      <c r="W1" s="1" t="s">
        <v>183</v>
      </c>
      <c r="X1" s="1" t="s">
        <v>184</v>
      </c>
      <c r="Y1" s="41" t="s">
        <v>185</v>
      </c>
      <c r="Z1" s="1" t="s">
        <v>186</v>
      </c>
      <c r="AA1" s="7"/>
      <c r="AB1" s="7"/>
      <c r="AC1" s="7"/>
      <c r="AD1" s="7"/>
      <c r="AE1" s="7"/>
      <c r="AF1" s="7"/>
      <c r="AG1" s="7"/>
      <c r="AH1" s="7"/>
    </row>
    <row r="2" spans="1:34" ht="15.75" customHeight="1" x14ac:dyDescent="0.35">
      <c r="A2" s="46" t="s">
        <v>101</v>
      </c>
      <c r="B2" s="47" t="s">
        <v>99</v>
      </c>
      <c r="C2" s="48">
        <v>45005</v>
      </c>
      <c r="D2" s="48">
        <v>45009</v>
      </c>
      <c r="E2" s="49">
        <f>SUM(30,830)</f>
        <v>860</v>
      </c>
      <c r="F2" s="50">
        <v>0.54339999999999999</v>
      </c>
      <c r="G2" s="51">
        <f t="shared" ref="G2:G10" si="0">F2*83.333</f>
        <v>45.283152199999996</v>
      </c>
      <c r="H2" s="52">
        <v>10.808999999999999</v>
      </c>
      <c r="I2" s="52">
        <v>18.2119</v>
      </c>
      <c r="J2" s="53">
        <f t="shared" ref="J2:J10" si="1">(I2-H2)/$B$22</f>
        <v>9.3470959595959595</v>
      </c>
      <c r="K2" s="51">
        <v>11</v>
      </c>
      <c r="L2" s="51">
        <f t="shared" ref="L2:L10" si="2">E2*G2/J2*$B$21</f>
        <v>833.2750848036311</v>
      </c>
      <c r="M2" s="54">
        <f t="shared" ref="M2:M10" si="3">L2/1000</f>
        <v>0.83327508480363111</v>
      </c>
      <c r="N2" s="54">
        <f t="shared" ref="N2:N10" si="4">M2*12</f>
        <v>9.9993010176435728</v>
      </c>
      <c r="O2" s="49">
        <v>0.2</v>
      </c>
      <c r="P2" s="55">
        <f t="shared" ref="P2:P10" si="5">O2/1000/12*1000*1000/L2*1000</f>
        <v>20.001398062434951</v>
      </c>
      <c r="Q2" s="49">
        <v>2.5</v>
      </c>
      <c r="R2" s="49">
        <v>2.5</v>
      </c>
      <c r="S2" s="49">
        <v>2.5</v>
      </c>
      <c r="T2" s="49">
        <v>1.65</v>
      </c>
      <c r="U2" s="56"/>
      <c r="V2" s="56">
        <f t="shared" ref="V2:V9" si="6">SUM(Q2:T2)</f>
        <v>9.15</v>
      </c>
      <c r="W2" s="57">
        <f t="shared" ref="W2:W10" si="7">N2*V2/1000</f>
        <v>9.14936043114387E-2</v>
      </c>
      <c r="X2" s="49">
        <v>100</v>
      </c>
      <c r="Y2" s="58">
        <f t="shared" ref="Y2:Y10" si="8">L2*V2/X2</f>
        <v>76.244670259532256</v>
      </c>
      <c r="Z2" s="1" t="s">
        <v>187</v>
      </c>
      <c r="AA2" s="7"/>
      <c r="AB2" s="7"/>
      <c r="AC2" s="7"/>
      <c r="AD2" s="7"/>
      <c r="AE2" s="7"/>
      <c r="AF2" s="7"/>
      <c r="AG2" s="7"/>
      <c r="AH2" s="7"/>
    </row>
    <row r="3" spans="1:34" ht="15.75" customHeight="1" x14ac:dyDescent="0.35">
      <c r="A3" s="46" t="s">
        <v>92</v>
      </c>
      <c r="B3" s="47" t="s">
        <v>90</v>
      </c>
      <c r="C3" s="48">
        <v>45012</v>
      </c>
      <c r="D3" s="48">
        <v>45016</v>
      </c>
      <c r="E3" s="49">
        <v>940</v>
      </c>
      <c r="F3" s="50">
        <v>0.54459999999999997</v>
      </c>
      <c r="G3" s="51">
        <f t="shared" si="0"/>
        <v>45.3831518</v>
      </c>
      <c r="H3" s="52">
        <v>10.703099999999999</v>
      </c>
      <c r="I3" s="52">
        <v>18.079000000000001</v>
      </c>
      <c r="J3" s="53">
        <f t="shared" si="1"/>
        <v>9.3130050505050512</v>
      </c>
      <c r="K3" s="51">
        <v>11</v>
      </c>
      <c r="L3" s="51">
        <f t="shared" si="2"/>
        <v>916.14172784511709</v>
      </c>
      <c r="M3" s="54">
        <f t="shared" si="3"/>
        <v>0.91614172784511705</v>
      </c>
      <c r="N3" s="54">
        <f t="shared" si="4"/>
        <v>10.993700734141404</v>
      </c>
      <c r="O3" s="49">
        <v>0.2</v>
      </c>
      <c r="P3" s="55">
        <f t="shared" si="5"/>
        <v>18.192236157465295</v>
      </c>
      <c r="Q3" s="49">
        <v>2.5</v>
      </c>
      <c r="R3" s="49">
        <v>2.5</v>
      </c>
      <c r="S3" s="49">
        <v>2</v>
      </c>
      <c r="T3" s="49">
        <v>2.25</v>
      </c>
      <c r="U3" s="56"/>
      <c r="V3" s="56">
        <f t="shared" si="6"/>
        <v>9.25</v>
      </c>
      <c r="W3" s="57">
        <f t="shared" si="7"/>
        <v>0.101691731790808</v>
      </c>
      <c r="X3" s="49">
        <v>100</v>
      </c>
      <c r="Y3" s="58">
        <f t="shared" si="8"/>
        <v>84.743109825673329</v>
      </c>
      <c r="Z3" s="7"/>
      <c r="AA3" s="7"/>
      <c r="AB3" s="7"/>
      <c r="AC3" s="7"/>
      <c r="AD3" s="7"/>
      <c r="AE3" s="7"/>
      <c r="AF3" s="7"/>
      <c r="AG3" s="7"/>
      <c r="AH3" s="7"/>
    </row>
    <row r="4" spans="1:34" ht="15.75" customHeight="1" x14ac:dyDescent="0.35">
      <c r="A4" s="46" t="s">
        <v>84</v>
      </c>
      <c r="B4" s="47" t="s">
        <v>86</v>
      </c>
      <c r="C4" s="48">
        <v>45012</v>
      </c>
      <c r="D4" s="48">
        <v>45016</v>
      </c>
      <c r="E4" s="49">
        <v>820</v>
      </c>
      <c r="F4" s="50">
        <v>0.18690000000000001</v>
      </c>
      <c r="G4" s="51">
        <f t="shared" si="0"/>
        <v>15.574937700000001</v>
      </c>
      <c r="H4" s="52">
        <v>10.7285</v>
      </c>
      <c r="I4" s="52">
        <v>18.006699999999999</v>
      </c>
      <c r="J4" s="53">
        <f t="shared" si="1"/>
        <v>9.1896464646464615</v>
      </c>
      <c r="K4" s="51">
        <v>11</v>
      </c>
      <c r="L4" s="51">
        <f t="shared" si="2"/>
        <v>277.95299771613873</v>
      </c>
      <c r="M4" s="54">
        <f t="shared" si="3"/>
        <v>0.27795299771613874</v>
      </c>
      <c r="N4" s="54">
        <f t="shared" si="4"/>
        <v>3.3354359725936646</v>
      </c>
      <c r="O4" s="49">
        <v>0.2</v>
      </c>
      <c r="P4" s="55">
        <f t="shared" si="5"/>
        <v>59.962176352160114</v>
      </c>
      <c r="Q4" s="49">
        <v>2.5</v>
      </c>
      <c r="R4" s="49">
        <v>2.5</v>
      </c>
      <c r="S4" s="49">
        <v>2</v>
      </c>
      <c r="T4" s="49">
        <v>2.125</v>
      </c>
      <c r="U4" s="56"/>
      <c r="V4" s="56">
        <f t="shared" si="6"/>
        <v>9.125</v>
      </c>
      <c r="W4" s="57">
        <f t="shared" si="7"/>
        <v>3.043585324991719E-2</v>
      </c>
      <c r="X4" s="49">
        <v>100</v>
      </c>
      <c r="Y4" s="58">
        <f t="shared" si="8"/>
        <v>25.363211041597662</v>
      </c>
      <c r="Z4" s="7"/>
      <c r="AA4" s="7"/>
      <c r="AB4" s="7"/>
      <c r="AC4" s="7"/>
      <c r="AD4" s="7"/>
      <c r="AE4" s="7"/>
      <c r="AF4" s="7"/>
      <c r="AG4" s="7"/>
      <c r="AH4" s="7"/>
    </row>
    <row r="5" spans="1:34" ht="15.75" customHeight="1" x14ac:dyDescent="0.35">
      <c r="A5" s="46" t="s">
        <v>101</v>
      </c>
      <c r="B5" s="47" t="s">
        <v>104</v>
      </c>
      <c r="C5" s="48">
        <v>45012</v>
      </c>
      <c r="D5" s="48">
        <v>45016</v>
      </c>
      <c r="E5" s="49">
        <v>845</v>
      </c>
      <c r="F5" s="59" t="s">
        <v>188</v>
      </c>
      <c r="G5" s="51">
        <f t="shared" si="0"/>
        <v>7.4999699999999994</v>
      </c>
      <c r="H5" s="52">
        <v>10.7166</v>
      </c>
      <c r="I5" s="52">
        <v>18.148</v>
      </c>
      <c r="J5" s="53">
        <f t="shared" si="1"/>
        <v>9.3830808080808072</v>
      </c>
      <c r="K5" s="51">
        <v>11</v>
      </c>
      <c r="L5" s="51">
        <f t="shared" si="2"/>
        <v>135.0830240008612</v>
      </c>
      <c r="M5" s="54">
        <f t="shared" si="3"/>
        <v>0.1350830240008612</v>
      </c>
      <c r="N5" s="54">
        <f t="shared" si="4"/>
        <v>1.6209962880103344</v>
      </c>
      <c r="O5" s="49">
        <v>0.2</v>
      </c>
      <c r="P5" s="55">
        <f t="shared" si="5"/>
        <v>123.38091177586024</v>
      </c>
      <c r="Q5" s="49">
        <v>2.5</v>
      </c>
      <c r="R5" s="49">
        <v>2.5</v>
      </c>
      <c r="S5" s="49">
        <v>2</v>
      </c>
      <c r="T5" s="49">
        <v>2.3250000000000002</v>
      </c>
      <c r="U5" s="56"/>
      <c r="V5" s="56">
        <f t="shared" si="6"/>
        <v>9.3249999999999993</v>
      </c>
      <c r="W5" s="57">
        <f t="shared" si="7"/>
        <v>1.5115790385696366E-2</v>
      </c>
      <c r="X5" s="49">
        <v>100</v>
      </c>
      <c r="Y5" s="58">
        <f t="shared" si="8"/>
        <v>12.596491988080306</v>
      </c>
      <c r="Z5" s="7"/>
      <c r="AA5" s="7"/>
      <c r="AB5" s="7"/>
      <c r="AC5" s="7"/>
      <c r="AD5" s="7"/>
      <c r="AE5" s="7"/>
      <c r="AF5" s="7"/>
      <c r="AG5" s="7"/>
      <c r="AH5" s="7"/>
    </row>
    <row r="6" spans="1:34" ht="15.75" customHeight="1" x14ac:dyDescent="0.35">
      <c r="A6" s="46" t="s">
        <v>97</v>
      </c>
      <c r="B6" s="47" t="s">
        <v>95</v>
      </c>
      <c r="C6" s="48">
        <v>45019</v>
      </c>
      <c r="D6" s="48">
        <v>45023</v>
      </c>
      <c r="E6" s="49">
        <f>SUM(24.5,510,210)</f>
        <v>744.5</v>
      </c>
      <c r="F6" s="59" t="s">
        <v>189</v>
      </c>
      <c r="G6" s="51">
        <f t="shared" si="0"/>
        <v>24.166569999999997</v>
      </c>
      <c r="H6" s="52">
        <v>10.715</v>
      </c>
      <c r="I6" s="52">
        <v>18.103000000000002</v>
      </c>
      <c r="J6" s="53">
        <f t="shared" si="1"/>
        <v>9.3282828282828305</v>
      </c>
      <c r="K6" s="51">
        <v>11</v>
      </c>
      <c r="L6" s="51">
        <f t="shared" si="2"/>
        <v>385.75184085219263</v>
      </c>
      <c r="M6" s="54">
        <f t="shared" si="3"/>
        <v>0.38575184085219261</v>
      </c>
      <c r="N6" s="54">
        <f t="shared" si="4"/>
        <v>4.6290220902263108</v>
      </c>
      <c r="O6" s="49">
        <v>0.2</v>
      </c>
      <c r="P6" s="55">
        <f t="shared" si="5"/>
        <v>43.20566981572172</v>
      </c>
      <c r="Q6" s="49">
        <v>2.5</v>
      </c>
      <c r="R6" s="49">
        <v>2.5</v>
      </c>
      <c r="S6" s="49">
        <v>2</v>
      </c>
      <c r="T6" s="49">
        <v>2.25</v>
      </c>
      <c r="U6" s="56"/>
      <c r="V6" s="56">
        <f t="shared" si="6"/>
        <v>9.25</v>
      </c>
      <c r="W6" s="57">
        <f t="shared" si="7"/>
        <v>4.2818454334593373E-2</v>
      </c>
      <c r="X6" s="49">
        <v>100</v>
      </c>
      <c r="Y6" s="58">
        <f t="shared" si="8"/>
        <v>35.682045278827815</v>
      </c>
      <c r="Z6" s="7"/>
      <c r="AA6" s="7"/>
      <c r="AB6" s="7"/>
      <c r="AC6" s="7"/>
      <c r="AD6" s="7"/>
      <c r="AE6" s="7"/>
      <c r="AF6" s="7"/>
      <c r="AG6" s="7"/>
      <c r="AH6" s="7"/>
    </row>
    <row r="7" spans="1:34" ht="15.75" customHeight="1" x14ac:dyDescent="0.35">
      <c r="A7" s="46" t="s">
        <v>123</v>
      </c>
      <c r="B7" s="46" t="s">
        <v>121</v>
      </c>
      <c r="C7" s="48">
        <v>45019</v>
      </c>
      <c r="D7" s="48">
        <v>45023</v>
      </c>
      <c r="E7" s="49">
        <f>SUM(23.5,720)</f>
        <v>743.5</v>
      </c>
      <c r="F7" s="50">
        <v>0.27539999999999998</v>
      </c>
      <c r="G7" s="51">
        <f t="shared" si="0"/>
        <v>22.949908199999999</v>
      </c>
      <c r="H7" s="52">
        <v>10.709899999999999</v>
      </c>
      <c r="I7" s="52">
        <v>17.918700000000001</v>
      </c>
      <c r="J7" s="53">
        <f t="shared" si="1"/>
        <v>9.1020202020202046</v>
      </c>
      <c r="K7" s="51">
        <v>11</v>
      </c>
      <c r="L7" s="51">
        <f t="shared" si="2"/>
        <v>374.93339649834638</v>
      </c>
      <c r="M7" s="54">
        <f t="shared" si="3"/>
        <v>0.37493339649834639</v>
      </c>
      <c r="N7" s="54">
        <f t="shared" si="4"/>
        <v>4.499200757980157</v>
      </c>
      <c r="O7" s="49">
        <v>0.2</v>
      </c>
      <c r="P7" s="55">
        <f t="shared" si="5"/>
        <v>44.452339595041053</v>
      </c>
      <c r="Q7" s="49">
        <v>2.5</v>
      </c>
      <c r="R7" s="49">
        <v>2.5</v>
      </c>
      <c r="S7" s="49">
        <v>2</v>
      </c>
      <c r="T7" s="49">
        <v>2.15</v>
      </c>
      <c r="U7" s="56"/>
      <c r="V7" s="56">
        <f t="shared" si="6"/>
        <v>9.15</v>
      </c>
      <c r="W7" s="57">
        <f t="shared" si="7"/>
        <v>4.1167686935518442E-2</v>
      </c>
      <c r="X7" s="49">
        <v>100</v>
      </c>
      <c r="Y7" s="58">
        <f t="shared" si="8"/>
        <v>34.306405779598691</v>
      </c>
      <c r="Z7" s="7"/>
      <c r="AA7" s="7"/>
      <c r="AB7" s="7"/>
      <c r="AC7" s="7"/>
      <c r="AD7" s="7"/>
      <c r="AE7" s="7"/>
      <c r="AF7" s="7"/>
      <c r="AG7" s="7"/>
      <c r="AH7" s="7"/>
    </row>
    <row r="8" spans="1:34" ht="15.75" customHeight="1" x14ac:dyDescent="0.35">
      <c r="A8" s="46" t="s">
        <v>129</v>
      </c>
      <c r="B8" s="46" t="s">
        <v>127</v>
      </c>
      <c r="C8" s="48">
        <v>45019</v>
      </c>
      <c r="D8" s="48">
        <v>45023</v>
      </c>
      <c r="E8" s="49">
        <f>SUM(20.5,790)</f>
        <v>810.5</v>
      </c>
      <c r="F8" s="50">
        <v>0.25490000000000002</v>
      </c>
      <c r="G8" s="51">
        <f t="shared" si="0"/>
        <v>21.241581700000001</v>
      </c>
      <c r="H8" s="52">
        <v>10.708600000000001</v>
      </c>
      <c r="I8" s="52">
        <v>18.150300000000001</v>
      </c>
      <c r="J8" s="53">
        <f t="shared" si="1"/>
        <v>9.3960858585858595</v>
      </c>
      <c r="K8" s="51">
        <v>11</v>
      </c>
      <c r="L8" s="51">
        <f t="shared" si="2"/>
        <v>366.45688911235879</v>
      </c>
      <c r="M8" s="54">
        <f t="shared" si="3"/>
        <v>0.3664568891123588</v>
      </c>
      <c r="N8" s="54">
        <f t="shared" si="4"/>
        <v>4.3974826693483058</v>
      </c>
      <c r="O8" s="49">
        <v>0.2</v>
      </c>
      <c r="P8" s="55">
        <f t="shared" si="5"/>
        <v>45.480565823273494</v>
      </c>
      <c r="Q8" s="49">
        <v>2.5</v>
      </c>
      <c r="R8" s="49">
        <v>2.5</v>
      </c>
      <c r="S8" s="49">
        <v>2</v>
      </c>
      <c r="T8" s="49">
        <v>2.4500000000000002</v>
      </c>
      <c r="U8" s="56"/>
      <c r="V8" s="56">
        <f t="shared" si="6"/>
        <v>9.4499999999999993</v>
      </c>
      <c r="W8" s="57">
        <f t="shared" si="7"/>
        <v>4.1556211225341484E-2</v>
      </c>
      <c r="X8" s="49">
        <v>100</v>
      </c>
      <c r="Y8" s="58">
        <f t="shared" si="8"/>
        <v>34.630176021117904</v>
      </c>
      <c r="Z8" s="7"/>
      <c r="AA8" s="7"/>
      <c r="AB8" s="7"/>
      <c r="AC8" s="7"/>
      <c r="AD8" s="7"/>
      <c r="AE8" s="7"/>
      <c r="AF8" s="7"/>
      <c r="AG8" s="7"/>
      <c r="AH8" s="7"/>
    </row>
    <row r="9" spans="1:34" ht="15.75" customHeight="1" x14ac:dyDescent="0.35">
      <c r="A9" s="46" t="s">
        <v>123</v>
      </c>
      <c r="B9" s="46" t="s">
        <v>137</v>
      </c>
      <c r="C9" s="48">
        <v>45019</v>
      </c>
      <c r="D9" s="48">
        <v>45023</v>
      </c>
      <c r="E9" s="49">
        <f>SUM(23.5,760)</f>
        <v>783.5</v>
      </c>
      <c r="F9" s="50">
        <v>0.27</v>
      </c>
      <c r="G9" s="51">
        <f t="shared" si="0"/>
        <v>22.49991</v>
      </c>
      <c r="H9" s="52">
        <v>10.745100000000001</v>
      </c>
      <c r="I9" s="52">
        <v>18.148299999999999</v>
      </c>
      <c r="J9" s="53">
        <f t="shared" si="1"/>
        <v>9.3474747474747453</v>
      </c>
      <c r="K9" s="51">
        <v>11</v>
      </c>
      <c r="L9" s="51">
        <f t="shared" si="2"/>
        <v>377.18592371190852</v>
      </c>
      <c r="M9" s="54">
        <f t="shared" si="3"/>
        <v>0.37718592371190851</v>
      </c>
      <c r="N9" s="54">
        <f t="shared" si="4"/>
        <v>4.5262310845429017</v>
      </c>
      <c r="O9" s="49">
        <v>0.2</v>
      </c>
      <c r="P9" s="55">
        <f t="shared" si="5"/>
        <v>44.186873419477159</v>
      </c>
      <c r="Q9" s="49">
        <v>2.5</v>
      </c>
      <c r="R9" s="49">
        <v>2.5</v>
      </c>
      <c r="S9" s="49">
        <v>2.5</v>
      </c>
      <c r="T9" s="49">
        <v>1.85</v>
      </c>
      <c r="U9" s="56"/>
      <c r="V9" s="56">
        <f t="shared" si="6"/>
        <v>9.35</v>
      </c>
      <c r="W9" s="57">
        <f t="shared" si="7"/>
        <v>4.2320260640476129E-2</v>
      </c>
      <c r="X9" s="49">
        <v>100</v>
      </c>
      <c r="Y9" s="58">
        <f t="shared" si="8"/>
        <v>35.266883867063441</v>
      </c>
      <c r="Z9" s="7"/>
      <c r="AA9" s="7"/>
      <c r="AB9" s="7"/>
      <c r="AC9" s="7"/>
      <c r="AD9" s="7"/>
      <c r="AE9" s="7"/>
      <c r="AF9" s="7"/>
      <c r="AG9" s="7"/>
      <c r="AH9" s="7"/>
    </row>
    <row r="10" spans="1:34" ht="15.75" customHeight="1" x14ac:dyDescent="0.35">
      <c r="A10" s="46" t="s">
        <v>123</v>
      </c>
      <c r="B10" s="46" t="s">
        <v>190</v>
      </c>
      <c r="C10" s="48">
        <v>44900</v>
      </c>
      <c r="D10" s="48">
        <v>44904</v>
      </c>
      <c r="E10" s="49">
        <v>920</v>
      </c>
      <c r="F10" s="50">
        <v>0.53910000000000002</v>
      </c>
      <c r="G10" s="51">
        <f t="shared" si="0"/>
        <v>44.9248203</v>
      </c>
      <c r="H10" s="49">
        <v>10.853199999999999</v>
      </c>
      <c r="I10" s="49">
        <v>18.182099999999998</v>
      </c>
      <c r="J10" s="53">
        <f t="shared" si="1"/>
        <v>9.2536616161616152</v>
      </c>
      <c r="K10" s="51">
        <v>11</v>
      </c>
      <c r="L10" s="51">
        <f t="shared" si="2"/>
        <v>893.28606102940421</v>
      </c>
      <c r="M10" s="54">
        <f t="shared" si="3"/>
        <v>0.89328606102940422</v>
      </c>
      <c r="N10" s="54">
        <f t="shared" si="4"/>
        <v>10.71943273235285</v>
      </c>
      <c r="O10" s="49">
        <v>0.25</v>
      </c>
      <c r="P10" s="55">
        <f t="shared" si="5"/>
        <v>23.322129653882023</v>
      </c>
      <c r="Q10" s="49">
        <v>2</v>
      </c>
      <c r="R10" s="49">
        <v>2</v>
      </c>
      <c r="S10" s="49">
        <v>2</v>
      </c>
      <c r="T10" s="49">
        <v>2</v>
      </c>
      <c r="U10" s="56">
        <v>1.05</v>
      </c>
      <c r="V10" s="60">
        <f>SUM(Q10:U10)</f>
        <v>9.0500000000000007</v>
      </c>
      <c r="W10" s="56">
        <f t="shared" si="7"/>
        <v>9.7010866227793299E-2</v>
      </c>
      <c r="X10" s="52">
        <v>100</v>
      </c>
      <c r="Y10" s="61">
        <f t="shared" si="8"/>
        <v>80.842388523161091</v>
      </c>
      <c r="Z10" s="10"/>
      <c r="AA10" s="7"/>
      <c r="AB10" s="7"/>
      <c r="AC10" s="7"/>
      <c r="AD10" s="7"/>
      <c r="AE10" s="7"/>
      <c r="AF10" s="7"/>
      <c r="AG10" s="7"/>
      <c r="AH10" s="7"/>
    </row>
    <row r="11" spans="1:34" ht="15.75" customHeight="1" x14ac:dyDescent="0.3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</row>
    <row r="12" spans="1:34" ht="15.75" customHeight="1" x14ac:dyDescent="0.3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</row>
    <row r="13" spans="1:34" ht="15.75" customHeight="1" x14ac:dyDescent="0.35">
      <c r="A13" s="62" t="s">
        <v>0</v>
      </c>
      <c r="B13" s="63" t="s">
        <v>191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</row>
    <row r="14" spans="1:34" ht="15.75" customHeight="1" x14ac:dyDescent="0.35">
      <c r="A14" s="64" t="s">
        <v>192</v>
      </c>
      <c r="B14" s="63" t="s">
        <v>193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</row>
    <row r="15" spans="1:34" ht="15.75" customHeight="1" x14ac:dyDescent="0.35">
      <c r="A15" s="41" t="s">
        <v>194</v>
      </c>
      <c r="B15" s="63" t="s">
        <v>195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</row>
    <row r="16" spans="1:34" ht="15.75" customHeight="1" x14ac:dyDescent="0.35">
      <c r="A16" s="64" t="s">
        <v>196</v>
      </c>
      <c r="B16" s="63" t="s">
        <v>197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</row>
    <row r="17" spans="1:34" ht="15.75" customHeight="1" x14ac:dyDescent="0.35">
      <c r="A17" s="43" t="s">
        <v>172</v>
      </c>
      <c r="B17" s="63" t="s">
        <v>198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</row>
    <row r="18" spans="1:34" ht="15.75" customHeight="1" x14ac:dyDescent="0.35">
      <c r="A18" s="64" t="s">
        <v>199</v>
      </c>
      <c r="B18" s="63" t="s">
        <v>200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</row>
    <row r="19" spans="1:34" ht="15.75" customHeight="1" x14ac:dyDescent="0.35">
      <c r="A19" s="64" t="s">
        <v>201</v>
      </c>
      <c r="B19" s="63" t="s">
        <v>202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</row>
    <row r="20" spans="1:34" ht="15.75" customHeight="1" x14ac:dyDescent="0.35">
      <c r="A20" s="43" t="s">
        <v>203</v>
      </c>
      <c r="B20" s="63" t="s">
        <v>204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</row>
    <row r="21" spans="1:34" ht="15.75" customHeight="1" x14ac:dyDescent="0.35">
      <c r="A21" s="1" t="s">
        <v>205</v>
      </c>
      <c r="B21" s="65">
        <v>0.2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</row>
    <row r="22" spans="1:34" ht="15.75" customHeight="1" x14ac:dyDescent="0.35">
      <c r="A22" s="66" t="s">
        <v>206</v>
      </c>
      <c r="B22" s="67">
        <v>0.79200000000000004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</row>
    <row r="23" spans="1:34" ht="15.75" customHeight="1" x14ac:dyDescent="0.35">
      <c r="A23" s="41" t="s">
        <v>185</v>
      </c>
      <c r="B23" s="63" t="s">
        <v>207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</row>
    <row r="24" spans="1:34" ht="15.75" customHeight="1" x14ac:dyDescent="0.35">
      <c r="A24" s="52"/>
      <c r="B24" s="68" t="s">
        <v>208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</row>
    <row r="25" spans="1:34" ht="15.75" customHeight="1" x14ac:dyDescent="0.35">
      <c r="A25" s="46"/>
      <c r="B25" s="69" t="s">
        <v>209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</row>
    <row r="26" spans="1:34" ht="15.75" customHeight="1" x14ac:dyDescent="0.3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</row>
    <row r="27" spans="1:34" ht="15.75" customHeight="1" x14ac:dyDescent="0.3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</row>
    <row r="28" spans="1:34" ht="15.75" customHeight="1" x14ac:dyDescent="0.3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</row>
    <row r="29" spans="1:34" ht="15.75" customHeight="1" x14ac:dyDescent="0.3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</row>
    <row r="30" spans="1:34" ht="15.75" customHeight="1" x14ac:dyDescent="0.3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</row>
    <row r="31" spans="1:34" ht="15.75" customHeight="1" x14ac:dyDescent="0.3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</row>
    <row r="32" spans="1:34" ht="15.75" customHeight="1" x14ac:dyDescent="0.3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</row>
    <row r="33" spans="1:34" ht="15.75" customHeight="1" x14ac:dyDescent="0.3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</row>
    <row r="34" spans="1:34" ht="15.75" customHeight="1" x14ac:dyDescent="0.3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</row>
    <row r="35" spans="1:34" ht="15.75" customHeight="1" x14ac:dyDescent="0.3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</row>
    <row r="36" spans="1:34" ht="15.75" customHeight="1" x14ac:dyDescent="0.3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</row>
    <row r="37" spans="1:34" ht="15.75" customHeight="1" x14ac:dyDescent="0.3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</row>
    <row r="38" spans="1:34" ht="15.75" customHeight="1" x14ac:dyDescent="0.3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</row>
    <row r="39" spans="1:34" ht="15.75" customHeight="1" x14ac:dyDescent="0.3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</row>
    <row r="40" spans="1:34" ht="15.75" customHeight="1" x14ac:dyDescent="0.3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</row>
    <row r="41" spans="1:34" ht="15.75" customHeight="1" x14ac:dyDescent="0.3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</row>
    <row r="42" spans="1:34" ht="15.75" customHeight="1" x14ac:dyDescent="0.3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</row>
    <row r="43" spans="1:34" ht="15.75" customHeight="1" x14ac:dyDescent="0.3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</row>
    <row r="44" spans="1:34" ht="15.75" customHeight="1" x14ac:dyDescent="0.3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</row>
    <row r="45" spans="1:34" ht="15.75" customHeight="1" x14ac:dyDescent="0.3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</row>
    <row r="46" spans="1:34" ht="15.75" customHeight="1" x14ac:dyDescent="0.3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</row>
    <row r="47" spans="1:34" ht="15.75" customHeight="1" x14ac:dyDescent="0.3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</row>
    <row r="48" spans="1:34" ht="15.75" customHeight="1" x14ac:dyDescent="0.3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</row>
    <row r="49" spans="1:34" ht="15.75" customHeight="1" x14ac:dyDescent="0.3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</row>
    <row r="50" spans="1:34" ht="15.75" customHeight="1" x14ac:dyDescent="0.3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</row>
    <row r="51" spans="1:34" ht="15.75" customHeight="1" x14ac:dyDescent="0.3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</row>
    <row r="52" spans="1:34" ht="15.75" customHeight="1" x14ac:dyDescent="0.3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</row>
    <row r="53" spans="1:34" ht="15.75" customHeight="1" x14ac:dyDescent="0.3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</row>
    <row r="54" spans="1:34" ht="15.75" customHeight="1" x14ac:dyDescent="0.3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</row>
    <row r="55" spans="1:34" ht="15.75" customHeight="1" x14ac:dyDescent="0.3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</row>
    <row r="56" spans="1:34" ht="15.75" customHeight="1" x14ac:dyDescent="0.3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</row>
    <row r="57" spans="1:34" ht="14.5" x14ac:dyDescent="0.3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</row>
    <row r="58" spans="1:34" ht="14.5" x14ac:dyDescent="0.3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</row>
    <row r="59" spans="1:34" ht="14.5" x14ac:dyDescent="0.3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</row>
    <row r="60" spans="1:34" ht="14.5" x14ac:dyDescent="0.3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</row>
    <row r="61" spans="1:34" ht="14.5" x14ac:dyDescent="0.3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</row>
    <row r="62" spans="1:34" ht="14.5" x14ac:dyDescent="0.3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</row>
    <row r="63" spans="1:34" ht="14.5" x14ac:dyDescent="0.3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</row>
    <row r="64" spans="1:34" ht="14.5" x14ac:dyDescent="0.3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</row>
    <row r="65" spans="1:34" ht="14.5" x14ac:dyDescent="0.3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</row>
    <row r="66" spans="1:34" ht="14.5" x14ac:dyDescent="0.3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</row>
    <row r="67" spans="1:34" ht="14.5" x14ac:dyDescent="0.3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</row>
    <row r="68" spans="1:34" ht="14.5" x14ac:dyDescent="0.3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</row>
    <row r="69" spans="1:34" ht="14.5" x14ac:dyDescent="0.3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</row>
    <row r="70" spans="1:34" ht="14.5" x14ac:dyDescent="0.3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</row>
    <row r="71" spans="1:34" ht="14.5" x14ac:dyDescent="0.3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</row>
    <row r="72" spans="1:34" ht="14.5" x14ac:dyDescent="0.3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</row>
    <row r="73" spans="1:34" ht="14.5" x14ac:dyDescent="0.3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</row>
    <row r="74" spans="1:34" ht="14.5" x14ac:dyDescent="0.3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</row>
    <row r="75" spans="1:34" ht="14.5" x14ac:dyDescent="0.3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</row>
    <row r="76" spans="1:34" ht="14.5" x14ac:dyDescent="0.3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</row>
    <row r="77" spans="1:34" ht="14.5" x14ac:dyDescent="0.3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</row>
    <row r="78" spans="1:34" ht="14.5" x14ac:dyDescent="0.3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</row>
    <row r="79" spans="1:34" ht="14.5" x14ac:dyDescent="0.3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</row>
    <row r="80" spans="1:34" ht="14.5" x14ac:dyDescent="0.3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</row>
    <row r="81" spans="1:34" ht="14.5" x14ac:dyDescent="0.3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</row>
    <row r="82" spans="1:34" ht="14.5" x14ac:dyDescent="0.3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</row>
    <row r="83" spans="1:34" ht="14.5" x14ac:dyDescent="0.3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</row>
    <row r="84" spans="1:34" ht="14.5" x14ac:dyDescent="0.3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</row>
    <row r="85" spans="1:34" ht="14.5" x14ac:dyDescent="0.3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</row>
    <row r="86" spans="1:34" ht="14.5" x14ac:dyDescent="0.3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</row>
    <row r="87" spans="1:34" ht="14.5" x14ac:dyDescent="0.3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</row>
    <row r="88" spans="1:34" ht="14.5" x14ac:dyDescent="0.3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</row>
    <row r="89" spans="1:34" ht="14.5" x14ac:dyDescent="0.3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</row>
    <row r="90" spans="1:34" ht="14.5" x14ac:dyDescent="0.3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</row>
    <row r="91" spans="1:34" ht="14.5" x14ac:dyDescent="0.3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</row>
    <row r="92" spans="1:34" ht="14.5" x14ac:dyDescent="0.3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</row>
    <row r="93" spans="1:34" ht="14.5" x14ac:dyDescent="0.3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</row>
    <row r="94" spans="1:34" ht="14.5" x14ac:dyDescent="0.3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</row>
    <row r="95" spans="1:34" ht="14.5" x14ac:dyDescent="0.3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</row>
    <row r="96" spans="1:34" ht="14.5" x14ac:dyDescent="0.3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</row>
    <row r="97" spans="1:34" ht="14.5" x14ac:dyDescent="0.3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</row>
    <row r="98" spans="1:34" ht="14.5" x14ac:dyDescent="0.3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</row>
    <row r="99" spans="1:34" ht="14.5" x14ac:dyDescent="0.3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</row>
    <row r="100" spans="1:34" ht="14.5" x14ac:dyDescent="0.3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</row>
    <row r="101" spans="1:34" ht="14.5" x14ac:dyDescent="0.3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</row>
    <row r="102" spans="1:34" ht="14.5" x14ac:dyDescent="0.3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</row>
    <row r="103" spans="1:34" ht="14.5" x14ac:dyDescent="0.3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</row>
    <row r="104" spans="1:34" ht="14.5" x14ac:dyDescent="0.3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</row>
    <row r="105" spans="1:34" ht="14.5" x14ac:dyDescent="0.3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</row>
    <row r="106" spans="1:34" ht="14.5" x14ac:dyDescent="0.3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</row>
    <row r="107" spans="1:34" ht="14.5" x14ac:dyDescent="0.3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</row>
    <row r="108" spans="1:34" ht="14.5" x14ac:dyDescent="0.3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</row>
    <row r="109" spans="1:34" ht="14.5" x14ac:dyDescent="0.3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</row>
    <row r="110" spans="1:34" ht="14.5" x14ac:dyDescent="0.3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</row>
    <row r="111" spans="1:34" ht="14.5" x14ac:dyDescent="0.3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</row>
    <row r="112" spans="1:34" ht="14.5" x14ac:dyDescent="0.3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</row>
    <row r="113" spans="1:34" ht="14.5" x14ac:dyDescent="0.3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</row>
    <row r="114" spans="1:34" ht="14.5" x14ac:dyDescent="0.3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</row>
    <row r="115" spans="1:34" ht="14.5" x14ac:dyDescent="0.3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</row>
    <row r="116" spans="1:34" ht="14.5" x14ac:dyDescent="0.3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</row>
    <row r="117" spans="1:34" ht="14.5" x14ac:dyDescent="0.3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</row>
    <row r="118" spans="1:34" ht="14.5" x14ac:dyDescent="0.3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</row>
    <row r="119" spans="1:34" ht="14.5" x14ac:dyDescent="0.3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</row>
    <row r="120" spans="1:34" ht="14.5" x14ac:dyDescent="0.3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</row>
    <row r="121" spans="1:34" ht="14.5" x14ac:dyDescent="0.3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</row>
    <row r="122" spans="1:34" ht="14.5" x14ac:dyDescent="0.3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</row>
    <row r="123" spans="1:34" ht="14.5" x14ac:dyDescent="0.3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</row>
    <row r="124" spans="1:34" ht="14.5" x14ac:dyDescent="0.3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</row>
    <row r="125" spans="1:34" ht="14.5" x14ac:dyDescent="0.3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</row>
    <row r="126" spans="1:34" ht="14.5" x14ac:dyDescent="0.3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</row>
    <row r="127" spans="1:34" ht="14.5" x14ac:dyDescent="0.3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</row>
    <row r="128" spans="1:34" ht="14.5" x14ac:dyDescent="0.3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</row>
    <row r="129" spans="1:34" ht="14.5" x14ac:dyDescent="0.3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</row>
    <row r="130" spans="1:34" ht="14.5" x14ac:dyDescent="0.3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</row>
    <row r="131" spans="1:34" ht="14.5" x14ac:dyDescent="0.3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</row>
    <row r="132" spans="1:34" ht="14.5" x14ac:dyDescent="0.3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</row>
    <row r="133" spans="1:34" ht="14.5" x14ac:dyDescent="0.3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</row>
    <row r="134" spans="1:34" ht="14.5" x14ac:dyDescent="0.3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</row>
    <row r="135" spans="1:34" ht="14.5" x14ac:dyDescent="0.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</row>
    <row r="136" spans="1:34" ht="14.5" x14ac:dyDescent="0.3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</row>
    <row r="137" spans="1:34" ht="14.5" x14ac:dyDescent="0.3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</row>
    <row r="138" spans="1:34" ht="14.5" x14ac:dyDescent="0.3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</row>
    <row r="139" spans="1:34" ht="14.5" x14ac:dyDescent="0.3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</row>
    <row r="140" spans="1:34" ht="14.5" x14ac:dyDescent="0.3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</row>
    <row r="141" spans="1:34" ht="14.5" x14ac:dyDescent="0.3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</row>
    <row r="142" spans="1:34" ht="14.5" x14ac:dyDescent="0.3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</row>
    <row r="143" spans="1:34" ht="14.5" x14ac:dyDescent="0.3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</row>
    <row r="144" spans="1:34" ht="14.5" x14ac:dyDescent="0.3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</row>
    <row r="145" spans="1:34" ht="14.5" x14ac:dyDescent="0.3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</row>
    <row r="146" spans="1:34" ht="14.5" x14ac:dyDescent="0.3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</row>
    <row r="147" spans="1:34" ht="14.5" x14ac:dyDescent="0.3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</row>
    <row r="148" spans="1:34" ht="14.5" x14ac:dyDescent="0.3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</row>
    <row r="149" spans="1:34" ht="14.5" x14ac:dyDescent="0.3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</row>
    <row r="150" spans="1:34" ht="14.5" x14ac:dyDescent="0.3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</row>
    <row r="151" spans="1:34" ht="14.5" x14ac:dyDescent="0.3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</row>
    <row r="152" spans="1:34" ht="14.5" x14ac:dyDescent="0.3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</row>
    <row r="153" spans="1:34" ht="14.5" x14ac:dyDescent="0.3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</row>
    <row r="154" spans="1:34" ht="14.5" x14ac:dyDescent="0.3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</row>
    <row r="155" spans="1:34" ht="14.5" x14ac:dyDescent="0.3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</row>
    <row r="156" spans="1:34" ht="14.5" x14ac:dyDescent="0.3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</row>
    <row r="157" spans="1:34" ht="14.5" x14ac:dyDescent="0.3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</row>
    <row r="158" spans="1:34" ht="14.5" x14ac:dyDescent="0.3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</row>
    <row r="159" spans="1:34" ht="14.5" x14ac:dyDescent="0.3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</row>
    <row r="160" spans="1:34" ht="14.5" x14ac:dyDescent="0.3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</row>
    <row r="161" spans="1:34" ht="14.5" x14ac:dyDescent="0.3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</row>
    <row r="162" spans="1:34" ht="14.5" x14ac:dyDescent="0.3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</row>
    <row r="163" spans="1:34" ht="14.5" x14ac:dyDescent="0.3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</row>
    <row r="164" spans="1:34" ht="14.5" x14ac:dyDescent="0.3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</row>
    <row r="165" spans="1:34" ht="14.5" x14ac:dyDescent="0.3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</row>
    <row r="166" spans="1:34" ht="14.5" x14ac:dyDescent="0.3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</row>
    <row r="167" spans="1:34" ht="14.5" x14ac:dyDescent="0.3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</row>
    <row r="168" spans="1:34" ht="14.5" x14ac:dyDescent="0.3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</row>
    <row r="169" spans="1:34" ht="14.5" x14ac:dyDescent="0.3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</row>
    <row r="170" spans="1:34" ht="14.5" x14ac:dyDescent="0.3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</row>
    <row r="171" spans="1:34" ht="14.5" x14ac:dyDescent="0.3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</row>
    <row r="172" spans="1:34" ht="14.5" x14ac:dyDescent="0.3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</row>
    <row r="173" spans="1:34" ht="14.5" x14ac:dyDescent="0.3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</row>
    <row r="174" spans="1:34" ht="14.5" x14ac:dyDescent="0.3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</row>
    <row r="175" spans="1:34" ht="14.5" x14ac:dyDescent="0.3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</row>
    <row r="176" spans="1:34" ht="14.5" x14ac:dyDescent="0.3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</row>
    <row r="177" spans="1:34" ht="14.5" x14ac:dyDescent="0.3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</row>
    <row r="178" spans="1:34" ht="14.5" x14ac:dyDescent="0.3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</row>
    <row r="179" spans="1:34" ht="14.5" x14ac:dyDescent="0.3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</row>
    <row r="180" spans="1:34" ht="14.5" x14ac:dyDescent="0.3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</row>
    <row r="181" spans="1:34" ht="14.5" x14ac:dyDescent="0.3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</row>
    <row r="182" spans="1:34" ht="14.5" x14ac:dyDescent="0.3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</row>
    <row r="183" spans="1:34" ht="14.5" x14ac:dyDescent="0.3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</row>
    <row r="184" spans="1:34" ht="14.5" x14ac:dyDescent="0.3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</row>
    <row r="185" spans="1:34" ht="14.5" x14ac:dyDescent="0.3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</row>
    <row r="186" spans="1:34" ht="14.5" x14ac:dyDescent="0.3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</row>
    <row r="187" spans="1:34" ht="14.5" x14ac:dyDescent="0.3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</row>
    <row r="188" spans="1:34" ht="14.5" x14ac:dyDescent="0.3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</row>
    <row r="189" spans="1:34" ht="14.5" x14ac:dyDescent="0.3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</row>
    <row r="190" spans="1:34" ht="14.5" x14ac:dyDescent="0.3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</row>
    <row r="191" spans="1:34" ht="14.5" x14ac:dyDescent="0.3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</row>
    <row r="192" spans="1:34" ht="14.5" x14ac:dyDescent="0.3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</row>
    <row r="193" spans="1:34" ht="14.5" x14ac:dyDescent="0.3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</row>
    <row r="194" spans="1:34" ht="14.5" x14ac:dyDescent="0.3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</row>
    <row r="195" spans="1:34" ht="14.5" x14ac:dyDescent="0.3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</row>
    <row r="196" spans="1:34" ht="14.5" x14ac:dyDescent="0.3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</row>
    <row r="197" spans="1:34" ht="14.5" x14ac:dyDescent="0.3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</row>
    <row r="198" spans="1:34" ht="14.5" x14ac:dyDescent="0.3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</row>
    <row r="199" spans="1:34" ht="14.5" x14ac:dyDescent="0.3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</row>
    <row r="200" spans="1:34" ht="14.5" x14ac:dyDescent="0.3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</row>
    <row r="201" spans="1:34" ht="14.5" x14ac:dyDescent="0.3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</row>
    <row r="202" spans="1:34" ht="14.5" x14ac:dyDescent="0.3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</row>
    <row r="203" spans="1:34" ht="14.5" x14ac:dyDescent="0.3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</row>
    <row r="204" spans="1:34" ht="14.5" x14ac:dyDescent="0.3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</row>
    <row r="205" spans="1:34" ht="14.5" x14ac:dyDescent="0.3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</row>
    <row r="206" spans="1:34" ht="14.5" x14ac:dyDescent="0.3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</row>
    <row r="207" spans="1:34" ht="14.5" x14ac:dyDescent="0.3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</row>
    <row r="208" spans="1:34" ht="14.5" x14ac:dyDescent="0.3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</row>
    <row r="209" spans="1:34" ht="14.5" x14ac:dyDescent="0.3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</row>
    <row r="210" spans="1:34" ht="14.5" x14ac:dyDescent="0.3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</row>
    <row r="211" spans="1:34" ht="14.5" x14ac:dyDescent="0.3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</row>
    <row r="212" spans="1:34" ht="14.5" x14ac:dyDescent="0.3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</row>
    <row r="213" spans="1:34" ht="14.5" x14ac:dyDescent="0.3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</row>
    <row r="214" spans="1:34" ht="14.5" x14ac:dyDescent="0.3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</row>
    <row r="215" spans="1:34" ht="14.5" x14ac:dyDescent="0.3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</row>
    <row r="216" spans="1:34" ht="14.5" x14ac:dyDescent="0.3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</row>
    <row r="217" spans="1:34" ht="14.5" x14ac:dyDescent="0.3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</row>
    <row r="218" spans="1:34" ht="14.5" x14ac:dyDescent="0.3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</row>
    <row r="219" spans="1:34" ht="14.5" x14ac:dyDescent="0.3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</row>
    <row r="220" spans="1:34" ht="14.5" x14ac:dyDescent="0.3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</row>
    <row r="221" spans="1:34" ht="14.5" x14ac:dyDescent="0.3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</row>
    <row r="222" spans="1:34" ht="14.5" x14ac:dyDescent="0.3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</row>
    <row r="223" spans="1:34" ht="14.5" x14ac:dyDescent="0.3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</row>
    <row r="224" spans="1:34" ht="14.5" x14ac:dyDescent="0.3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</row>
    <row r="225" spans="1:34" ht="14.5" x14ac:dyDescent="0.3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</row>
    <row r="226" spans="1:34" ht="14.5" x14ac:dyDescent="0.3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</row>
    <row r="227" spans="1:34" ht="14.5" x14ac:dyDescent="0.3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</row>
    <row r="228" spans="1:34" ht="14.5" x14ac:dyDescent="0.3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</row>
    <row r="229" spans="1:34" ht="14.5" x14ac:dyDescent="0.3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</row>
    <row r="230" spans="1:34" ht="14.5" x14ac:dyDescent="0.3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</row>
    <row r="231" spans="1:34" ht="14.5" x14ac:dyDescent="0.3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</row>
    <row r="232" spans="1:34" ht="14.5" x14ac:dyDescent="0.3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</row>
    <row r="233" spans="1:34" ht="14.5" x14ac:dyDescent="0.3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</row>
    <row r="234" spans="1:34" ht="14.5" x14ac:dyDescent="0.3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</row>
    <row r="235" spans="1:34" ht="14.5" x14ac:dyDescent="0.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</row>
    <row r="236" spans="1:34" ht="14.5" x14ac:dyDescent="0.3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</row>
    <row r="237" spans="1:34" ht="14.5" x14ac:dyDescent="0.3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</row>
    <row r="238" spans="1:34" ht="14.5" x14ac:dyDescent="0.3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</row>
    <row r="239" spans="1:34" ht="14.5" x14ac:dyDescent="0.3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</row>
    <row r="240" spans="1:34" ht="14.5" x14ac:dyDescent="0.3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</row>
    <row r="241" spans="1:34" ht="14.5" x14ac:dyDescent="0.3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</row>
    <row r="242" spans="1:34" ht="14.5" x14ac:dyDescent="0.3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</row>
    <row r="243" spans="1:34" ht="14.5" x14ac:dyDescent="0.3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</row>
    <row r="244" spans="1:34" ht="14.5" x14ac:dyDescent="0.3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</row>
    <row r="245" spans="1:34" ht="14.5" x14ac:dyDescent="0.3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</row>
    <row r="246" spans="1:34" ht="14.5" x14ac:dyDescent="0.3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</row>
    <row r="247" spans="1:34" ht="14.5" x14ac:dyDescent="0.3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</row>
    <row r="248" spans="1:34" ht="14.5" x14ac:dyDescent="0.3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</row>
    <row r="249" spans="1:34" ht="14.5" x14ac:dyDescent="0.3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</row>
    <row r="250" spans="1:34" ht="14.5" x14ac:dyDescent="0.3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</row>
    <row r="251" spans="1:34" ht="14.5" x14ac:dyDescent="0.3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</row>
    <row r="252" spans="1:34" ht="14.5" x14ac:dyDescent="0.3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</row>
    <row r="253" spans="1:34" ht="14.5" x14ac:dyDescent="0.3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</row>
    <row r="254" spans="1:34" ht="14.5" x14ac:dyDescent="0.3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</row>
    <row r="255" spans="1:34" ht="14.5" x14ac:dyDescent="0.3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</row>
    <row r="256" spans="1:34" ht="14.5" x14ac:dyDescent="0.3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</row>
    <row r="257" spans="1:34" ht="14.5" x14ac:dyDescent="0.3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</row>
    <row r="258" spans="1:34" ht="14.5" x14ac:dyDescent="0.3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</row>
    <row r="259" spans="1:34" ht="14.5" x14ac:dyDescent="0.3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</row>
    <row r="260" spans="1:34" ht="14.5" x14ac:dyDescent="0.3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</row>
    <row r="261" spans="1:34" ht="14.5" x14ac:dyDescent="0.3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</row>
    <row r="262" spans="1:34" ht="14.5" x14ac:dyDescent="0.3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</row>
    <row r="263" spans="1:34" ht="14.5" x14ac:dyDescent="0.3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</row>
    <row r="264" spans="1:34" ht="14.5" x14ac:dyDescent="0.3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</row>
    <row r="265" spans="1:34" ht="14.5" x14ac:dyDescent="0.3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</row>
    <row r="266" spans="1:34" ht="14.5" x14ac:dyDescent="0.3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</row>
    <row r="267" spans="1:34" ht="14.5" x14ac:dyDescent="0.3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</row>
    <row r="268" spans="1:34" ht="14.5" x14ac:dyDescent="0.3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</row>
    <row r="269" spans="1:34" ht="14.5" x14ac:dyDescent="0.3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</row>
    <row r="270" spans="1:34" ht="14.5" x14ac:dyDescent="0.3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</row>
    <row r="271" spans="1:34" ht="14.5" x14ac:dyDescent="0.3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</row>
    <row r="272" spans="1:34" ht="14.5" x14ac:dyDescent="0.3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</row>
    <row r="273" spans="1:34" ht="14.5" x14ac:dyDescent="0.3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</row>
    <row r="274" spans="1:34" ht="14.5" x14ac:dyDescent="0.3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</row>
    <row r="275" spans="1:34" ht="14.5" x14ac:dyDescent="0.3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</row>
    <row r="276" spans="1:34" ht="14.5" x14ac:dyDescent="0.3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</row>
    <row r="277" spans="1:34" ht="14.5" x14ac:dyDescent="0.3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</row>
    <row r="278" spans="1:34" ht="14.5" x14ac:dyDescent="0.3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</row>
    <row r="279" spans="1:34" ht="14.5" x14ac:dyDescent="0.3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</row>
    <row r="280" spans="1:34" ht="14.5" x14ac:dyDescent="0.3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</row>
    <row r="281" spans="1:34" ht="14.5" x14ac:dyDescent="0.3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</row>
    <row r="282" spans="1:34" ht="14.5" x14ac:dyDescent="0.3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</row>
    <row r="283" spans="1:34" ht="14.5" x14ac:dyDescent="0.3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</row>
    <row r="284" spans="1:34" ht="14.5" x14ac:dyDescent="0.3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</row>
    <row r="285" spans="1:34" ht="14.5" x14ac:dyDescent="0.3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</row>
    <row r="286" spans="1:34" ht="14.5" x14ac:dyDescent="0.3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</row>
    <row r="287" spans="1:34" ht="14.5" x14ac:dyDescent="0.3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</row>
    <row r="288" spans="1:34" ht="14.5" x14ac:dyDescent="0.3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</row>
    <row r="289" spans="1:34" ht="14.5" x14ac:dyDescent="0.3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</row>
    <row r="290" spans="1:34" ht="14.5" x14ac:dyDescent="0.3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</row>
    <row r="291" spans="1:34" ht="14.5" x14ac:dyDescent="0.3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</row>
    <row r="292" spans="1:34" ht="14.5" x14ac:dyDescent="0.3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</row>
    <row r="293" spans="1:34" ht="14.5" x14ac:dyDescent="0.3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</row>
    <row r="294" spans="1:34" ht="14.5" x14ac:dyDescent="0.3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</row>
    <row r="295" spans="1:34" ht="14.5" x14ac:dyDescent="0.3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</row>
    <row r="296" spans="1:34" ht="14.5" x14ac:dyDescent="0.3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</row>
    <row r="297" spans="1:34" ht="14.5" x14ac:dyDescent="0.3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</row>
    <row r="298" spans="1:34" ht="14.5" x14ac:dyDescent="0.3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</row>
    <row r="299" spans="1:34" ht="14.5" x14ac:dyDescent="0.3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</row>
    <row r="300" spans="1:34" ht="14.5" x14ac:dyDescent="0.3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</row>
    <row r="301" spans="1:34" ht="14.5" x14ac:dyDescent="0.3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</row>
    <row r="302" spans="1:34" ht="14.5" x14ac:dyDescent="0.3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</row>
    <row r="303" spans="1:34" ht="14.5" x14ac:dyDescent="0.3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</row>
    <row r="304" spans="1:34" ht="14.5" x14ac:dyDescent="0.3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</row>
    <row r="305" spans="1:34" ht="14.5" x14ac:dyDescent="0.3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</row>
    <row r="306" spans="1:34" ht="14.5" x14ac:dyDescent="0.3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</row>
    <row r="307" spans="1:34" ht="14.5" x14ac:dyDescent="0.3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</row>
    <row r="308" spans="1:34" ht="14.5" x14ac:dyDescent="0.3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</row>
    <row r="309" spans="1:34" ht="14.5" x14ac:dyDescent="0.3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</row>
    <row r="310" spans="1:34" ht="14.5" x14ac:dyDescent="0.3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</row>
    <row r="311" spans="1:34" ht="14.5" x14ac:dyDescent="0.3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</row>
    <row r="312" spans="1:34" ht="14.5" x14ac:dyDescent="0.3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</row>
    <row r="313" spans="1:34" ht="14.5" x14ac:dyDescent="0.3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</row>
    <row r="314" spans="1:34" ht="14.5" x14ac:dyDescent="0.3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</row>
    <row r="315" spans="1:34" ht="14.5" x14ac:dyDescent="0.3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</row>
    <row r="316" spans="1:34" ht="14.5" x14ac:dyDescent="0.3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</row>
    <row r="317" spans="1:34" ht="14.5" x14ac:dyDescent="0.3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</row>
    <row r="318" spans="1:34" ht="14.5" x14ac:dyDescent="0.3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</row>
    <row r="319" spans="1:34" ht="14.5" x14ac:dyDescent="0.3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</row>
    <row r="320" spans="1:34" ht="14.5" x14ac:dyDescent="0.3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</row>
    <row r="321" spans="1:34" ht="14.5" x14ac:dyDescent="0.3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</row>
    <row r="322" spans="1:34" ht="14.5" x14ac:dyDescent="0.3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</row>
    <row r="323" spans="1:34" ht="14.5" x14ac:dyDescent="0.3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</row>
    <row r="324" spans="1:34" ht="14.5" x14ac:dyDescent="0.3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</row>
    <row r="325" spans="1:34" ht="14.5" x14ac:dyDescent="0.3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</row>
    <row r="326" spans="1:34" ht="14.5" x14ac:dyDescent="0.3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</row>
    <row r="327" spans="1:34" ht="14.5" x14ac:dyDescent="0.3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</row>
    <row r="328" spans="1:34" ht="14.5" x14ac:dyDescent="0.3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</row>
    <row r="329" spans="1:34" ht="14.5" x14ac:dyDescent="0.3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</row>
    <row r="330" spans="1:34" ht="14.5" x14ac:dyDescent="0.3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</row>
    <row r="331" spans="1:34" ht="14.5" x14ac:dyDescent="0.3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</row>
    <row r="332" spans="1:34" ht="14.5" x14ac:dyDescent="0.3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</row>
    <row r="333" spans="1:34" ht="14.5" x14ac:dyDescent="0.3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</row>
    <row r="334" spans="1:34" ht="14.5" x14ac:dyDescent="0.3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</row>
    <row r="335" spans="1:34" ht="14.5" x14ac:dyDescent="0.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</row>
    <row r="336" spans="1:34" ht="14.5" x14ac:dyDescent="0.3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</row>
    <row r="337" spans="1:34" ht="14.5" x14ac:dyDescent="0.3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</row>
    <row r="338" spans="1:34" ht="14.5" x14ac:dyDescent="0.3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</row>
    <row r="339" spans="1:34" ht="14.5" x14ac:dyDescent="0.3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</row>
    <row r="340" spans="1:34" ht="14.5" x14ac:dyDescent="0.3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</row>
    <row r="341" spans="1:34" ht="14.5" x14ac:dyDescent="0.3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</row>
    <row r="342" spans="1:34" ht="14.5" x14ac:dyDescent="0.3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</row>
    <row r="343" spans="1:34" ht="14.5" x14ac:dyDescent="0.3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</row>
    <row r="344" spans="1:34" ht="14.5" x14ac:dyDescent="0.3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</row>
    <row r="345" spans="1:34" ht="14.5" x14ac:dyDescent="0.3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</row>
    <row r="346" spans="1:34" ht="14.5" x14ac:dyDescent="0.3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</row>
    <row r="347" spans="1:34" ht="14.5" x14ac:dyDescent="0.3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</row>
    <row r="348" spans="1:34" ht="14.5" x14ac:dyDescent="0.3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</row>
    <row r="349" spans="1:34" ht="14.5" x14ac:dyDescent="0.3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</row>
    <row r="350" spans="1:34" ht="14.5" x14ac:dyDescent="0.3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</row>
    <row r="351" spans="1:34" ht="14.5" x14ac:dyDescent="0.3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</row>
    <row r="352" spans="1:34" ht="14.5" x14ac:dyDescent="0.3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</row>
    <row r="353" spans="1:34" ht="14.5" x14ac:dyDescent="0.3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</row>
    <row r="354" spans="1:34" ht="14.5" x14ac:dyDescent="0.3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</row>
    <row r="355" spans="1:34" ht="14.5" x14ac:dyDescent="0.3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</row>
    <row r="356" spans="1:34" ht="14.5" x14ac:dyDescent="0.3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</row>
    <row r="357" spans="1:34" ht="14.5" x14ac:dyDescent="0.3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</row>
    <row r="358" spans="1:34" ht="14.5" x14ac:dyDescent="0.3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</row>
    <row r="359" spans="1:34" ht="14.5" x14ac:dyDescent="0.3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</row>
    <row r="360" spans="1:34" ht="14.5" x14ac:dyDescent="0.3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</row>
    <row r="361" spans="1:34" ht="14.5" x14ac:dyDescent="0.3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</row>
    <row r="362" spans="1:34" ht="14.5" x14ac:dyDescent="0.3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</row>
    <row r="363" spans="1:34" ht="14.5" x14ac:dyDescent="0.3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</row>
    <row r="364" spans="1:34" ht="14.5" x14ac:dyDescent="0.3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</row>
    <row r="365" spans="1:34" ht="14.5" x14ac:dyDescent="0.3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</row>
    <row r="366" spans="1:34" ht="14.5" x14ac:dyDescent="0.3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</row>
    <row r="367" spans="1:34" ht="14.5" x14ac:dyDescent="0.3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</row>
    <row r="368" spans="1:34" ht="14.5" x14ac:dyDescent="0.3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</row>
    <row r="369" spans="1:34" ht="14.5" x14ac:dyDescent="0.3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</row>
    <row r="370" spans="1:34" ht="14.5" x14ac:dyDescent="0.3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</row>
    <row r="371" spans="1:34" ht="14.5" x14ac:dyDescent="0.3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</row>
    <row r="372" spans="1:34" ht="14.5" x14ac:dyDescent="0.3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</row>
    <row r="373" spans="1:34" ht="14.5" x14ac:dyDescent="0.3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</row>
    <row r="374" spans="1:34" ht="14.5" x14ac:dyDescent="0.3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</row>
    <row r="375" spans="1:34" ht="14.5" x14ac:dyDescent="0.3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</row>
    <row r="376" spans="1:34" ht="14.5" x14ac:dyDescent="0.3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</row>
    <row r="377" spans="1:34" ht="14.5" x14ac:dyDescent="0.3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</row>
    <row r="378" spans="1:34" ht="14.5" x14ac:dyDescent="0.3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</row>
    <row r="379" spans="1:34" ht="14.5" x14ac:dyDescent="0.3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</row>
    <row r="380" spans="1:34" ht="14.5" x14ac:dyDescent="0.3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</row>
    <row r="381" spans="1:34" ht="14.5" x14ac:dyDescent="0.3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</row>
    <row r="382" spans="1:34" ht="14.5" x14ac:dyDescent="0.3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</row>
    <row r="383" spans="1:34" ht="14.5" x14ac:dyDescent="0.3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</row>
    <row r="384" spans="1:34" ht="14.5" x14ac:dyDescent="0.3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</row>
    <row r="385" spans="1:34" ht="14.5" x14ac:dyDescent="0.3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</row>
    <row r="386" spans="1:34" ht="14.5" x14ac:dyDescent="0.3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</row>
    <row r="387" spans="1:34" ht="14.5" x14ac:dyDescent="0.3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</row>
    <row r="388" spans="1:34" ht="14.5" x14ac:dyDescent="0.3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</row>
    <row r="389" spans="1:34" ht="14.5" x14ac:dyDescent="0.3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</row>
    <row r="390" spans="1:34" ht="14.5" x14ac:dyDescent="0.3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</row>
    <row r="391" spans="1:34" ht="14.5" x14ac:dyDescent="0.3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</row>
    <row r="392" spans="1:34" ht="14.5" x14ac:dyDescent="0.3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</row>
    <row r="393" spans="1:34" ht="14.5" x14ac:dyDescent="0.3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</row>
    <row r="394" spans="1:34" ht="14.5" x14ac:dyDescent="0.3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</row>
    <row r="395" spans="1:34" ht="14.5" x14ac:dyDescent="0.3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</row>
    <row r="396" spans="1:34" ht="14.5" x14ac:dyDescent="0.3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</row>
    <row r="397" spans="1:34" ht="14.5" x14ac:dyDescent="0.3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</row>
    <row r="398" spans="1:34" ht="14.5" x14ac:dyDescent="0.3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</row>
    <row r="399" spans="1:34" ht="14.5" x14ac:dyDescent="0.3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</row>
    <row r="400" spans="1:34" ht="14.5" x14ac:dyDescent="0.3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</row>
    <row r="401" spans="1:34" ht="14.5" x14ac:dyDescent="0.3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</row>
    <row r="402" spans="1:34" ht="14.5" x14ac:dyDescent="0.3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</row>
    <row r="403" spans="1:34" ht="14.5" x14ac:dyDescent="0.3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</row>
    <row r="404" spans="1:34" ht="14.5" x14ac:dyDescent="0.3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</row>
    <row r="405" spans="1:34" ht="14.5" x14ac:dyDescent="0.3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</row>
    <row r="406" spans="1:34" ht="14.5" x14ac:dyDescent="0.3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</row>
    <row r="407" spans="1:34" ht="14.5" x14ac:dyDescent="0.3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</row>
    <row r="408" spans="1:34" ht="14.5" x14ac:dyDescent="0.3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</row>
    <row r="409" spans="1:34" ht="14.5" x14ac:dyDescent="0.3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</row>
    <row r="410" spans="1:34" ht="14.5" x14ac:dyDescent="0.3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</row>
    <row r="411" spans="1:34" ht="14.5" x14ac:dyDescent="0.3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</row>
    <row r="412" spans="1:34" ht="14.5" x14ac:dyDescent="0.3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</row>
    <row r="413" spans="1:34" ht="14.5" x14ac:dyDescent="0.3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</row>
    <row r="414" spans="1:34" ht="14.5" x14ac:dyDescent="0.3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</row>
    <row r="415" spans="1:34" ht="14.5" x14ac:dyDescent="0.3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</row>
    <row r="416" spans="1:34" ht="14.5" x14ac:dyDescent="0.3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</row>
    <row r="417" spans="1:34" ht="14.5" x14ac:dyDescent="0.3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</row>
    <row r="418" spans="1:34" ht="14.5" x14ac:dyDescent="0.3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</row>
    <row r="419" spans="1:34" ht="14.5" x14ac:dyDescent="0.3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</row>
    <row r="420" spans="1:34" ht="14.5" x14ac:dyDescent="0.3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</row>
    <row r="421" spans="1:34" ht="14.5" x14ac:dyDescent="0.3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</row>
    <row r="422" spans="1:34" ht="14.5" x14ac:dyDescent="0.3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</row>
    <row r="423" spans="1:34" ht="14.5" x14ac:dyDescent="0.3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</row>
    <row r="424" spans="1:34" ht="14.5" x14ac:dyDescent="0.3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</row>
    <row r="425" spans="1:34" ht="14.5" x14ac:dyDescent="0.3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</row>
    <row r="426" spans="1:34" ht="14.5" x14ac:dyDescent="0.3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</row>
    <row r="427" spans="1:34" ht="14.5" x14ac:dyDescent="0.3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</row>
    <row r="428" spans="1:34" ht="14.5" x14ac:dyDescent="0.3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</row>
    <row r="429" spans="1:34" ht="14.5" x14ac:dyDescent="0.3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</row>
    <row r="430" spans="1:34" ht="14.5" x14ac:dyDescent="0.3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</row>
    <row r="431" spans="1:34" ht="14.5" x14ac:dyDescent="0.3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</row>
    <row r="432" spans="1:34" ht="14.5" x14ac:dyDescent="0.3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</row>
    <row r="433" spans="1:34" ht="14.5" x14ac:dyDescent="0.3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</row>
    <row r="434" spans="1:34" ht="14.5" x14ac:dyDescent="0.3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</row>
    <row r="435" spans="1:34" ht="14.5" x14ac:dyDescent="0.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</row>
    <row r="436" spans="1:34" ht="14.5" x14ac:dyDescent="0.3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</row>
    <row r="437" spans="1:34" ht="14.5" x14ac:dyDescent="0.3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</row>
    <row r="438" spans="1:34" ht="14.5" x14ac:dyDescent="0.3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</row>
    <row r="439" spans="1:34" ht="14.5" x14ac:dyDescent="0.3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</row>
    <row r="440" spans="1:34" ht="14.5" x14ac:dyDescent="0.3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</row>
    <row r="441" spans="1:34" ht="14.5" x14ac:dyDescent="0.3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</row>
    <row r="442" spans="1:34" ht="14.5" x14ac:dyDescent="0.3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</row>
    <row r="443" spans="1:34" ht="14.5" x14ac:dyDescent="0.3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</row>
    <row r="444" spans="1:34" ht="14.5" x14ac:dyDescent="0.3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</row>
    <row r="445" spans="1:34" ht="14.5" x14ac:dyDescent="0.3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</row>
    <row r="446" spans="1:34" ht="14.5" x14ac:dyDescent="0.3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</row>
    <row r="447" spans="1:34" ht="14.5" x14ac:dyDescent="0.3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</row>
    <row r="448" spans="1:34" ht="14.5" x14ac:dyDescent="0.3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</row>
    <row r="449" spans="1:34" ht="14.5" x14ac:dyDescent="0.3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</row>
    <row r="450" spans="1:34" ht="14.5" x14ac:dyDescent="0.3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</row>
    <row r="451" spans="1:34" ht="14.5" x14ac:dyDescent="0.3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</row>
    <row r="452" spans="1:34" ht="14.5" x14ac:dyDescent="0.3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</row>
    <row r="453" spans="1:34" ht="14.5" x14ac:dyDescent="0.3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</row>
    <row r="454" spans="1:34" ht="14.5" x14ac:dyDescent="0.3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</row>
    <row r="455" spans="1:34" ht="14.5" x14ac:dyDescent="0.3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</row>
    <row r="456" spans="1:34" ht="14.5" x14ac:dyDescent="0.3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</row>
    <row r="457" spans="1:34" ht="14.5" x14ac:dyDescent="0.3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</row>
    <row r="458" spans="1:34" ht="14.5" x14ac:dyDescent="0.3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</row>
    <row r="459" spans="1:34" ht="14.5" x14ac:dyDescent="0.3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</row>
    <row r="460" spans="1:34" ht="14.5" x14ac:dyDescent="0.3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</row>
    <row r="461" spans="1:34" ht="14.5" x14ac:dyDescent="0.3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</row>
    <row r="462" spans="1:34" ht="14.5" x14ac:dyDescent="0.3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</row>
    <row r="463" spans="1:34" ht="14.5" x14ac:dyDescent="0.3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</row>
    <row r="464" spans="1:34" ht="14.5" x14ac:dyDescent="0.3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</row>
    <row r="465" spans="1:34" ht="14.5" x14ac:dyDescent="0.3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</row>
    <row r="466" spans="1:34" ht="14.5" x14ac:dyDescent="0.3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</row>
    <row r="467" spans="1:34" ht="14.5" x14ac:dyDescent="0.3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</row>
    <row r="468" spans="1:34" ht="14.5" x14ac:dyDescent="0.3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</row>
    <row r="469" spans="1:34" ht="14.5" x14ac:dyDescent="0.3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</row>
    <row r="470" spans="1:34" ht="14.5" x14ac:dyDescent="0.3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</row>
    <row r="471" spans="1:34" ht="14.5" x14ac:dyDescent="0.3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</row>
    <row r="472" spans="1:34" ht="14.5" x14ac:dyDescent="0.3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</row>
    <row r="473" spans="1:34" ht="14.5" x14ac:dyDescent="0.3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</row>
    <row r="474" spans="1:34" ht="14.5" x14ac:dyDescent="0.3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</row>
    <row r="475" spans="1:34" ht="14.5" x14ac:dyDescent="0.3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</row>
    <row r="476" spans="1:34" ht="14.5" x14ac:dyDescent="0.3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</row>
    <row r="477" spans="1:34" ht="14.5" x14ac:dyDescent="0.3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</row>
    <row r="478" spans="1:34" ht="14.5" x14ac:dyDescent="0.3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</row>
    <row r="479" spans="1:34" ht="14.5" x14ac:dyDescent="0.3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</row>
    <row r="480" spans="1:34" ht="14.5" x14ac:dyDescent="0.3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</row>
    <row r="481" spans="1:34" ht="14.5" x14ac:dyDescent="0.3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</row>
    <row r="482" spans="1:34" ht="14.5" x14ac:dyDescent="0.3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</row>
    <row r="483" spans="1:34" ht="14.5" x14ac:dyDescent="0.3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</row>
    <row r="484" spans="1:34" ht="14.5" x14ac:dyDescent="0.3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</row>
    <row r="485" spans="1:34" ht="14.5" x14ac:dyDescent="0.3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</row>
    <row r="486" spans="1:34" ht="14.5" x14ac:dyDescent="0.3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</row>
    <row r="487" spans="1:34" ht="14.5" x14ac:dyDescent="0.3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</row>
    <row r="488" spans="1:34" ht="14.5" x14ac:dyDescent="0.3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</row>
    <row r="489" spans="1:34" ht="14.5" x14ac:dyDescent="0.3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</row>
    <row r="490" spans="1:34" ht="14.5" x14ac:dyDescent="0.3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</row>
    <row r="491" spans="1:34" ht="14.5" x14ac:dyDescent="0.3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</row>
    <row r="492" spans="1:34" ht="14.5" x14ac:dyDescent="0.3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</row>
    <row r="493" spans="1:34" ht="14.5" x14ac:dyDescent="0.3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</row>
    <row r="494" spans="1:34" ht="14.5" x14ac:dyDescent="0.3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</row>
    <row r="495" spans="1:34" ht="14.5" x14ac:dyDescent="0.3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</row>
    <row r="496" spans="1:34" ht="14.5" x14ac:dyDescent="0.3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</row>
    <row r="497" spans="1:34" ht="14.5" x14ac:dyDescent="0.3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</row>
    <row r="498" spans="1:34" ht="14.5" x14ac:dyDescent="0.3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</row>
    <row r="499" spans="1:34" ht="14.5" x14ac:dyDescent="0.3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</row>
    <row r="500" spans="1:34" ht="14.5" x14ac:dyDescent="0.3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</row>
    <row r="501" spans="1:34" ht="14.5" x14ac:dyDescent="0.3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</row>
    <row r="502" spans="1:34" ht="14.5" x14ac:dyDescent="0.3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</row>
    <row r="503" spans="1:34" ht="14.5" x14ac:dyDescent="0.3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</row>
    <row r="504" spans="1:34" ht="14.5" x14ac:dyDescent="0.3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</row>
    <row r="505" spans="1:34" ht="14.5" x14ac:dyDescent="0.3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</row>
    <row r="506" spans="1:34" ht="14.5" x14ac:dyDescent="0.3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</row>
    <row r="507" spans="1:34" ht="14.5" x14ac:dyDescent="0.3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</row>
    <row r="508" spans="1:34" ht="14.5" x14ac:dyDescent="0.3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</row>
    <row r="509" spans="1:34" ht="14.5" x14ac:dyDescent="0.3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</row>
    <row r="510" spans="1:34" ht="14.5" x14ac:dyDescent="0.3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</row>
    <row r="511" spans="1:34" ht="14.5" x14ac:dyDescent="0.3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</row>
    <row r="512" spans="1:34" ht="14.5" x14ac:dyDescent="0.3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</row>
    <row r="513" spans="1:34" ht="14.5" x14ac:dyDescent="0.3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</row>
    <row r="514" spans="1:34" ht="14.5" x14ac:dyDescent="0.3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</row>
    <row r="515" spans="1:34" ht="14.5" x14ac:dyDescent="0.3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</row>
    <row r="516" spans="1:34" ht="14.5" x14ac:dyDescent="0.3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</row>
    <row r="517" spans="1:34" ht="14.5" x14ac:dyDescent="0.3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</row>
    <row r="518" spans="1:34" ht="14.5" x14ac:dyDescent="0.3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</row>
    <row r="519" spans="1:34" ht="14.5" x14ac:dyDescent="0.3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</row>
    <row r="520" spans="1:34" ht="14.5" x14ac:dyDescent="0.3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</row>
    <row r="521" spans="1:34" ht="14.5" x14ac:dyDescent="0.3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</row>
    <row r="522" spans="1:34" ht="14.5" x14ac:dyDescent="0.3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</row>
    <row r="523" spans="1:34" ht="14.5" x14ac:dyDescent="0.3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</row>
    <row r="524" spans="1:34" ht="14.5" x14ac:dyDescent="0.3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</row>
    <row r="525" spans="1:34" ht="14.5" x14ac:dyDescent="0.3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</row>
    <row r="526" spans="1:34" ht="14.5" x14ac:dyDescent="0.3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</row>
    <row r="527" spans="1:34" ht="14.5" x14ac:dyDescent="0.3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</row>
    <row r="528" spans="1:34" ht="14.5" x14ac:dyDescent="0.3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</row>
    <row r="529" spans="1:34" ht="14.5" x14ac:dyDescent="0.3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</row>
    <row r="530" spans="1:34" ht="14.5" x14ac:dyDescent="0.3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</row>
    <row r="531" spans="1:34" ht="14.5" x14ac:dyDescent="0.3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</row>
    <row r="532" spans="1:34" ht="14.5" x14ac:dyDescent="0.3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</row>
    <row r="533" spans="1:34" ht="14.5" x14ac:dyDescent="0.3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</row>
    <row r="534" spans="1:34" ht="14.5" x14ac:dyDescent="0.3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</row>
    <row r="535" spans="1:34" ht="14.5" x14ac:dyDescent="0.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</row>
    <row r="536" spans="1:34" ht="14.5" x14ac:dyDescent="0.3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</row>
    <row r="537" spans="1:34" ht="14.5" x14ac:dyDescent="0.3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</row>
    <row r="538" spans="1:34" ht="14.5" x14ac:dyDescent="0.3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</row>
    <row r="539" spans="1:34" ht="14.5" x14ac:dyDescent="0.3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</row>
    <row r="540" spans="1:34" ht="14.5" x14ac:dyDescent="0.3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</row>
    <row r="541" spans="1:34" ht="14.5" x14ac:dyDescent="0.3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</row>
    <row r="542" spans="1:34" ht="14.5" x14ac:dyDescent="0.3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</row>
    <row r="543" spans="1:34" ht="14.5" x14ac:dyDescent="0.3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</row>
    <row r="544" spans="1:34" ht="14.5" x14ac:dyDescent="0.3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</row>
    <row r="545" spans="1:34" ht="14.5" x14ac:dyDescent="0.3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</row>
    <row r="546" spans="1:34" ht="14.5" x14ac:dyDescent="0.3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</row>
    <row r="547" spans="1:34" ht="14.5" x14ac:dyDescent="0.3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</row>
    <row r="548" spans="1:34" ht="14.5" x14ac:dyDescent="0.3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</row>
    <row r="549" spans="1:34" ht="14.5" x14ac:dyDescent="0.3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</row>
    <row r="550" spans="1:34" ht="14.5" x14ac:dyDescent="0.3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</row>
    <row r="551" spans="1:34" ht="14.5" x14ac:dyDescent="0.3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</row>
    <row r="552" spans="1:34" ht="14.5" x14ac:dyDescent="0.3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</row>
    <row r="553" spans="1:34" ht="14.5" x14ac:dyDescent="0.3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</row>
    <row r="554" spans="1:34" ht="14.5" x14ac:dyDescent="0.3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</row>
    <row r="555" spans="1:34" ht="14.5" x14ac:dyDescent="0.3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</row>
    <row r="556" spans="1:34" ht="14.5" x14ac:dyDescent="0.3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</row>
    <row r="557" spans="1:34" ht="14.5" x14ac:dyDescent="0.3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</row>
    <row r="558" spans="1:34" ht="14.5" x14ac:dyDescent="0.3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</row>
    <row r="559" spans="1:34" ht="14.5" x14ac:dyDescent="0.3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</row>
    <row r="560" spans="1:34" ht="14.5" x14ac:dyDescent="0.3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</row>
    <row r="561" spans="1:34" ht="14.5" x14ac:dyDescent="0.3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</row>
    <row r="562" spans="1:34" ht="14.5" x14ac:dyDescent="0.3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</row>
    <row r="563" spans="1:34" ht="14.5" x14ac:dyDescent="0.3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</row>
    <row r="564" spans="1:34" ht="14.5" x14ac:dyDescent="0.3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</row>
    <row r="565" spans="1:34" ht="14.5" x14ac:dyDescent="0.3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</row>
    <row r="566" spans="1:34" ht="14.5" x14ac:dyDescent="0.3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</row>
    <row r="567" spans="1:34" ht="14.5" x14ac:dyDescent="0.3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</row>
    <row r="568" spans="1:34" ht="14.5" x14ac:dyDescent="0.3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</row>
    <row r="569" spans="1:34" ht="14.5" x14ac:dyDescent="0.3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</row>
    <row r="570" spans="1:34" ht="14.5" x14ac:dyDescent="0.3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</row>
    <row r="571" spans="1:34" ht="14.5" x14ac:dyDescent="0.3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</row>
    <row r="572" spans="1:34" ht="14.5" x14ac:dyDescent="0.3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</row>
    <row r="573" spans="1:34" ht="14.5" x14ac:dyDescent="0.3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</row>
    <row r="574" spans="1:34" ht="14.5" x14ac:dyDescent="0.3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</row>
    <row r="575" spans="1:34" ht="14.5" x14ac:dyDescent="0.3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</row>
    <row r="576" spans="1:34" ht="14.5" x14ac:dyDescent="0.3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</row>
    <row r="577" spans="1:34" ht="14.5" x14ac:dyDescent="0.3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</row>
    <row r="578" spans="1:34" ht="14.5" x14ac:dyDescent="0.3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</row>
    <row r="579" spans="1:34" ht="14.5" x14ac:dyDescent="0.3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</row>
    <row r="580" spans="1:34" ht="14.5" x14ac:dyDescent="0.3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</row>
    <row r="581" spans="1:34" ht="14.5" x14ac:dyDescent="0.3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</row>
    <row r="582" spans="1:34" ht="14.5" x14ac:dyDescent="0.3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</row>
    <row r="583" spans="1:34" ht="14.5" x14ac:dyDescent="0.3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</row>
    <row r="584" spans="1:34" ht="14.5" x14ac:dyDescent="0.3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</row>
    <row r="585" spans="1:34" ht="14.5" x14ac:dyDescent="0.3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</row>
    <row r="586" spans="1:34" ht="14.5" x14ac:dyDescent="0.3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</row>
    <row r="587" spans="1:34" ht="14.5" x14ac:dyDescent="0.3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</row>
    <row r="588" spans="1:34" ht="14.5" x14ac:dyDescent="0.3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</row>
    <row r="589" spans="1:34" ht="14.5" x14ac:dyDescent="0.3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</row>
    <row r="590" spans="1:34" ht="14.5" x14ac:dyDescent="0.3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</row>
    <row r="591" spans="1:34" ht="14.5" x14ac:dyDescent="0.3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</row>
    <row r="592" spans="1:34" ht="14.5" x14ac:dyDescent="0.3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</row>
    <row r="593" spans="1:34" ht="14.5" x14ac:dyDescent="0.3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</row>
    <row r="594" spans="1:34" ht="14.5" x14ac:dyDescent="0.3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</row>
    <row r="595" spans="1:34" ht="14.5" x14ac:dyDescent="0.3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</row>
    <row r="596" spans="1:34" ht="14.5" x14ac:dyDescent="0.3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</row>
    <row r="597" spans="1:34" ht="14.5" x14ac:dyDescent="0.3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</row>
    <row r="598" spans="1:34" ht="14.5" x14ac:dyDescent="0.3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</row>
    <row r="599" spans="1:34" ht="14.5" x14ac:dyDescent="0.3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</row>
    <row r="600" spans="1:34" ht="14.5" x14ac:dyDescent="0.3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</row>
    <row r="601" spans="1:34" ht="14.5" x14ac:dyDescent="0.3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</row>
    <row r="602" spans="1:34" ht="14.5" x14ac:dyDescent="0.3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</row>
    <row r="603" spans="1:34" ht="14.5" x14ac:dyDescent="0.3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</row>
    <row r="604" spans="1:34" ht="14.5" x14ac:dyDescent="0.3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</row>
    <row r="605" spans="1:34" ht="14.5" x14ac:dyDescent="0.3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</row>
    <row r="606" spans="1:34" ht="14.5" x14ac:dyDescent="0.3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</row>
    <row r="607" spans="1:34" ht="14.5" x14ac:dyDescent="0.3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</row>
    <row r="608" spans="1:34" ht="14.5" x14ac:dyDescent="0.3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</row>
    <row r="609" spans="1:34" ht="14.5" x14ac:dyDescent="0.3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</row>
    <row r="610" spans="1:34" ht="14.5" x14ac:dyDescent="0.3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</row>
    <row r="611" spans="1:34" ht="14.5" x14ac:dyDescent="0.3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</row>
    <row r="612" spans="1:34" ht="14.5" x14ac:dyDescent="0.3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</row>
    <row r="613" spans="1:34" ht="14.5" x14ac:dyDescent="0.3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</row>
    <row r="614" spans="1:34" ht="14.5" x14ac:dyDescent="0.3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</row>
    <row r="615" spans="1:34" ht="14.5" x14ac:dyDescent="0.3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</row>
    <row r="616" spans="1:34" ht="14.5" x14ac:dyDescent="0.3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</row>
    <row r="617" spans="1:34" ht="14.5" x14ac:dyDescent="0.3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</row>
    <row r="618" spans="1:34" ht="14.5" x14ac:dyDescent="0.3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</row>
    <row r="619" spans="1:34" ht="14.5" x14ac:dyDescent="0.3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</row>
    <row r="620" spans="1:34" ht="14.5" x14ac:dyDescent="0.3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</row>
    <row r="621" spans="1:34" ht="14.5" x14ac:dyDescent="0.3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</row>
    <row r="622" spans="1:34" ht="14.5" x14ac:dyDescent="0.3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</row>
    <row r="623" spans="1:34" ht="14.5" x14ac:dyDescent="0.3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</row>
    <row r="624" spans="1:34" ht="14.5" x14ac:dyDescent="0.3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</row>
    <row r="625" spans="1:34" ht="14.5" x14ac:dyDescent="0.3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</row>
    <row r="626" spans="1:34" ht="14.5" x14ac:dyDescent="0.3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</row>
    <row r="627" spans="1:34" ht="14.5" x14ac:dyDescent="0.3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</row>
    <row r="628" spans="1:34" ht="14.5" x14ac:dyDescent="0.3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</row>
    <row r="629" spans="1:34" ht="14.5" x14ac:dyDescent="0.3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</row>
    <row r="630" spans="1:34" ht="14.5" x14ac:dyDescent="0.3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</row>
    <row r="631" spans="1:34" ht="14.5" x14ac:dyDescent="0.3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</row>
    <row r="632" spans="1:34" ht="14.5" x14ac:dyDescent="0.3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</row>
    <row r="633" spans="1:34" ht="14.5" x14ac:dyDescent="0.3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</row>
    <row r="634" spans="1:34" ht="14.5" x14ac:dyDescent="0.3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</row>
    <row r="635" spans="1:34" ht="14.5" x14ac:dyDescent="0.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</row>
    <row r="636" spans="1:34" ht="14.5" x14ac:dyDescent="0.3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</row>
    <row r="637" spans="1:34" ht="14.5" x14ac:dyDescent="0.3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</row>
    <row r="638" spans="1:34" ht="14.5" x14ac:dyDescent="0.3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</row>
    <row r="639" spans="1:34" ht="14.5" x14ac:dyDescent="0.3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</row>
    <row r="640" spans="1:34" ht="14.5" x14ac:dyDescent="0.3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</row>
    <row r="641" spans="1:34" ht="14.5" x14ac:dyDescent="0.3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</row>
    <row r="642" spans="1:34" ht="14.5" x14ac:dyDescent="0.3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</row>
    <row r="643" spans="1:34" ht="14.5" x14ac:dyDescent="0.3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</row>
    <row r="644" spans="1:34" ht="14.5" x14ac:dyDescent="0.3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</row>
    <row r="645" spans="1:34" ht="14.5" x14ac:dyDescent="0.3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</row>
    <row r="646" spans="1:34" ht="14.5" x14ac:dyDescent="0.3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</row>
    <row r="647" spans="1:34" ht="14.5" x14ac:dyDescent="0.3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</row>
    <row r="648" spans="1:34" ht="14.5" x14ac:dyDescent="0.3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</row>
    <row r="649" spans="1:34" ht="14.5" x14ac:dyDescent="0.3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</row>
    <row r="650" spans="1:34" ht="14.5" x14ac:dyDescent="0.3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</row>
    <row r="651" spans="1:34" ht="14.5" x14ac:dyDescent="0.3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</row>
    <row r="652" spans="1:34" ht="14.5" x14ac:dyDescent="0.3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</row>
    <row r="653" spans="1:34" ht="14.5" x14ac:dyDescent="0.3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</row>
    <row r="654" spans="1:34" ht="14.5" x14ac:dyDescent="0.3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</row>
    <row r="655" spans="1:34" ht="14.5" x14ac:dyDescent="0.3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</row>
    <row r="656" spans="1:34" ht="14.5" x14ac:dyDescent="0.3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</row>
    <row r="657" spans="1:34" ht="14.5" x14ac:dyDescent="0.3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</row>
    <row r="658" spans="1:34" ht="14.5" x14ac:dyDescent="0.3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</row>
    <row r="659" spans="1:34" ht="14.5" x14ac:dyDescent="0.3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</row>
    <row r="660" spans="1:34" ht="14.5" x14ac:dyDescent="0.3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</row>
    <row r="661" spans="1:34" ht="14.5" x14ac:dyDescent="0.3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</row>
    <row r="662" spans="1:34" ht="14.5" x14ac:dyDescent="0.3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</row>
    <row r="663" spans="1:34" ht="14.5" x14ac:dyDescent="0.3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</row>
    <row r="664" spans="1:34" ht="14.5" x14ac:dyDescent="0.3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</row>
    <row r="665" spans="1:34" ht="14.5" x14ac:dyDescent="0.3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</row>
    <row r="666" spans="1:34" ht="14.5" x14ac:dyDescent="0.3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</row>
    <row r="667" spans="1:34" ht="14.5" x14ac:dyDescent="0.3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</row>
    <row r="668" spans="1:34" ht="14.5" x14ac:dyDescent="0.3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</row>
    <row r="669" spans="1:34" ht="14.5" x14ac:dyDescent="0.3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</row>
    <row r="670" spans="1:34" ht="14.5" x14ac:dyDescent="0.3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</row>
    <row r="671" spans="1:34" ht="14.5" x14ac:dyDescent="0.3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</row>
    <row r="672" spans="1:34" ht="14.5" x14ac:dyDescent="0.3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</row>
    <row r="673" spans="1:34" ht="14.5" x14ac:dyDescent="0.3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</row>
    <row r="674" spans="1:34" ht="14.5" x14ac:dyDescent="0.3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</row>
    <row r="675" spans="1:34" ht="14.5" x14ac:dyDescent="0.3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</row>
    <row r="676" spans="1:34" ht="14.5" x14ac:dyDescent="0.3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</row>
    <row r="677" spans="1:34" ht="14.5" x14ac:dyDescent="0.3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</row>
    <row r="678" spans="1:34" ht="14.5" x14ac:dyDescent="0.3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</row>
    <row r="679" spans="1:34" ht="14.5" x14ac:dyDescent="0.3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</row>
    <row r="680" spans="1:34" ht="14.5" x14ac:dyDescent="0.3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</row>
    <row r="681" spans="1:34" ht="14.5" x14ac:dyDescent="0.3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</row>
    <row r="682" spans="1:34" ht="14.5" x14ac:dyDescent="0.3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</row>
    <row r="683" spans="1:34" ht="14.5" x14ac:dyDescent="0.3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</row>
    <row r="684" spans="1:34" ht="14.5" x14ac:dyDescent="0.3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</row>
    <row r="685" spans="1:34" ht="14.5" x14ac:dyDescent="0.3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</row>
    <row r="686" spans="1:34" ht="14.5" x14ac:dyDescent="0.3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</row>
    <row r="687" spans="1:34" ht="14.5" x14ac:dyDescent="0.3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</row>
    <row r="688" spans="1:34" ht="14.5" x14ac:dyDescent="0.3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</row>
    <row r="689" spans="1:34" ht="14.5" x14ac:dyDescent="0.3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</row>
    <row r="690" spans="1:34" ht="14.5" x14ac:dyDescent="0.3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</row>
    <row r="691" spans="1:34" ht="14.5" x14ac:dyDescent="0.3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</row>
    <row r="692" spans="1:34" ht="14.5" x14ac:dyDescent="0.3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</row>
    <row r="693" spans="1:34" ht="14.5" x14ac:dyDescent="0.3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</row>
    <row r="694" spans="1:34" ht="14.5" x14ac:dyDescent="0.3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</row>
    <row r="695" spans="1:34" ht="14.5" x14ac:dyDescent="0.3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</row>
    <row r="696" spans="1:34" ht="14.5" x14ac:dyDescent="0.3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</row>
    <row r="697" spans="1:34" ht="14.5" x14ac:dyDescent="0.3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</row>
    <row r="698" spans="1:34" ht="14.5" x14ac:dyDescent="0.3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</row>
    <row r="699" spans="1:34" ht="14.5" x14ac:dyDescent="0.3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</row>
    <row r="700" spans="1:34" ht="14.5" x14ac:dyDescent="0.3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</row>
    <row r="701" spans="1:34" ht="14.5" x14ac:dyDescent="0.3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</row>
    <row r="702" spans="1:34" ht="14.5" x14ac:dyDescent="0.3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</row>
    <row r="703" spans="1:34" ht="14.5" x14ac:dyDescent="0.3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</row>
    <row r="704" spans="1:34" ht="14.5" x14ac:dyDescent="0.3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</row>
    <row r="705" spans="1:34" ht="14.5" x14ac:dyDescent="0.3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</row>
    <row r="706" spans="1:34" ht="14.5" x14ac:dyDescent="0.3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</row>
    <row r="707" spans="1:34" ht="14.5" x14ac:dyDescent="0.3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</row>
    <row r="708" spans="1:34" ht="14.5" x14ac:dyDescent="0.3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</row>
    <row r="709" spans="1:34" ht="14.5" x14ac:dyDescent="0.3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</row>
    <row r="710" spans="1:34" ht="14.5" x14ac:dyDescent="0.3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</row>
    <row r="711" spans="1:34" ht="14.5" x14ac:dyDescent="0.3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</row>
    <row r="712" spans="1:34" ht="14.5" x14ac:dyDescent="0.3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</row>
    <row r="713" spans="1:34" ht="14.5" x14ac:dyDescent="0.3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</row>
    <row r="714" spans="1:34" ht="14.5" x14ac:dyDescent="0.3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</row>
    <row r="715" spans="1:34" ht="14.5" x14ac:dyDescent="0.3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</row>
    <row r="716" spans="1:34" ht="14.5" x14ac:dyDescent="0.3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</row>
    <row r="717" spans="1:34" ht="14.5" x14ac:dyDescent="0.3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</row>
    <row r="718" spans="1:34" ht="14.5" x14ac:dyDescent="0.3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</row>
    <row r="719" spans="1:34" ht="14.5" x14ac:dyDescent="0.3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</row>
    <row r="720" spans="1:34" ht="14.5" x14ac:dyDescent="0.3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</row>
    <row r="721" spans="1:34" ht="14.5" x14ac:dyDescent="0.3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</row>
    <row r="722" spans="1:34" ht="14.5" x14ac:dyDescent="0.3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</row>
    <row r="723" spans="1:34" ht="14.5" x14ac:dyDescent="0.3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</row>
    <row r="724" spans="1:34" ht="14.5" x14ac:dyDescent="0.3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</row>
    <row r="725" spans="1:34" ht="14.5" x14ac:dyDescent="0.3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</row>
    <row r="726" spans="1:34" ht="14.5" x14ac:dyDescent="0.3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</row>
    <row r="727" spans="1:34" ht="14.5" x14ac:dyDescent="0.3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</row>
    <row r="728" spans="1:34" ht="14.5" x14ac:dyDescent="0.3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</row>
    <row r="729" spans="1:34" ht="14.5" x14ac:dyDescent="0.3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</row>
    <row r="730" spans="1:34" ht="14.5" x14ac:dyDescent="0.3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</row>
    <row r="731" spans="1:34" ht="14.5" x14ac:dyDescent="0.3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</row>
    <row r="732" spans="1:34" ht="14.5" x14ac:dyDescent="0.3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</row>
    <row r="733" spans="1:34" ht="14.5" x14ac:dyDescent="0.3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</row>
    <row r="734" spans="1:34" ht="14.5" x14ac:dyDescent="0.3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</row>
    <row r="735" spans="1:34" ht="14.5" x14ac:dyDescent="0.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</row>
    <row r="736" spans="1:34" ht="14.5" x14ac:dyDescent="0.3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</row>
    <row r="737" spans="1:34" ht="14.5" x14ac:dyDescent="0.3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</row>
    <row r="738" spans="1:34" ht="14.5" x14ac:dyDescent="0.3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</row>
    <row r="739" spans="1:34" ht="14.5" x14ac:dyDescent="0.3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</row>
    <row r="740" spans="1:34" ht="14.5" x14ac:dyDescent="0.3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</row>
    <row r="741" spans="1:34" ht="14.5" x14ac:dyDescent="0.3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</row>
    <row r="742" spans="1:34" ht="14.5" x14ac:dyDescent="0.3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</row>
    <row r="743" spans="1:34" ht="14.5" x14ac:dyDescent="0.3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</row>
    <row r="744" spans="1:34" ht="14.5" x14ac:dyDescent="0.3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</row>
    <row r="745" spans="1:34" ht="14.5" x14ac:dyDescent="0.3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</row>
    <row r="746" spans="1:34" ht="14.5" x14ac:dyDescent="0.3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</row>
    <row r="747" spans="1:34" ht="14.5" x14ac:dyDescent="0.3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</row>
    <row r="748" spans="1:34" ht="14.5" x14ac:dyDescent="0.3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</row>
    <row r="749" spans="1:34" ht="14.5" x14ac:dyDescent="0.3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</row>
    <row r="750" spans="1:34" ht="14.5" x14ac:dyDescent="0.3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</row>
    <row r="751" spans="1:34" ht="14.5" x14ac:dyDescent="0.3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</row>
    <row r="752" spans="1:34" ht="14.5" x14ac:dyDescent="0.3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</row>
    <row r="753" spans="1:34" ht="14.5" x14ac:dyDescent="0.3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</row>
    <row r="754" spans="1:34" ht="14.5" x14ac:dyDescent="0.3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</row>
    <row r="755" spans="1:34" ht="14.5" x14ac:dyDescent="0.3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</row>
    <row r="756" spans="1:34" ht="14.5" x14ac:dyDescent="0.3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</row>
    <row r="757" spans="1:34" ht="14.5" x14ac:dyDescent="0.3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</row>
    <row r="758" spans="1:34" ht="14.5" x14ac:dyDescent="0.3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</row>
    <row r="759" spans="1:34" ht="14.5" x14ac:dyDescent="0.3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</row>
    <row r="760" spans="1:34" ht="14.5" x14ac:dyDescent="0.3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</row>
    <row r="761" spans="1:34" ht="14.5" x14ac:dyDescent="0.3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</row>
    <row r="762" spans="1:34" ht="14.5" x14ac:dyDescent="0.3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</row>
    <row r="763" spans="1:34" ht="14.5" x14ac:dyDescent="0.3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</row>
    <row r="764" spans="1:34" ht="14.5" x14ac:dyDescent="0.3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</row>
    <row r="765" spans="1:34" ht="14.5" x14ac:dyDescent="0.3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</row>
    <row r="766" spans="1:34" ht="14.5" x14ac:dyDescent="0.3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</row>
    <row r="767" spans="1:34" ht="14.5" x14ac:dyDescent="0.3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</row>
    <row r="768" spans="1:34" ht="14.5" x14ac:dyDescent="0.3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</row>
    <row r="769" spans="1:34" ht="14.5" x14ac:dyDescent="0.3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</row>
    <row r="770" spans="1:34" ht="14.5" x14ac:dyDescent="0.3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</row>
    <row r="771" spans="1:34" ht="14.5" x14ac:dyDescent="0.3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</row>
    <row r="772" spans="1:34" ht="14.5" x14ac:dyDescent="0.3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</row>
    <row r="773" spans="1:34" ht="14.5" x14ac:dyDescent="0.3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</row>
    <row r="774" spans="1:34" ht="14.5" x14ac:dyDescent="0.3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</row>
    <row r="775" spans="1:34" ht="14.5" x14ac:dyDescent="0.3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</row>
    <row r="776" spans="1:34" ht="14.5" x14ac:dyDescent="0.3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</row>
    <row r="777" spans="1:34" ht="14.5" x14ac:dyDescent="0.3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</row>
    <row r="778" spans="1:34" ht="14.5" x14ac:dyDescent="0.3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</row>
    <row r="779" spans="1:34" ht="14.5" x14ac:dyDescent="0.3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</row>
    <row r="780" spans="1:34" ht="14.5" x14ac:dyDescent="0.3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</row>
    <row r="781" spans="1:34" ht="14.5" x14ac:dyDescent="0.3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</row>
    <row r="782" spans="1:34" ht="14.5" x14ac:dyDescent="0.3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</row>
    <row r="783" spans="1:34" ht="14.5" x14ac:dyDescent="0.3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</row>
    <row r="784" spans="1:34" ht="14.5" x14ac:dyDescent="0.3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</row>
    <row r="785" spans="1:34" ht="14.5" x14ac:dyDescent="0.3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</row>
    <row r="786" spans="1:34" ht="14.5" x14ac:dyDescent="0.3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</row>
    <row r="787" spans="1:34" ht="14.5" x14ac:dyDescent="0.3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</row>
    <row r="788" spans="1:34" ht="14.5" x14ac:dyDescent="0.3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</row>
    <row r="789" spans="1:34" ht="14.5" x14ac:dyDescent="0.3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</row>
    <row r="790" spans="1:34" ht="14.5" x14ac:dyDescent="0.3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</row>
    <row r="791" spans="1:34" ht="14.5" x14ac:dyDescent="0.3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</row>
    <row r="792" spans="1:34" ht="14.5" x14ac:dyDescent="0.3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</row>
    <row r="793" spans="1:34" ht="14.5" x14ac:dyDescent="0.3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</row>
    <row r="794" spans="1:34" ht="14.5" x14ac:dyDescent="0.3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</row>
    <row r="795" spans="1:34" ht="14.5" x14ac:dyDescent="0.3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</row>
    <row r="796" spans="1:34" ht="14.5" x14ac:dyDescent="0.3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</row>
    <row r="797" spans="1:34" ht="14.5" x14ac:dyDescent="0.3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</row>
    <row r="798" spans="1:34" ht="14.5" x14ac:dyDescent="0.3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</row>
    <row r="799" spans="1:34" ht="14.5" x14ac:dyDescent="0.3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</row>
    <row r="800" spans="1:34" ht="14.5" x14ac:dyDescent="0.3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</row>
    <row r="801" spans="1:34" ht="14.5" x14ac:dyDescent="0.3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</row>
    <row r="802" spans="1:34" ht="14.5" x14ac:dyDescent="0.3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</row>
    <row r="803" spans="1:34" ht="14.5" x14ac:dyDescent="0.3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</row>
    <row r="804" spans="1:34" ht="14.5" x14ac:dyDescent="0.3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</row>
    <row r="805" spans="1:34" ht="14.5" x14ac:dyDescent="0.3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</row>
    <row r="806" spans="1:34" ht="14.5" x14ac:dyDescent="0.3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</row>
    <row r="807" spans="1:34" ht="14.5" x14ac:dyDescent="0.3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</row>
    <row r="808" spans="1:34" ht="14.5" x14ac:dyDescent="0.3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</row>
    <row r="809" spans="1:34" ht="14.5" x14ac:dyDescent="0.3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</row>
    <row r="810" spans="1:34" ht="14.5" x14ac:dyDescent="0.3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</row>
    <row r="811" spans="1:34" ht="14.5" x14ac:dyDescent="0.3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</row>
    <row r="812" spans="1:34" ht="14.5" x14ac:dyDescent="0.3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</row>
    <row r="813" spans="1:34" ht="14.5" x14ac:dyDescent="0.3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</row>
    <row r="814" spans="1:34" ht="14.5" x14ac:dyDescent="0.3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</row>
    <row r="815" spans="1:34" ht="14.5" x14ac:dyDescent="0.3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</row>
    <row r="816" spans="1:34" ht="14.5" x14ac:dyDescent="0.3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</row>
    <row r="817" spans="1:34" ht="14.5" x14ac:dyDescent="0.3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</row>
    <row r="818" spans="1:34" ht="14.5" x14ac:dyDescent="0.3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</row>
    <row r="819" spans="1:34" ht="14.5" x14ac:dyDescent="0.3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</row>
    <row r="820" spans="1:34" ht="14.5" x14ac:dyDescent="0.3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</row>
    <row r="821" spans="1:34" ht="14.5" x14ac:dyDescent="0.3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</row>
    <row r="822" spans="1:34" ht="14.5" x14ac:dyDescent="0.3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</row>
    <row r="823" spans="1:34" ht="14.5" x14ac:dyDescent="0.3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</row>
    <row r="824" spans="1:34" ht="14.5" x14ac:dyDescent="0.3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</row>
    <row r="825" spans="1:34" ht="14.5" x14ac:dyDescent="0.3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</row>
    <row r="826" spans="1:34" ht="14.5" x14ac:dyDescent="0.3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</row>
    <row r="827" spans="1:34" ht="14.5" x14ac:dyDescent="0.3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</row>
    <row r="828" spans="1:34" ht="14.5" x14ac:dyDescent="0.3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</row>
    <row r="829" spans="1:34" ht="14.5" x14ac:dyDescent="0.3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</row>
    <row r="830" spans="1:34" ht="14.5" x14ac:dyDescent="0.3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</row>
    <row r="831" spans="1:34" ht="14.5" x14ac:dyDescent="0.3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</row>
    <row r="832" spans="1:34" ht="14.5" x14ac:dyDescent="0.3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</row>
    <row r="833" spans="1:34" ht="14.5" x14ac:dyDescent="0.3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</row>
    <row r="834" spans="1:34" ht="14.5" x14ac:dyDescent="0.3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</row>
    <row r="835" spans="1:34" ht="14.5" x14ac:dyDescent="0.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</row>
    <row r="836" spans="1:34" ht="14.5" x14ac:dyDescent="0.3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</row>
    <row r="837" spans="1:34" ht="14.5" x14ac:dyDescent="0.3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</row>
    <row r="838" spans="1:34" ht="14.5" x14ac:dyDescent="0.3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</row>
    <row r="839" spans="1:34" ht="14.5" x14ac:dyDescent="0.3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</row>
    <row r="840" spans="1:34" ht="14.5" x14ac:dyDescent="0.3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</row>
    <row r="841" spans="1:34" ht="14.5" x14ac:dyDescent="0.3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</row>
    <row r="842" spans="1:34" ht="14.5" x14ac:dyDescent="0.3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</row>
    <row r="843" spans="1:34" ht="14.5" x14ac:dyDescent="0.3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</row>
    <row r="844" spans="1:34" ht="14.5" x14ac:dyDescent="0.3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</row>
    <row r="845" spans="1:34" ht="14.5" x14ac:dyDescent="0.3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</row>
    <row r="846" spans="1:34" ht="14.5" x14ac:dyDescent="0.3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</row>
    <row r="847" spans="1:34" ht="14.5" x14ac:dyDescent="0.3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</row>
    <row r="848" spans="1:34" ht="14.5" x14ac:dyDescent="0.3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</row>
    <row r="849" spans="1:34" ht="14.5" x14ac:dyDescent="0.3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</row>
    <row r="850" spans="1:34" ht="14.5" x14ac:dyDescent="0.3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</row>
    <row r="851" spans="1:34" ht="14.5" x14ac:dyDescent="0.3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</row>
    <row r="852" spans="1:34" ht="14.5" x14ac:dyDescent="0.3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</row>
    <row r="853" spans="1:34" ht="14.5" x14ac:dyDescent="0.3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</row>
    <row r="854" spans="1:34" ht="14.5" x14ac:dyDescent="0.3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</row>
    <row r="855" spans="1:34" ht="14.5" x14ac:dyDescent="0.3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</row>
    <row r="856" spans="1:34" ht="14.5" x14ac:dyDescent="0.3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</row>
    <row r="857" spans="1:34" ht="14.5" x14ac:dyDescent="0.3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</row>
    <row r="858" spans="1:34" ht="14.5" x14ac:dyDescent="0.3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</row>
    <row r="859" spans="1:34" ht="14.5" x14ac:dyDescent="0.3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</row>
    <row r="860" spans="1:34" ht="14.5" x14ac:dyDescent="0.3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</row>
    <row r="861" spans="1:34" ht="14.5" x14ac:dyDescent="0.3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</row>
    <row r="862" spans="1:34" ht="14.5" x14ac:dyDescent="0.3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</row>
    <row r="863" spans="1:34" ht="14.5" x14ac:dyDescent="0.3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</row>
    <row r="864" spans="1:34" ht="14.5" x14ac:dyDescent="0.3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</row>
    <row r="865" spans="1:34" ht="14.5" x14ac:dyDescent="0.3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</row>
    <row r="866" spans="1:34" ht="14.5" x14ac:dyDescent="0.3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</row>
    <row r="867" spans="1:34" ht="14.5" x14ac:dyDescent="0.3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</row>
    <row r="868" spans="1:34" ht="14.5" x14ac:dyDescent="0.3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</row>
    <row r="869" spans="1:34" ht="14.5" x14ac:dyDescent="0.3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</row>
    <row r="870" spans="1:34" ht="14.5" x14ac:dyDescent="0.3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</row>
    <row r="871" spans="1:34" ht="14.5" x14ac:dyDescent="0.3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</row>
    <row r="872" spans="1:34" ht="14.5" x14ac:dyDescent="0.3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</row>
    <row r="873" spans="1:34" ht="14.5" x14ac:dyDescent="0.3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</row>
    <row r="874" spans="1:34" ht="14.5" x14ac:dyDescent="0.3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</row>
    <row r="875" spans="1:34" ht="14.5" x14ac:dyDescent="0.3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</row>
    <row r="876" spans="1:34" ht="14.5" x14ac:dyDescent="0.3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</row>
    <row r="877" spans="1:34" ht="14.5" x14ac:dyDescent="0.3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</row>
    <row r="878" spans="1:34" ht="14.5" x14ac:dyDescent="0.3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</row>
    <row r="879" spans="1:34" ht="14.5" x14ac:dyDescent="0.3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</row>
    <row r="880" spans="1:34" ht="14.5" x14ac:dyDescent="0.3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</row>
    <row r="881" spans="1:34" ht="14.5" x14ac:dyDescent="0.3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</row>
    <row r="882" spans="1:34" ht="14.5" x14ac:dyDescent="0.3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</row>
    <row r="883" spans="1:34" ht="14.5" x14ac:dyDescent="0.3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</row>
    <row r="884" spans="1:34" ht="14.5" x14ac:dyDescent="0.3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</row>
    <row r="885" spans="1:34" ht="14.5" x14ac:dyDescent="0.3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</row>
    <row r="886" spans="1:34" ht="14.5" x14ac:dyDescent="0.3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</row>
    <row r="887" spans="1:34" ht="14.5" x14ac:dyDescent="0.3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</row>
    <row r="888" spans="1:34" ht="14.5" x14ac:dyDescent="0.3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</row>
    <row r="889" spans="1:34" ht="14.5" x14ac:dyDescent="0.3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</row>
    <row r="890" spans="1:34" ht="14.5" x14ac:dyDescent="0.3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</row>
    <row r="891" spans="1:34" ht="14.5" x14ac:dyDescent="0.3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</row>
    <row r="892" spans="1:34" ht="14.5" x14ac:dyDescent="0.3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</row>
    <row r="893" spans="1:34" ht="14.5" x14ac:dyDescent="0.3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</row>
    <row r="894" spans="1:34" ht="14.5" x14ac:dyDescent="0.3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</row>
    <row r="895" spans="1:34" ht="14.5" x14ac:dyDescent="0.3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</row>
    <row r="896" spans="1:34" ht="14.5" x14ac:dyDescent="0.3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</row>
    <row r="897" spans="1:34" ht="14.5" x14ac:dyDescent="0.3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</row>
    <row r="898" spans="1:34" ht="14.5" x14ac:dyDescent="0.3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</row>
    <row r="899" spans="1:34" ht="14.5" x14ac:dyDescent="0.3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</row>
    <row r="900" spans="1:34" ht="14.5" x14ac:dyDescent="0.3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</row>
    <row r="901" spans="1:34" ht="14.5" x14ac:dyDescent="0.3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</row>
    <row r="902" spans="1:34" ht="14.5" x14ac:dyDescent="0.3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</row>
    <row r="903" spans="1:34" ht="14.5" x14ac:dyDescent="0.3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</row>
    <row r="904" spans="1:34" ht="14.5" x14ac:dyDescent="0.3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</row>
    <row r="905" spans="1:34" ht="14.5" x14ac:dyDescent="0.3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</row>
    <row r="906" spans="1:34" ht="14.5" x14ac:dyDescent="0.3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</row>
    <row r="907" spans="1:34" ht="14.5" x14ac:dyDescent="0.3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</row>
    <row r="908" spans="1:34" ht="14.5" x14ac:dyDescent="0.3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</row>
    <row r="909" spans="1:34" ht="14.5" x14ac:dyDescent="0.3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</row>
    <row r="910" spans="1:34" ht="14.5" x14ac:dyDescent="0.3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</row>
    <row r="911" spans="1:34" ht="14.5" x14ac:dyDescent="0.3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</row>
    <row r="912" spans="1:34" ht="14.5" x14ac:dyDescent="0.3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</row>
    <row r="913" spans="1:34" ht="14.5" x14ac:dyDescent="0.3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</row>
    <row r="914" spans="1:34" ht="14.5" x14ac:dyDescent="0.3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</row>
    <row r="915" spans="1:34" ht="14.5" x14ac:dyDescent="0.3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</row>
    <row r="916" spans="1:34" ht="14.5" x14ac:dyDescent="0.3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</row>
    <row r="917" spans="1:34" ht="14.5" x14ac:dyDescent="0.3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</row>
    <row r="918" spans="1:34" ht="14.5" x14ac:dyDescent="0.3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</row>
    <row r="919" spans="1:34" ht="14.5" x14ac:dyDescent="0.3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</row>
    <row r="920" spans="1:34" ht="14.5" x14ac:dyDescent="0.3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</row>
    <row r="921" spans="1:34" ht="14.5" x14ac:dyDescent="0.3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</row>
    <row r="922" spans="1:34" ht="14.5" x14ac:dyDescent="0.3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</row>
    <row r="923" spans="1:34" ht="14.5" x14ac:dyDescent="0.3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</row>
    <row r="924" spans="1:34" ht="14.5" x14ac:dyDescent="0.3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</row>
    <row r="925" spans="1:34" ht="14.5" x14ac:dyDescent="0.3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</row>
    <row r="926" spans="1:34" ht="14.5" x14ac:dyDescent="0.3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</row>
    <row r="927" spans="1:34" ht="14.5" x14ac:dyDescent="0.3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</row>
    <row r="928" spans="1:34" ht="14.5" x14ac:dyDescent="0.3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</row>
    <row r="929" spans="1:34" ht="14.5" x14ac:dyDescent="0.3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</row>
    <row r="930" spans="1:34" ht="14.5" x14ac:dyDescent="0.3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</row>
    <row r="931" spans="1:34" ht="14.5" x14ac:dyDescent="0.3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</row>
    <row r="932" spans="1:34" ht="14.5" x14ac:dyDescent="0.3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</row>
    <row r="933" spans="1:34" ht="14.5" x14ac:dyDescent="0.3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</row>
    <row r="934" spans="1:34" ht="14.5" x14ac:dyDescent="0.3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</row>
    <row r="935" spans="1:34" ht="14.5" x14ac:dyDescent="0.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</row>
    <row r="936" spans="1:34" ht="14.5" x14ac:dyDescent="0.3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</row>
    <row r="937" spans="1:34" ht="14.5" x14ac:dyDescent="0.3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</row>
    <row r="938" spans="1:34" ht="14.5" x14ac:dyDescent="0.3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</row>
    <row r="939" spans="1:34" ht="14.5" x14ac:dyDescent="0.3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</row>
    <row r="940" spans="1:34" ht="14.5" x14ac:dyDescent="0.3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</row>
    <row r="941" spans="1:34" ht="14.5" x14ac:dyDescent="0.3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</row>
    <row r="942" spans="1:34" ht="14.5" x14ac:dyDescent="0.3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</row>
    <row r="943" spans="1:34" ht="14.5" x14ac:dyDescent="0.3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</row>
    <row r="944" spans="1:34" ht="14.5" x14ac:dyDescent="0.3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</row>
    <row r="945" spans="1:34" ht="14.5" x14ac:dyDescent="0.3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</row>
    <row r="946" spans="1:34" ht="14.5" x14ac:dyDescent="0.3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</row>
    <row r="947" spans="1:34" ht="14.5" x14ac:dyDescent="0.3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</row>
    <row r="948" spans="1:34" ht="14.5" x14ac:dyDescent="0.3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</row>
    <row r="949" spans="1:34" ht="14.5" x14ac:dyDescent="0.3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</row>
    <row r="950" spans="1:34" ht="14.5" x14ac:dyDescent="0.3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</row>
    <row r="951" spans="1:34" ht="14.5" x14ac:dyDescent="0.3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</row>
    <row r="952" spans="1:34" ht="14.5" x14ac:dyDescent="0.3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</row>
    <row r="953" spans="1:34" ht="14.5" x14ac:dyDescent="0.3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</row>
    <row r="954" spans="1:34" ht="14.5" x14ac:dyDescent="0.3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</row>
    <row r="955" spans="1:34" ht="14.5" x14ac:dyDescent="0.3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</row>
    <row r="956" spans="1:34" ht="14.5" x14ac:dyDescent="0.3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</row>
    <row r="957" spans="1:34" ht="14.5" x14ac:dyDescent="0.3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</row>
    <row r="958" spans="1:34" ht="14.5" x14ac:dyDescent="0.3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</row>
    <row r="959" spans="1:34" ht="14.5" x14ac:dyDescent="0.3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</row>
    <row r="960" spans="1:34" ht="14.5" x14ac:dyDescent="0.3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</row>
    <row r="961" spans="1:34" ht="14.5" x14ac:dyDescent="0.3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</row>
    <row r="962" spans="1:34" ht="14.5" x14ac:dyDescent="0.3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</row>
    <row r="963" spans="1:34" ht="14.5" x14ac:dyDescent="0.3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</row>
    <row r="964" spans="1:34" ht="14.5" x14ac:dyDescent="0.3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</row>
    <row r="965" spans="1:34" ht="14.5" x14ac:dyDescent="0.3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</row>
    <row r="966" spans="1:34" ht="14.5" x14ac:dyDescent="0.3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</row>
    <row r="967" spans="1:34" ht="14.5" x14ac:dyDescent="0.3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</row>
    <row r="968" spans="1:34" ht="14.5" x14ac:dyDescent="0.3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</row>
    <row r="969" spans="1:34" ht="14.5" x14ac:dyDescent="0.3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</row>
    <row r="970" spans="1:34" ht="14.5" x14ac:dyDescent="0.3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</row>
    <row r="971" spans="1:34" ht="14.5" x14ac:dyDescent="0.3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</row>
    <row r="972" spans="1:34" ht="14.5" x14ac:dyDescent="0.3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</row>
    <row r="973" spans="1:34" ht="14.5" x14ac:dyDescent="0.3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</row>
    <row r="974" spans="1:34" ht="14.5" x14ac:dyDescent="0.3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</row>
    <row r="975" spans="1:34" ht="14.5" x14ac:dyDescent="0.3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</row>
    <row r="976" spans="1:34" ht="14.5" x14ac:dyDescent="0.3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</row>
    <row r="977" spans="1:34" ht="14.5" x14ac:dyDescent="0.3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</row>
    <row r="978" spans="1:34" ht="14.5" x14ac:dyDescent="0.3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</row>
    <row r="979" spans="1:34" ht="14.5" x14ac:dyDescent="0.3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</row>
    <row r="980" spans="1:34" ht="14.5" x14ac:dyDescent="0.3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</row>
    <row r="981" spans="1:34" ht="14.5" x14ac:dyDescent="0.3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</row>
    <row r="982" spans="1:34" ht="14.5" x14ac:dyDescent="0.3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</row>
    <row r="983" spans="1:34" ht="14.5" x14ac:dyDescent="0.3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</row>
    <row r="984" spans="1:34" ht="14.5" x14ac:dyDescent="0.3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</row>
    <row r="985" spans="1:34" ht="14.5" x14ac:dyDescent="0.3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</row>
    <row r="986" spans="1:34" ht="14.5" x14ac:dyDescent="0.3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</row>
    <row r="987" spans="1:34" ht="14.5" x14ac:dyDescent="0.3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</row>
    <row r="988" spans="1:34" ht="14.5" x14ac:dyDescent="0.3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</row>
    <row r="989" spans="1:34" ht="14.5" x14ac:dyDescent="0.3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</row>
    <row r="990" spans="1:34" ht="14.5" x14ac:dyDescent="0.3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</row>
    <row r="991" spans="1:34" ht="14.5" x14ac:dyDescent="0.3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</row>
    <row r="992" spans="1:34" ht="14.5" x14ac:dyDescent="0.3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</row>
    <row r="993" spans="1:34" ht="14.5" x14ac:dyDescent="0.3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</row>
    <row r="994" spans="1:34" ht="14.5" x14ac:dyDescent="0.3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</row>
    <row r="995" spans="1:34" ht="14.5" x14ac:dyDescent="0.3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</row>
    <row r="996" spans="1:34" ht="14.5" x14ac:dyDescent="0.3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</row>
    <row r="997" spans="1:34" ht="14.5" x14ac:dyDescent="0.3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</row>
    <row r="998" spans="1:34" ht="14.5" x14ac:dyDescent="0.3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I1004"/>
  <sheetViews>
    <sheetView workbookViewId="0"/>
  </sheetViews>
  <sheetFormatPr defaultColWidth="12.6328125" defaultRowHeight="15.75" customHeight="1" x14ac:dyDescent="0.25"/>
  <cols>
    <col min="2" max="2" width="27.7265625" customWidth="1"/>
    <col min="3" max="3" width="16" customWidth="1"/>
    <col min="5" max="5" width="15.26953125" customWidth="1"/>
    <col min="6" max="7" width="15.7265625" customWidth="1"/>
    <col min="8" max="9" width="16.08984375" customWidth="1"/>
  </cols>
  <sheetData>
    <row r="1" spans="1:35" ht="15.75" customHeight="1" x14ac:dyDescent="0.35">
      <c r="A1" s="19"/>
      <c r="B1" s="70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7"/>
      <c r="AF1" s="7"/>
      <c r="AG1" s="7"/>
      <c r="AH1" s="7"/>
      <c r="AI1" s="7"/>
    </row>
    <row r="2" spans="1:35" ht="15.75" customHeight="1" x14ac:dyDescent="0.35">
      <c r="A2" s="71"/>
      <c r="B2" s="7"/>
      <c r="C2" s="224" t="s">
        <v>210</v>
      </c>
      <c r="D2" s="225"/>
      <c r="E2" s="225"/>
      <c r="F2" s="225"/>
      <c r="G2" s="225"/>
      <c r="H2" s="226"/>
      <c r="I2" s="224" t="s">
        <v>211</v>
      </c>
      <c r="J2" s="225"/>
      <c r="K2" s="225"/>
      <c r="L2" s="225"/>
      <c r="M2" s="225"/>
      <c r="N2" s="226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7"/>
      <c r="AF2" s="7"/>
      <c r="AG2" s="7"/>
      <c r="AH2" s="7"/>
      <c r="AI2" s="7"/>
    </row>
    <row r="3" spans="1:35" ht="15.75" customHeight="1" x14ac:dyDescent="0.35">
      <c r="A3" s="71" t="s">
        <v>212</v>
      </c>
      <c r="B3" s="1" t="s">
        <v>213</v>
      </c>
      <c r="C3" s="72" t="s">
        <v>214</v>
      </c>
      <c r="D3" s="1" t="s">
        <v>215</v>
      </c>
      <c r="E3" s="1" t="s">
        <v>216</v>
      </c>
      <c r="F3" s="1" t="s">
        <v>217</v>
      </c>
      <c r="G3" s="1" t="s">
        <v>218</v>
      </c>
      <c r="H3" s="73" t="s">
        <v>219</v>
      </c>
      <c r="I3" s="72" t="s">
        <v>220</v>
      </c>
      <c r="J3" s="1" t="s">
        <v>221</v>
      </c>
      <c r="K3" s="1" t="s">
        <v>222</v>
      </c>
      <c r="L3" s="1" t="s">
        <v>223</v>
      </c>
      <c r="M3" s="1" t="s">
        <v>224</v>
      </c>
      <c r="N3" s="73" t="s">
        <v>225</v>
      </c>
      <c r="O3" s="45"/>
      <c r="P3" s="45" t="s">
        <v>213</v>
      </c>
      <c r="Q3" s="7" t="s">
        <v>226</v>
      </c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7"/>
      <c r="AF3" s="7"/>
      <c r="AG3" s="7"/>
      <c r="AH3" s="7"/>
      <c r="AI3" s="7"/>
    </row>
    <row r="4" spans="1:35" ht="15.75" customHeight="1" x14ac:dyDescent="0.35">
      <c r="A4" s="71"/>
      <c r="B4" s="10">
        <v>5000</v>
      </c>
      <c r="C4" s="74">
        <v>4809.8</v>
      </c>
      <c r="D4" s="75">
        <v>5182.8999999999996</v>
      </c>
      <c r="E4" s="75">
        <v>5324591</v>
      </c>
      <c r="F4" s="75">
        <v>393654.23</v>
      </c>
      <c r="G4" s="75">
        <v>13102234.65</v>
      </c>
      <c r="H4" s="76"/>
      <c r="I4" s="74">
        <v>1.579</v>
      </c>
      <c r="J4" s="75">
        <v>3.0049999999999999</v>
      </c>
      <c r="K4" s="75">
        <v>0.81299999999999994</v>
      </c>
      <c r="L4" s="75">
        <v>2.3290000000000002</v>
      </c>
      <c r="M4" s="75">
        <v>1.571</v>
      </c>
      <c r="N4" s="76">
        <v>2.7480000000000002</v>
      </c>
      <c r="O4" s="45"/>
      <c r="P4" s="45" t="s">
        <v>227</v>
      </c>
      <c r="Q4" s="7" t="s">
        <v>228</v>
      </c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7"/>
      <c r="AF4" s="7"/>
      <c r="AG4" s="7"/>
      <c r="AH4" s="7"/>
      <c r="AI4" s="7"/>
    </row>
    <row r="5" spans="1:35" ht="15.75" customHeight="1" x14ac:dyDescent="0.35">
      <c r="A5" s="71"/>
      <c r="B5" s="10">
        <v>5000</v>
      </c>
      <c r="C5" s="74">
        <v>4762.1000000000004</v>
      </c>
      <c r="D5" s="75">
        <v>5153.1000000000004</v>
      </c>
      <c r="E5" s="75">
        <v>4961050.13</v>
      </c>
      <c r="F5" s="77">
        <v>344798.05</v>
      </c>
      <c r="G5" s="75"/>
      <c r="H5" s="78"/>
      <c r="I5" s="74">
        <v>1.5529999999999999</v>
      </c>
      <c r="J5" s="75">
        <v>2.9260000000000002</v>
      </c>
      <c r="K5" s="75">
        <v>0.81</v>
      </c>
      <c r="L5" s="77">
        <v>2.33</v>
      </c>
      <c r="M5" s="75">
        <v>1.56</v>
      </c>
      <c r="N5" s="78">
        <v>2.74</v>
      </c>
      <c r="O5" s="41"/>
      <c r="P5" s="41" t="s">
        <v>229</v>
      </c>
      <c r="Q5" s="7" t="s">
        <v>230</v>
      </c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7"/>
      <c r="AF5" s="7"/>
      <c r="AG5" s="7"/>
      <c r="AH5" s="7"/>
      <c r="AI5" s="7"/>
    </row>
    <row r="6" spans="1:35" ht="15.75" customHeight="1" x14ac:dyDescent="0.35">
      <c r="A6" s="71"/>
      <c r="B6" s="10">
        <v>2000</v>
      </c>
      <c r="C6" s="74">
        <v>1254.4000000000001</v>
      </c>
      <c r="D6" s="75">
        <v>1696.7</v>
      </c>
      <c r="E6" s="75">
        <v>2087951.65</v>
      </c>
      <c r="F6" s="77">
        <v>173860.55</v>
      </c>
      <c r="G6" s="75">
        <v>5417828.5</v>
      </c>
      <c r="H6" s="78">
        <v>525618.18999999994</v>
      </c>
      <c r="I6" s="74">
        <v>1.585</v>
      </c>
      <c r="J6" s="79">
        <v>3.0529999999999999</v>
      </c>
      <c r="K6" s="75">
        <v>0.82</v>
      </c>
      <c r="L6" s="77">
        <v>2.34</v>
      </c>
      <c r="M6" s="75">
        <v>1.59</v>
      </c>
      <c r="N6" s="78">
        <v>2.76</v>
      </c>
      <c r="O6" s="45"/>
      <c r="P6" s="45" t="s">
        <v>231</v>
      </c>
      <c r="Q6" s="7" t="s">
        <v>232</v>
      </c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7"/>
      <c r="AF6" s="7"/>
      <c r="AG6" s="7"/>
      <c r="AH6" s="7"/>
      <c r="AI6" s="7"/>
    </row>
    <row r="7" spans="1:35" ht="15.75" customHeight="1" x14ac:dyDescent="0.35">
      <c r="A7" s="71"/>
      <c r="B7" s="10">
        <v>2000</v>
      </c>
      <c r="C7" s="74">
        <v>1254.9000000000001</v>
      </c>
      <c r="D7" s="75">
        <v>1682.1</v>
      </c>
      <c r="E7" s="75">
        <v>1971609.03</v>
      </c>
      <c r="F7" s="75">
        <v>137652.72</v>
      </c>
      <c r="G7" s="75">
        <v>5079948.18</v>
      </c>
      <c r="H7" s="78">
        <v>518168.91</v>
      </c>
      <c r="I7" s="74">
        <v>1.5649999999999999</v>
      </c>
      <c r="J7" s="75">
        <v>2.9710000000000001</v>
      </c>
      <c r="K7" s="75">
        <v>0.83</v>
      </c>
      <c r="L7" s="75">
        <v>2.319</v>
      </c>
      <c r="M7" s="75">
        <v>1.5840000000000001</v>
      </c>
      <c r="N7" s="78">
        <v>2.738</v>
      </c>
      <c r="O7" s="41"/>
      <c r="P7" s="41" t="s">
        <v>233</v>
      </c>
      <c r="Q7" s="7" t="s">
        <v>234</v>
      </c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7"/>
      <c r="AF7" s="7"/>
      <c r="AG7" s="7"/>
      <c r="AH7" s="7"/>
      <c r="AI7" s="7"/>
    </row>
    <row r="8" spans="1:35" ht="15.75" customHeight="1" x14ac:dyDescent="0.35">
      <c r="A8" s="71"/>
      <c r="B8" s="10">
        <v>1000</v>
      </c>
      <c r="C8" s="74">
        <v>456.4</v>
      </c>
      <c r="D8" s="75">
        <v>704.7</v>
      </c>
      <c r="E8" s="75">
        <v>939319.12</v>
      </c>
      <c r="F8" s="75">
        <v>98850.04</v>
      </c>
      <c r="G8" s="75">
        <v>2563043.25</v>
      </c>
      <c r="H8" s="76">
        <v>187156.08</v>
      </c>
      <c r="I8" s="74">
        <v>1.591</v>
      </c>
      <c r="J8" s="75">
        <v>3.09</v>
      </c>
      <c r="K8" s="75">
        <v>0.83</v>
      </c>
      <c r="L8" s="75">
        <v>2.35</v>
      </c>
      <c r="M8" s="75">
        <v>1.62</v>
      </c>
      <c r="N8" s="76">
        <v>2.75</v>
      </c>
      <c r="O8" s="41"/>
      <c r="P8" s="80">
        <v>100</v>
      </c>
      <c r="Q8" s="7" t="s">
        <v>235</v>
      </c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7"/>
      <c r="AF8" s="7"/>
      <c r="AG8" s="7"/>
      <c r="AH8" s="7"/>
      <c r="AI8" s="7"/>
    </row>
    <row r="9" spans="1:35" ht="15.75" customHeight="1" x14ac:dyDescent="0.35">
      <c r="A9" s="71"/>
      <c r="B9" s="10">
        <v>1000</v>
      </c>
      <c r="C9" s="74">
        <v>468.9</v>
      </c>
      <c r="D9" s="75">
        <v>724.7</v>
      </c>
      <c r="E9" s="75">
        <v>875018.51</v>
      </c>
      <c r="F9" s="75">
        <v>78313.38</v>
      </c>
      <c r="G9" s="75">
        <v>2362040.77</v>
      </c>
      <c r="H9" s="78">
        <v>166130.26999999999</v>
      </c>
      <c r="I9" s="74">
        <v>1.56</v>
      </c>
      <c r="J9" s="79">
        <v>2.9860000000000002</v>
      </c>
      <c r="K9" s="75">
        <v>0.84</v>
      </c>
      <c r="L9" s="75">
        <v>2.3199999999999998</v>
      </c>
      <c r="M9" s="75">
        <v>1.58</v>
      </c>
      <c r="N9" s="78">
        <v>2.74</v>
      </c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7"/>
      <c r="AF9" s="7"/>
      <c r="AG9" s="7"/>
      <c r="AH9" s="7"/>
      <c r="AI9" s="7"/>
    </row>
    <row r="10" spans="1:35" ht="15.75" customHeight="1" x14ac:dyDescent="0.35">
      <c r="A10" s="71"/>
      <c r="B10" s="10">
        <v>200</v>
      </c>
      <c r="C10" s="74">
        <v>103.4</v>
      </c>
      <c r="D10" s="75">
        <v>140.6</v>
      </c>
      <c r="E10" s="75">
        <v>178028.3</v>
      </c>
      <c r="F10" s="75">
        <v>12821.63</v>
      </c>
      <c r="G10" s="75">
        <v>542559.31000000006</v>
      </c>
      <c r="H10" s="78">
        <v>36512.5</v>
      </c>
      <c r="I10" s="81">
        <v>1.595</v>
      </c>
      <c r="J10" s="75">
        <v>3.1269999999999998</v>
      </c>
      <c r="K10" s="75">
        <v>0.85299999999999998</v>
      </c>
      <c r="L10" s="75">
        <v>2.415</v>
      </c>
      <c r="M10" s="75">
        <v>1.6910000000000001</v>
      </c>
      <c r="N10" s="78">
        <v>2.7879999999999998</v>
      </c>
      <c r="O10" s="82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7"/>
      <c r="AF10" s="7"/>
      <c r="AG10" s="7"/>
      <c r="AH10" s="7"/>
      <c r="AI10" s="7"/>
    </row>
    <row r="11" spans="1:35" ht="15.75" customHeight="1" x14ac:dyDescent="0.35">
      <c r="A11" s="71"/>
      <c r="B11" s="10">
        <v>200</v>
      </c>
      <c r="C11" s="74">
        <v>104.1</v>
      </c>
      <c r="D11" s="75">
        <v>152.9</v>
      </c>
      <c r="E11" s="75">
        <v>179582.98</v>
      </c>
      <c r="F11" s="75">
        <v>19160.240000000002</v>
      </c>
      <c r="G11" s="75">
        <v>456973.6</v>
      </c>
      <c r="H11" s="78">
        <v>38643.39</v>
      </c>
      <c r="I11" s="74">
        <v>1.5740000000000001</v>
      </c>
      <c r="J11" s="75">
        <v>3.0190000000000001</v>
      </c>
      <c r="K11" s="75">
        <v>0.83399999999999996</v>
      </c>
      <c r="L11" s="75">
        <v>2.3050000000000002</v>
      </c>
      <c r="M11" s="75">
        <v>1.6040000000000001</v>
      </c>
      <c r="N11" s="78">
        <v>2.7349999999999999</v>
      </c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7"/>
      <c r="AF11" s="7"/>
      <c r="AG11" s="7"/>
      <c r="AH11" s="7"/>
      <c r="AI11" s="7"/>
    </row>
    <row r="12" spans="1:35" ht="15.75" customHeight="1" x14ac:dyDescent="0.35">
      <c r="A12" s="71"/>
      <c r="B12" s="10">
        <v>100</v>
      </c>
      <c r="C12" s="74">
        <v>39.5</v>
      </c>
      <c r="D12" s="75">
        <v>52.9</v>
      </c>
      <c r="E12" s="75">
        <v>73070.720000000001</v>
      </c>
      <c r="F12" s="75">
        <v>5234.58</v>
      </c>
      <c r="G12" s="75">
        <v>246024.57</v>
      </c>
      <c r="H12" s="76">
        <v>4981.3999999999996</v>
      </c>
      <c r="I12" s="74">
        <v>1.5960000000000001</v>
      </c>
      <c r="J12" s="75">
        <v>3.1579999999999999</v>
      </c>
      <c r="K12" s="75">
        <v>0.85199999999999998</v>
      </c>
      <c r="L12" s="75">
        <v>2.4820000000000002</v>
      </c>
      <c r="M12" s="75">
        <v>1.746</v>
      </c>
      <c r="N12" s="76">
        <v>2.81</v>
      </c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7"/>
      <c r="AF12" s="7"/>
      <c r="AG12" s="7"/>
      <c r="AH12" s="7"/>
      <c r="AI12" s="7"/>
    </row>
    <row r="13" spans="1:35" ht="15.75" customHeight="1" x14ac:dyDescent="0.35">
      <c r="A13" s="71"/>
      <c r="B13" s="10">
        <v>100</v>
      </c>
      <c r="C13" s="74">
        <v>37.6</v>
      </c>
      <c r="D13" s="75">
        <v>61.6</v>
      </c>
      <c r="E13" s="75">
        <v>62144.93</v>
      </c>
      <c r="F13" s="75">
        <v>8109.17</v>
      </c>
      <c r="G13" s="75">
        <v>200215.11</v>
      </c>
      <c r="H13" s="78">
        <v>10809.55</v>
      </c>
      <c r="I13" s="74">
        <v>1.5660000000000001</v>
      </c>
      <c r="J13" s="75">
        <v>3.0419999999999998</v>
      </c>
      <c r="K13" s="75">
        <v>0.84799999999999998</v>
      </c>
      <c r="L13" s="75">
        <v>2.34</v>
      </c>
      <c r="M13" s="75">
        <v>1.61</v>
      </c>
      <c r="N13" s="78">
        <v>2.74</v>
      </c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7"/>
      <c r="AF13" s="7"/>
      <c r="AG13" s="7"/>
      <c r="AH13" s="7"/>
      <c r="AI13" s="7"/>
    </row>
    <row r="14" spans="1:35" ht="15.75" customHeight="1" x14ac:dyDescent="0.35">
      <c r="A14" s="71"/>
      <c r="B14" s="10">
        <v>12.5</v>
      </c>
      <c r="C14" s="74">
        <v>10.5</v>
      </c>
      <c r="D14" s="75">
        <v>34.700000000000003</v>
      </c>
      <c r="E14" s="75">
        <v>11936.35</v>
      </c>
      <c r="F14" s="75"/>
      <c r="G14" s="75">
        <v>44352.87</v>
      </c>
      <c r="H14" s="83">
        <v>7494.82</v>
      </c>
      <c r="I14" s="74">
        <v>1.5760000000000001</v>
      </c>
      <c r="J14" s="84">
        <v>3.2050000000000001</v>
      </c>
      <c r="K14" s="75">
        <v>0.88400000000000001</v>
      </c>
      <c r="L14" s="75"/>
      <c r="M14" s="75">
        <v>1.857</v>
      </c>
      <c r="N14" s="78">
        <v>2.7850000000000001</v>
      </c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7"/>
      <c r="AF14" s="7"/>
      <c r="AG14" s="7"/>
      <c r="AH14" s="7"/>
      <c r="AI14" s="7"/>
    </row>
    <row r="15" spans="1:35" ht="15.75" customHeight="1" x14ac:dyDescent="0.35">
      <c r="A15" s="71"/>
      <c r="B15" s="85">
        <v>12.5</v>
      </c>
      <c r="C15" s="86">
        <v>15.7</v>
      </c>
      <c r="D15" s="87">
        <v>10.1</v>
      </c>
      <c r="E15" s="87">
        <v>13271.12</v>
      </c>
      <c r="F15" s="88"/>
      <c r="G15" s="88">
        <v>31301.34</v>
      </c>
      <c r="H15" s="89">
        <v>5687.34</v>
      </c>
      <c r="I15" s="86">
        <v>1.544</v>
      </c>
      <c r="J15" s="90">
        <v>3.0510000000000002</v>
      </c>
      <c r="K15" s="87">
        <v>0.89600000000000002</v>
      </c>
      <c r="L15" s="88"/>
      <c r="M15" s="88">
        <v>1.59</v>
      </c>
      <c r="N15" s="91">
        <v>2.7629999999999999</v>
      </c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7"/>
      <c r="AF15" s="7"/>
      <c r="AG15" s="7"/>
      <c r="AH15" s="7"/>
      <c r="AI15" s="7"/>
    </row>
    <row r="16" spans="1:35" ht="15.75" customHeight="1" x14ac:dyDescent="0.35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7"/>
      <c r="AF16" s="7"/>
      <c r="AG16" s="7"/>
      <c r="AH16" s="7"/>
      <c r="AI16" s="7"/>
    </row>
    <row r="17" spans="1:35" ht="15.75" customHeight="1" x14ac:dyDescent="0.35">
      <c r="A17" s="19"/>
      <c r="B17" s="92"/>
      <c r="C17" s="93" t="s">
        <v>236</v>
      </c>
      <c r="D17" s="93" t="s">
        <v>237</v>
      </c>
      <c r="E17" s="93" t="s">
        <v>238</v>
      </c>
      <c r="F17" s="93" t="s">
        <v>239</v>
      </c>
      <c r="G17" s="93" t="s">
        <v>240</v>
      </c>
      <c r="H17" s="94" t="s">
        <v>241</v>
      </c>
      <c r="J17" s="19"/>
      <c r="K17" s="10"/>
      <c r="L17" s="10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7"/>
      <c r="AF17" s="7"/>
      <c r="AG17" s="7"/>
      <c r="AH17" s="7"/>
      <c r="AI17" s="7"/>
    </row>
    <row r="18" spans="1:35" ht="15.75" customHeight="1" x14ac:dyDescent="0.35">
      <c r="A18" s="19"/>
      <c r="B18" s="95" t="s">
        <v>242</v>
      </c>
      <c r="C18" s="87">
        <v>14.2</v>
      </c>
      <c r="D18" s="87">
        <v>13.6</v>
      </c>
      <c r="E18" s="87">
        <v>12.2</v>
      </c>
      <c r="F18" s="87">
        <v>11.6</v>
      </c>
      <c r="G18" s="87">
        <v>11.7</v>
      </c>
      <c r="H18" s="89">
        <v>11.6</v>
      </c>
      <c r="I18" s="96" t="s">
        <v>243</v>
      </c>
      <c r="J18" s="19"/>
      <c r="K18" s="7"/>
      <c r="L18" s="41"/>
      <c r="M18" s="19"/>
      <c r="N18" s="19"/>
      <c r="O18" s="19"/>
      <c r="P18" s="70"/>
      <c r="Q18" s="70"/>
      <c r="R18" s="70"/>
      <c r="S18" s="70"/>
      <c r="T18" s="70"/>
      <c r="U18" s="70"/>
      <c r="V18" s="70"/>
      <c r="W18" s="70"/>
      <c r="X18" s="19"/>
      <c r="Y18" s="19"/>
      <c r="Z18" s="19"/>
      <c r="AA18" s="19"/>
      <c r="AB18" s="19"/>
      <c r="AC18" s="19"/>
      <c r="AD18" s="19"/>
      <c r="AE18" s="7"/>
      <c r="AF18" s="7"/>
      <c r="AG18" s="7"/>
      <c r="AH18" s="7"/>
      <c r="AI18" s="7"/>
    </row>
    <row r="19" spans="1:35" ht="15.75" customHeight="1" x14ac:dyDescent="0.35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0"/>
      <c r="L19" s="10"/>
      <c r="M19" s="4"/>
      <c r="N19" s="4"/>
      <c r="O19" s="4"/>
      <c r="P19" s="97" t="s">
        <v>244</v>
      </c>
      <c r="Q19" s="98" t="s">
        <v>245</v>
      </c>
      <c r="R19" s="98" t="s">
        <v>246</v>
      </c>
      <c r="S19" s="98" t="s">
        <v>247</v>
      </c>
      <c r="T19" s="98" t="s">
        <v>248</v>
      </c>
      <c r="U19" s="98" t="s">
        <v>249</v>
      </c>
      <c r="V19" s="227" t="s">
        <v>250</v>
      </c>
      <c r="W19" s="229" t="s">
        <v>251</v>
      </c>
      <c r="X19" s="19"/>
      <c r="Y19" s="19"/>
      <c r="Z19" s="19"/>
      <c r="AA19" s="19"/>
      <c r="AB19" s="19"/>
      <c r="AC19" s="19"/>
      <c r="AD19" s="19"/>
      <c r="AE19" s="7"/>
      <c r="AF19" s="7"/>
      <c r="AG19" s="7"/>
      <c r="AH19" s="7"/>
      <c r="AI19" s="7"/>
    </row>
    <row r="20" spans="1:35" ht="15.75" customHeight="1" x14ac:dyDescent="0.35">
      <c r="A20" s="71"/>
      <c r="B20" s="99" t="s">
        <v>213</v>
      </c>
      <c r="C20" s="93" t="s">
        <v>22</v>
      </c>
      <c r="D20" s="93" t="s">
        <v>23</v>
      </c>
      <c r="E20" s="93" t="s">
        <v>24</v>
      </c>
      <c r="F20" s="93" t="s">
        <v>25</v>
      </c>
      <c r="G20" s="93" t="s">
        <v>252</v>
      </c>
      <c r="H20" s="94" t="s">
        <v>27</v>
      </c>
      <c r="I20" s="19"/>
      <c r="J20" s="19"/>
      <c r="K20" s="10"/>
      <c r="L20" s="10"/>
      <c r="M20" s="4"/>
      <c r="N20" s="4"/>
      <c r="O20" s="4"/>
      <c r="P20" s="100" t="s">
        <v>253</v>
      </c>
      <c r="Q20" s="101" t="s">
        <v>254</v>
      </c>
      <c r="R20" s="101" t="s">
        <v>255</v>
      </c>
      <c r="S20" s="101" t="s">
        <v>246</v>
      </c>
      <c r="T20" s="101" t="s">
        <v>256</v>
      </c>
      <c r="U20" s="101" t="s">
        <v>257</v>
      </c>
      <c r="V20" s="228"/>
      <c r="W20" s="230"/>
      <c r="X20" s="19"/>
      <c r="Y20" s="19"/>
      <c r="Z20" s="19"/>
      <c r="AA20" s="19"/>
      <c r="AB20" s="19"/>
      <c r="AC20" s="19"/>
      <c r="AD20" s="19"/>
      <c r="AE20" s="7"/>
      <c r="AF20" s="7"/>
      <c r="AG20" s="7"/>
      <c r="AH20" s="7"/>
      <c r="AI20" s="7"/>
    </row>
    <row r="21" spans="1:35" ht="15.75" customHeight="1" x14ac:dyDescent="0.35">
      <c r="A21" s="71" t="s">
        <v>212</v>
      </c>
      <c r="B21" s="102">
        <v>5000</v>
      </c>
      <c r="C21" s="54">
        <f>C18/1000/$C$41*1000*1000/$P$8*1000</f>
        <v>414.99839261185963</v>
      </c>
      <c r="D21" s="54">
        <f>D18*1000*1000/$P$8/$C$42</f>
        <v>456.13093640998119</v>
      </c>
      <c r="E21" s="7">
        <f>E18*1000*1000/$P$8/$C$43</f>
        <v>497.65449724658373</v>
      </c>
      <c r="F21" s="7">
        <f t="shared" ref="F21:H21" si="0">F18*1000*1000/$P$8/$C$44</f>
        <v>552.01294375178452</v>
      </c>
      <c r="G21" s="7">
        <f t="shared" si="0"/>
        <v>556.77167602550685</v>
      </c>
      <c r="H21" s="103">
        <f t="shared" si="0"/>
        <v>552.01294375178452</v>
      </c>
      <c r="I21" s="19"/>
      <c r="J21" s="19"/>
      <c r="K21" s="10"/>
      <c r="L21" s="10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7"/>
      <c r="AF21" s="7"/>
      <c r="AG21" s="7"/>
      <c r="AH21" s="7"/>
      <c r="AI21" s="7"/>
    </row>
    <row r="22" spans="1:35" ht="15.75" customHeight="1" x14ac:dyDescent="0.35">
      <c r="A22" s="19"/>
      <c r="B22" s="102">
        <v>5000</v>
      </c>
      <c r="C22" s="54">
        <f>C18/1000/342.17*1000*1000/$P$8*1000</f>
        <v>414.99839261185963</v>
      </c>
      <c r="D22" s="54">
        <f t="shared" ref="D22:H22" si="1">D18*1000*1000/$P$8/298.16</f>
        <v>456.13093640998119</v>
      </c>
      <c r="E22" s="7">
        <f t="shared" si="1"/>
        <v>409.17628119130666</v>
      </c>
      <c r="F22" s="7">
        <f t="shared" si="1"/>
        <v>389.05285752616044</v>
      </c>
      <c r="G22" s="7">
        <f t="shared" si="1"/>
        <v>392.40676147035146</v>
      </c>
      <c r="H22" s="103">
        <f t="shared" si="1"/>
        <v>389.05285752616044</v>
      </c>
      <c r="I22" s="19"/>
      <c r="J22" s="19"/>
      <c r="K22" s="10"/>
      <c r="L22" s="10"/>
      <c r="M22" s="19"/>
      <c r="N22" s="19"/>
      <c r="O22" s="19"/>
      <c r="P22" s="104"/>
      <c r="Q22" s="7" t="s">
        <v>208</v>
      </c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7"/>
      <c r="AF22" s="7"/>
      <c r="AG22" s="7"/>
      <c r="AH22" s="7"/>
      <c r="AI22" s="7"/>
    </row>
    <row r="23" spans="1:35" ht="15.75" customHeight="1" x14ac:dyDescent="0.35">
      <c r="A23" s="19"/>
      <c r="B23" s="102">
        <v>2000</v>
      </c>
      <c r="C23" s="54">
        <f t="shared" ref="C23:C32" si="2">B23*$C$21/$B$21</f>
        <v>165.99935704474387</v>
      </c>
      <c r="D23" s="54">
        <f t="shared" ref="D23:D25" si="3">B23*$D$21/$B$21</f>
        <v>182.45237456399246</v>
      </c>
      <c r="E23" s="7">
        <f t="shared" ref="E23:E32" si="4">B23*$E$21/$B$21</f>
        <v>199.0617988986335</v>
      </c>
      <c r="F23" s="7">
        <f t="shared" ref="F23:F32" si="5">B23*$F$21/$B$21</f>
        <v>220.8051775007138</v>
      </c>
      <c r="G23" s="7">
        <f t="shared" ref="G23:G32" si="6">B23*$G$21/$B$21</f>
        <v>222.70867041020273</v>
      </c>
      <c r="H23" s="103">
        <f t="shared" ref="H23:H32" si="7">B23*$H$21/$B$21</f>
        <v>220.8051775007138</v>
      </c>
      <c r="I23" s="19"/>
      <c r="J23" s="19"/>
      <c r="K23" s="10"/>
      <c r="L23" s="10"/>
      <c r="M23" s="19"/>
      <c r="N23" s="19"/>
      <c r="O23" s="19"/>
      <c r="P23" s="105"/>
      <c r="Q23" s="7" t="s">
        <v>258</v>
      </c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7"/>
      <c r="AF23" s="7"/>
      <c r="AG23" s="7"/>
      <c r="AH23" s="7"/>
      <c r="AI23" s="7"/>
    </row>
    <row r="24" spans="1:35" ht="15.75" customHeight="1" x14ac:dyDescent="0.35">
      <c r="A24" s="19"/>
      <c r="B24" s="102">
        <v>2000</v>
      </c>
      <c r="C24" s="54">
        <f t="shared" si="2"/>
        <v>165.99935704474387</v>
      </c>
      <c r="D24" s="54">
        <f t="shared" si="3"/>
        <v>182.45237456399246</v>
      </c>
      <c r="E24" s="7">
        <f t="shared" si="4"/>
        <v>199.0617988986335</v>
      </c>
      <c r="F24" s="7">
        <f t="shared" si="5"/>
        <v>220.8051775007138</v>
      </c>
      <c r="G24" s="7">
        <f t="shared" si="6"/>
        <v>222.70867041020273</v>
      </c>
      <c r="H24" s="103">
        <f t="shared" si="7"/>
        <v>220.8051775007138</v>
      </c>
      <c r="I24" s="19"/>
      <c r="J24" s="19"/>
      <c r="K24" s="10"/>
      <c r="L24" s="10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7"/>
      <c r="AF24" s="7"/>
      <c r="AG24" s="7"/>
      <c r="AH24" s="7"/>
      <c r="AI24" s="7"/>
    </row>
    <row r="25" spans="1:35" ht="15.75" customHeight="1" x14ac:dyDescent="0.35">
      <c r="A25" s="19"/>
      <c r="B25" s="102">
        <v>1000</v>
      </c>
      <c r="C25" s="54">
        <f t="shared" si="2"/>
        <v>82.999678522371937</v>
      </c>
      <c r="D25" s="54">
        <f t="shared" si="3"/>
        <v>91.226187281996232</v>
      </c>
      <c r="E25" s="7">
        <f t="shared" si="4"/>
        <v>99.530899449316749</v>
      </c>
      <c r="F25" s="7">
        <f t="shared" si="5"/>
        <v>110.4025887503569</v>
      </c>
      <c r="G25" s="7">
        <f t="shared" si="6"/>
        <v>111.35433520510136</v>
      </c>
      <c r="H25" s="103">
        <f t="shared" si="7"/>
        <v>110.4025887503569</v>
      </c>
      <c r="I25" s="19"/>
      <c r="J25" s="19"/>
      <c r="K25" s="10"/>
      <c r="L25" s="10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7"/>
      <c r="AF25" s="7"/>
      <c r="AG25" s="7"/>
      <c r="AH25" s="7"/>
      <c r="AI25" s="7"/>
    </row>
    <row r="26" spans="1:35" ht="15.75" customHeight="1" x14ac:dyDescent="0.35">
      <c r="A26" s="19"/>
      <c r="B26" s="102">
        <v>1000</v>
      </c>
      <c r="C26" s="54">
        <f t="shared" si="2"/>
        <v>82.999678522371937</v>
      </c>
      <c r="D26" s="54">
        <f>B25*$D$21/$B$21</f>
        <v>91.226187281996232</v>
      </c>
      <c r="E26" s="7">
        <f t="shared" si="4"/>
        <v>99.530899449316749</v>
      </c>
      <c r="F26" s="7">
        <f t="shared" si="5"/>
        <v>110.4025887503569</v>
      </c>
      <c r="G26" s="7">
        <f t="shared" si="6"/>
        <v>111.35433520510136</v>
      </c>
      <c r="H26" s="103">
        <f t="shared" si="7"/>
        <v>110.4025887503569</v>
      </c>
      <c r="I26" s="19"/>
      <c r="J26" s="19"/>
      <c r="K26" s="10"/>
      <c r="L26" s="10"/>
      <c r="M26" s="7"/>
      <c r="N26" s="7"/>
      <c r="O26" s="7"/>
      <c r="P26" s="7" t="s">
        <v>259</v>
      </c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7"/>
      <c r="AF26" s="7"/>
      <c r="AG26" s="7"/>
      <c r="AH26" s="7"/>
      <c r="AI26" s="7"/>
    </row>
    <row r="27" spans="1:35" ht="15.75" customHeight="1" x14ac:dyDescent="0.35">
      <c r="A27" s="19"/>
      <c r="B27" s="102">
        <v>200</v>
      </c>
      <c r="C27" s="54">
        <f t="shared" si="2"/>
        <v>16.599935704474383</v>
      </c>
      <c r="D27" s="54">
        <f>B27*$D$21/$B$21</f>
        <v>18.245237456399249</v>
      </c>
      <c r="E27" s="7">
        <f t="shared" si="4"/>
        <v>19.906179889863349</v>
      </c>
      <c r="F27" s="7">
        <f t="shared" si="5"/>
        <v>22.080517750071383</v>
      </c>
      <c r="G27" s="7">
        <f t="shared" si="6"/>
        <v>22.270867041020274</v>
      </c>
      <c r="H27" s="103">
        <f t="shared" si="7"/>
        <v>22.080517750071383</v>
      </c>
      <c r="I27" s="19"/>
      <c r="J27" s="19"/>
      <c r="K27" s="10"/>
      <c r="L27" s="10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7"/>
      <c r="AF27" s="7"/>
      <c r="AG27" s="7"/>
      <c r="AH27" s="7"/>
      <c r="AI27" s="7"/>
    </row>
    <row r="28" spans="1:35" ht="15.75" customHeight="1" x14ac:dyDescent="0.35">
      <c r="A28" s="19"/>
      <c r="B28" s="102">
        <v>200</v>
      </c>
      <c r="C28" s="54">
        <f t="shared" si="2"/>
        <v>16.599935704474383</v>
      </c>
      <c r="D28" s="54">
        <f>B27*$D$21/$B$21</f>
        <v>18.245237456399249</v>
      </c>
      <c r="E28" s="7">
        <f t="shared" si="4"/>
        <v>19.906179889863349</v>
      </c>
      <c r="F28" s="7">
        <f t="shared" si="5"/>
        <v>22.080517750071383</v>
      </c>
      <c r="G28" s="7">
        <f t="shared" si="6"/>
        <v>22.270867041020274</v>
      </c>
      <c r="H28" s="103">
        <f t="shared" si="7"/>
        <v>22.080517750071383</v>
      </c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7"/>
      <c r="AF28" s="7"/>
      <c r="AG28" s="7"/>
      <c r="AH28" s="7"/>
      <c r="AI28" s="7"/>
    </row>
    <row r="29" spans="1:35" ht="15.75" customHeight="1" x14ac:dyDescent="0.35">
      <c r="A29" s="19"/>
      <c r="B29" s="102">
        <v>100</v>
      </c>
      <c r="C29" s="54">
        <f t="shared" si="2"/>
        <v>8.2999678522371916</v>
      </c>
      <c r="D29" s="54">
        <f>B29*$D$21/$B$21</f>
        <v>9.1226187281996243</v>
      </c>
      <c r="E29" s="7">
        <f t="shared" si="4"/>
        <v>9.9530899449316745</v>
      </c>
      <c r="F29" s="7">
        <f t="shared" si="5"/>
        <v>11.040258875035692</v>
      </c>
      <c r="G29" s="7">
        <f t="shared" si="6"/>
        <v>11.135433520510137</v>
      </c>
      <c r="H29" s="103">
        <f t="shared" si="7"/>
        <v>11.040258875035692</v>
      </c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7"/>
      <c r="AF29" s="7"/>
      <c r="AG29" s="7"/>
      <c r="AH29" s="7"/>
      <c r="AI29" s="7"/>
    </row>
    <row r="30" spans="1:35" ht="15.75" customHeight="1" x14ac:dyDescent="0.35">
      <c r="A30" s="19"/>
      <c r="B30" s="102">
        <v>100</v>
      </c>
      <c r="C30" s="54">
        <f t="shared" si="2"/>
        <v>8.2999678522371916</v>
      </c>
      <c r="D30" s="54">
        <f>B29*$D$21/$B$21</f>
        <v>9.1226187281996243</v>
      </c>
      <c r="E30" s="7">
        <f t="shared" si="4"/>
        <v>9.9530899449316745</v>
      </c>
      <c r="F30" s="7">
        <f t="shared" si="5"/>
        <v>11.040258875035692</v>
      </c>
      <c r="G30" s="7">
        <f t="shared" si="6"/>
        <v>11.135433520510137</v>
      </c>
      <c r="H30" s="103">
        <f t="shared" si="7"/>
        <v>11.040258875035692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7"/>
      <c r="AF30" s="7"/>
      <c r="AG30" s="7"/>
      <c r="AH30" s="7"/>
      <c r="AI30" s="7"/>
    </row>
    <row r="31" spans="1:35" ht="15.75" customHeight="1" x14ac:dyDescent="0.35">
      <c r="A31" s="19"/>
      <c r="B31" s="102">
        <v>12.5</v>
      </c>
      <c r="C31" s="54">
        <f t="shared" si="2"/>
        <v>1.0374959815296489</v>
      </c>
      <c r="D31" s="54">
        <f t="shared" ref="D31:D32" si="8">B31*$D$21/$B$21</f>
        <v>1.140327341024953</v>
      </c>
      <c r="E31" s="7">
        <f t="shared" si="4"/>
        <v>1.2441362431164593</v>
      </c>
      <c r="F31" s="7">
        <f t="shared" si="5"/>
        <v>1.3800323593794614</v>
      </c>
      <c r="G31" s="7">
        <f t="shared" si="6"/>
        <v>1.3919291900637671</v>
      </c>
      <c r="H31" s="103">
        <f t="shared" si="7"/>
        <v>1.3800323593794614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7"/>
      <c r="AF31" s="7"/>
      <c r="AG31" s="7"/>
      <c r="AH31" s="7"/>
      <c r="AI31" s="7"/>
    </row>
    <row r="32" spans="1:35" ht="15.75" customHeight="1" x14ac:dyDescent="0.35">
      <c r="A32" s="19"/>
      <c r="B32" s="106">
        <v>12.5</v>
      </c>
      <c r="C32" s="107">
        <f t="shared" si="2"/>
        <v>1.0374959815296489</v>
      </c>
      <c r="D32" s="107">
        <f t="shared" si="8"/>
        <v>1.140327341024953</v>
      </c>
      <c r="E32" s="108">
        <f t="shared" si="4"/>
        <v>1.2441362431164593</v>
      </c>
      <c r="F32" s="108">
        <f t="shared" si="5"/>
        <v>1.3800323593794614</v>
      </c>
      <c r="G32" s="108">
        <f t="shared" si="6"/>
        <v>1.3919291900637671</v>
      </c>
      <c r="H32" s="109">
        <f t="shared" si="7"/>
        <v>1.3800323593794614</v>
      </c>
      <c r="I32" s="19"/>
      <c r="J32" s="19"/>
      <c r="K32" s="19"/>
      <c r="L32" s="19"/>
      <c r="M32" s="19"/>
      <c r="N32" s="19"/>
      <c r="O32" s="19"/>
      <c r="P32" s="19"/>
      <c r="Q32" s="7" t="s">
        <v>260</v>
      </c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7"/>
      <c r="AF32" s="7"/>
      <c r="AG32" s="7"/>
      <c r="AH32" s="7"/>
      <c r="AI32" s="7"/>
    </row>
    <row r="33" spans="1:35" ht="15.75" customHeight="1" x14ac:dyDescent="0.35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7"/>
      <c r="AF33" s="7"/>
      <c r="AG33" s="7"/>
      <c r="AH33" s="7"/>
      <c r="AI33" s="7"/>
    </row>
    <row r="34" spans="1:35" ht="15.75" customHeight="1" x14ac:dyDescent="0.35">
      <c r="A34" s="19"/>
      <c r="B34" s="92"/>
      <c r="C34" s="93" t="s">
        <v>34</v>
      </c>
      <c r="D34" s="93" t="s">
        <v>35</v>
      </c>
      <c r="E34" s="93" t="s">
        <v>36</v>
      </c>
      <c r="F34" s="93" t="s">
        <v>261</v>
      </c>
      <c r="G34" s="93" t="s">
        <v>262</v>
      </c>
      <c r="H34" s="94" t="s">
        <v>263</v>
      </c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7"/>
      <c r="AF34" s="7"/>
      <c r="AG34" s="7"/>
      <c r="AH34" s="7"/>
      <c r="AI34" s="7"/>
    </row>
    <row r="35" spans="1:35" ht="15.75" customHeight="1" x14ac:dyDescent="0.35">
      <c r="A35" s="71" t="s">
        <v>212</v>
      </c>
      <c r="B35" s="72" t="s">
        <v>264</v>
      </c>
      <c r="C35" s="110">
        <f t="shared" ref="C35:H35" si="9">SLOPE(C21:C32,C4:C15)</f>
        <v>8.4842677211913034E-2</v>
      </c>
      <c r="D35" s="110">
        <f t="shared" si="9"/>
        <v>8.7578549304519068E-2</v>
      </c>
      <c r="E35" s="111">
        <f t="shared" si="9"/>
        <v>8.8048556159892562E-5</v>
      </c>
      <c r="F35" s="111">
        <f t="shared" si="9"/>
        <v>1.2845009336373734E-3</v>
      </c>
      <c r="G35" s="111">
        <f t="shared" si="9"/>
        <v>4.2363885170437932E-5</v>
      </c>
      <c r="H35" s="112">
        <f t="shared" si="9"/>
        <v>4.1945082796629224E-4</v>
      </c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7"/>
      <c r="AF35" s="7"/>
      <c r="AG35" s="7"/>
      <c r="AH35" s="7"/>
      <c r="AI35" s="7"/>
    </row>
    <row r="36" spans="1:35" ht="15.75" customHeight="1" x14ac:dyDescent="0.35">
      <c r="A36" s="19"/>
      <c r="B36" s="72" t="s">
        <v>265</v>
      </c>
      <c r="C36" s="110">
        <f t="shared" ref="C36:H36" si="10">INTERCEPT(C21:C32,C4:C15)</f>
        <v>20.832855850018646</v>
      </c>
      <c r="D36" s="110">
        <f t="shared" si="10"/>
        <v>12.556060838383601</v>
      </c>
      <c r="E36" s="110">
        <f t="shared" si="10"/>
        <v>8.1488908689682376</v>
      </c>
      <c r="F36" s="110">
        <f t="shared" si="10"/>
        <v>3.5253778164139646</v>
      </c>
      <c r="G36" s="110">
        <f t="shared" si="10"/>
        <v>1.9642484205166681</v>
      </c>
      <c r="H36" s="113">
        <f t="shared" si="10"/>
        <v>10.173653987358804</v>
      </c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7"/>
      <c r="AF36" s="7"/>
      <c r="AG36" s="7"/>
      <c r="AH36" s="7"/>
      <c r="AI36" s="7"/>
    </row>
    <row r="37" spans="1:35" ht="15.75" customHeight="1" x14ac:dyDescent="0.35">
      <c r="A37" s="19"/>
      <c r="B37" s="114" t="s">
        <v>266</v>
      </c>
      <c r="C37" s="115">
        <f t="shared" ref="C37:H37" si="11">RSQ(C21:C32,C4:C15)</f>
        <v>0.97629438155836124</v>
      </c>
      <c r="D37" s="115">
        <f t="shared" si="11"/>
        <v>0.99268969595590895</v>
      </c>
      <c r="E37" s="115">
        <f t="shared" si="11"/>
        <v>0.99184396095803773</v>
      </c>
      <c r="F37" s="115">
        <f t="shared" si="11"/>
        <v>0.97572050189202697</v>
      </c>
      <c r="G37" s="115">
        <f t="shared" si="11"/>
        <v>0.99923971567457848</v>
      </c>
      <c r="H37" s="116">
        <f t="shared" si="11"/>
        <v>0.97328799419388534</v>
      </c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7"/>
      <c r="AF37" s="7"/>
      <c r="AG37" s="7"/>
      <c r="AH37" s="7"/>
      <c r="AI37" s="7"/>
    </row>
    <row r="38" spans="1:35" ht="15.75" customHeight="1" x14ac:dyDescent="0.35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7"/>
      <c r="AF38" s="7"/>
      <c r="AG38" s="7"/>
      <c r="AH38" s="7"/>
      <c r="AI38" s="7"/>
    </row>
    <row r="39" spans="1:35" ht="15.75" customHeight="1" x14ac:dyDescent="0.35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7"/>
      <c r="AF39" s="7"/>
      <c r="AG39" s="7"/>
      <c r="AH39" s="7"/>
      <c r="AI39" s="7"/>
    </row>
    <row r="40" spans="1:35" ht="15.75" customHeight="1" x14ac:dyDescent="0.35">
      <c r="A40" s="19"/>
      <c r="B40" s="99" t="s">
        <v>267</v>
      </c>
      <c r="C40" s="93" t="s">
        <v>268</v>
      </c>
      <c r="D40" s="94" t="s">
        <v>269</v>
      </c>
      <c r="E40" s="96" t="s">
        <v>270</v>
      </c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7"/>
      <c r="AF40" s="7"/>
      <c r="AG40" s="7"/>
      <c r="AH40" s="7"/>
      <c r="AI40" s="7"/>
    </row>
    <row r="41" spans="1:35" ht="15.75" customHeight="1" x14ac:dyDescent="0.35">
      <c r="A41" s="19"/>
      <c r="B41" s="33" t="s">
        <v>34</v>
      </c>
      <c r="C41" s="10">
        <v>342.17</v>
      </c>
      <c r="D41" s="117">
        <v>12</v>
      </c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7"/>
      <c r="AF41" s="7"/>
      <c r="AG41" s="7"/>
      <c r="AH41" s="7"/>
      <c r="AI41" s="7"/>
    </row>
    <row r="42" spans="1:35" ht="15.75" customHeight="1" x14ac:dyDescent="0.35">
      <c r="A42" s="19"/>
      <c r="B42" s="33" t="s">
        <v>35</v>
      </c>
      <c r="C42" s="10">
        <v>298.16000000000003</v>
      </c>
      <c r="D42" s="117">
        <v>11</v>
      </c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7"/>
      <c r="AF42" s="7"/>
      <c r="AG42" s="7"/>
      <c r="AH42" s="7"/>
      <c r="AI42" s="7"/>
    </row>
    <row r="43" spans="1:35" ht="15.75" customHeight="1" x14ac:dyDescent="0.35">
      <c r="A43" s="19"/>
      <c r="B43" s="33" t="s">
        <v>36</v>
      </c>
      <c r="C43" s="10">
        <v>245.15</v>
      </c>
      <c r="D43" s="117">
        <v>10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7"/>
      <c r="AF43" s="7"/>
      <c r="AG43" s="7"/>
      <c r="AH43" s="7"/>
      <c r="AI43" s="7"/>
    </row>
    <row r="44" spans="1:35" ht="15.75" customHeight="1" x14ac:dyDescent="0.35">
      <c r="A44" s="19"/>
      <c r="B44" s="34" t="s">
        <v>37</v>
      </c>
      <c r="C44" s="85">
        <v>210.14</v>
      </c>
      <c r="D44" s="118">
        <v>9</v>
      </c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7"/>
      <c r="AF44" s="7"/>
      <c r="AG44" s="7"/>
      <c r="AH44" s="7"/>
      <c r="AI44" s="7"/>
    </row>
    <row r="45" spans="1:35" ht="15.75" customHeight="1" x14ac:dyDescent="0.3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7"/>
      <c r="AF45" s="7"/>
      <c r="AG45" s="7"/>
      <c r="AH45" s="7"/>
      <c r="AI45" s="7"/>
    </row>
    <row r="46" spans="1:35" ht="15.75" customHeight="1" x14ac:dyDescent="0.3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7"/>
      <c r="AF46" s="7"/>
      <c r="AG46" s="7"/>
      <c r="AH46" s="7"/>
      <c r="AI46" s="7"/>
    </row>
    <row r="47" spans="1:35" ht="15.75" customHeight="1" x14ac:dyDescent="0.35">
      <c r="B47" s="99" t="s">
        <v>271</v>
      </c>
      <c r="C47" s="224" t="s">
        <v>210</v>
      </c>
      <c r="D47" s="225"/>
      <c r="E47" s="225"/>
      <c r="F47" s="225"/>
      <c r="G47" s="225"/>
      <c r="H47" s="226"/>
      <c r="I47" s="224" t="s">
        <v>211</v>
      </c>
      <c r="J47" s="225"/>
      <c r="K47" s="225"/>
      <c r="L47" s="225"/>
      <c r="M47" s="225"/>
      <c r="N47" s="226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7"/>
      <c r="AF47" s="7"/>
      <c r="AG47" s="7"/>
      <c r="AH47" s="7"/>
      <c r="AI47" s="7"/>
    </row>
    <row r="48" spans="1:35" ht="15.75" customHeight="1" x14ac:dyDescent="0.35">
      <c r="A48" s="12" t="s">
        <v>272</v>
      </c>
      <c r="B48" s="72" t="s">
        <v>213</v>
      </c>
      <c r="C48" s="72" t="s">
        <v>214</v>
      </c>
      <c r="D48" s="1" t="s">
        <v>215</v>
      </c>
      <c r="E48" s="1" t="s">
        <v>216</v>
      </c>
      <c r="F48" s="1" t="s">
        <v>217</v>
      </c>
      <c r="G48" s="1" t="s">
        <v>218</v>
      </c>
      <c r="H48" s="1" t="s">
        <v>219</v>
      </c>
      <c r="I48" s="72" t="s">
        <v>220</v>
      </c>
      <c r="J48" s="1" t="s">
        <v>221</v>
      </c>
      <c r="K48" s="1" t="s">
        <v>222</v>
      </c>
      <c r="L48" s="1" t="s">
        <v>223</v>
      </c>
      <c r="M48" s="1" t="s">
        <v>224</v>
      </c>
      <c r="N48" s="73" t="s">
        <v>225</v>
      </c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7"/>
      <c r="AF48" s="7"/>
      <c r="AG48" s="7"/>
      <c r="AH48" s="7"/>
      <c r="AI48" s="7"/>
    </row>
    <row r="49" spans="2:35" ht="15.75" customHeight="1" x14ac:dyDescent="0.35">
      <c r="B49" s="102">
        <v>5000</v>
      </c>
      <c r="C49" s="74">
        <v>5412.6</v>
      </c>
      <c r="D49" s="75">
        <v>5517.9</v>
      </c>
      <c r="E49" s="75">
        <v>11551896.130000001</v>
      </c>
      <c r="F49" s="75">
        <v>461882.91</v>
      </c>
      <c r="G49" s="75">
        <v>24615859.989999998</v>
      </c>
      <c r="H49" s="75">
        <v>4337539.12</v>
      </c>
      <c r="I49" s="74">
        <v>1.5529999999999999</v>
      </c>
      <c r="J49" s="75">
        <v>2.923</v>
      </c>
      <c r="K49" s="75">
        <v>0.82499999999999996</v>
      </c>
      <c r="L49" s="75">
        <v>2.4319999999999999</v>
      </c>
      <c r="M49" s="75">
        <v>1.6519999999999999</v>
      </c>
      <c r="N49" s="76">
        <v>2.7829999999999999</v>
      </c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7"/>
      <c r="AF49" s="7"/>
      <c r="AG49" s="7"/>
      <c r="AH49" s="7"/>
      <c r="AI49" s="7"/>
    </row>
    <row r="50" spans="2:35" ht="15.75" customHeight="1" x14ac:dyDescent="0.35">
      <c r="B50" s="102">
        <v>5000</v>
      </c>
      <c r="C50" s="74">
        <v>4974</v>
      </c>
      <c r="D50" s="75">
        <v>5491.7</v>
      </c>
      <c r="E50" s="75">
        <v>11397759.57</v>
      </c>
      <c r="F50" s="75">
        <v>415198.75</v>
      </c>
      <c r="G50" s="75">
        <v>25328659.969999999</v>
      </c>
      <c r="H50" s="75">
        <v>4325229.03</v>
      </c>
      <c r="I50" s="74">
        <v>1.603</v>
      </c>
      <c r="J50" s="75">
        <v>3.0760000000000001</v>
      </c>
      <c r="K50" s="75">
        <v>0.82699999999999996</v>
      </c>
      <c r="L50" s="75">
        <v>2.4220000000000002</v>
      </c>
      <c r="M50" s="75">
        <v>1.65</v>
      </c>
      <c r="N50" s="76">
        <v>2.77</v>
      </c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7"/>
      <c r="AF50" s="7"/>
      <c r="AG50" s="7"/>
      <c r="AH50" s="7"/>
      <c r="AI50" s="7"/>
    </row>
    <row r="51" spans="2:35" ht="15.75" customHeight="1" x14ac:dyDescent="0.35">
      <c r="B51" s="102">
        <v>5000</v>
      </c>
      <c r="C51" s="119"/>
      <c r="D51" s="104"/>
      <c r="E51" s="104"/>
      <c r="F51" s="104"/>
      <c r="G51" s="104"/>
      <c r="H51" s="104"/>
      <c r="I51" s="119"/>
      <c r="J51" s="104"/>
      <c r="K51" s="104"/>
      <c r="L51" s="104"/>
      <c r="M51" s="104"/>
      <c r="N51" s="120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7"/>
      <c r="AF51" s="7"/>
      <c r="AG51" s="7"/>
      <c r="AH51" s="7"/>
      <c r="AI51" s="7"/>
    </row>
    <row r="52" spans="2:35" ht="15.75" customHeight="1" x14ac:dyDescent="0.35">
      <c r="B52" s="102">
        <v>2000</v>
      </c>
      <c r="C52" s="74">
        <v>1401.5</v>
      </c>
      <c r="D52" s="75">
        <v>1789.9</v>
      </c>
      <c r="E52" s="75">
        <v>4811138.12</v>
      </c>
      <c r="F52" s="75">
        <v>135848.56</v>
      </c>
      <c r="G52" s="75">
        <v>9730230.1099999994</v>
      </c>
      <c r="H52" s="75">
        <v>1188703.8899999999</v>
      </c>
      <c r="I52" s="74">
        <v>1.5609999999999999</v>
      </c>
      <c r="J52" s="75">
        <v>2.9649999999999999</v>
      </c>
      <c r="K52" s="75">
        <v>0.83599999999999997</v>
      </c>
      <c r="L52" s="75">
        <v>2.4420000000000002</v>
      </c>
      <c r="M52" s="75">
        <v>1.6619999999999999</v>
      </c>
      <c r="N52" s="76">
        <v>2.782</v>
      </c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7"/>
      <c r="AF52" s="7"/>
      <c r="AG52" s="7"/>
      <c r="AH52" s="7"/>
      <c r="AI52" s="7"/>
    </row>
    <row r="53" spans="2:35" ht="15.75" customHeight="1" x14ac:dyDescent="0.35">
      <c r="B53" s="102">
        <v>2000</v>
      </c>
      <c r="C53" s="74">
        <v>1408.7</v>
      </c>
      <c r="D53" s="75">
        <v>1783.9</v>
      </c>
      <c r="E53" s="75">
        <v>4691109.01</v>
      </c>
      <c r="F53" s="75">
        <v>142262.81</v>
      </c>
      <c r="G53" s="75">
        <v>10547784.800000001</v>
      </c>
      <c r="H53" s="75">
        <v>1194153.6599999999</v>
      </c>
      <c r="I53" s="74">
        <v>1.59</v>
      </c>
      <c r="J53" s="75">
        <v>3.1179999999999999</v>
      </c>
      <c r="K53" s="75">
        <v>0.82399999999999995</v>
      </c>
      <c r="L53" s="75">
        <v>2.42</v>
      </c>
      <c r="M53" s="75">
        <v>1.6619999999999999</v>
      </c>
      <c r="N53" s="76">
        <v>2.7709999999999999</v>
      </c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7"/>
      <c r="AF53" s="7"/>
      <c r="AG53" s="7"/>
      <c r="AH53" s="7"/>
      <c r="AI53" s="7"/>
    </row>
    <row r="54" spans="2:35" ht="15.75" customHeight="1" x14ac:dyDescent="0.35">
      <c r="B54" s="102">
        <v>2000</v>
      </c>
      <c r="C54" s="119"/>
      <c r="D54" s="104"/>
      <c r="E54" s="104"/>
      <c r="F54" s="104"/>
      <c r="G54" s="104"/>
      <c r="H54" s="104"/>
      <c r="I54" s="119"/>
      <c r="J54" s="104"/>
      <c r="K54" s="104"/>
      <c r="L54" s="104"/>
      <c r="M54" s="104"/>
      <c r="N54" s="120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7"/>
      <c r="AF54" s="7"/>
      <c r="AG54" s="7"/>
      <c r="AH54" s="7"/>
      <c r="AI54" s="7"/>
    </row>
    <row r="55" spans="2:35" ht="14.5" x14ac:dyDescent="0.35">
      <c r="B55" s="102">
        <v>1000</v>
      </c>
      <c r="C55" s="74">
        <v>522.9</v>
      </c>
      <c r="D55" s="75">
        <v>791.1</v>
      </c>
      <c r="E55" s="75">
        <v>2362288.54</v>
      </c>
      <c r="F55" s="75">
        <v>74182.289999999994</v>
      </c>
      <c r="G55" s="75">
        <v>4624646.53</v>
      </c>
      <c r="H55" s="75">
        <v>357162.83</v>
      </c>
      <c r="I55" s="74">
        <v>1.5649999999999999</v>
      </c>
      <c r="J55" s="75">
        <v>2.9950000000000001</v>
      </c>
      <c r="K55" s="75">
        <v>0.84499999999999997</v>
      </c>
      <c r="L55" s="75">
        <v>2.452</v>
      </c>
      <c r="M55" s="75">
        <v>1.671</v>
      </c>
      <c r="N55" s="76">
        <v>2.78</v>
      </c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7"/>
      <c r="AF55" s="7"/>
      <c r="AG55" s="7"/>
      <c r="AH55" s="7"/>
      <c r="AI55" s="7"/>
    </row>
    <row r="56" spans="2:35" ht="14.5" x14ac:dyDescent="0.35">
      <c r="B56" s="102">
        <v>1000</v>
      </c>
      <c r="C56" s="74">
        <v>526</v>
      </c>
      <c r="D56" s="75">
        <v>780.4</v>
      </c>
      <c r="E56" s="75">
        <v>2233564.64</v>
      </c>
      <c r="F56" s="75">
        <v>76516.600000000006</v>
      </c>
      <c r="G56" s="75">
        <v>5124398.01</v>
      </c>
      <c r="H56" s="75">
        <v>372159.81</v>
      </c>
      <c r="I56" s="74">
        <v>1.591</v>
      </c>
      <c r="J56" s="79">
        <v>3.14</v>
      </c>
      <c r="K56" s="75">
        <v>0.82499999999999996</v>
      </c>
      <c r="L56" s="75">
        <v>2.4319999999999999</v>
      </c>
      <c r="M56" s="75">
        <v>1.663</v>
      </c>
      <c r="N56" s="76">
        <v>2.7709999999999999</v>
      </c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7"/>
      <c r="AF56" s="7"/>
      <c r="AG56" s="7"/>
      <c r="AH56" s="7"/>
      <c r="AI56" s="7"/>
    </row>
    <row r="57" spans="2:35" ht="14.5" x14ac:dyDescent="0.35">
      <c r="B57" s="102">
        <v>1000</v>
      </c>
      <c r="C57" s="119"/>
      <c r="D57" s="104"/>
      <c r="E57" s="104"/>
      <c r="F57" s="104"/>
      <c r="G57" s="104"/>
      <c r="H57" s="104"/>
      <c r="I57" s="121"/>
      <c r="J57" s="104"/>
      <c r="K57" s="104"/>
      <c r="L57" s="104"/>
      <c r="M57" s="104"/>
      <c r="N57" s="120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7"/>
      <c r="AF57" s="7"/>
      <c r="AG57" s="7"/>
      <c r="AH57" s="7"/>
      <c r="AI57" s="7"/>
    </row>
    <row r="58" spans="2:35" ht="14.5" x14ac:dyDescent="0.35">
      <c r="B58" s="102">
        <v>200</v>
      </c>
      <c r="C58" s="74">
        <v>63.5</v>
      </c>
      <c r="D58" s="75">
        <v>117.5</v>
      </c>
      <c r="E58" s="75">
        <v>392854.74</v>
      </c>
      <c r="F58" s="75">
        <v>12106.99</v>
      </c>
      <c r="G58" s="75">
        <v>801785.65</v>
      </c>
      <c r="H58" s="75">
        <v>12868</v>
      </c>
      <c r="I58" s="81">
        <v>1.5760000000000001</v>
      </c>
      <c r="J58" s="75">
        <v>3.04</v>
      </c>
      <c r="K58" s="75">
        <v>0.875</v>
      </c>
      <c r="L58" s="75">
        <v>2.46</v>
      </c>
      <c r="M58" s="75">
        <v>1.68</v>
      </c>
      <c r="N58" s="76">
        <v>2.79</v>
      </c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7"/>
      <c r="AF58" s="7"/>
      <c r="AG58" s="7"/>
      <c r="AH58" s="7"/>
      <c r="AI58" s="7"/>
    </row>
    <row r="59" spans="2:35" ht="14.5" x14ac:dyDescent="0.35">
      <c r="B59" s="102">
        <v>200</v>
      </c>
      <c r="C59" s="74">
        <v>74.7</v>
      </c>
      <c r="D59" s="75">
        <v>117.8</v>
      </c>
      <c r="E59" s="75">
        <v>380008.2</v>
      </c>
      <c r="F59" s="75">
        <v>15282.5</v>
      </c>
      <c r="G59" s="75">
        <v>883021.37</v>
      </c>
      <c r="H59" s="75">
        <v>22024.68</v>
      </c>
      <c r="I59" s="74">
        <v>1.59</v>
      </c>
      <c r="J59" s="75">
        <v>3.181</v>
      </c>
      <c r="K59" s="75">
        <v>0.83199999999999996</v>
      </c>
      <c r="L59" s="75">
        <v>2.4390000000000001</v>
      </c>
      <c r="M59" s="75">
        <v>1.669</v>
      </c>
      <c r="N59" s="76">
        <v>2.79</v>
      </c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7"/>
      <c r="AF59" s="7"/>
      <c r="AG59" s="7"/>
      <c r="AH59" s="7"/>
      <c r="AI59" s="7"/>
    </row>
    <row r="60" spans="2:35" ht="14.5" x14ac:dyDescent="0.35">
      <c r="B60" s="102">
        <v>200</v>
      </c>
      <c r="C60" s="119"/>
      <c r="D60" s="104"/>
      <c r="E60" s="104"/>
      <c r="F60" s="104"/>
      <c r="G60" s="104"/>
      <c r="H60" s="104"/>
      <c r="I60" s="119"/>
      <c r="J60" s="104"/>
      <c r="K60" s="104"/>
      <c r="L60" s="104"/>
      <c r="M60" s="104"/>
      <c r="N60" s="120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7"/>
      <c r="AF60" s="7"/>
      <c r="AG60" s="7"/>
      <c r="AH60" s="7"/>
      <c r="AI60" s="7"/>
    </row>
    <row r="61" spans="2:35" ht="14.5" x14ac:dyDescent="0.35">
      <c r="B61" s="102">
        <v>100</v>
      </c>
      <c r="C61" s="74">
        <v>36.9</v>
      </c>
      <c r="D61" s="75">
        <v>64.5</v>
      </c>
      <c r="E61" s="75">
        <v>225221</v>
      </c>
      <c r="F61" s="75">
        <v>9911.58</v>
      </c>
      <c r="G61" s="75">
        <v>415606.4</v>
      </c>
      <c r="H61" s="75">
        <v>10832.39</v>
      </c>
      <c r="I61" s="74">
        <v>1.585</v>
      </c>
      <c r="J61" s="75">
        <v>3.0920000000000001</v>
      </c>
      <c r="K61" s="75">
        <v>0.89200000000000002</v>
      </c>
      <c r="L61" s="75">
        <v>2.448</v>
      </c>
      <c r="M61" s="75">
        <v>1.7070000000000001</v>
      </c>
      <c r="N61" s="76">
        <v>2.782</v>
      </c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7"/>
      <c r="AF61" s="7"/>
      <c r="AG61" s="7"/>
      <c r="AH61" s="7"/>
      <c r="AI61" s="7"/>
    </row>
    <row r="62" spans="2:35" ht="14.5" x14ac:dyDescent="0.35">
      <c r="B62" s="102">
        <v>100</v>
      </c>
      <c r="C62" s="74">
        <v>50.9</v>
      </c>
      <c r="D62" s="75">
        <v>63.6</v>
      </c>
      <c r="E62" s="75">
        <v>212829.29</v>
      </c>
      <c r="F62" s="75">
        <v>5330.21</v>
      </c>
      <c r="G62" s="75">
        <v>466119.73</v>
      </c>
      <c r="H62" s="75">
        <v>12382.3</v>
      </c>
      <c r="I62" s="74">
        <v>1.591</v>
      </c>
      <c r="J62" s="75">
        <v>3.2</v>
      </c>
      <c r="K62" s="75">
        <v>0.86199999999999999</v>
      </c>
      <c r="L62" s="75">
        <v>2.4350000000000001</v>
      </c>
      <c r="M62" s="75">
        <v>1.665</v>
      </c>
      <c r="N62" s="76">
        <v>2.786</v>
      </c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7"/>
      <c r="AF62" s="7"/>
      <c r="AG62" s="7"/>
      <c r="AH62" s="7"/>
      <c r="AI62" s="7"/>
    </row>
    <row r="63" spans="2:35" ht="14.5" x14ac:dyDescent="0.35">
      <c r="B63" s="102">
        <v>100</v>
      </c>
      <c r="C63" s="119"/>
      <c r="D63" s="104"/>
      <c r="E63" s="104"/>
      <c r="F63" s="104"/>
      <c r="G63" s="104"/>
      <c r="H63" s="104"/>
      <c r="I63" s="119"/>
      <c r="J63" s="122"/>
      <c r="K63" s="104"/>
      <c r="L63" s="104"/>
      <c r="M63" s="104"/>
      <c r="N63" s="120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7"/>
      <c r="AF63" s="7"/>
      <c r="AG63" s="7"/>
      <c r="AH63" s="7"/>
      <c r="AI63" s="7"/>
    </row>
    <row r="64" spans="2:35" ht="14.5" x14ac:dyDescent="0.35">
      <c r="B64" s="102">
        <v>12.5</v>
      </c>
      <c r="C64" s="74">
        <v>5.3</v>
      </c>
      <c r="D64" s="75">
        <v>7.1</v>
      </c>
      <c r="E64" s="75">
        <v>25625.03</v>
      </c>
      <c r="F64" s="104"/>
      <c r="G64" s="75">
        <v>56062.17</v>
      </c>
      <c r="H64" s="104"/>
      <c r="I64" s="74">
        <v>1.5980000000000001</v>
      </c>
      <c r="J64" s="84">
        <v>3.1579999999999999</v>
      </c>
      <c r="K64" s="75">
        <v>0.92900000000000005</v>
      </c>
      <c r="L64" s="104"/>
      <c r="M64" s="75">
        <v>1.744</v>
      </c>
      <c r="N64" s="120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7"/>
      <c r="AF64" s="7"/>
      <c r="AG64" s="7"/>
      <c r="AH64" s="7"/>
      <c r="AI64" s="7"/>
    </row>
    <row r="65" spans="1:35" ht="14.5" x14ac:dyDescent="0.35">
      <c r="B65" s="102">
        <v>12.5</v>
      </c>
      <c r="C65" s="74">
        <v>19.7</v>
      </c>
      <c r="D65" s="75">
        <v>6.9</v>
      </c>
      <c r="E65" s="75">
        <v>21805.02</v>
      </c>
      <c r="F65" s="104"/>
      <c r="G65" s="75">
        <v>49844.76</v>
      </c>
      <c r="H65" s="104"/>
      <c r="I65" s="74">
        <v>1.5980000000000001</v>
      </c>
      <c r="J65" s="84">
        <v>3.2280000000000002</v>
      </c>
      <c r="K65" s="75">
        <v>0.85799999999999998</v>
      </c>
      <c r="L65" s="104"/>
      <c r="M65" s="75">
        <v>1.6839999999999999</v>
      </c>
      <c r="N65" s="120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7"/>
      <c r="AF65" s="7"/>
      <c r="AG65" s="7"/>
      <c r="AH65" s="7"/>
      <c r="AI65" s="7"/>
    </row>
    <row r="66" spans="1:35" ht="14.5" x14ac:dyDescent="0.35">
      <c r="B66" s="106">
        <v>12.5</v>
      </c>
      <c r="C66" s="123"/>
      <c r="D66" s="124"/>
      <c r="E66" s="124"/>
      <c r="F66" s="124"/>
      <c r="G66" s="124"/>
      <c r="H66" s="124"/>
      <c r="I66" s="123"/>
      <c r="J66" s="125"/>
      <c r="K66" s="124"/>
      <c r="L66" s="124"/>
      <c r="M66" s="124"/>
      <c r="N66" s="126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7"/>
      <c r="AF66" s="7"/>
      <c r="AG66" s="7"/>
      <c r="AH66" s="7"/>
      <c r="AI66" s="7"/>
    </row>
    <row r="67" spans="1:35" ht="14.5" x14ac:dyDescent="0.35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7"/>
      <c r="AF67" s="7"/>
      <c r="AG67" s="7"/>
      <c r="AH67" s="7"/>
      <c r="AI67" s="7"/>
    </row>
    <row r="68" spans="1:35" ht="14.5" x14ac:dyDescent="0.35">
      <c r="A68" s="19"/>
      <c r="B68" s="92"/>
      <c r="C68" s="93" t="s">
        <v>236</v>
      </c>
      <c r="D68" s="93" t="s">
        <v>237</v>
      </c>
      <c r="E68" s="93" t="s">
        <v>238</v>
      </c>
      <c r="F68" s="93" t="s">
        <v>239</v>
      </c>
      <c r="G68" s="93" t="s">
        <v>240</v>
      </c>
      <c r="H68" s="94" t="s">
        <v>241</v>
      </c>
      <c r="J68" s="19"/>
      <c r="K68" s="10"/>
      <c r="L68" s="10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7"/>
      <c r="AF68" s="7"/>
      <c r="AG68" s="7"/>
      <c r="AH68" s="7"/>
      <c r="AI68" s="7"/>
    </row>
    <row r="69" spans="1:35" ht="14.5" x14ac:dyDescent="0.35">
      <c r="A69" s="19"/>
      <c r="B69" s="95" t="s">
        <v>242</v>
      </c>
      <c r="C69" s="87">
        <v>14.2</v>
      </c>
      <c r="D69" s="87">
        <v>13.6</v>
      </c>
      <c r="E69" s="87">
        <v>12.2</v>
      </c>
      <c r="F69" s="87">
        <v>11.6</v>
      </c>
      <c r="G69" s="87">
        <v>11.7</v>
      </c>
      <c r="H69" s="89">
        <v>11.6</v>
      </c>
      <c r="I69" s="96" t="s">
        <v>273</v>
      </c>
      <c r="J69" s="19"/>
      <c r="K69" s="7"/>
      <c r="L69" s="41"/>
      <c r="M69" s="19"/>
      <c r="N69" s="19"/>
      <c r="O69" s="19"/>
      <c r="P69" s="70"/>
      <c r="Q69" s="70"/>
      <c r="R69" s="70"/>
      <c r="S69" s="70"/>
      <c r="T69" s="70"/>
      <c r="U69" s="70"/>
      <c r="V69" s="70"/>
      <c r="W69" s="70"/>
      <c r="X69" s="19"/>
      <c r="Y69" s="19"/>
      <c r="Z69" s="19"/>
      <c r="AA69" s="19"/>
      <c r="AB69" s="19"/>
      <c r="AC69" s="19"/>
      <c r="AD69" s="19"/>
      <c r="AE69" s="7"/>
      <c r="AF69" s="7"/>
      <c r="AG69" s="7"/>
      <c r="AH69" s="7"/>
      <c r="AI69" s="7"/>
    </row>
    <row r="70" spans="1:35" ht="14.5" x14ac:dyDescent="0.35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0"/>
      <c r="L70" s="10"/>
      <c r="M70" s="4"/>
      <c r="N70" s="4"/>
      <c r="O70" s="4"/>
      <c r="P70" s="97" t="s">
        <v>244</v>
      </c>
      <c r="Q70" s="98" t="s">
        <v>245</v>
      </c>
      <c r="R70" s="98" t="s">
        <v>246</v>
      </c>
      <c r="S70" s="98" t="s">
        <v>247</v>
      </c>
      <c r="T70" s="98" t="s">
        <v>248</v>
      </c>
      <c r="U70" s="98" t="s">
        <v>249</v>
      </c>
      <c r="V70" s="227" t="s">
        <v>250</v>
      </c>
      <c r="W70" s="229" t="s">
        <v>251</v>
      </c>
      <c r="X70" s="19"/>
      <c r="Y70" s="19"/>
      <c r="Z70" s="19"/>
      <c r="AA70" s="19"/>
      <c r="AB70" s="19"/>
      <c r="AC70" s="19"/>
      <c r="AD70" s="19"/>
      <c r="AE70" s="7"/>
      <c r="AF70" s="7"/>
      <c r="AG70" s="7"/>
      <c r="AH70" s="7"/>
      <c r="AI70" s="7"/>
    </row>
    <row r="71" spans="1:35" ht="14.5" x14ac:dyDescent="0.35">
      <c r="A71" s="19"/>
      <c r="B71" s="99" t="s">
        <v>213</v>
      </c>
      <c r="C71" s="93" t="s">
        <v>22</v>
      </c>
      <c r="D71" s="93" t="s">
        <v>23</v>
      </c>
      <c r="E71" s="93" t="s">
        <v>24</v>
      </c>
      <c r="F71" s="93" t="s">
        <v>25</v>
      </c>
      <c r="G71" s="93" t="s">
        <v>252</v>
      </c>
      <c r="H71" s="94" t="s">
        <v>27</v>
      </c>
      <c r="I71" s="19"/>
      <c r="J71" s="19"/>
      <c r="K71" s="10"/>
      <c r="L71" s="10"/>
      <c r="M71" s="4"/>
      <c r="N71" s="4"/>
      <c r="O71" s="4"/>
      <c r="P71" s="100" t="s">
        <v>253</v>
      </c>
      <c r="Q71" s="101" t="s">
        <v>254</v>
      </c>
      <c r="R71" s="101" t="s">
        <v>255</v>
      </c>
      <c r="S71" s="101" t="s">
        <v>246</v>
      </c>
      <c r="T71" s="101" t="s">
        <v>256</v>
      </c>
      <c r="U71" s="101" t="s">
        <v>257</v>
      </c>
      <c r="V71" s="228"/>
      <c r="W71" s="230"/>
      <c r="X71" s="19"/>
      <c r="Y71" s="19"/>
      <c r="Z71" s="19"/>
      <c r="AA71" s="19"/>
      <c r="AB71" s="19"/>
      <c r="AC71" s="19"/>
      <c r="AD71" s="19"/>
      <c r="AE71" s="7"/>
      <c r="AF71" s="7"/>
      <c r="AG71" s="7"/>
      <c r="AH71" s="7"/>
      <c r="AI71" s="7"/>
    </row>
    <row r="72" spans="1:35" ht="14.5" x14ac:dyDescent="0.35">
      <c r="A72" s="12" t="s">
        <v>272</v>
      </c>
      <c r="B72" s="102">
        <v>5000</v>
      </c>
      <c r="C72" s="54">
        <f>C69/1000/$C$98*1000*1000/$P$8*1000</f>
        <v>414.99839261185963</v>
      </c>
      <c r="D72" s="54">
        <f>D69/1000/$C$99*1000*1000/$P$8*1000</f>
        <v>456.13093640998113</v>
      </c>
      <c r="E72" s="54">
        <f t="shared" ref="E72:E73" si="12">$E$69/1000/$C$100*1000*1000/$P$8*1000</f>
        <v>497.65449724658367</v>
      </c>
      <c r="F72" s="54">
        <f t="shared" ref="F72:F73" si="13">$F$69/1000/$C$101*1000*1000/$P$8*1000</f>
        <v>552.01294375178441</v>
      </c>
      <c r="G72" s="54">
        <f t="shared" ref="G72:H72" si="14">G69/1000/$C$101*1000*1000/$P$8*1000</f>
        <v>556.77167602550674</v>
      </c>
      <c r="H72" s="127">
        <f t="shared" si="14"/>
        <v>552.01294375178441</v>
      </c>
      <c r="I72" s="19"/>
      <c r="J72" s="19"/>
      <c r="K72" s="10"/>
      <c r="L72" s="10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7"/>
      <c r="AF72" s="7"/>
      <c r="AG72" s="7"/>
      <c r="AH72" s="7"/>
      <c r="AI72" s="7"/>
    </row>
    <row r="73" spans="1:35" ht="14.5" x14ac:dyDescent="0.35">
      <c r="A73" s="19"/>
      <c r="B73" s="102">
        <v>5000</v>
      </c>
      <c r="C73" s="54">
        <f>$C$69/1000/$C$98*1000*1000/$P$8*1000</f>
        <v>414.99839261185963</v>
      </c>
      <c r="D73" s="54">
        <f>$D$69/1000/$C$99*1000*1000/$P$8*1000</f>
        <v>456.13093640998113</v>
      </c>
      <c r="E73" s="54">
        <f t="shared" si="12"/>
        <v>497.65449724658367</v>
      </c>
      <c r="F73" s="54">
        <f t="shared" si="13"/>
        <v>552.01294375178441</v>
      </c>
      <c r="G73" s="54">
        <f t="shared" ref="G73:H73" si="15">G69/1000/$C$101*1000*1000/$P$8*1000</f>
        <v>556.77167602550674</v>
      </c>
      <c r="H73" s="127">
        <f t="shared" si="15"/>
        <v>552.01294375178441</v>
      </c>
      <c r="I73" s="19"/>
      <c r="J73" s="19"/>
      <c r="K73" s="10"/>
      <c r="L73" s="10"/>
      <c r="M73" s="19"/>
      <c r="N73" s="19"/>
      <c r="O73" s="19"/>
      <c r="P73" s="104"/>
      <c r="Q73" s="7" t="s">
        <v>208</v>
      </c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7"/>
      <c r="AF73" s="7"/>
      <c r="AG73" s="7"/>
      <c r="AH73" s="7"/>
      <c r="AI73" s="7"/>
    </row>
    <row r="74" spans="1:35" ht="14.5" x14ac:dyDescent="0.35">
      <c r="A74" s="19"/>
      <c r="B74" s="102">
        <v>5000</v>
      </c>
      <c r="C74" s="54"/>
      <c r="D74" s="54"/>
      <c r="E74" s="54"/>
      <c r="F74" s="54"/>
      <c r="G74" s="54"/>
      <c r="H74" s="127"/>
      <c r="I74" s="19"/>
      <c r="J74" s="19"/>
      <c r="K74" s="10"/>
      <c r="L74" s="10"/>
      <c r="M74" s="19"/>
      <c r="N74" s="19"/>
      <c r="O74" s="19"/>
      <c r="P74" s="104"/>
      <c r="Q74" s="7" t="s">
        <v>208</v>
      </c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7"/>
      <c r="AF74" s="7"/>
      <c r="AG74" s="7"/>
      <c r="AH74" s="7"/>
      <c r="AI74" s="7"/>
    </row>
    <row r="75" spans="1:35" ht="14.5" x14ac:dyDescent="0.35">
      <c r="A75" s="19"/>
      <c r="B75" s="102">
        <v>2000</v>
      </c>
      <c r="C75" s="54">
        <f>B75*$C$72/$B$72</f>
        <v>165.99935704474387</v>
      </c>
      <c r="D75" s="54">
        <f>B75*$D$72/$B$72</f>
        <v>182.45237456399244</v>
      </c>
      <c r="E75" s="54">
        <f>B75*$E$72/$B$72</f>
        <v>199.06179889863347</v>
      </c>
      <c r="F75" s="54">
        <f>B75*$F$72/$B$72</f>
        <v>220.80517750071377</v>
      </c>
      <c r="G75" s="54">
        <f>B75*$G$72/$B$72</f>
        <v>222.70867041020267</v>
      </c>
      <c r="H75" s="127">
        <f>B75*$H$72/$B$72</f>
        <v>220.80517750071377</v>
      </c>
      <c r="I75" s="19"/>
      <c r="J75" s="19"/>
      <c r="K75" s="10"/>
      <c r="L75" s="10"/>
      <c r="M75" s="19"/>
      <c r="N75" s="19"/>
      <c r="O75" s="19"/>
      <c r="P75" s="105"/>
      <c r="Q75" s="7" t="s">
        <v>258</v>
      </c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7"/>
      <c r="AF75" s="7"/>
      <c r="AG75" s="7"/>
      <c r="AH75" s="7"/>
      <c r="AI75" s="7"/>
    </row>
    <row r="76" spans="1:35" ht="14.5" x14ac:dyDescent="0.35">
      <c r="A76" s="19"/>
      <c r="B76" s="102">
        <v>2000</v>
      </c>
      <c r="C76" s="54">
        <f>B76*$C$73/$B$73</f>
        <v>165.99935704474387</v>
      </c>
      <c r="D76" s="54">
        <f>B76*$D$73/$B$73</f>
        <v>182.45237456399244</v>
      </c>
      <c r="E76" s="54">
        <f>B76*$E$73/$B$73</f>
        <v>199.06179889863347</v>
      </c>
      <c r="F76" s="54">
        <f>B76*$F$73/$B$73</f>
        <v>220.80517750071377</v>
      </c>
      <c r="G76" s="54">
        <f>B76*$G$73/$B$73</f>
        <v>222.70867041020267</v>
      </c>
      <c r="H76" s="127">
        <f>B76*$H$73/$B$73</f>
        <v>220.80517750071377</v>
      </c>
      <c r="I76" s="19"/>
      <c r="J76" s="19"/>
      <c r="K76" s="10"/>
      <c r="L76" s="10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7"/>
      <c r="AF76" s="7"/>
      <c r="AG76" s="7"/>
      <c r="AH76" s="7"/>
      <c r="AI76" s="7"/>
    </row>
    <row r="77" spans="1:35" ht="14.5" x14ac:dyDescent="0.35">
      <c r="A77" s="19"/>
      <c r="B77" s="102">
        <v>2000</v>
      </c>
      <c r="C77" s="54"/>
      <c r="D77" s="54"/>
      <c r="E77" s="54"/>
      <c r="F77" s="54"/>
      <c r="G77" s="54"/>
      <c r="H77" s="127"/>
      <c r="I77" s="19"/>
      <c r="J77" s="19"/>
      <c r="K77" s="10"/>
      <c r="L77" s="10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7"/>
      <c r="AF77" s="7"/>
      <c r="AG77" s="7"/>
      <c r="AH77" s="7"/>
      <c r="AI77" s="7"/>
    </row>
    <row r="78" spans="1:35" ht="14.5" x14ac:dyDescent="0.35">
      <c r="A78" s="19"/>
      <c r="B78" s="102">
        <v>1000</v>
      </c>
      <c r="C78" s="54">
        <f>B78*$C$72/$B$72</f>
        <v>82.999678522371937</v>
      </c>
      <c r="D78" s="54">
        <f>B78*$D$72/$B$72</f>
        <v>91.226187281996218</v>
      </c>
      <c r="E78" s="54">
        <f>B78*$E$72/$B$72</f>
        <v>99.530899449316735</v>
      </c>
      <c r="F78" s="54">
        <f>B78*$F$72/$B$72</f>
        <v>110.40258875035688</v>
      </c>
      <c r="G78" s="54">
        <f>B78*$G$72/$B$72</f>
        <v>111.35433520510134</v>
      </c>
      <c r="H78" s="127">
        <f>B78*$H$72/$B$72</f>
        <v>110.40258875035688</v>
      </c>
      <c r="I78" s="19"/>
      <c r="J78" s="19"/>
      <c r="K78" s="10"/>
      <c r="L78" s="10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7"/>
      <c r="AF78" s="7"/>
      <c r="AG78" s="7"/>
      <c r="AH78" s="7"/>
      <c r="AI78" s="7"/>
    </row>
    <row r="79" spans="1:35" ht="14.5" x14ac:dyDescent="0.35">
      <c r="A79" s="19"/>
      <c r="B79" s="102">
        <v>1000</v>
      </c>
      <c r="C79" s="54">
        <f>B79*$C$73/$B$73</f>
        <v>82.999678522371937</v>
      </c>
      <c r="D79" s="54">
        <f>B79*$D$73/$B$73</f>
        <v>91.226187281996218</v>
      </c>
      <c r="E79" s="54">
        <f>B79*$E$73/$B$73</f>
        <v>99.530899449316735</v>
      </c>
      <c r="F79" s="54">
        <f>B79*$F$73/$B$73</f>
        <v>110.40258875035688</v>
      </c>
      <c r="G79" s="54">
        <f>B79*$G$73/$B$73</f>
        <v>111.35433520510134</v>
      </c>
      <c r="H79" s="127">
        <f>B79*$H$73/$B$73</f>
        <v>110.40258875035688</v>
      </c>
      <c r="I79" s="19"/>
      <c r="J79" s="19"/>
      <c r="K79" s="10"/>
      <c r="L79" s="10"/>
      <c r="M79" s="7"/>
      <c r="N79" s="7"/>
      <c r="O79" s="7"/>
      <c r="P79" s="7" t="s">
        <v>259</v>
      </c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7"/>
      <c r="AF79" s="7"/>
      <c r="AG79" s="7"/>
      <c r="AH79" s="7"/>
      <c r="AI79" s="7"/>
    </row>
    <row r="80" spans="1:35" ht="14.5" x14ac:dyDescent="0.35">
      <c r="A80" s="19"/>
      <c r="B80" s="102">
        <v>1000</v>
      </c>
      <c r="C80" s="54"/>
      <c r="D80" s="54"/>
      <c r="E80" s="54"/>
      <c r="F80" s="54"/>
      <c r="G80" s="54"/>
      <c r="H80" s="127"/>
      <c r="I80" s="19"/>
      <c r="J80" s="19"/>
      <c r="K80" s="10"/>
      <c r="L80" s="10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7"/>
      <c r="AF80" s="7"/>
      <c r="AG80" s="7"/>
      <c r="AH80" s="7"/>
      <c r="AI80" s="7"/>
    </row>
    <row r="81" spans="1:35" ht="14.5" x14ac:dyDescent="0.35">
      <c r="A81" s="19"/>
      <c r="B81" s="102">
        <v>200</v>
      </c>
      <c r="C81" s="54">
        <f>B81*$C$72/$B$72</f>
        <v>16.599935704474383</v>
      </c>
      <c r="D81" s="54">
        <f>B81*$D$72/$B$72</f>
        <v>18.245237456399245</v>
      </c>
      <c r="E81" s="54">
        <f>B81*$E$72/$B$72</f>
        <v>19.906179889863349</v>
      </c>
      <c r="F81" s="54">
        <f>B81*$F$72/$B$72</f>
        <v>22.080517750071376</v>
      </c>
      <c r="G81" s="54">
        <f>B81*$G$72/$B$72</f>
        <v>22.270867041020271</v>
      </c>
      <c r="H81" s="127">
        <f>B81*$H$72/$B$72</f>
        <v>22.080517750071376</v>
      </c>
      <c r="I81" s="19"/>
      <c r="J81" s="19"/>
      <c r="K81" s="10"/>
      <c r="L81" s="10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7"/>
      <c r="AF81" s="7"/>
      <c r="AG81" s="7"/>
      <c r="AH81" s="7"/>
      <c r="AI81" s="7"/>
    </row>
    <row r="82" spans="1:35" ht="14.5" x14ac:dyDescent="0.35">
      <c r="A82" s="19"/>
      <c r="B82" s="102">
        <v>200</v>
      </c>
      <c r="C82" s="54">
        <f>B82*$C$73/$B$73</f>
        <v>16.599935704474383</v>
      </c>
      <c r="D82" s="54">
        <f>B81*$D$72/$B$72</f>
        <v>18.245237456399245</v>
      </c>
      <c r="E82" s="54">
        <f>B82*$E$73/$B$73</f>
        <v>19.906179889863349</v>
      </c>
      <c r="F82" s="54">
        <f>B82*$F$73/$B$73</f>
        <v>22.080517750071376</v>
      </c>
      <c r="G82" s="54">
        <f>B82*$G$73/$B$73</f>
        <v>22.270867041020271</v>
      </c>
      <c r="H82" s="127">
        <f>B82*$H$73/$B$73</f>
        <v>22.080517750071376</v>
      </c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7"/>
      <c r="AF82" s="7"/>
      <c r="AG82" s="7"/>
      <c r="AH82" s="7"/>
      <c r="AI82" s="7"/>
    </row>
    <row r="83" spans="1:35" ht="14.5" x14ac:dyDescent="0.35">
      <c r="A83" s="19"/>
      <c r="B83" s="102">
        <v>200</v>
      </c>
      <c r="C83" s="54"/>
      <c r="D83" s="54"/>
      <c r="E83" s="54"/>
      <c r="F83" s="54"/>
      <c r="G83" s="54"/>
      <c r="H83" s="127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7"/>
      <c r="AF83" s="7"/>
      <c r="AG83" s="7"/>
      <c r="AH83" s="7"/>
      <c r="AI83" s="7"/>
    </row>
    <row r="84" spans="1:35" ht="14.5" x14ac:dyDescent="0.35">
      <c r="A84" s="19"/>
      <c r="B84" s="102">
        <v>100</v>
      </c>
      <c r="C84" s="54">
        <f>B84*$C$72/$B$72</f>
        <v>8.2999678522371916</v>
      </c>
      <c r="D84" s="54">
        <f>B84*$D$72/$B$72</f>
        <v>9.1226187281996225</v>
      </c>
      <c r="E84" s="54">
        <f>B84*$E$72/$B$72</f>
        <v>9.9530899449316745</v>
      </c>
      <c r="F84" s="54">
        <f>B84*$F$72/$B$72</f>
        <v>11.040258875035688</v>
      </c>
      <c r="G84" s="54">
        <f>B84*$G$72/$B$72</f>
        <v>11.135433520510135</v>
      </c>
      <c r="H84" s="127">
        <f>B84*$H$72/$B$72</f>
        <v>11.040258875035688</v>
      </c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7"/>
      <c r="AF84" s="7"/>
      <c r="AG84" s="7"/>
      <c r="AH84" s="7"/>
      <c r="AI84" s="7"/>
    </row>
    <row r="85" spans="1:35" ht="14.5" x14ac:dyDescent="0.35">
      <c r="A85" s="19"/>
      <c r="B85" s="102">
        <v>100</v>
      </c>
      <c r="C85" s="54">
        <f>B85*$C$73/$B$73</f>
        <v>8.2999678522371916</v>
      </c>
      <c r="D85" s="54">
        <f>B84*$D$73/$B$73</f>
        <v>9.1226187281996225</v>
      </c>
      <c r="E85" s="54">
        <f>B85*$E$73/$B$73</f>
        <v>9.9530899449316745</v>
      </c>
      <c r="F85" s="54">
        <f>B85*$F$73/$B$73</f>
        <v>11.040258875035688</v>
      </c>
      <c r="G85" s="54">
        <f>B85*$G$73/$B$73</f>
        <v>11.135433520510135</v>
      </c>
      <c r="H85" s="127">
        <f>B85*$H$73/$B$73</f>
        <v>11.040258875035688</v>
      </c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7"/>
      <c r="AF85" s="7"/>
      <c r="AG85" s="7"/>
      <c r="AH85" s="7"/>
      <c r="AI85" s="7"/>
    </row>
    <row r="86" spans="1:35" ht="14.5" x14ac:dyDescent="0.35">
      <c r="A86" s="19"/>
      <c r="B86" s="102">
        <v>100</v>
      </c>
      <c r="C86" s="54"/>
      <c r="D86" s="54"/>
      <c r="E86" s="54"/>
      <c r="F86" s="54"/>
      <c r="G86" s="54"/>
      <c r="H86" s="127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7"/>
      <c r="AF86" s="7"/>
      <c r="AG86" s="7"/>
      <c r="AH86" s="7"/>
      <c r="AI86" s="7"/>
    </row>
    <row r="87" spans="1:35" ht="14.5" x14ac:dyDescent="0.35">
      <c r="A87" s="19"/>
      <c r="B87" s="102">
        <v>12.5</v>
      </c>
      <c r="C87" s="54">
        <f>B87*$C$72/$B$72</f>
        <v>1.0374959815296489</v>
      </c>
      <c r="D87" s="54">
        <f>B87*$D$72/$B$72</f>
        <v>1.1403273410249528</v>
      </c>
      <c r="E87" s="54">
        <f>B87*$E$72/$B$72</f>
        <v>1.2441362431164593</v>
      </c>
      <c r="F87" s="54"/>
      <c r="G87" s="54">
        <f>B87*$G$72/$B$72</f>
        <v>1.3919291900637669</v>
      </c>
      <c r="H87" s="127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7"/>
      <c r="AF87" s="7"/>
      <c r="AG87" s="7"/>
      <c r="AH87" s="7"/>
      <c r="AI87" s="7"/>
    </row>
    <row r="88" spans="1:35" ht="14.5" x14ac:dyDescent="0.35">
      <c r="A88" s="19"/>
      <c r="B88" s="102">
        <v>12.5</v>
      </c>
      <c r="C88" s="54">
        <f>B88*$C$73/$B$73</f>
        <v>1.0374959815296489</v>
      </c>
      <c r="D88" s="54">
        <f>B88*$D$73/$B$73</f>
        <v>1.1403273410249528</v>
      </c>
      <c r="E88" s="54">
        <f>B88*$E$73/$B$73</f>
        <v>1.2441362431164593</v>
      </c>
      <c r="F88" s="54"/>
      <c r="G88" s="54">
        <f>B88*$G$73/$B$73</f>
        <v>1.3919291900637669</v>
      </c>
      <c r="H88" s="127"/>
      <c r="I88" s="19"/>
      <c r="J88" s="19"/>
      <c r="K88" s="19"/>
      <c r="L88" s="19"/>
      <c r="M88" s="19"/>
      <c r="N88" s="19"/>
      <c r="O88" s="19"/>
      <c r="P88" s="19"/>
      <c r="Q88" s="7" t="s">
        <v>260</v>
      </c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7"/>
      <c r="AF88" s="7"/>
      <c r="AG88" s="7"/>
      <c r="AH88" s="7"/>
      <c r="AI88" s="7"/>
    </row>
    <row r="89" spans="1:35" ht="14.5" x14ac:dyDescent="0.35">
      <c r="A89" s="19"/>
      <c r="B89" s="106">
        <v>12.5</v>
      </c>
      <c r="C89" s="107"/>
      <c r="D89" s="107"/>
      <c r="E89" s="107"/>
      <c r="F89" s="107"/>
      <c r="G89" s="107"/>
      <c r="H89" s="128"/>
      <c r="I89" s="19"/>
      <c r="J89" s="19"/>
      <c r="K89" s="19"/>
      <c r="L89" s="19"/>
      <c r="M89" s="19"/>
      <c r="N89" s="19"/>
      <c r="O89" s="19"/>
      <c r="P89" s="19"/>
      <c r="Q89" s="7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7"/>
      <c r="AF89" s="7"/>
      <c r="AG89" s="7"/>
      <c r="AH89" s="7"/>
      <c r="AI89" s="7"/>
    </row>
    <row r="90" spans="1:35" ht="14.5" x14ac:dyDescent="0.35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7"/>
      <c r="AF90" s="7"/>
      <c r="AG90" s="7"/>
      <c r="AH90" s="7"/>
      <c r="AI90" s="7"/>
    </row>
    <row r="91" spans="1:35" ht="14.5" x14ac:dyDescent="0.35">
      <c r="A91" s="19"/>
      <c r="B91" s="92"/>
      <c r="C91" s="93" t="s">
        <v>34</v>
      </c>
      <c r="D91" s="93" t="s">
        <v>35</v>
      </c>
      <c r="E91" s="93" t="s">
        <v>36</v>
      </c>
      <c r="F91" s="93" t="s">
        <v>261</v>
      </c>
      <c r="G91" s="93" t="s">
        <v>262</v>
      </c>
      <c r="H91" s="94" t="s">
        <v>263</v>
      </c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7"/>
      <c r="AF91" s="7"/>
      <c r="AG91" s="7"/>
      <c r="AH91" s="7"/>
      <c r="AI91" s="7"/>
    </row>
    <row r="92" spans="1:35" ht="14.5" x14ac:dyDescent="0.35">
      <c r="A92" s="12" t="s">
        <v>272</v>
      </c>
      <c r="B92" s="72" t="s">
        <v>264</v>
      </c>
      <c r="C92" s="110">
        <f t="shared" ref="C92:H92" si="16">SLOPE(C72:C89,C49:C66)</f>
        <v>7.798024637859062E-2</v>
      </c>
      <c r="D92" s="110">
        <f t="shared" si="16"/>
        <v>8.2073885349827569E-2</v>
      </c>
      <c r="E92" s="111">
        <f t="shared" si="16"/>
        <v>4.3143634512769702E-5</v>
      </c>
      <c r="F92" s="111">
        <f t="shared" si="16"/>
        <v>1.241342768325192E-3</v>
      </c>
      <c r="G92" s="111">
        <f t="shared" si="16"/>
        <v>2.2177329094933353E-5</v>
      </c>
      <c r="H92" s="112">
        <f t="shared" si="16"/>
        <v>1.2097426225025269E-4</v>
      </c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7"/>
      <c r="AF92" s="7"/>
      <c r="AG92" s="7"/>
      <c r="AH92" s="7"/>
      <c r="AI92" s="7"/>
    </row>
    <row r="93" spans="1:35" ht="14.5" x14ac:dyDescent="0.35">
      <c r="A93" s="19"/>
      <c r="B93" s="72" t="s">
        <v>265</v>
      </c>
      <c r="C93" s="110">
        <f t="shared" ref="C93:H93" si="17">INTERCEPT(C72:C89,C49:C66)</f>
        <v>20.784451479826544</v>
      </c>
      <c r="D93" s="110">
        <f t="shared" si="17"/>
        <v>13.313772399519436</v>
      </c>
      <c r="E93" s="110">
        <f t="shared" si="17"/>
        <v>0.16973799727190908</v>
      </c>
      <c r="F93" s="110">
        <f t="shared" si="17"/>
        <v>15.870345101717788</v>
      </c>
      <c r="G93" s="110">
        <f t="shared" si="17"/>
        <v>1.5368504022494278</v>
      </c>
      <c r="H93" s="113">
        <f t="shared" si="17"/>
        <v>40.118778857253403</v>
      </c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7"/>
      <c r="AF93" s="7"/>
      <c r="AG93" s="7"/>
      <c r="AH93" s="7"/>
      <c r="AI93" s="7"/>
    </row>
    <row r="94" spans="1:35" ht="14.5" x14ac:dyDescent="0.35">
      <c r="A94" s="19"/>
      <c r="B94" s="114" t="s">
        <v>266</v>
      </c>
      <c r="C94" s="115">
        <f t="shared" ref="C94:H94" si="18">RSQ(C72:C89,C49:C66)</f>
        <v>0.97722205319460098</v>
      </c>
      <c r="D94" s="115">
        <f t="shared" si="18"/>
        <v>0.9932459630385343</v>
      </c>
      <c r="E94" s="115">
        <f t="shared" si="18"/>
        <v>0.99957461693068106</v>
      </c>
      <c r="F94" s="115">
        <f t="shared" si="18"/>
        <v>0.98838585571621806</v>
      </c>
      <c r="G94" s="115">
        <f t="shared" si="18"/>
        <v>0.99912540127404936</v>
      </c>
      <c r="H94" s="116">
        <f t="shared" si="18"/>
        <v>0.98233182452912549</v>
      </c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7"/>
      <c r="AF94" s="7"/>
      <c r="AG94" s="7"/>
      <c r="AH94" s="7"/>
      <c r="AI94" s="7"/>
    </row>
    <row r="95" spans="1:35" ht="14.5" x14ac:dyDescent="0.35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7"/>
      <c r="AF95" s="7"/>
      <c r="AG95" s="7"/>
      <c r="AH95" s="7"/>
      <c r="AI95" s="7"/>
    </row>
    <row r="96" spans="1:35" ht="14.5" x14ac:dyDescent="0.35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7"/>
      <c r="AF96" s="7"/>
      <c r="AG96" s="7"/>
      <c r="AH96" s="7"/>
      <c r="AI96" s="7"/>
    </row>
    <row r="97" spans="1:35" ht="14.5" x14ac:dyDescent="0.35">
      <c r="A97" s="19"/>
      <c r="B97" s="99" t="s">
        <v>267</v>
      </c>
      <c r="C97" s="93" t="s">
        <v>268</v>
      </c>
      <c r="D97" s="94" t="s">
        <v>269</v>
      </c>
      <c r="E97" s="96" t="s">
        <v>274</v>
      </c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7"/>
      <c r="AF97" s="7"/>
      <c r="AG97" s="7"/>
      <c r="AH97" s="7"/>
      <c r="AI97" s="7"/>
    </row>
    <row r="98" spans="1:35" ht="14.5" x14ac:dyDescent="0.35">
      <c r="A98" s="19"/>
      <c r="B98" s="33" t="s">
        <v>34</v>
      </c>
      <c r="C98" s="10">
        <v>342.17</v>
      </c>
      <c r="D98" s="117">
        <v>12</v>
      </c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7"/>
      <c r="AF98" s="7"/>
      <c r="AG98" s="7"/>
      <c r="AH98" s="7"/>
      <c r="AI98" s="7"/>
    </row>
    <row r="99" spans="1:35" ht="14.5" x14ac:dyDescent="0.35">
      <c r="A99" s="19"/>
      <c r="B99" s="33" t="s">
        <v>35</v>
      </c>
      <c r="C99" s="10">
        <v>298.16000000000003</v>
      </c>
      <c r="D99" s="117">
        <v>11</v>
      </c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7"/>
      <c r="AF99" s="7"/>
      <c r="AG99" s="7"/>
      <c r="AH99" s="7"/>
      <c r="AI99" s="7"/>
    </row>
    <row r="100" spans="1:35" ht="14.5" x14ac:dyDescent="0.35">
      <c r="A100" s="19"/>
      <c r="B100" s="33" t="s">
        <v>36</v>
      </c>
      <c r="C100" s="10">
        <v>245.15</v>
      </c>
      <c r="D100" s="117">
        <v>10</v>
      </c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7"/>
      <c r="AF100" s="7"/>
      <c r="AG100" s="7"/>
      <c r="AH100" s="7"/>
      <c r="AI100" s="7"/>
    </row>
    <row r="101" spans="1:35" ht="14.5" x14ac:dyDescent="0.35">
      <c r="A101" s="19"/>
      <c r="B101" s="34" t="s">
        <v>37</v>
      </c>
      <c r="C101" s="85">
        <v>210.14</v>
      </c>
      <c r="D101" s="118">
        <v>9</v>
      </c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7"/>
      <c r="AF101" s="7"/>
      <c r="AG101" s="7"/>
      <c r="AH101" s="7"/>
      <c r="AI101" s="7"/>
    </row>
    <row r="102" spans="1:35" ht="14.5" x14ac:dyDescent="0.35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7"/>
      <c r="AF102" s="7"/>
      <c r="AG102" s="7"/>
      <c r="AH102" s="7"/>
      <c r="AI102" s="7"/>
    </row>
    <row r="103" spans="1:35" ht="14.5" x14ac:dyDescent="0.35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7"/>
      <c r="AF103" s="7"/>
      <c r="AG103" s="7"/>
      <c r="AH103" s="7"/>
      <c r="AI103" s="7"/>
    </row>
    <row r="104" spans="1:35" ht="14.5" x14ac:dyDescent="0.35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7"/>
      <c r="AF104" s="7"/>
      <c r="AG104" s="7"/>
      <c r="AH104" s="7"/>
      <c r="AI104" s="7"/>
    </row>
    <row r="105" spans="1:35" ht="14.5" x14ac:dyDescent="0.3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7"/>
      <c r="AF105" s="7"/>
      <c r="AG105" s="7"/>
      <c r="AH105" s="7"/>
      <c r="AI105" s="7"/>
    </row>
    <row r="106" spans="1:35" ht="14.5" x14ac:dyDescent="0.35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7"/>
      <c r="AF106" s="7"/>
      <c r="AG106" s="7"/>
      <c r="AH106" s="7"/>
      <c r="AI106" s="7"/>
    </row>
    <row r="107" spans="1:35" ht="14.5" x14ac:dyDescent="0.35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7"/>
      <c r="AF107" s="7"/>
      <c r="AG107" s="7"/>
      <c r="AH107" s="7"/>
      <c r="AI107" s="7"/>
    </row>
    <row r="108" spans="1:35" ht="14.5" x14ac:dyDescent="0.35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7"/>
      <c r="AF108" s="7"/>
      <c r="AG108" s="7"/>
      <c r="AH108" s="7"/>
      <c r="AI108" s="7"/>
    </row>
    <row r="109" spans="1:35" ht="14.5" x14ac:dyDescent="0.35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7"/>
      <c r="AF109" s="7"/>
      <c r="AG109" s="7"/>
      <c r="AH109" s="7"/>
      <c r="AI109" s="7"/>
    </row>
    <row r="110" spans="1:35" ht="14.5" x14ac:dyDescent="0.35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7"/>
      <c r="AF110" s="7"/>
      <c r="AG110" s="7"/>
      <c r="AH110" s="7"/>
      <c r="AI110" s="7"/>
    </row>
    <row r="111" spans="1:35" ht="14.5" x14ac:dyDescent="0.35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7"/>
      <c r="AF111" s="7"/>
      <c r="AG111" s="7"/>
      <c r="AH111" s="7"/>
      <c r="AI111" s="7"/>
    </row>
    <row r="112" spans="1:35" ht="14.5" x14ac:dyDescent="0.35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7"/>
      <c r="AF112" s="7"/>
      <c r="AG112" s="7"/>
      <c r="AH112" s="7"/>
      <c r="AI112" s="7"/>
    </row>
    <row r="113" spans="1:35" ht="14.5" x14ac:dyDescent="0.35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7"/>
      <c r="AF113" s="7"/>
      <c r="AG113" s="7"/>
      <c r="AH113" s="7"/>
      <c r="AI113" s="7"/>
    </row>
    <row r="114" spans="1:35" ht="14.5" x14ac:dyDescent="0.35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7"/>
      <c r="AF114" s="7"/>
      <c r="AG114" s="7"/>
      <c r="AH114" s="7"/>
      <c r="AI114" s="7"/>
    </row>
    <row r="115" spans="1:35" ht="14.5" x14ac:dyDescent="0.3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7"/>
      <c r="AF115" s="7"/>
      <c r="AG115" s="7"/>
      <c r="AH115" s="7"/>
      <c r="AI115" s="7"/>
    </row>
    <row r="116" spans="1:35" ht="14.5" x14ac:dyDescent="0.35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7"/>
      <c r="AF116" s="7"/>
      <c r="AG116" s="7"/>
      <c r="AH116" s="7"/>
      <c r="AI116" s="7"/>
    </row>
    <row r="117" spans="1:35" ht="14.5" x14ac:dyDescent="0.35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7"/>
      <c r="AF117" s="7"/>
      <c r="AG117" s="7"/>
      <c r="AH117" s="7"/>
      <c r="AI117" s="7"/>
    </row>
    <row r="118" spans="1:35" ht="14.5" x14ac:dyDescent="0.35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7"/>
      <c r="AF118" s="7"/>
      <c r="AG118" s="7"/>
      <c r="AH118" s="7"/>
      <c r="AI118" s="7"/>
    </row>
    <row r="119" spans="1:35" ht="14.5" x14ac:dyDescent="0.35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7"/>
      <c r="AF119" s="7"/>
      <c r="AG119" s="7"/>
      <c r="AH119" s="7"/>
      <c r="AI119" s="7"/>
    </row>
    <row r="120" spans="1:35" ht="14.5" x14ac:dyDescent="0.35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7"/>
      <c r="AF120" s="7"/>
      <c r="AG120" s="7"/>
      <c r="AH120" s="7"/>
      <c r="AI120" s="7"/>
    </row>
    <row r="121" spans="1:35" ht="14.5" x14ac:dyDescent="0.35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7"/>
      <c r="AF121" s="7"/>
      <c r="AG121" s="7"/>
      <c r="AH121" s="7"/>
      <c r="AI121" s="7"/>
    </row>
    <row r="122" spans="1:35" ht="14.5" x14ac:dyDescent="0.35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7"/>
      <c r="AF122" s="7"/>
      <c r="AG122" s="7"/>
      <c r="AH122" s="7"/>
      <c r="AI122" s="7"/>
    </row>
    <row r="123" spans="1:35" ht="14.5" x14ac:dyDescent="0.35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7"/>
      <c r="AF123" s="7"/>
      <c r="AG123" s="7"/>
      <c r="AH123" s="7"/>
      <c r="AI123" s="7"/>
    </row>
    <row r="124" spans="1:35" ht="14.5" x14ac:dyDescent="0.35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7"/>
      <c r="AF124" s="7"/>
      <c r="AG124" s="7"/>
      <c r="AH124" s="7"/>
      <c r="AI124" s="7"/>
    </row>
    <row r="125" spans="1:35" ht="14.5" x14ac:dyDescent="0.3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7"/>
      <c r="AF125" s="7"/>
      <c r="AG125" s="7"/>
      <c r="AH125" s="7"/>
      <c r="AI125" s="7"/>
    </row>
    <row r="126" spans="1:35" ht="14.5" x14ac:dyDescent="0.35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7"/>
      <c r="AF126" s="7"/>
      <c r="AG126" s="7"/>
      <c r="AH126" s="7"/>
      <c r="AI126" s="7"/>
    </row>
    <row r="127" spans="1:35" ht="14.5" x14ac:dyDescent="0.3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7"/>
      <c r="AF127" s="7"/>
      <c r="AG127" s="7"/>
      <c r="AH127" s="7"/>
      <c r="AI127" s="7"/>
    </row>
    <row r="128" spans="1:35" ht="14.5" x14ac:dyDescent="0.3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7"/>
      <c r="AF128" s="7"/>
      <c r="AG128" s="7"/>
      <c r="AH128" s="7"/>
      <c r="AI128" s="7"/>
    </row>
    <row r="129" spans="1:35" ht="14.5" x14ac:dyDescent="0.3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7"/>
      <c r="AF129" s="7"/>
      <c r="AG129" s="7"/>
      <c r="AH129" s="7"/>
      <c r="AI129" s="7"/>
    </row>
    <row r="130" spans="1:35" ht="14.5" x14ac:dyDescent="0.35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7"/>
      <c r="AF130" s="7"/>
      <c r="AG130" s="7"/>
      <c r="AH130" s="7"/>
      <c r="AI130" s="7"/>
    </row>
    <row r="131" spans="1:35" ht="14.5" x14ac:dyDescent="0.35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7"/>
      <c r="AF131" s="7"/>
      <c r="AG131" s="7"/>
      <c r="AH131" s="7"/>
      <c r="AI131" s="7"/>
    </row>
    <row r="132" spans="1:35" ht="14.5" x14ac:dyDescent="0.35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7"/>
      <c r="AF132" s="7"/>
      <c r="AG132" s="7"/>
      <c r="AH132" s="7"/>
      <c r="AI132" s="7"/>
    </row>
    <row r="133" spans="1:35" ht="14.5" x14ac:dyDescent="0.35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7"/>
      <c r="AF133" s="7"/>
      <c r="AG133" s="7"/>
      <c r="AH133" s="7"/>
      <c r="AI133" s="7"/>
    </row>
    <row r="134" spans="1:35" ht="14.5" x14ac:dyDescent="0.35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7"/>
      <c r="AF134" s="7"/>
      <c r="AG134" s="7"/>
      <c r="AH134" s="7"/>
      <c r="AI134" s="7"/>
    </row>
    <row r="135" spans="1:35" ht="14.5" x14ac:dyDescent="0.3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7"/>
      <c r="AF135" s="7"/>
      <c r="AG135" s="7"/>
      <c r="AH135" s="7"/>
      <c r="AI135" s="7"/>
    </row>
    <row r="136" spans="1:35" ht="14.5" x14ac:dyDescent="0.35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7"/>
      <c r="AF136" s="7"/>
      <c r="AG136" s="7"/>
      <c r="AH136" s="7"/>
      <c r="AI136" s="7"/>
    </row>
    <row r="137" spans="1:35" ht="14.5" x14ac:dyDescent="0.35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7"/>
      <c r="AF137" s="7"/>
      <c r="AG137" s="7"/>
      <c r="AH137" s="7"/>
      <c r="AI137" s="7"/>
    </row>
    <row r="138" spans="1:35" ht="14.5" x14ac:dyDescent="0.35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7"/>
      <c r="AF138" s="7"/>
      <c r="AG138" s="7"/>
      <c r="AH138" s="7"/>
      <c r="AI138" s="7"/>
    </row>
    <row r="139" spans="1:35" ht="14.5" x14ac:dyDescent="0.35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7"/>
      <c r="AF139" s="7"/>
      <c r="AG139" s="7"/>
      <c r="AH139" s="7"/>
      <c r="AI139" s="7"/>
    </row>
    <row r="140" spans="1:35" ht="14.5" x14ac:dyDescent="0.35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7"/>
      <c r="AF140" s="7"/>
      <c r="AG140" s="7"/>
      <c r="AH140" s="7"/>
      <c r="AI140" s="7"/>
    </row>
    <row r="141" spans="1:35" ht="14.5" x14ac:dyDescent="0.35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7"/>
      <c r="AF141" s="7"/>
      <c r="AG141" s="7"/>
      <c r="AH141" s="7"/>
      <c r="AI141" s="7"/>
    </row>
    <row r="142" spans="1:35" ht="14.5" x14ac:dyDescent="0.3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7"/>
      <c r="AF142" s="7"/>
      <c r="AG142" s="7"/>
      <c r="AH142" s="7"/>
      <c r="AI142" s="7"/>
    </row>
    <row r="143" spans="1:35" ht="14.5" x14ac:dyDescent="0.3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7"/>
      <c r="AF143" s="7"/>
      <c r="AG143" s="7"/>
      <c r="AH143" s="7"/>
      <c r="AI143" s="7"/>
    </row>
    <row r="144" spans="1:35" ht="14.5" x14ac:dyDescent="0.3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7"/>
      <c r="AF144" s="7"/>
      <c r="AG144" s="7"/>
      <c r="AH144" s="7"/>
      <c r="AI144" s="7"/>
    </row>
    <row r="145" spans="1:35" ht="14.5" x14ac:dyDescent="0.3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7"/>
      <c r="AF145" s="7"/>
      <c r="AG145" s="7"/>
      <c r="AH145" s="7"/>
      <c r="AI145" s="7"/>
    </row>
    <row r="146" spans="1:35" ht="14.5" x14ac:dyDescent="0.35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7"/>
      <c r="AF146" s="7"/>
      <c r="AG146" s="7"/>
      <c r="AH146" s="7"/>
      <c r="AI146" s="7"/>
    </row>
    <row r="147" spans="1:35" ht="14.5" x14ac:dyDescent="0.35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7"/>
      <c r="AF147" s="7"/>
      <c r="AG147" s="7"/>
      <c r="AH147" s="7"/>
      <c r="AI147" s="7"/>
    </row>
    <row r="148" spans="1:35" ht="14.5" x14ac:dyDescent="0.35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7"/>
      <c r="AF148" s="7"/>
      <c r="AG148" s="7"/>
      <c r="AH148" s="7"/>
      <c r="AI148" s="7"/>
    </row>
    <row r="149" spans="1:35" ht="14.5" x14ac:dyDescent="0.35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7"/>
      <c r="AF149" s="7"/>
      <c r="AG149" s="7"/>
      <c r="AH149" s="7"/>
      <c r="AI149" s="7"/>
    </row>
    <row r="150" spans="1:35" ht="14.5" x14ac:dyDescent="0.35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7"/>
      <c r="AF150" s="7"/>
      <c r="AG150" s="7"/>
      <c r="AH150" s="7"/>
      <c r="AI150" s="7"/>
    </row>
    <row r="151" spans="1:35" ht="14.5" x14ac:dyDescent="0.35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7"/>
      <c r="AF151" s="7"/>
      <c r="AG151" s="7"/>
      <c r="AH151" s="7"/>
      <c r="AI151" s="7"/>
    </row>
    <row r="152" spans="1:35" ht="14.5" x14ac:dyDescent="0.3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7"/>
      <c r="AF152" s="7"/>
      <c r="AG152" s="7"/>
      <c r="AH152" s="7"/>
      <c r="AI152" s="7"/>
    </row>
    <row r="153" spans="1:35" ht="14.5" x14ac:dyDescent="0.35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7"/>
      <c r="AF153" s="7"/>
      <c r="AG153" s="7"/>
      <c r="AH153" s="7"/>
      <c r="AI153" s="7"/>
    </row>
    <row r="154" spans="1:35" ht="14.5" x14ac:dyDescent="0.35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7"/>
      <c r="AF154" s="7"/>
      <c r="AG154" s="7"/>
      <c r="AH154" s="7"/>
      <c r="AI154" s="7"/>
    </row>
    <row r="155" spans="1:35" ht="14.5" x14ac:dyDescent="0.3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7"/>
      <c r="AF155" s="7"/>
      <c r="AG155" s="7"/>
      <c r="AH155" s="7"/>
      <c r="AI155" s="7"/>
    </row>
    <row r="156" spans="1:35" ht="14.5" x14ac:dyDescent="0.35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7"/>
      <c r="AF156" s="7"/>
      <c r="AG156" s="7"/>
      <c r="AH156" s="7"/>
      <c r="AI156" s="7"/>
    </row>
    <row r="157" spans="1:35" ht="14.5" x14ac:dyDescent="0.35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7"/>
      <c r="AF157" s="7"/>
      <c r="AG157" s="7"/>
      <c r="AH157" s="7"/>
      <c r="AI157" s="7"/>
    </row>
    <row r="158" spans="1:35" ht="14.5" x14ac:dyDescent="0.35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7"/>
      <c r="AF158" s="7"/>
      <c r="AG158" s="7"/>
      <c r="AH158" s="7"/>
      <c r="AI158" s="7"/>
    </row>
    <row r="159" spans="1:35" ht="14.5" x14ac:dyDescent="0.35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7"/>
      <c r="AF159" s="7"/>
      <c r="AG159" s="7"/>
      <c r="AH159" s="7"/>
      <c r="AI159" s="7"/>
    </row>
    <row r="160" spans="1:35" ht="14.5" x14ac:dyDescent="0.35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7"/>
      <c r="AF160" s="7"/>
      <c r="AG160" s="7"/>
      <c r="AH160" s="7"/>
      <c r="AI160" s="7"/>
    </row>
    <row r="161" spans="1:35" ht="14.5" x14ac:dyDescent="0.35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7"/>
      <c r="AF161" s="7"/>
      <c r="AG161" s="7"/>
      <c r="AH161" s="7"/>
      <c r="AI161" s="7"/>
    </row>
    <row r="162" spans="1:35" ht="14.5" x14ac:dyDescent="0.35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7"/>
      <c r="AF162" s="7"/>
      <c r="AG162" s="7"/>
      <c r="AH162" s="7"/>
      <c r="AI162" s="7"/>
    </row>
    <row r="163" spans="1:35" ht="14.5" x14ac:dyDescent="0.35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7"/>
      <c r="AF163" s="7"/>
      <c r="AG163" s="7"/>
      <c r="AH163" s="7"/>
      <c r="AI163" s="7"/>
    </row>
    <row r="164" spans="1:35" ht="14.5" x14ac:dyDescent="0.35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7"/>
      <c r="AF164" s="7"/>
      <c r="AG164" s="7"/>
      <c r="AH164" s="7"/>
      <c r="AI164" s="7"/>
    </row>
    <row r="165" spans="1:35" ht="14.5" x14ac:dyDescent="0.3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7"/>
      <c r="AF165" s="7"/>
      <c r="AG165" s="7"/>
      <c r="AH165" s="7"/>
      <c r="AI165" s="7"/>
    </row>
    <row r="166" spans="1:35" ht="14.5" x14ac:dyDescent="0.35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7"/>
      <c r="AF166" s="7"/>
      <c r="AG166" s="7"/>
      <c r="AH166" s="7"/>
      <c r="AI166" s="7"/>
    </row>
    <row r="167" spans="1:35" ht="14.5" x14ac:dyDescent="0.35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7"/>
      <c r="AF167" s="7"/>
      <c r="AG167" s="7"/>
      <c r="AH167" s="7"/>
      <c r="AI167" s="7"/>
    </row>
    <row r="168" spans="1:35" ht="14.5" x14ac:dyDescent="0.35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7"/>
      <c r="AF168" s="7"/>
      <c r="AG168" s="7"/>
      <c r="AH168" s="7"/>
      <c r="AI168" s="7"/>
    </row>
    <row r="169" spans="1:35" ht="14.5" x14ac:dyDescent="0.35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7"/>
      <c r="AF169" s="7"/>
      <c r="AG169" s="7"/>
      <c r="AH169" s="7"/>
      <c r="AI169" s="7"/>
    </row>
    <row r="170" spans="1:35" ht="14.5" x14ac:dyDescent="0.35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7"/>
      <c r="AF170" s="7"/>
      <c r="AG170" s="7"/>
      <c r="AH170" s="7"/>
      <c r="AI170" s="7"/>
    </row>
    <row r="171" spans="1:35" ht="14.5" x14ac:dyDescent="0.35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7"/>
      <c r="AF171" s="7"/>
      <c r="AG171" s="7"/>
      <c r="AH171" s="7"/>
      <c r="AI171" s="7"/>
    </row>
    <row r="172" spans="1:35" ht="14.5" x14ac:dyDescent="0.35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7"/>
      <c r="AF172" s="7"/>
      <c r="AG172" s="7"/>
      <c r="AH172" s="7"/>
      <c r="AI172" s="7"/>
    </row>
    <row r="173" spans="1:35" ht="14.5" x14ac:dyDescent="0.35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7"/>
      <c r="AF173" s="7"/>
      <c r="AG173" s="7"/>
      <c r="AH173" s="7"/>
      <c r="AI173" s="7"/>
    </row>
    <row r="174" spans="1:35" ht="14.5" x14ac:dyDescent="0.35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7"/>
      <c r="AF174" s="7"/>
      <c r="AG174" s="7"/>
      <c r="AH174" s="7"/>
      <c r="AI174" s="7"/>
    </row>
    <row r="175" spans="1:35" ht="14.5" x14ac:dyDescent="0.3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7"/>
      <c r="AF175" s="7"/>
      <c r="AG175" s="7"/>
      <c r="AH175" s="7"/>
      <c r="AI175" s="7"/>
    </row>
    <row r="176" spans="1:35" ht="14.5" x14ac:dyDescent="0.35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7"/>
      <c r="AF176" s="7"/>
      <c r="AG176" s="7"/>
      <c r="AH176" s="7"/>
      <c r="AI176" s="7"/>
    </row>
    <row r="177" spans="1:35" ht="14.5" x14ac:dyDescent="0.35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7"/>
      <c r="AF177" s="7"/>
      <c r="AG177" s="7"/>
      <c r="AH177" s="7"/>
      <c r="AI177" s="7"/>
    </row>
    <row r="178" spans="1:35" ht="14.5" x14ac:dyDescent="0.35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7"/>
      <c r="AF178" s="7"/>
      <c r="AG178" s="7"/>
      <c r="AH178" s="7"/>
      <c r="AI178" s="7"/>
    </row>
    <row r="179" spans="1:35" ht="14.5" x14ac:dyDescent="0.35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7"/>
      <c r="AF179" s="7"/>
      <c r="AG179" s="7"/>
      <c r="AH179" s="7"/>
      <c r="AI179" s="7"/>
    </row>
    <row r="180" spans="1:35" ht="14.5" x14ac:dyDescent="0.35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7"/>
      <c r="AF180" s="7"/>
      <c r="AG180" s="7"/>
      <c r="AH180" s="7"/>
      <c r="AI180" s="7"/>
    </row>
    <row r="181" spans="1:35" ht="14.5" x14ac:dyDescent="0.35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7"/>
      <c r="AF181" s="7"/>
      <c r="AG181" s="7"/>
      <c r="AH181" s="7"/>
      <c r="AI181" s="7"/>
    </row>
    <row r="182" spans="1:35" ht="14.5" x14ac:dyDescent="0.35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7"/>
      <c r="AF182" s="7"/>
      <c r="AG182" s="7"/>
      <c r="AH182" s="7"/>
      <c r="AI182" s="7"/>
    </row>
    <row r="183" spans="1:35" ht="14.5" x14ac:dyDescent="0.35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7"/>
      <c r="AF183" s="7"/>
      <c r="AG183" s="7"/>
      <c r="AH183" s="7"/>
      <c r="AI183" s="7"/>
    </row>
    <row r="184" spans="1:35" ht="14.5" x14ac:dyDescent="0.35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7"/>
      <c r="AF184" s="7"/>
      <c r="AG184" s="7"/>
      <c r="AH184" s="7"/>
      <c r="AI184" s="7"/>
    </row>
    <row r="185" spans="1:35" ht="14.5" x14ac:dyDescent="0.3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7"/>
      <c r="AF185" s="7"/>
      <c r="AG185" s="7"/>
      <c r="AH185" s="7"/>
      <c r="AI185" s="7"/>
    </row>
    <row r="186" spans="1:35" ht="14.5" x14ac:dyDescent="0.35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7"/>
      <c r="AF186" s="7"/>
      <c r="AG186" s="7"/>
      <c r="AH186" s="7"/>
      <c r="AI186" s="7"/>
    </row>
    <row r="187" spans="1:35" ht="14.5" x14ac:dyDescent="0.35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7"/>
      <c r="AF187" s="7"/>
      <c r="AG187" s="7"/>
      <c r="AH187" s="7"/>
      <c r="AI187" s="7"/>
    </row>
    <row r="188" spans="1:35" ht="14.5" x14ac:dyDescent="0.35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7"/>
      <c r="AF188" s="7"/>
      <c r="AG188" s="7"/>
      <c r="AH188" s="7"/>
      <c r="AI188" s="7"/>
    </row>
    <row r="189" spans="1:35" ht="14.5" x14ac:dyDescent="0.35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7"/>
      <c r="AF189" s="7"/>
      <c r="AG189" s="7"/>
      <c r="AH189" s="7"/>
      <c r="AI189" s="7"/>
    </row>
    <row r="190" spans="1:35" ht="14.5" x14ac:dyDescent="0.35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7"/>
      <c r="AF190" s="7"/>
      <c r="AG190" s="7"/>
      <c r="AH190" s="7"/>
      <c r="AI190" s="7"/>
    </row>
    <row r="191" spans="1:35" ht="14.5" x14ac:dyDescent="0.35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7"/>
      <c r="AF191" s="7"/>
      <c r="AG191" s="7"/>
      <c r="AH191" s="7"/>
      <c r="AI191" s="7"/>
    </row>
    <row r="192" spans="1:35" ht="14.5" x14ac:dyDescent="0.35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7"/>
      <c r="AF192" s="7"/>
      <c r="AG192" s="7"/>
      <c r="AH192" s="7"/>
      <c r="AI192" s="7"/>
    </row>
    <row r="193" spans="1:35" ht="14.5" x14ac:dyDescent="0.35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7"/>
      <c r="AF193" s="7"/>
      <c r="AG193" s="7"/>
      <c r="AH193" s="7"/>
      <c r="AI193" s="7"/>
    </row>
    <row r="194" spans="1:35" ht="14.5" x14ac:dyDescent="0.35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7"/>
      <c r="AF194" s="7"/>
      <c r="AG194" s="7"/>
      <c r="AH194" s="7"/>
      <c r="AI194" s="7"/>
    </row>
    <row r="195" spans="1:35" ht="14.5" x14ac:dyDescent="0.3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7"/>
      <c r="AF195" s="7"/>
      <c r="AG195" s="7"/>
      <c r="AH195" s="7"/>
      <c r="AI195" s="7"/>
    </row>
    <row r="196" spans="1:35" ht="14.5" x14ac:dyDescent="0.35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7"/>
      <c r="AF196" s="7"/>
      <c r="AG196" s="7"/>
      <c r="AH196" s="7"/>
      <c r="AI196" s="7"/>
    </row>
    <row r="197" spans="1:35" ht="14.5" x14ac:dyDescent="0.35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7"/>
      <c r="AF197" s="7"/>
      <c r="AG197" s="7"/>
      <c r="AH197" s="7"/>
      <c r="AI197" s="7"/>
    </row>
    <row r="198" spans="1:35" ht="14.5" x14ac:dyDescent="0.35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7"/>
      <c r="AF198" s="7"/>
      <c r="AG198" s="7"/>
      <c r="AH198" s="7"/>
      <c r="AI198" s="7"/>
    </row>
    <row r="199" spans="1:35" ht="14.5" x14ac:dyDescent="0.35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7"/>
      <c r="AF199" s="7"/>
      <c r="AG199" s="7"/>
      <c r="AH199" s="7"/>
      <c r="AI199" s="7"/>
    </row>
    <row r="200" spans="1:35" ht="14.5" x14ac:dyDescent="0.35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7"/>
      <c r="AF200" s="7"/>
      <c r="AG200" s="7"/>
      <c r="AH200" s="7"/>
      <c r="AI200" s="7"/>
    </row>
    <row r="201" spans="1:35" ht="14.5" x14ac:dyDescent="0.35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7"/>
      <c r="AF201" s="7"/>
      <c r="AG201" s="7"/>
      <c r="AH201" s="7"/>
      <c r="AI201" s="7"/>
    </row>
    <row r="202" spans="1:35" ht="14.5" x14ac:dyDescent="0.35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7"/>
      <c r="AF202" s="7"/>
      <c r="AG202" s="7"/>
      <c r="AH202" s="7"/>
      <c r="AI202" s="7"/>
    </row>
    <row r="203" spans="1:35" ht="14.5" x14ac:dyDescent="0.35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7"/>
      <c r="AF203" s="7"/>
      <c r="AG203" s="7"/>
      <c r="AH203" s="7"/>
      <c r="AI203" s="7"/>
    </row>
    <row r="204" spans="1:35" ht="14.5" x14ac:dyDescent="0.35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7"/>
      <c r="AF204" s="7"/>
      <c r="AG204" s="7"/>
      <c r="AH204" s="7"/>
      <c r="AI204" s="7"/>
    </row>
    <row r="205" spans="1:35" ht="14.5" x14ac:dyDescent="0.3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7"/>
      <c r="AF205" s="7"/>
      <c r="AG205" s="7"/>
      <c r="AH205" s="7"/>
      <c r="AI205" s="7"/>
    </row>
    <row r="206" spans="1:35" ht="14.5" x14ac:dyDescent="0.35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7"/>
      <c r="AF206" s="7"/>
      <c r="AG206" s="7"/>
      <c r="AH206" s="7"/>
      <c r="AI206" s="7"/>
    </row>
    <row r="207" spans="1:35" ht="14.5" x14ac:dyDescent="0.35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7"/>
      <c r="AF207" s="7"/>
      <c r="AG207" s="7"/>
      <c r="AH207" s="7"/>
      <c r="AI207" s="7"/>
    </row>
    <row r="208" spans="1:35" ht="14.5" x14ac:dyDescent="0.35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7"/>
      <c r="AF208" s="7"/>
      <c r="AG208" s="7"/>
      <c r="AH208" s="7"/>
      <c r="AI208" s="7"/>
    </row>
    <row r="209" spans="1:35" ht="14.5" x14ac:dyDescent="0.35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7"/>
      <c r="AF209" s="7"/>
      <c r="AG209" s="7"/>
      <c r="AH209" s="7"/>
      <c r="AI209" s="7"/>
    </row>
    <row r="210" spans="1:35" ht="14.5" x14ac:dyDescent="0.35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7"/>
      <c r="AF210" s="7"/>
      <c r="AG210" s="7"/>
      <c r="AH210" s="7"/>
      <c r="AI210" s="7"/>
    </row>
    <row r="211" spans="1:35" ht="14.5" x14ac:dyDescent="0.35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7"/>
      <c r="AF211" s="7"/>
      <c r="AG211" s="7"/>
      <c r="AH211" s="7"/>
      <c r="AI211" s="7"/>
    </row>
    <row r="212" spans="1:35" ht="14.5" x14ac:dyDescent="0.35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7"/>
      <c r="AF212" s="7"/>
      <c r="AG212" s="7"/>
      <c r="AH212" s="7"/>
      <c r="AI212" s="7"/>
    </row>
    <row r="213" spans="1:35" ht="14.5" x14ac:dyDescent="0.35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7"/>
      <c r="AF213" s="7"/>
      <c r="AG213" s="7"/>
      <c r="AH213" s="7"/>
      <c r="AI213" s="7"/>
    </row>
    <row r="214" spans="1:35" ht="14.5" x14ac:dyDescent="0.35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7"/>
      <c r="AF214" s="7"/>
      <c r="AG214" s="7"/>
      <c r="AH214" s="7"/>
      <c r="AI214" s="7"/>
    </row>
    <row r="215" spans="1:35" ht="14.5" x14ac:dyDescent="0.3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7"/>
      <c r="AF215" s="7"/>
      <c r="AG215" s="7"/>
      <c r="AH215" s="7"/>
      <c r="AI215" s="7"/>
    </row>
    <row r="216" spans="1:35" ht="14.5" x14ac:dyDescent="0.35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7"/>
      <c r="AF216" s="7"/>
      <c r="AG216" s="7"/>
      <c r="AH216" s="7"/>
      <c r="AI216" s="7"/>
    </row>
    <row r="217" spans="1:35" ht="14.5" x14ac:dyDescent="0.35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7"/>
      <c r="AF217" s="7"/>
      <c r="AG217" s="7"/>
      <c r="AH217" s="7"/>
      <c r="AI217" s="7"/>
    </row>
    <row r="218" spans="1:35" ht="14.5" x14ac:dyDescent="0.35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7"/>
      <c r="AF218" s="7"/>
      <c r="AG218" s="7"/>
      <c r="AH218" s="7"/>
      <c r="AI218" s="7"/>
    </row>
    <row r="219" spans="1:35" ht="14.5" x14ac:dyDescent="0.35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7"/>
      <c r="AF219" s="7"/>
      <c r="AG219" s="7"/>
      <c r="AH219" s="7"/>
      <c r="AI219" s="7"/>
    </row>
    <row r="220" spans="1:35" ht="14.5" x14ac:dyDescent="0.35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7"/>
      <c r="AF220" s="7"/>
      <c r="AG220" s="7"/>
      <c r="AH220" s="7"/>
      <c r="AI220" s="7"/>
    </row>
    <row r="221" spans="1:35" ht="14.5" x14ac:dyDescent="0.35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7"/>
      <c r="AF221" s="7"/>
      <c r="AG221" s="7"/>
      <c r="AH221" s="7"/>
      <c r="AI221" s="7"/>
    </row>
    <row r="222" spans="1:35" ht="14.5" x14ac:dyDescent="0.35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7"/>
      <c r="AF222" s="7"/>
      <c r="AG222" s="7"/>
      <c r="AH222" s="7"/>
      <c r="AI222" s="7"/>
    </row>
    <row r="223" spans="1:35" ht="14.5" x14ac:dyDescent="0.35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7"/>
      <c r="AF223" s="7"/>
      <c r="AG223" s="7"/>
      <c r="AH223" s="7"/>
      <c r="AI223" s="7"/>
    </row>
    <row r="224" spans="1:35" ht="14.5" x14ac:dyDescent="0.35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7"/>
      <c r="AF224" s="7"/>
      <c r="AG224" s="7"/>
      <c r="AH224" s="7"/>
      <c r="AI224" s="7"/>
    </row>
    <row r="225" spans="1:35" ht="14.5" x14ac:dyDescent="0.3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7"/>
      <c r="AF225" s="7"/>
      <c r="AG225" s="7"/>
      <c r="AH225" s="7"/>
      <c r="AI225" s="7"/>
    </row>
    <row r="226" spans="1:35" ht="14.5" x14ac:dyDescent="0.35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7"/>
      <c r="AF226" s="7"/>
      <c r="AG226" s="7"/>
      <c r="AH226" s="7"/>
      <c r="AI226" s="7"/>
    </row>
    <row r="227" spans="1:35" ht="14.5" x14ac:dyDescent="0.35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7"/>
      <c r="AF227" s="7"/>
      <c r="AG227" s="7"/>
      <c r="AH227" s="7"/>
      <c r="AI227" s="7"/>
    </row>
    <row r="228" spans="1:35" ht="14.5" x14ac:dyDescent="0.35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7"/>
      <c r="AF228" s="7"/>
      <c r="AG228" s="7"/>
      <c r="AH228" s="7"/>
      <c r="AI228" s="7"/>
    </row>
    <row r="229" spans="1:35" ht="14.5" x14ac:dyDescent="0.35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7"/>
      <c r="AF229" s="7"/>
      <c r="AG229" s="7"/>
      <c r="AH229" s="7"/>
      <c r="AI229" s="7"/>
    </row>
    <row r="230" spans="1:35" ht="14.5" x14ac:dyDescent="0.35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7"/>
      <c r="AF230" s="7"/>
      <c r="AG230" s="7"/>
      <c r="AH230" s="7"/>
      <c r="AI230" s="7"/>
    </row>
    <row r="231" spans="1:35" ht="14.5" x14ac:dyDescent="0.35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7"/>
      <c r="AF231" s="7"/>
      <c r="AG231" s="7"/>
      <c r="AH231" s="7"/>
      <c r="AI231" s="7"/>
    </row>
    <row r="232" spans="1:35" ht="14.5" x14ac:dyDescent="0.35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7"/>
      <c r="AF232" s="7"/>
      <c r="AG232" s="7"/>
      <c r="AH232" s="7"/>
      <c r="AI232" s="7"/>
    </row>
    <row r="233" spans="1:35" ht="14.5" x14ac:dyDescent="0.35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7"/>
      <c r="AF233" s="7"/>
      <c r="AG233" s="7"/>
      <c r="AH233" s="7"/>
      <c r="AI233" s="7"/>
    </row>
    <row r="234" spans="1:35" ht="14.5" x14ac:dyDescent="0.35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7"/>
      <c r="AF234" s="7"/>
      <c r="AG234" s="7"/>
      <c r="AH234" s="7"/>
      <c r="AI234" s="7"/>
    </row>
    <row r="235" spans="1:35" ht="14.5" x14ac:dyDescent="0.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7"/>
      <c r="AF235" s="7"/>
      <c r="AG235" s="7"/>
      <c r="AH235" s="7"/>
      <c r="AI235" s="7"/>
    </row>
    <row r="236" spans="1:35" ht="14.5" x14ac:dyDescent="0.35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7"/>
      <c r="AF236" s="7"/>
      <c r="AG236" s="7"/>
      <c r="AH236" s="7"/>
      <c r="AI236" s="7"/>
    </row>
    <row r="237" spans="1:35" ht="14.5" x14ac:dyDescent="0.35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7"/>
      <c r="AF237" s="7"/>
      <c r="AG237" s="7"/>
      <c r="AH237" s="7"/>
      <c r="AI237" s="7"/>
    </row>
    <row r="238" spans="1:35" ht="14.5" x14ac:dyDescent="0.35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7"/>
      <c r="AF238" s="7"/>
      <c r="AG238" s="7"/>
      <c r="AH238" s="7"/>
      <c r="AI238" s="7"/>
    </row>
    <row r="239" spans="1:35" ht="14.5" x14ac:dyDescent="0.35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7"/>
      <c r="AF239" s="7"/>
      <c r="AG239" s="7"/>
      <c r="AH239" s="7"/>
      <c r="AI239" s="7"/>
    </row>
    <row r="240" spans="1:35" ht="14.5" x14ac:dyDescent="0.35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7"/>
      <c r="AF240" s="7"/>
      <c r="AG240" s="7"/>
      <c r="AH240" s="7"/>
      <c r="AI240" s="7"/>
    </row>
    <row r="241" spans="1:35" ht="14.5" x14ac:dyDescent="0.35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7"/>
      <c r="AF241" s="7"/>
      <c r="AG241" s="7"/>
      <c r="AH241" s="7"/>
      <c r="AI241" s="7"/>
    </row>
    <row r="242" spans="1:35" ht="14.5" x14ac:dyDescent="0.35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7"/>
      <c r="AF242" s="7"/>
      <c r="AG242" s="7"/>
      <c r="AH242" s="7"/>
      <c r="AI242" s="7"/>
    </row>
    <row r="243" spans="1:35" ht="14.5" x14ac:dyDescent="0.35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7"/>
      <c r="AF243" s="7"/>
      <c r="AG243" s="7"/>
      <c r="AH243" s="7"/>
      <c r="AI243" s="7"/>
    </row>
    <row r="244" spans="1:35" ht="14.5" x14ac:dyDescent="0.35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7"/>
      <c r="AF244" s="7"/>
      <c r="AG244" s="7"/>
      <c r="AH244" s="7"/>
      <c r="AI244" s="7"/>
    </row>
    <row r="245" spans="1:35" ht="14.5" x14ac:dyDescent="0.3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7"/>
      <c r="AF245" s="7"/>
      <c r="AG245" s="7"/>
      <c r="AH245" s="7"/>
      <c r="AI245" s="7"/>
    </row>
    <row r="246" spans="1:35" ht="14.5" x14ac:dyDescent="0.35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7"/>
      <c r="AF246" s="7"/>
      <c r="AG246" s="7"/>
      <c r="AH246" s="7"/>
      <c r="AI246" s="7"/>
    </row>
    <row r="247" spans="1:35" ht="14.5" x14ac:dyDescent="0.35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7"/>
      <c r="AF247" s="7"/>
      <c r="AG247" s="7"/>
      <c r="AH247" s="7"/>
      <c r="AI247" s="7"/>
    </row>
    <row r="248" spans="1:35" ht="14.5" x14ac:dyDescent="0.35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7"/>
      <c r="AF248" s="7"/>
      <c r="AG248" s="7"/>
      <c r="AH248" s="7"/>
      <c r="AI248" s="7"/>
    </row>
    <row r="249" spans="1:35" ht="14.5" x14ac:dyDescent="0.35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7"/>
      <c r="AF249" s="7"/>
      <c r="AG249" s="7"/>
      <c r="AH249" s="7"/>
      <c r="AI249" s="7"/>
    </row>
    <row r="250" spans="1:35" ht="14.5" x14ac:dyDescent="0.35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7"/>
      <c r="AF250" s="7"/>
      <c r="AG250" s="7"/>
      <c r="AH250" s="7"/>
      <c r="AI250" s="7"/>
    </row>
    <row r="251" spans="1:35" ht="14.5" x14ac:dyDescent="0.35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7"/>
      <c r="AF251" s="7"/>
      <c r="AG251" s="7"/>
      <c r="AH251" s="7"/>
      <c r="AI251" s="7"/>
    </row>
    <row r="252" spans="1:35" ht="14.5" x14ac:dyDescent="0.35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7"/>
      <c r="AF252" s="7"/>
      <c r="AG252" s="7"/>
      <c r="AH252" s="7"/>
      <c r="AI252" s="7"/>
    </row>
    <row r="253" spans="1:35" ht="14.5" x14ac:dyDescent="0.35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7"/>
      <c r="AF253" s="7"/>
      <c r="AG253" s="7"/>
      <c r="AH253" s="7"/>
      <c r="AI253" s="7"/>
    </row>
    <row r="254" spans="1:35" ht="14.5" x14ac:dyDescent="0.35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7"/>
      <c r="AF254" s="7"/>
      <c r="AG254" s="7"/>
      <c r="AH254" s="7"/>
      <c r="AI254" s="7"/>
    </row>
    <row r="255" spans="1:35" ht="14.5" x14ac:dyDescent="0.3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7"/>
      <c r="AF255" s="7"/>
      <c r="AG255" s="7"/>
      <c r="AH255" s="7"/>
      <c r="AI255" s="7"/>
    </row>
    <row r="256" spans="1:35" ht="14.5" x14ac:dyDescent="0.35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7"/>
      <c r="AF256" s="7"/>
      <c r="AG256" s="7"/>
      <c r="AH256" s="7"/>
      <c r="AI256" s="7"/>
    </row>
    <row r="257" spans="1:35" ht="14.5" x14ac:dyDescent="0.35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7"/>
      <c r="AF257" s="7"/>
      <c r="AG257" s="7"/>
      <c r="AH257" s="7"/>
      <c r="AI257" s="7"/>
    </row>
    <row r="258" spans="1:35" ht="14.5" x14ac:dyDescent="0.35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7"/>
      <c r="AF258" s="7"/>
      <c r="AG258" s="7"/>
      <c r="AH258" s="7"/>
      <c r="AI258" s="7"/>
    </row>
    <row r="259" spans="1:35" ht="14.5" x14ac:dyDescent="0.35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7"/>
      <c r="AF259" s="7"/>
      <c r="AG259" s="7"/>
      <c r="AH259" s="7"/>
      <c r="AI259" s="7"/>
    </row>
    <row r="260" spans="1:35" ht="14.5" x14ac:dyDescent="0.35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7"/>
      <c r="AF260" s="7"/>
      <c r="AG260" s="7"/>
      <c r="AH260" s="7"/>
      <c r="AI260" s="7"/>
    </row>
    <row r="261" spans="1:35" ht="14.5" x14ac:dyDescent="0.35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7"/>
      <c r="AF261" s="7"/>
      <c r="AG261" s="7"/>
      <c r="AH261" s="7"/>
      <c r="AI261" s="7"/>
    </row>
    <row r="262" spans="1:35" ht="14.5" x14ac:dyDescent="0.35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7"/>
      <c r="AF262" s="7"/>
      <c r="AG262" s="7"/>
      <c r="AH262" s="7"/>
      <c r="AI262" s="7"/>
    </row>
    <row r="263" spans="1:35" ht="14.5" x14ac:dyDescent="0.35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7"/>
      <c r="AF263" s="7"/>
      <c r="AG263" s="7"/>
      <c r="AH263" s="7"/>
      <c r="AI263" s="7"/>
    </row>
    <row r="264" spans="1:35" ht="14.5" x14ac:dyDescent="0.35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7"/>
      <c r="AF264" s="7"/>
      <c r="AG264" s="7"/>
      <c r="AH264" s="7"/>
      <c r="AI264" s="7"/>
    </row>
    <row r="265" spans="1:35" ht="14.5" x14ac:dyDescent="0.3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7"/>
      <c r="AF265" s="7"/>
      <c r="AG265" s="7"/>
      <c r="AH265" s="7"/>
      <c r="AI265" s="7"/>
    </row>
    <row r="266" spans="1:35" ht="14.5" x14ac:dyDescent="0.35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7"/>
      <c r="AF266" s="7"/>
      <c r="AG266" s="7"/>
      <c r="AH266" s="7"/>
      <c r="AI266" s="7"/>
    </row>
    <row r="267" spans="1:35" ht="14.5" x14ac:dyDescent="0.3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7"/>
      <c r="AF267" s="7"/>
      <c r="AG267" s="7"/>
      <c r="AH267" s="7"/>
      <c r="AI267" s="7"/>
    </row>
    <row r="268" spans="1:35" ht="14.5" x14ac:dyDescent="0.35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7"/>
      <c r="AF268" s="7"/>
      <c r="AG268" s="7"/>
      <c r="AH268" s="7"/>
      <c r="AI268" s="7"/>
    </row>
    <row r="269" spans="1:35" ht="14.5" x14ac:dyDescent="0.35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7"/>
      <c r="AF269" s="7"/>
      <c r="AG269" s="7"/>
      <c r="AH269" s="7"/>
      <c r="AI269" s="7"/>
    </row>
    <row r="270" spans="1:35" ht="14.5" x14ac:dyDescent="0.35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7"/>
      <c r="AF270" s="7"/>
      <c r="AG270" s="7"/>
      <c r="AH270" s="7"/>
      <c r="AI270" s="7"/>
    </row>
    <row r="271" spans="1:35" ht="14.5" x14ac:dyDescent="0.35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7"/>
      <c r="AF271" s="7"/>
      <c r="AG271" s="7"/>
      <c r="AH271" s="7"/>
      <c r="AI271" s="7"/>
    </row>
    <row r="272" spans="1:35" ht="14.5" x14ac:dyDescent="0.35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7"/>
      <c r="AF272" s="7"/>
      <c r="AG272" s="7"/>
      <c r="AH272" s="7"/>
      <c r="AI272" s="7"/>
    </row>
    <row r="273" spans="1:35" ht="14.5" x14ac:dyDescent="0.35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7"/>
      <c r="AF273" s="7"/>
      <c r="AG273" s="7"/>
      <c r="AH273" s="7"/>
      <c r="AI273" s="7"/>
    </row>
    <row r="274" spans="1:35" ht="14.5" x14ac:dyDescent="0.35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7"/>
      <c r="AF274" s="7"/>
      <c r="AG274" s="7"/>
      <c r="AH274" s="7"/>
      <c r="AI274" s="7"/>
    </row>
    <row r="275" spans="1:35" ht="14.5" x14ac:dyDescent="0.3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7"/>
      <c r="AF275" s="7"/>
      <c r="AG275" s="7"/>
      <c r="AH275" s="7"/>
      <c r="AI275" s="7"/>
    </row>
    <row r="276" spans="1:35" ht="14.5" x14ac:dyDescent="0.35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7"/>
      <c r="AF276" s="7"/>
      <c r="AG276" s="7"/>
      <c r="AH276" s="7"/>
      <c r="AI276" s="7"/>
    </row>
    <row r="277" spans="1:35" ht="14.5" x14ac:dyDescent="0.3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7"/>
      <c r="AF277" s="7"/>
      <c r="AG277" s="7"/>
      <c r="AH277" s="7"/>
      <c r="AI277" s="7"/>
    </row>
    <row r="278" spans="1:35" ht="14.5" x14ac:dyDescent="0.35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7"/>
      <c r="AF278" s="7"/>
      <c r="AG278" s="7"/>
      <c r="AH278" s="7"/>
      <c r="AI278" s="7"/>
    </row>
    <row r="279" spans="1:35" ht="14.5" x14ac:dyDescent="0.35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7"/>
      <c r="AF279" s="7"/>
      <c r="AG279" s="7"/>
      <c r="AH279" s="7"/>
      <c r="AI279" s="7"/>
    </row>
    <row r="280" spans="1:35" ht="14.5" x14ac:dyDescent="0.35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7"/>
      <c r="AF280" s="7"/>
      <c r="AG280" s="7"/>
      <c r="AH280" s="7"/>
      <c r="AI280" s="7"/>
    </row>
    <row r="281" spans="1:35" ht="14.5" x14ac:dyDescent="0.35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7"/>
      <c r="AF281" s="7"/>
      <c r="AG281" s="7"/>
      <c r="AH281" s="7"/>
      <c r="AI281" s="7"/>
    </row>
    <row r="282" spans="1:35" ht="14.5" x14ac:dyDescent="0.35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7"/>
      <c r="AF282" s="7"/>
      <c r="AG282" s="7"/>
      <c r="AH282" s="7"/>
      <c r="AI282" s="7"/>
    </row>
    <row r="283" spans="1:35" ht="14.5" x14ac:dyDescent="0.35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7"/>
      <c r="AF283" s="7"/>
      <c r="AG283" s="7"/>
      <c r="AH283" s="7"/>
      <c r="AI283" s="7"/>
    </row>
    <row r="284" spans="1:35" ht="14.5" x14ac:dyDescent="0.35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7"/>
      <c r="AF284" s="7"/>
      <c r="AG284" s="7"/>
      <c r="AH284" s="7"/>
      <c r="AI284" s="7"/>
    </row>
    <row r="285" spans="1:35" ht="14.5" x14ac:dyDescent="0.3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7"/>
      <c r="AF285" s="7"/>
      <c r="AG285" s="7"/>
      <c r="AH285" s="7"/>
      <c r="AI285" s="7"/>
    </row>
    <row r="286" spans="1:35" ht="14.5" x14ac:dyDescent="0.35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7"/>
      <c r="AF286" s="7"/>
      <c r="AG286" s="7"/>
      <c r="AH286" s="7"/>
      <c r="AI286" s="7"/>
    </row>
    <row r="287" spans="1:35" ht="14.5" x14ac:dyDescent="0.35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7"/>
      <c r="AF287" s="7"/>
      <c r="AG287" s="7"/>
      <c r="AH287" s="7"/>
      <c r="AI287" s="7"/>
    </row>
    <row r="288" spans="1:35" ht="14.5" x14ac:dyDescent="0.35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7"/>
      <c r="AF288" s="7"/>
      <c r="AG288" s="7"/>
      <c r="AH288" s="7"/>
      <c r="AI288" s="7"/>
    </row>
    <row r="289" spans="1:35" ht="14.5" x14ac:dyDescent="0.35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7"/>
      <c r="AF289" s="7"/>
      <c r="AG289" s="7"/>
      <c r="AH289" s="7"/>
      <c r="AI289" s="7"/>
    </row>
    <row r="290" spans="1:35" ht="14.5" x14ac:dyDescent="0.35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7"/>
      <c r="AF290" s="7"/>
      <c r="AG290" s="7"/>
      <c r="AH290" s="7"/>
      <c r="AI290" s="7"/>
    </row>
    <row r="291" spans="1:35" ht="14.5" x14ac:dyDescent="0.35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7"/>
      <c r="AF291" s="7"/>
      <c r="AG291" s="7"/>
      <c r="AH291" s="7"/>
      <c r="AI291" s="7"/>
    </row>
    <row r="292" spans="1:35" ht="14.5" x14ac:dyDescent="0.35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7"/>
      <c r="AF292" s="7"/>
      <c r="AG292" s="7"/>
      <c r="AH292" s="7"/>
      <c r="AI292" s="7"/>
    </row>
    <row r="293" spans="1:35" ht="14.5" x14ac:dyDescent="0.35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7"/>
      <c r="AF293" s="7"/>
      <c r="AG293" s="7"/>
      <c r="AH293" s="7"/>
      <c r="AI293" s="7"/>
    </row>
    <row r="294" spans="1:35" ht="14.5" x14ac:dyDescent="0.35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7"/>
      <c r="AF294" s="7"/>
      <c r="AG294" s="7"/>
      <c r="AH294" s="7"/>
      <c r="AI294" s="7"/>
    </row>
    <row r="295" spans="1:35" ht="14.5" x14ac:dyDescent="0.3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7"/>
      <c r="AF295" s="7"/>
      <c r="AG295" s="7"/>
      <c r="AH295" s="7"/>
      <c r="AI295" s="7"/>
    </row>
    <row r="296" spans="1:35" ht="14.5" x14ac:dyDescent="0.35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7"/>
      <c r="AF296" s="7"/>
      <c r="AG296" s="7"/>
      <c r="AH296" s="7"/>
      <c r="AI296" s="7"/>
    </row>
    <row r="297" spans="1:35" ht="14.5" x14ac:dyDescent="0.35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7"/>
      <c r="AF297" s="7"/>
      <c r="AG297" s="7"/>
      <c r="AH297" s="7"/>
      <c r="AI297" s="7"/>
    </row>
    <row r="298" spans="1:35" ht="14.5" x14ac:dyDescent="0.35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7"/>
      <c r="AF298" s="7"/>
      <c r="AG298" s="7"/>
      <c r="AH298" s="7"/>
      <c r="AI298" s="7"/>
    </row>
    <row r="299" spans="1:35" ht="14.5" x14ac:dyDescent="0.35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7"/>
      <c r="AF299" s="7"/>
      <c r="AG299" s="7"/>
      <c r="AH299" s="7"/>
      <c r="AI299" s="7"/>
    </row>
    <row r="300" spans="1:35" ht="14.5" x14ac:dyDescent="0.35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7"/>
      <c r="AF300" s="7"/>
      <c r="AG300" s="7"/>
      <c r="AH300" s="7"/>
      <c r="AI300" s="7"/>
    </row>
    <row r="301" spans="1:35" ht="14.5" x14ac:dyDescent="0.35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7"/>
      <c r="AF301" s="7"/>
      <c r="AG301" s="7"/>
      <c r="AH301" s="7"/>
      <c r="AI301" s="7"/>
    </row>
    <row r="302" spans="1:35" ht="14.5" x14ac:dyDescent="0.35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7"/>
      <c r="AF302" s="7"/>
      <c r="AG302" s="7"/>
      <c r="AH302" s="7"/>
      <c r="AI302" s="7"/>
    </row>
    <row r="303" spans="1:35" ht="14.5" x14ac:dyDescent="0.35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7"/>
      <c r="AF303" s="7"/>
      <c r="AG303" s="7"/>
      <c r="AH303" s="7"/>
      <c r="AI303" s="7"/>
    </row>
    <row r="304" spans="1:35" ht="14.5" x14ac:dyDescent="0.35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7"/>
      <c r="AF304" s="7"/>
      <c r="AG304" s="7"/>
      <c r="AH304" s="7"/>
      <c r="AI304" s="7"/>
    </row>
    <row r="305" spans="1:35" ht="14.5" x14ac:dyDescent="0.3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7"/>
      <c r="AF305" s="7"/>
      <c r="AG305" s="7"/>
      <c r="AH305" s="7"/>
      <c r="AI305" s="7"/>
    </row>
    <row r="306" spans="1:35" ht="14.5" x14ac:dyDescent="0.35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7"/>
      <c r="AF306" s="7"/>
      <c r="AG306" s="7"/>
      <c r="AH306" s="7"/>
      <c r="AI306" s="7"/>
    </row>
    <row r="307" spans="1:35" ht="14.5" x14ac:dyDescent="0.35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7"/>
      <c r="AF307" s="7"/>
      <c r="AG307" s="7"/>
      <c r="AH307" s="7"/>
      <c r="AI307" s="7"/>
    </row>
    <row r="308" spans="1:35" ht="14.5" x14ac:dyDescent="0.3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7"/>
      <c r="AF308" s="7"/>
      <c r="AG308" s="7"/>
      <c r="AH308" s="7"/>
      <c r="AI308" s="7"/>
    </row>
    <row r="309" spans="1:35" ht="14.5" x14ac:dyDescent="0.35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7"/>
      <c r="AF309" s="7"/>
      <c r="AG309" s="7"/>
      <c r="AH309" s="7"/>
      <c r="AI309" s="7"/>
    </row>
    <row r="310" spans="1:35" ht="14.5" x14ac:dyDescent="0.35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7"/>
      <c r="AF310" s="7"/>
      <c r="AG310" s="7"/>
      <c r="AH310" s="7"/>
      <c r="AI310" s="7"/>
    </row>
    <row r="311" spans="1:35" ht="14.5" x14ac:dyDescent="0.35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7"/>
      <c r="AF311" s="7"/>
      <c r="AG311" s="7"/>
      <c r="AH311" s="7"/>
      <c r="AI311" s="7"/>
    </row>
    <row r="312" spans="1:35" ht="14.5" x14ac:dyDescent="0.35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7"/>
      <c r="AF312" s="7"/>
      <c r="AG312" s="7"/>
      <c r="AH312" s="7"/>
      <c r="AI312" s="7"/>
    </row>
    <row r="313" spans="1:35" ht="14.5" x14ac:dyDescent="0.35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7"/>
      <c r="AF313" s="7"/>
      <c r="AG313" s="7"/>
      <c r="AH313" s="7"/>
      <c r="AI313" s="7"/>
    </row>
    <row r="314" spans="1:35" ht="14.5" x14ac:dyDescent="0.35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7"/>
      <c r="AF314" s="7"/>
      <c r="AG314" s="7"/>
      <c r="AH314" s="7"/>
      <c r="AI314" s="7"/>
    </row>
    <row r="315" spans="1:35" ht="14.5" x14ac:dyDescent="0.3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7"/>
      <c r="AF315" s="7"/>
      <c r="AG315" s="7"/>
      <c r="AH315" s="7"/>
      <c r="AI315" s="7"/>
    </row>
    <row r="316" spans="1:35" ht="14.5" x14ac:dyDescent="0.35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7"/>
      <c r="AF316" s="7"/>
      <c r="AG316" s="7"/>
      <c r="AH316" s="7"/>
      <c r="AI316" s="7"/>
    </row>
    <row r="317" spans="1:35" ht="14.5" x14ac:dyDescent="0.35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7"/>
      <c r="AF317" s="7"/>
      <c r="AG317" s="7"/>
      <c r="AH317" s="7"/>
      <c r="AI317" s="7"/>
    </row>
    <row r="318" spans="1:35" ht="14.5" x14ac:dyDescent="0.35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7"/>
      <c r="AF318" s="7"/>
      <c r="AG318" s="7"/>
      <c r="AH318" s="7"/>
      <c r="AI318" s="7"/>
    </row>
    <row r="319" spans="1:35" ht="14.5" x14ac:dyDescent="0.35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7"/>
      <c r="AF319" s="7"/>
      <c r="AG319" s="7"/>
      <c r="AH319" s="7"/>
      <c r="AI319" s="7"/>
    </row>
    <row r="320" spans="1:35" ht="14.5" x14ac:dyDescent="0.35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7"/>
      <c r="AF320" s="7"/>
      <c r="AG320" s="7"/>
      <c r="AH320" s="7"/>
      <c r="AI320" s="7"/>
    </row>
    <row r="321" spans="1:35" ht="14.5" x14ac:dyDescent="0.35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7"/>
      <c r="AF321" s="7"/>
      <c r="AG321" s="7"/>
      <c r="AH321" s="7"/>
      <c r="AI321" s="7"/>
    </row>
    <row r="322" spans="1:35" ht="14.5" x14ac:dyDescent="0.35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7"/>
      <c r="AF322" s="7"/>
      <c r="AG322" s="7"/>
      <c r="AH322" s="7"/>
      <c r="AI322" s="7"/>
    </row>
    <row r="323" spans="1:35" ht="14.5" x14ac:dyDescent="0.35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7"/>
      <c r="AF323" s="7"/>
      <c r="AG323" s="7"/>
      <c r="AH323" s="7"/>
      <c r="AI323" s="7"/>
    </row>
    <row r="324" spans="1:35" ht="14.5" x14ac:dyDescent="0.35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7"/>
      <c r="AF324" s="7"/>
      <c r="AG324" s="7"/>
      <c r="AH324" s="7"/>
      <c r="AI324" s="7"/>
    </row>
    <row r="325" spans="1:35" ht="14.5" x14ac:dyDescent="0.3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7"/>
      <c r="AF325" s="7"/>
      <c r="AG325" s="7"/>
      <c r="AH325" s="7"/>
      <c r="AI325" s="7"/>
    </row>
    <row r="326" spans="1:35" ht="14.5" x14ac:dyDescent="0.35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7"/>
      <c r="AF326" s="7"/>
      <c r="AG326" s="7"/>
      <c r="AH326" s="7"/>
      <c r="AI326" s="7"/>
    </row>
    <row r="327" spans="1:35" ht="14.5" x14ac:dyDescent="0.35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7"/>
      <c r="AF327" s="7"/>
      <c r="AG327" s="7"/>
      <c r="AH327" s="7"/>
      <c r="AI327" s="7"/>
    </row>
    <row r="328" spans="1:35" ht="14.5" x14ac:dyDescent="0.35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7"/>
      <c r="AF328" s="7"/>
      <c r="AG328" s="7"/>
      <c r="AH328" s="7"/>
      <c r="AI328" s="7"/>
    </row>
    <row r="329" spans="1:35" ht="14.5" x14ac:dyDescent="0.35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7"/>
      <c r="AF329" s="7"/>
      <c r="AG329" s="7"/>
      <c r="AH329" s="7"/>
      <c r="AI329" s="7"/>
    </row>
    <row r="330" spans="1:35" ht="14.5" x14ac:dyDescent="0.35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7"/>
      <c r="AF330" s="7"/>
      <c r="AG330" s="7"/>
      <c r="AH330" s="7"/>
      <c r="AI330" s="7"/>
    </row>
    <row r="331" spans="1:35" ht="14.5" x14ac:dyDescent="0.35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7"/>
      <c r="AF331" s="7"/>
      <c r="AG331" s="7"/>
      <c r="AH331" s="7"/>
      <c r="AI331" s="7"/>
    </row>
    <row r="332" spans="1:35" ht="14.5" x14ac:dyDescent="0.35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7"/>
      <c r="AF332" s="7"/>
      <c r="AG332" s="7"/>
      <c r="AH332" s="7"/>
      <c r="AI332" s="7"/>
    </row>
    <row r="333" spans="1:35" ht="14.5" x14ac:dyDescent="0.35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7"/>
      <c r="AF333" s="7"/>
      <c r="AG333" s="7"/>
      <c r="AH333" s="7"/>
      <c r="AI333" s="7"/>
    </row>
    <row r="334" spans="1:35" ht="14.5" x14ac:dyDescent="0.3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7"/>
      <c r="AF334" s="7"/>
      <c r="AG334" s="7"/>
      <c r="AH334" s="7"/>
      <c r="AI334" s="7"/>
    </row>
    <row r="335" spans="1:35" ht="14.5" x14ac:dyDescent="0.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7"/>
      <c r="AF335" s="7"/>
      <c r="AG335" s="7"/>
      <c r="AH335" s="7"/>
      <c r="AI335" s="7"/>
    </row>
    <row r="336" spans="1:35" ht="14.5" x14ac:dyDescent="0.35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7"/>
      <c r="AF336" s="7"/>
      <c r="AG336" s="7"/>
      <c r="AH336" s="7"/>
      <c r="AI336" s="7"/>
    </row>
    <row r="337" spans="1:35" ht="14.5" x14ac:dyDescent="0.35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7"/>
      <c r="AF337" s="7"/>
      <c r="AG337" s="7"/>
      <c r="AH337" s="7"/>
      <c r="AI337" s="7"/>
    </row>
    <row r="338" spans="1:35" ht="14.5" x14ac:dyDescent="0.35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7"/>
      <c r="AF338" s="7"/>
      <c r="AG338" s="7"/>
      <c r="AH338" s="7"/>
      <c r="AI338" s="7"/>
    </row>
    <row r="339" spans="1:35" ht="14.5" x14ac:dyDescent="0.35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7"/>
      <c r="AF339" s="7"/>
      <c r="AG339" s="7"/>
      <c r="AH339" s="7"/>
      <c r="AI339" s="7"/>
    </row>
    <row r="340" spans="1:35" ht="14.5" x14ac:dyDescent="0.35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7"/>
      <c r="AF340" s="7"/>
      <c r="AG340" s="7"/>
      <c r="AH340" s="7"/>
      <c r="AI340" s="7"/>
    </row>
    <row r="341" spans="1:35" ht="14.5" x14ac:dyDescent="0.35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7"/>
      <c r="AF341" s="7"/>
      <c r="AG341" s="7"/>
      <c r="AH341" s="7"/>
      <c r="AI341" s="7"/>
    </row>
    <row r="342" spans="1:35" ht="14.5" x14ac:dyDescent="0.35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7"/>
      <c r="AF342" s="7"/>
      <c r="AG342" s="7"/>
      <c r="AH342" s="7"/>
      <c r="AI342" s="7"/>
    </row>
    <row r="343" spans="1:35" ht="14.5" x14ac:dyDescent="0.35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7"/>
      <c r="AF343" s="7"/>
      <c r="AG343" s="7"/>
      <c r="AH343" s="7"/>
      <c r="AI343" s="7"/>
    </row>
    <row r="344" spans="1:35" ht="14.5" x14ac:dyDescent="0.35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7"/>
      <c r="AF344" s="7"/>
      <c r="AG344" s="7"/>
      <c r="AH344" s="7"/>
      <c r="AI344" s="7"/>
    </row>
    <row r="345" spans="1:35" ht="14.5" x14ac:dyDescent="0.3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7"/>
      <c r="AF345" s="7"/>
      <c r="AG345" s="7"/>
      <c r="AH345" s="7"/>
      <c r="AI345" s="7"/>
    </row>
    <row r="346" spans="1:35" ht="14.5" x14ac:dyDescent="0.35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7"/>
      <c r="AF346" s="7"/>
      <c r="AG346" s="7"/>
      <c r="AH346" s="7"/>
      <c r="AI346" s="7"/>
    </row>
    <row r="347" spans="1:35" ht="14.5" x14ac:dyDescent="0.35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7"/>
      <c r="AF347" s="7"/>
      <c r="AG347" s="7"/>
      <c r="AH347" s="7"/>
      <c r="AI347" s="7"/>
    </row>
    <row r="348" spans="1:35" ht="14.5" x14ac:dyDescent="0.35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7"/>
      <c r="AF348" s="7"/>
      <c r="AG348" s="7"/>
      <c r="AH348" s="7"/>
      <c r="AI348" s="7"/>
    </row>
    <row r="349" spans="1:35" ht="14.5" x14ac:dyDescent="0.35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7"/>
      <c r="AF349" s="7"/>
      <c r="AG349" s="7"/>
      <c r="AH349" s="7"/>
      <c r="AI349" s="7"/>
    </row>
    <row r="350" spans="1:35" ht="14.5" x14ac:dyDescent="0.3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7"/>
      <c r="AF350" s="7"/>
      <c r="AG350" s="7"/>
      <c r="AH350" s="7"/>
      <c r="AI350" s="7"/>
    </row>
    <row r="351" spans="1:35" ht="14.5" x14ac:dyDescent="0.35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7"/>
      <c r="AF351" s="7"/>
      <c r="AG351" s="7"/>
      <c r="AH351" s="7"/>
      <c r="AI351" s="7"/>
    </row>
    <row r="352" spans="1:35" ht="14.5" x14ac:dyDescent="0.35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7"/>
      <c r="AF352" s="7"/>
      <c r="AG352" s="7"/>
      <c r="AH352" s="7"/>
      <c r="AI352" s="7"/>
    </row>
    <row r="353" spans="1:35" ht="14.5" x14ac:dyDescent="0.35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7"/>
      <c r="AF353" s="7"/>
      <c r="AG353" s="7"/>
      <c r="AH353" s="7"/>
      <c r="AI353" s="7"/>
    </row>
    <row r="354" spans="1:35" ht="14.5" x14ac:dyDescent="0.35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7"/>
      <c r="AF354" s="7"/>
      <c r="AG354" s="7"/>
      <c r="AH354" s="7"/>
      <c r="AI354" s="7"/>
    </row>
    <row r="355" spans="1:35" ht="14.5" x14ac:dyDescent="0.3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7"/>
      <c r="AF355" s="7"/>
      <c r="AG355" s="7"/>
      <c r="AH355" s="7"/>
      <c r="AI355" s="7"/>
    </row>
    <row r="356" spans="1:35" ht="14.5" x14ac:dyDescent="0.35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7"/>
      <c r="AF356" s="7"/>
      <c r="AG356" s="7"/>
      <c r="AH356" s="7"/>
      <c r="AI356" s="7"/>
    </row>
    <row r="357" spans="1:35" ht="14.5" x14ac:dyDescent="0.35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7"/>
      <c r="AF357" s="7"/>
      <c r="AG357" s="7"/>
      <c r="AH357" s="7"/>
      <c r="AI357" s="7"/>
    </row>
    <row r="358" spans="1:35" ht="14.5" x14ac:dyDescent="0.35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7"/>
      <c r="AF358" s="7"/>
      <c r="AG358" s="7"/>
      <c r="AH358" s="7"/>
      <c r="AI358" s="7"/>
    </row>
    <row r="359" spans="1:35" ht="14.5" x14ac:dyDescent="0.35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7"/>
      <c r="AF359" s="7"/>
      <c r="AG359" s="7"/>
      <c r="AH359" s="7"/>
      <c r="AI359" s="7"/>
    </row>
    <row r="360" spans="1:35" ht="14.5" x14ac:dyDescent="0.35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7"/>
      <c r="AF360" s="7"/>
      <c r="AG360" s="7"/>
      <c r="AH360" s="7"/>
      <c r="AI360" s="7"/>
    </row>
    <row r="361" spans="1:35" ht="14.5" x14ac:dyDescent="0.35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7"/>
      <c r="AF361" s="7"/>
      <c r="AG361" s="7"/>
      <c r="AH361" s="7"/>
      <c r="AI361" s="7"/>
    </row>
    <row r="362" spans="1:35" ht="14.5" x14ac:dyDescent="0.35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7"/>
      <c r="AF362" s="7"/>
      <c r="AG362" s="7"/>
      <c r="AH362" s="7"/>
      <c r="AI362" s="7"/>
    </row>
    <row r="363" spans="1:35" ht="14.5" x14ac:dyDescent="0.35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7"/>
      <c r="AF363" s="7"/>
      <c r="AG363" s="7"/>
      <c r="AH363" s="7"/>
      <c r="AI363" s="7"/>
    </row>
    <row r="364" spans="1:35" ht="14.5" x14ac:dyDescent="0.35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7"/>
      <c r="AF364" s="7"/>
      <c r="AG364" s="7"/>
      <c r="AH364" s="7"/>
      <c r="AI364" s="7"/>
    </row>
    <row r="365" spans="1:35" ht="14.5" x14ac:dyDescent="0.3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7"/>
      <c r="AF365" s="7"/>
      <c r="AG365" s="7"/>
      <c r="AH365" s="7"/>
      <c r="AI365" s="7"/>
    </row>
    <row r="366" spans="1:35" ht="14.5" x14ac:dyDescent="0.35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7"/>
      <c r="AF366" s="7"/>
      <c r="AG366" s="7"/>
      <c r="AH366" s="7"/>
      <c r="AI366" s="7"/>
    </row>
    <row r="367" spans="1:35" ht="14.5" x14ac:dyDescent="0.35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7"/>
      <c r="AF367" s="7"/>
      <c r="AG367" s="7"/>
      <c r="AH367" s="7"/>
      <c r="AI367" s="7"/>
    </row>
    <row r="368" spans="1:35" ht="14.5" x14ac:dyDescent="0.35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7"/>
      <c r="AF368" s="7"/>
      <c r="AG368" s="7"/>
      <c r="AH368" s="7"/>
      <c r="AI368" s="7"/>
    </row>
    <row r="369" spans="1:35" ht="14.5" x14ac:dyDescent="0.35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7"/>
      <c r="AF369" s="7"/>
      <c r="AG369" s="7"/>
      <c r="AH369" s="7"/>
      <c r="AI369" s="7"/>
    </row>
    <row r="370" spans="1:35" ht="14.5" x14ac:dyDescent="0.35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7"/>
      <c r="AF370" s="7"/>
      <c r="AG370" s="7"/>
      <c r="AH370" s="7"/>
      <c r="AI370" s="7"/>
    </row>
    <row r="371" spans="1:35" ht="14.5" x14ac:dyDescent="0.35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7"/>
      <c r="AF371" s="7"/>
      <c r="AG371" s="7"/>
      <c r="AH371" s="7"/>
      <c r="AI371" s="7"/>
    </row>
    <row r="372" spans="1:35" ht="14.5" x14ac:dyDescent="0.35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7"/>
      <c r="AF372" s="7"/>
      <c r="AG372" s="7"/>
      <c r="AH372" s="7"/>
      <c r="AI372" s="7"/>
    </row>
    <row r="373" spans="1:35" ht="14.5" x14ac:dyDescent="0.35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7"/>
      <c r="AF373" s="7"/>
      <c r="AG373" s="7"/>
      <c r="AH373" s="7"/>
      <c r="AI373" s="7"/>
    </row>
    <row r="374" spans="1:35" ht="14.5" x14ac:dyDescent="0.35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7"/>
      <c r="AF374" s="7"/>
      <c r="AG374" s="7"/>
      <c r="AH374" s="7"/>
      <c r="AI374" s="7"/>
    </row>
    <row r="375" spans="1:35" ht="14.5" x14ac:dyDescent="0.3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7"/>
      <c r="AF375" s="7"/>
      <c r="AG375" s="7"/>
      <c r="AH375" s="7"/>
      <c r="AI375" s="7"/>
    </row>
    <row r="376" spans="1:35" ht="14.5" x14ac:dyDescent="0.35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7"/>
      <c r="AF376" s="7"/>
      <c r="AG376" s="7"/>
      <c r="AH376" s="7"/>
      <c r="AI376" s="7"/>
    </row>
    <row r="377" spans="1:35" ht="14.5" x14ac:dyDescent="0.35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7"/>
      <c r="AF377" s="7"/>
      <c r="AG377" s="7"/>
      <c r="AH377" s="7"/>
      <c r="AI377" s="7"/>
    </row>
    <row r="378" spans="1:35" ht="14.5" x14ac:dyDescent="0.35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7"/>
      <c r="AF378" s="7"/>
      <c r="AG378" s="7"/>
      <c r="AH378" s="7"/>
      <c r="AI378" s="7"/>
    </row>
    <row r="379" spans="1:35" ht="14.5" x14ac:dyDescent="0.35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7"/>
      <c r="AF379" s="7"/>
      <c r="AG379" s="7"/>
      <c r="AH379" s="7"/>
      <c r="AI379" s="7"/>
    </row>
    <row r="380" spans="1:35" ht="14.5" x14ac:dyDescent="0.35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7"/>
      <c r="AF380" s="7"/>
      <c r="AG380" s="7"/>
      <c r="AH380" s="7"/>
      <c r="AI380" s="7"/>
    </row>
    <row r="381" spans="1:35" ht="14.5" x14ac:dyDescent="0.35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7"/>
      <c r="AF381" s="7"/>
      <c r="AG381" s="7"/>
      <c r="AH381" s="7"/>
      <c r="AI381" s="7"/>
    </row>
    <row r="382" spans="1:35" ht="14.5" x14ac:dyDescent="0.35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7"/>
      <c r="AF382" s="7"/>
      <c r="AG382" s="7"/>
      <c r="AH382" s="7"/>
      <c r="AI382" s="7"/>
    </row>
    <row r="383" spans="1:35" ht="14.5" x14ac:dyDescent="0.35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7"/>
      <c r="AF383" s="7"/>
      <c r="AG383" s="7"/>
      <c r="AH383" s="7"/>
      <c r="AI383" s="7"/>
    </row>
    <row r="384" spans="1:35" ht="14.5" x14ac:dyDescent="0.35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7"/>
      <c r="AF384" s="7"/>
      <c r="AG384" s="7"/>
      <c r="AH384" s="7"/>
      <c r="AI384" s="7"/>
    </row>
    <row r="385" spans="1:35" ht="14.5" x14ac:dyDescent="0.3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7"/>
      <c r="AF385" s="7"/>
      <c r="AG385" s="7"/>
      <c r="AH385" s="7"/>
      <c r="AI385" s="7"/>
    </row>
    <row r="386" spans="1:35" ht="14.5" x14ac:dyDescent="0.35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7"/>
      <c r="AF386" s="7"/>
      <c r="AG386" s="7"/>
      <c r="AH386" s="7"/>
      <c r="AI386" s="7"/>
    </row>
    <row r="387" spans="1:35" ht="14.5" x14ac:dyDescent="0.35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7"/>
      <c r="AF387" s="7"/>
      <c r="AG387" s="7"/>
      <c r="AH387" s="7"/>
      <c r="AI387" s="7"/>
    </row>
    <row r="388" spans="1:35" ht="14.5" x14ac:dyDescent="0.35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7"/>
      <c r="AF388" s="7"/>
      <c r="AG388" s="7"/>
      <c r="AH388" s="7"/>
      <c r="AI388" s="7"/>
    </row>
    <row r="389" spans="1:35" ht="14.5" x14ac:dyDescent="0.35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7"/>
      <c r="AF389" s="7"/>
      <c r="AG389" s="7"/>
      <c r="AH389" s="7"/>
      <c r="AI389" s="7"/>
    </row>
    <row r="390" spans="1:35" ht="14.5" x14ac:dyDescent="0.35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7"/>
      <c r="AF390" s="7"/>
      <c r="AG390" s="7"/>
      <c r="AH390" s="7"/>
      <c r="AI390" s="7"/>
    </row>
    <row r="391" spans="1:35" ht="14.5" x14ac:dyDescent="0.35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7"/>
      <c r="AF391" s="7"/>
      <c r="AG391" s="7"/>
      <c r="AH391" s="7"/>
      <c r="AI391" s="7"/>
    </row>
    <row r="392" spans="1:35" ht="14.5" x14ac:dyDescent="0.35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7"/>
      <c r="AF392" s="7"/>
      <c r="AG392" s="7"/>
      <c r="AH392" s="7"/>
      <c r="AI392" s="7"/>
    </row>
    <row r="393" spans="1:35" ht="14.5" x14ac:dyDescent="0.35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7"/>
      <c r="AF393" s="7"/>
      <c r="AG393" s="7"/>
      <c r="AH393" s="7"/>
      <c r="AI393" s="7"/>
    </row>
    <row r="394" spans="1:35" ht="14.5" x14ac:dyDescent="0.35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7"/>
      <c r="AF394" s="7"/>
      <c r="AG394" s="7"/>
      <c r="AH394" s="7"/>
      <c r="AI394" s="7"/>
    </row>
    <row r="395" spans="1:35" ht="14.5" x14ac:dyDescent="0.3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7"/>
      <c r="AF395" s="7"/>
      <c r="AG395" s="7"/>
      <c r="AH395" s="7"/>
      <c r="AI395" s="7"/>
    </row>
    <row r="396" spans="1:35" ht="14.5" x14ac:dyDescent="0.3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7"/>
      <c r="AF396" s="7"/>
      <c r="AG396" s="7"/>
      <c r="AH396" s="7"/>
      <c r="AI396" s="7"/>
    </row>
    <row r="397" spans="1:35" ht="14.5" x14ac:dyDescent="0.35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7"/>
      <c r="AF397" s="7"/>
      <c r="AG397" s="7"/>
      <c r="AH397" s="7"/>
      <c r="AI397" s="7"/>
    </row>
    <row r="398" spans="1:35" ht="14.5" x14ac:dyDescent="0.35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7"/>
      <c r="AF398" s="7"/>
      <c r="AG398" s="7"/>
      <c r="AH398" s="7"/>
      <c r="AI398" s="7"/>
    </row>
    <row r="399" spans="1:35" ht="14.5" x14ac:dyDescent="0.35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7"/>
      <c r="AF399" s="7"/>
      <c r="AG399" s="7"/>
      <c r="AH399" s="7"/>
      <c r="AI399" s="7"/>
    </row>
    <row r="400" spans="1:35" ht="14.5" x14ac:dyDescent="0.35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7"/>
      <c r="AF400" s="7"/>
      <c r="AG400" s="7"/>
      <c r="AH400" s="7"/>
      <c r="AI400" s="7"/>
    </row>
    <row r="401" spans="1:35" ht="14.5" x14ac:dyDescent="0.35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7"/>
      <c r="AF401" s="7"/>
      <c r="AG401" s="7"/>
      <c r="AH401" s="7"/>
      <c r="AI401" s="7"/>
    </row>
    <row r="402" spans="1:35" ht="14.5" x14ac:dyDescent="0.35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7"/>
      <c r="AF402" s="7"/>
      <c r="AG402" s="7"/>
      <c r="AH402" s="7"/>
      <c r="AI402" s="7"/>
    </row>
    <row r="403" spans="1:35" ht="14.5" x14ac:dyDescent="0.3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7"/>
      <c r="AF403" s="7"/>
      <c r="AG403" s="7"/>
      <c r="AH403" s="7"/>
      <c r="AI403" s="7"/>
    </row>
    <row r="404" spans="1:35" ht="14.5" x14ac:dyDescent="0.35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7"/>
      <c r="AF404" s="7"/>
      <c r="AG404" s="7"/>
      <c r="AH404" s="7"/>
      <c r="AI404" s="7"/>
    </row>
    <row r="405" spans="1:35" ht="14.5" x14ac:dyDescent="0.3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7"/>
      <c r="AF405" s="7"/>
      <c r="AG405" s="7"/>
      <c r="AH405" s="7"/>
      <c r="AI405" s="7"/>
    </row>
    <row r="406" spans="1:35" ht="14.5" x14ac:dyDescent="0.35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7"/>
      <c r="AF406" s="7"/>
      <c r="AG406" s="7"/>
      <c r="AH406" s="7"/>
      <c r="AI406" s="7"/>
    </row>
    <row r="407" spans="1:35" ht="14.5" x14ac:dyDescent="0.35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7"/>
      <c r="AF407" s="7"/>
      <c r="AG407" s="7"/>
      <c r="AH407" s="7"/>
      <c r="AI407" s="7"/>
    </row>
    <row r="408" spans="1:35" ht="14.5" x14ac:dyDescent="0.35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7"/>
      <c r="AF408" s="7"/>
      <c r="AG408" s="7"/>
      <c r="AH408" s="7"/>
      <c r="AI408" s="7"/>
    </row>
    <row r="409" spans="1:35" ht="14.5" x14ac:dyDescent="0.35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7"/>
      <c r="AF409" s="7"/>
      <c r="AG409" s="7"/>
      <c r="AH409" s="7"/>
      <c r="AI409" s="7"/>
    </row>
    <row r="410" spans="1:35" ht="14.5" x14ac:dyDescent="0.35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7"/>
      <c r="AF410" s="7"/>
      <c r="AG410" s="7"/>
      <c r="AH410" s="7"/>
      <c r="AI410" s="7"/>
    </row>
    <row r="411" spans="1:35" ht="14.5" x14ac:dyDescent="0.35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7"/>
      <c r="AF411" s="7"/>
      <c r="AG411" s="7"/>
      <c r="AH411" s="7"/>
      <c r="AI411" s="7"/>
    </row>
    <row r="412" spans="1:35" ht="14.5" x14ac:dyDescent="0.35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7"/>
      <c r="AF412" s="7"/>
      <c r="AG412" s="7"/>
      <c r="AH412" s="7"/>
      <c r="AI412" s="7"/>
    </row>
    <row r="413" spans="1:35" ht="14.5" x14ac:dyDescent="0.35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7"/>
      <c r="AF413" s="7"/>
      <c r="AG413" s="7"/>
      <c r="AH413" s="7"/>
      <c r="AI413" s="7"/>
    </row>
    <row r="414" spans="1:35" ht="14.5" x14ac:dyDescent="0.35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7"/>
      <c r="AF414" s="7"/>
      <c r="AG414" s="7"/>
      <c r="AH414" s="7"/>
      <c r="AI414" s="7"/>
    </row>
    <row r="415" spans="1:35" ht="14.5" x14ac:dyDescent="0.3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7"/>
      <c r="AF415" s="7"/>
      <c r="AG415" s="7"/>
      <c r="AH415" s="7"/>
      <c r="AI415" s="7"/>
    </row>
    <row r="416" spans="1:35" ht="14.5" x14ac:dyDescent="0.35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7"/>
      <c r="AF416" s="7"/>
      <c r="AG416" s="7"/>
      <c r="AH416" s="7"/>
      <c r="AI416" s="7"/>
    </row>
    <row r="417" spans="1:35" ht="14.5" x14ac:dyDescent="0.35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7"/>
      <c r="AF417" s="7"/>
      <c r="AG417" s="7"/>
      <c r="AH417" s="7"/>
      <c r="AI417" s="7"/>
    </row>
    <row r="418" spans="1:35" ht="14.5" x14ac:dyDescent="0.35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7"/>
      <c r="AF418" s="7"/>
      <c r="AG418" s="7"/>
      <c r="AH418" s="7"/>
      <c r="AI418" s="7"/>
    </row>
    <row r="419" spans="1:35" ht="14.5" x14ac:dyDescent="0.3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7"/>
      <c r="AF419" s="7"/>
      <c r="AG419" s="7"/>
      <c r="AH419" s="7"/>
      <c r="AI419" s="7"/>
    </row>
    <row r="420" spans="1:35" ht="14.5" x14ac:dyDescent="0.35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7"/>
      <c r="AF420" s="7"/>
      <c r="AG420" s="7"/>
      <c r="AH420" s="7"/>
      <c r="AI420" s="7"/>
    </row>
    <row r="421" spans="1:35" ht="14.5" x14ac:dyDescent="0.35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7"/>
      <c r="AF421" s="7"/>
      <c r="AG421" s="7"/>
      <c r="AH421" s="7"/>
      <c r="AI421" s="7"/>
    </row>
    <row r="422" spans="1:35" ht="14.5" x14ac:dyDescent="0.35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7"/>
      <c r="AF422" s="7"/>
      <c r="AG422" s="7"/>
      <c r="AH422" s="7"/>
      <c r="AI422" s="7"/>
    </row>
    <row r="423" spans="1:35" ht="14.5" x14ac:dyDescent="0.35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7"/>
      <c r="AF423" s="7"/>
      <c r="AG423" s="7"/>
      <c r="AH423" s="7"/>
      <c r="AI423" s="7"/>
    </row>
    <row r="424" spans="1:35" ht="14.5" x14ac:dyDescent="0.35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7"/>
      <c r="AF424" s="7"/>
      <c r="AG424" s="7"/>
      <c r="AH424" s="7"/>
      <c r="AI424" s="7"/>
    </row>
    <row r="425" spans="1:35" ht="14.5" x14ac:dyDescent="0.3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7"/>
      <c r="AF425" s="7"/>
      <c r="AG425" s="7"/>
      <c r="AH425" s="7"/>
      <c r="AI425" s="7"/>
    </row>
    <row r="426" spans="1:35" ht="14.5" x14ac:dyDescent="0.3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7"/>
      <c r="AF426" s="7"/>
      <c r="AG426" s="7"/>
      <c r="AH426" s="7"/>
      <c r="AI426" s="7"/>
    </row>
    <row r="427" spans="1:35" ht="14.5" x14ac:dyDescent="0.35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7"/>
      <c r="AF427" s="7"/>
      <c r="AG427" s="7"/>
      <c r="AH427" s="7"/>
      <c r="AI427" s="7"/>
    </row>
    <row r="428" spans="1:35" ht="14.5" x14ac:dyDescent="0.35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7"/>
      <c r="AF428" s="7"/>
      <c r="AG428" s="7"/>
      <c r="AH428" s="7"/>
      <c r="AI428" s="7"/>
    </row>
    <row r="429" spans="1:35" ht="14.5" x14ac:dyDescent="0.35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7"/>
      <c r="AF429" s="7"/>
      <c r="AG429" s="7"/>
      <c r="AH429" s="7"/>
      <c r="AI429" s="7"/>
    </row>
    <row r="430" spans="1:35" ht="14.5" x14ac:dyDescent="0.35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7"/>
      <c r="AF430" s="7"/>
      <c r="AG430" s="7"/>
      <c r="AH430" s="7"/>
      <c r="AI430" s="7"/>
    </row>
    <row r="431" spans="1:35" ht="14.5" x14ac:dyDescent="0.35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7"/>
      <c r="AF431" s="7"/>
      <c r="AG431" s="7"/>
      <c r="AH431" s="7"/>
      <c r="AI431" s="7"/>
    </row>
    <row r="432" spans="1:35" ht="14.5" x14ac:dyDescent="0.35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7"/>
      <c r="AF432" s="7"/>
      <c r="AG432" s="7"/>
      <c r="AH432" s="7"/>
      <c r="AI432" s="7"/>
    </row>
    <row r="433" spans="1:35" ht="14.5" x14ac:dyDescent="0.35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7"/>
      <c r="AF433" s="7"/>
      <c r="AG433" s="7"/>
      <c r="AH433" s="7"/>
      <c r="AI433" s="7"/>
    </row>
    <row r="434" spans="1:35" ht="14.5" x14ac:dyDescent="0.35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7"/>
      <c r="AF434" s="7"/>
      <c r="AG434" s="7"/>
      <c r="AH434" s="7"/>
      <c r="AI434" s="7"/>
    </row>
    <row r="435" spans="1:35" ht="14.5" x14ac:dyDescent="0.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7"/>
      <c r="AF435" s="7"/>
      <c r="AG435" s="7"/>
      <c r="AH435" s="7"/>
      <c r="AI435" s="7"/>
    </row>
    <row r="436" spans="1:35" ht="14.5" x14ac:dyDescent="0.35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7"/>
      <c r="AF436" s="7"/>
      <c r="AG436" s="7"/>
      <c r="AH436" s="7"/>
      <c r="AI436" s="7"/>
    </row>
    <row r="437" spans="1:35" ht="14.5" x14ac:dyDescent="0.35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7"/>
      <c r="AF437" s="7"/>
      <c r="AG437" s="7"/>
      <c r="AH437" s="7"/>
      <c r="AI437" s="7"/>
    </row>
    <row r="438" spans="1:35" ht="14.5" x14ac:dyDescent="0.35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7"/>
      <c r="AF438" s="7"/>
      <c r="AG438" s="7"/>
      <c r="AH438" s="7"/>
      <c r="AI438" s="7"/>
    </row>
    <row r="439" spans="1:35" ht="14.5" x14ac:dyDescent="0.35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7"/>
      <c r="AF439" s="7"/>
      <c r="AG439" s="7"/>
      <c r="AH439" s="7"/>
      <c r="AI439" s="7"/>
    </row>
    <row r="440" spans="1:35" ht="14.5" x14ac:dyDescent="0.3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7"/>
      <c r="AF440" s="7"/>
      <c r="AG440" s="7"/>
      <c r="AH440" s="7"/>
      <c r="AI440" s="7"/>
    </row>
    <row r="441" spans="1:35" ht="14.5" x14ac:dyDescent="0.35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7"/>
      <c r="AF441" s="7"/>
      <c r="AG441" s="7"/>
      <c r="AH441" s="7"/>
      <c r="AI441" s="7"/>
    </row>
    <row r="442" spans="1:35" ht="14.5" x14ac:dyDescent="0.35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7"/>
      <c r="AF442" s="7"/>
      <c r="AG442" s="7"/>
      <c r="AH442" s="7"/>
      <c r="AI442" s="7"/>
    </row>
    <row r="443" spans="1:35" ht="14.5" x14ac:dyDescent="0.3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7"/>
      <c r="AF443" s="7"/>
      <c r="AG443" s="7"/>
      <c r="AH443" s="7"/>
      <c r="AI443" s="7"/>
    </row>
    <row r="444" spans="1:35" ht="14.5" x14ac:dyDescent="0.35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7"/>
      <c r="AF444" s="7"/>
      <c r="AG444" s="7"/>
      <c r="AH444" s="7"/>
      <c r="AI444" s="7"/>
    </row>
    <row r="445" spans="1:35" ht="14.5" x14ac:dyDescent="0.3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7"/>
      <c r="AF445" s="7"/>
      <c r="AG445" s="7"/>
      <c r="AH445" s="7"/>
      <c r="AI445" s="7"/>
    </row>
    <row r="446" spans="1:35" ht="14.5" x14ac:dyDescent="0.35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7"/>
      <c r="AF446" s="7"/>
      <c r="AG446" s="7"/>
      <c r="AH446" s="7"/>
      <c r="AI446" s="7"/>
    </row>
    <row r="447" spans="1:35" ht="14.5" x14ac:dyDescent="0.35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7"/>
      <c r="AF447" s="7"/>
      <c r="AG447" s="7"/>
      <c r="AH447" s="7"/>
      <c r="AI447" s="7"/>
    </row>
    <row r="448" spans="1:35" ht="14.5" x14ac:dyDescent="0.35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7"/>
      <c r="AF448" s="7"/>
      <c r="AG448" s="7"/>
      <c r="AH448" s="7"/>
      <c r="AI448" s="7"/>
    </row>
    <row r="449" spans="1:35" ht="14.5" x14ac:dyDescent="0.35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7"/>
      <c r="AF449" s="7"/>
      <c r="AG449" s="7"/>
      <c r="AH449" s="7"/>
      <c r="AI449" s="7"/>
    </row>
    <row r="450" spans="1:35" ht="14.5" x14ac:dyDescent="0.35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7"/>
      <c r="AF450" s="7"/>
      <c r="AG450" s="7"/>
      <c r="AH450" s="7"/>
      <c r="AI450" s="7"/>
    </row>
    <row r="451" spans="1:35" ht="14.5" x14ac:dyDescent="0.35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7"/>
      <c r="AF451" s="7"/>
      <c r="AG451" s="7"/>
      <c r="AH451" s="7"/>
      <c r="AI451" s="7"/>
    </row>
    <row r="452" spans="1:35" ht="14.5" x14ac:dyDescent="0.35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7"/>
      <c r="AF452" s="7"/>
      <c r="AG452" s="7"/>
      <c r="AH452" s="7"/>
      <c r="AI452" s="7"/>
    </row>
    <row r="453" spans="1:35" ht="14.5" x14ac:dyDescent="0.35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7"/>
      <c r="AF453" s="7"/>
      <c r="AG453" s="7"/>
      <c r="AH453" s="7"/>
      <c r="AI453" s="7"/>
    </row>
    <row r="454" spans="1:35" ht="14.5" x14ac:dyDescent="0.35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7"/>
      <c r="AF454" s="7"/>
      <c r="AG454" s="7"/>
      <c r="AH454" s="7"/>
      <c r="AI454" s="7"/>
    </row>
    <row r="455" spans="1:35" ht="14.5" x14ac:dyDescent="0.3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7"/>
      <c r="AF455" s="7"/>
      <c r="AG455" s="7"/>
      <c r="AH455" s="7"/>
      <c r="AI455" s="7"/>
    </row>
    <row r="456" spans="1:35" ht="14.5" x14ac:dyDescent="0.35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7"/>
      <c r="AF456" s="7"/>
      <c r="AG456" s="7"/>
      <c r="AH456" s="7"/>
      <c r="AI456" s="7"/>
    </row>
    <row r="457" spans="1:35" ht="14.5" x14ac:dyDescent="0.3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7"/>
      <c r="AF457" s="7"/>
      <c r="AG457" s="7"/>
      <c r="AH457" s="7"/>
      <c r="AI457" s="7"/>
    </row>
    <row r="458" spans="1:35" ht="14.5" x14ac:dyDescent="0.35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7"/>
      <c r="AF458" s="7"/>
      <c r="AG458" s="7"/>
      <c r="AH458" s="7"/>
      <c r="AI458" s="7"/>
    </row>
    <row r="459" spans="1:35" ht="14.5" x14ac:dyDescent="0.35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7"/>
      <c r="AF459" s="7"/>
      <c r="AG459" s="7"/>
      <c r="AH459" s="7"/>
      <c r="AI459" s="7"/>
    </row>
    <row r="460" spans="1:35" ht="14.5" x14ac:dyDescent="0.35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7"/>
      <c r="AF460" s="7"/>
      <c r="AG460" s="7"/>
      <c r="AH460" s="7"/>
      <c r="AI460" s="7"/>
    </row>
    <row r="461" spans="1:35" ht="14.5" x14ac:dyDescent="0.35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7"/>
      <c r="AF461" s="7"/>
      <c r="AG461" s="7"/>
      <c r="AH461" s="7"/>
      <c r="AI461" s="7"/>
    </row>
    <row r="462" spans="1:35" ht="14.5" x14ac:dyDescent="0.35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7"/>
      <c r="AF462" s="7"/>
      <c r="AG462" s="7"/>
      <c r="AH462" s="7"/>
      <c r="AI462" s="7"/>
    </row>
    <row r="463" spans="1:35" ht="14.5" x14ac:dyDescent="0.35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7"/>
      <c r="AF463" s="7"/>
      <c r="AG463" s="7"/>
      <c r="AH463" s="7"/>
      <c r="AI463" s="7"/>
    </row>
    <row r="464" spans="1:35" ht="14.5" x14ac:dyDescent="0.35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7"/>
      <c r="AF464" s="7"/>
      <c r="AG464" s="7"/>
      <c r="AH464" s="7"/>
      <c r="AI464" s="7"/>
    </row>
    <row r="465" spans="1:35" ht="14.5" x14ac:dyDescent="0.3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7"/>
      <c r="AF465" s="7"/>
      <c r="AG465" s="7"/>
      <c r="AH465" s="7"/>
      <c r="AI465" s="7"/>
    </row>
    <row r="466" spans="1:35" ht="14.5" x14ac:dyDescent="0.35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7"/>
      <c r="AF466" s="7"/>
      <c r="AG466" s="7"/>
      <c r="AH466" s="7"/>
      <c r="AI466" s="7"/>
    </row>
    <row r="467" spans="1:35" ht="14.5" x14ac:dyDescent="0.35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7"/>
      <c r="AF467" s="7"/>
      <c r="AG467" s="7"/>
      <c r="AH467" s="7"/>
      <c r="AI467" s="7"/>
    </row>
    <row r="468" spans="1:35" ht="14.5" x14ac:dyDescent="0.35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7"/>
      <c r="AF468" s="7"/>
      <c r="AG468" s="7"/>
      <c r="AH468" s="7"/>
      <c r="AI468" s="7"/>
    </row>
    <row r="469" spans="1:35" ht="14.5" x14ac:dyDescent="0.35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7"/>
      <c r="AF469" s="7"/>
      <c r="AG469" s="7"/>
      <c r="AH469" s="7"/>
      <c r="AI469" s="7"/>
    </row>
    <row r="470" spans="1:35" ht="14.5" x14ac:dyDescent="0.35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7"/>
      <c r="AF470" s="7"/>
      <c r="AG470" s="7"/>
      <c r="AH470" s="7"/>
      <c r="AI470" s="7"/>
    </row>
    <row r="471" spans="1:35" ht="14.5" x14ac:dyDescent="0.35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7"/>
      <c r="AF471" s="7"/>
      <c r="AG471" s="7"/>
      <c r="AH471" s="7"/>
      <c r="AI471" s="7"/>
    </row>
    <row r="472" spans="1:35" ht="14.5" x14ac:dyDescent="0.35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7"/>
      <c r="AF472" s="7"/>
      <c r="AG472" s="7"/>
      <c r="AH472" s="7"/>
      <c r="AI472" s="7"/>
    </row>
    <row r="473" spans="1:35" ht="14.5" x14ac:dyDescent="0.35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7"/>
      <c r="AF473" s="7"/>
      <c r="AG473" s="7"/>
      <c r="AH473" s="7"/>
      <c r="AI473" s="7"/>
    </row>
    <row r="474" spans="1:35" ht="14.5" x14ac:dyDescent="0.35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7"/>
      <c r="AF474" s="7"/>
      <c r="AG474" s="7"/>
      <c r="AH474" s="7"/>
      <c r="AI474" s="7"/>
    </row>
    <row r="475" spans="1:35" ht="14.5" x14ac:dyDescent="0.3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7"/>
      <c r="AF475" s="7"/>
      <c r="AG475" s="7"/>
      <c r="AH475" s="7"/>
      <c r="AI475" s="7"/>
    </row>
    <row r="476" spans="1:35" ht="14.5" x14ac:dyDescent="0.35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7"/>
      <c r="AF476" s="7"/>
      <c r="AG476" s="7"/>
      <c r="AH476" s="7"/>
      <c r="AI476" s="7"/>
    </row>
    <row r="477" spans="1:35" ht="14.5" x14ac:dyDescent="0.35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7"/>
      <c r="AF477" s="7"/>
      <c r="AG477" s="7"/>
      <c r="AH477" s="7"/>
      <c r="AI477" s="7"/>
    </row>
    <row r="478" spans="1:35" ht="14.5" x14ac:dyDescent="0.35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7"/>
      <c r="AF478" s="7"/>
      <c r="AG478" s="7"/>
      <c r="AH478" s="7"/>
      <c r="AI478" s="7"/>
    </row>
    <row r="479" spans="1:35" ht="14.5" x14ac:dyDescent="0.35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7"/>
      <c r="AF479" s="7"/>
      <c r="AG479" s="7"/>
      <c r="AH479" s="7"/>
      <c r="AI479" s="7"/>
    </row>
    <row r="480" spans="1:35" ht="14.5" x14ac:dyDescent="0.35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7"/>
      <c r="AF480" s="7"/>
      <c r="AG480" s="7"/>
      <c r="AH480" s="7"/>
      <c r="AI480" s="7"/>
    </row>
    <row r="481" spans="1:35" ht="14.5" x14ac:dyDescent="0.35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7"/>
      <c r="AF481" s="7"/>
      <c r="AG481" s="7"/>
      <c r="AH481" s="7"/>
      <c r="AI481" s="7"/>
    </row>
    <row r="482" spans="1:35" ht="14.5" x14ac:dyDescent="0.35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7"/>
      <c r="AF482" s="7"/>
      <c r="AG482" s="7"/>
      <c r="AH482" s="7"/>
      <c r="AI482" s="7"/>
    </row>
    <row r="483" spans="1:35" ht="14.5" x14ac:dyDescent="0.35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7"/>
      <c r="AF483" s="7"/>
      <c r="AG483" s="7"/>
      <c r="AH483" s="7"/>
      <c r="AI483" s="7"/>
    </row>
    <row r="484" spans="1:35" ht="14.5" x14ac:dyDescent="0.35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7"/>
      <c r="AF484" s="7"/>
      <c r="AG484" s="7"/>
      <c r="AH484" s="7"/>
      <c r="AI484" s="7"/>
    </row>
    <row r="485" spans="1:35" ht="14.5" x14ac:dyDescent="0.3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7"/>
      <c r="AF485" s="7"/>
      <c r="AG485" s="7"/>
      <c r="AH485" s="7"/>
      <c r="AI485" s="7"/>
    </row>
    <row r="486" spans="1:35" ht="14.5" x14ac:dyDescent="0.35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7"/>
      <c r="AF486" s="7"/>
      <c r="AG486" s="7"/>
      <c r="AH486" s="7"/>
      <c r="AI486" s="7"/>
    </row>
    <row r="487" spans="1:35" ht="14.5" x14ac:dyDescent="0.35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7"/>
      <c r="AF487" s="7"/>
      <c r="AG487" s="7"/>
      <c r="AH487" s="7"/>
      <c r="AI487" s="7"/>
    </row>
    <row r="488" spans="1:35" ht="14.5" x14ac:dyDescent="0.35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7"/>
      <c r="AF488" s="7"/>
      <c r="AG488" s="7"/>
      <c r="AH488" s="7"/>
      <c r="AI488" s="7"/>
    </row>
    <row r="489" spans="1:35" ht="14.5" x14ac:dyDescent="0.35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7"/>
      <c r="AF489" s="7"/>
      <c r="AG489" s="7"/>
      <c r="AH489" s="7"/>
      <c r="AI489" s="7"/>
    </row>
    <row r="490" spans="1:35" ht="14.5" x14ac:dyDescent="0.35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7"/>
      <c r="AF490" s="7"/>
      <c r="AG490" s="7"/>
      <c r="AH490" s="7"/>
      <c r="AI490" s="7"/>
    </row>
    <row r="491" spans="1:35" ht="14.5" x14ac:dyDescent="0.35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7"/>
      <c r="AF491" s="7"/>
      <c r="AG491" s="7"/>
      <c r="AH491" s="7"/>
      <c r="AI491" s="7"/>
    </row>
    <row r="492" spans="1:35" ht="14.5" x14ac:dyDescent="0.35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7"/>
      <c r="AF492" s="7"/>
      <c r="AG492" s="7"/>
      <c r="AH492" s="7"/>
      <c r="AI492" s="7"/>
    </row>
    <row r="493" spans="1:35" ht="14.5" x14ac:dyDescent="0.35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7"/>
      <c r="AF493" s="7"/>
      <c r="AG493" s="7"/>
      <c r="AH493" s="7"/>
      <c r="AI493" s="7"/>
    </row>
    <row r="494" spans="1:35" ht="14.5" x14ac:dyDescent="0.35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7"/>
      <c r="AF494" s="7"/>
      <c r="AG494" s="7"/>
      <c r="AH494" s="7"/>
      <c r="AI494" s="7"/>
    </row>
    <row r="495" spans="1:35" ht="14.5" x14ac:dyDescent="0.3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7"/>
      <c r="AF495" s="7"/>
      <c r="AG495" s="7"/>
      <c r="AH495" s="7"/>
      <c r="AI495" s="7"/>
    </row>
    <row r="496" spans="1:35" ht="14.5" x14ac:dyDescent="0.35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7"/>
      <c r="AF496" s="7"/>
      <c r="AG496" s="7"/>
      <c r="AH496" s="7"/>
      <c r="AI496" s="7"/>
    </row>
    <row r="497" spans="1:35" ht="14.5" x14ac:dyDescent="0.35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7"/>
      <c r="AF497" s="7"/>
      <c r="AG497" s="7"/>
      <c r="AH497" s="7"/>
      <c r="AI497" s="7"/>
    </row>
    <row r="498" spans="1:35" ht="14.5" x14ac:dyDescent="0.35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7"/>
      <c r="AF498" s="7"/>
      <c r="AG498" s="7"/>
      <c r="AH498" s="7"/>
      <c r="AI498" s="7"/>
    </row>
    <row r="499" spans="1:35" ht="14.5" x14ac:dyDescent="0.35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7"/>
      <c r="AF499" s="7"/>
      <c r="AG499" s="7"/>
      <c r="AH499" s="7"/>
      <c r="AI499" s="7"/>
    </row>
    <row r="500" spans="1:35" ht="14.5" x14ac:dyDescent="0.35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7"/>
      <c r="AF500" s="7"/>
      <c r="AG500" s="7"/>
      <c r="AH500" s="7"/>
      <c r="AI500" s="7"/>
    </row>
    <row r="501" spans="1:35" ht="14.5" x14ac:dyDescent="0.3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7"/>
      <c r="AF501" s="7"/>
      <c r="AG501" s="7"/>
      <c r="AH501" s="7"/>
      <c r="AI501" s="7"/>
    </row>
    <row r="502" spans="1:35" ht="14.5" x14ac:dyDescent="0.35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7"/>
      <c r="AF502" s="7"/>
      <c r="AG502" s="7"/>
      <c r="AH502" s="7"/>
      <c r="AI502" s="7"/>
    </row>
    <row r="503" spans="1:35" ht="14.5" x14ac:dyDescent="0.35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7"/>
      <c r="AF503" s="7"/>
      <c r="AG503" s="7"/>
      <c r="AH503" s="7"/>
      <c r="AI503" s="7"/>
    </row>
    <row r="504" spans="1:35" ht="14.5" x14ac:dyDescent="0.35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7"/>
      <c r="AF504" s="7"/>
      <c r="AG504" s="7"/>
      <c r="AH504" s="7"/>
      <c r="AI504" s="7"/>
    </row>
    <row r="505" spans="1:35" ht="14.5" x14ac:dyDescent="0.3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7"/>
      <c r="AF505" s="7"/>
      <c r="AG505" s="7"/>
      <c r="AH505" s="7"/>
      <c r="AI505" s="7"/>
    </row>
    <row r="506" spans="1:35" ht="14.5" x14ac:dyDescent="0.35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7"/>
      <c r="AF506" s="7"/>
      <c r="AG506" s="7"/>
      <c r="AH506" s="7"/>
      <c r="AI506" s="7"/>
    </row>
    <row r="507" spans="1:35" ht="14.5" x14ac:dyDescent="0.35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7"/>
      <c r="AF507" s="7"/>
      <c r="AG507" s="7"/>
      <c r="AH507" s="7"/>
      <c r="AI507" s="7"/>
    </row>
    <row r="508" spans="1:35" ht="14.5" x14ac:dyDescent="0.35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7"/>
      <c r="AF508" s="7"/>
      <c r="AG508" s="7"/>
      <c r="AH508" s="7"/>
      <c r="AI508" s="7"/>
    </row>
    <row r="509" spans="1:35" ht="14.5" x14ac:dyDescent="0.35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7"/>
      <c r="AF509" s="7"/>
      <c r="AG509" s="7"/>
      <c r="AH509" s="7"/>
      <c r="AI509" s="7"/>
    </row>
    <row r="510" spans="1:35" ht="14.5" x14ac:dyDescent="0.35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7"/>
      <c r="AF510" s="7"/>
      <c r="AG510" s="7"/>
      <c r="AH510" s="7"/>
      <c r="AI510" s="7"/>
    </row>
    <row r="511" spans="1:35" ht="14.5" x14ac:dyDescent="0.35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7"/>
      <c r="AF511" s="7"/>
      <c r="AG511" s="7"/>
      <c r="AH511" s="7"/>
      <c r="AI511" s="7"/>
    </row>
    <row r="512" spans="1:35" ht="14.5" x14ac:dyDescent="0.35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7"/>
      <c r="AF512" s="7"/>
      <c r="AG512" s="7"/>
      <c r="AH512" s="7"/>
      <c r="AI512" s="7"/>
    </row>
    <row r="513" spans="1:35" ht="14.5" x14ac:dyDescent="0.35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7"/>
      <c r="AF513" s="7"/>
      <c r="AG513" s="7"/>
      <c r="AH513" s="7"/>
      <c r="AI513" s="7"/>
    </row>
    <row r="514" spans="1:35" ht="14.5" x14ac:dyDescent="0.35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7"/>
      <c r="AF514" s="7"/>
      <c r="AG514" s="7"/>
      <c r="AH514" s="7"/>
      <c r="AI514" s="7"/>
    </row>
    <row r="515" spans="1:35" ht="14.5" x14ac:dyDescent="0.3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7"/>
      <c r="AF515" s="7"/>
      <c r="AG515" s="7"/>
      <c r="AH515" s="7"/>
      <c r="AI515" s="7"/>
    </row>
    <row r="516" spans="1:35" ht="14.5" x14ac:dyDescent="0.35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7"/>
      <c r="AF516" s="7"/>
      <c r="AG516" s="7"/>
      <c r="AH516" s="7"/>
      <c r="AI516" s="7"/>
    </row>
    <row r="517" spans="1:35" ht="14.5" x14ac:dyDescent="0.35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7"/>
      <c r="AF517" s="7"/>
      <c r="AG517" s="7"/>
      <c r="AH517" s="7"/>
      <c r="AI517" s="7"/>
    </row>
    <row r="518" spans="1:35" ht="14.5" x14ac:dyDescent="0.35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7"/>
      <c r="AF518" s="7"/>
      <c r="AG518" s="7"/>
      <c r="AH518" s="7"/>
      <c r="AI518" s="7"/>
    </row>
    <row r="519" spans="1:35" ht="14.5" x14ac:dyDescent="0.35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7"/>
      <c r="AF519" s="7"/>
      <c r="AG519" s="7"/>
      <c r="AH519" s="7"/>
      <c r="AI519" s="7"/>
    </row>
    <row r="520" spans="1:35" ht="14.5" x14ac:dyDescent="0.35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7"/>
      <c r="AF520" s="7"/>
      <c r="AG520" s="7"/>
      <c r="AH520" s="7"/>
      <c r="AI520" s="7"/>
    </row>
    <row r="521" spans="1:35" ht="14.5" x14ac:dyDescent="0.35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7"/>
      <c r="AF521" s="7"/>
      <c r="AG521" s="7"/>
      <c r="AH521" s="7"/>
      <c r="AI521" s="7"/>
    </row>
    <row r="522" spans="1:35" ht="14.5" x14ac:dyDescent="0.35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7"/>
      <c r="AF522" s="7"/>
      <c r="AG522" s="7"/>
      <c r="AH522" s="7"/>
      <c r="AI522" s="7"/>
    </row>
    <row r="523" spans="1:35" ht="14.5" x14ac:dyDescent="0.35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7"/>
      <c r="AF523" s="7"/>
      <c r="AG523" s="7"/>
      <c r="AH523" s="7"/>
      <c r="AI523" s="7"/>
    </row>
    <row r="524" spans="1:35" ht="14.5" x14ac:dyDescent="0.35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7"/>
      <c r="AF524" s="7"/>
      <c r="AG524" s="7"/>
      <c r="AH524" s="7"/>
      <c r="AI524" s="7"/>
    </row>
    <row r="525" spans="1:35" ht="14.5" x14ac:dyDescent="0.3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7"/>
      <c r="AF525" s="7"/>
      <c r="AG525" s="7"/>
      <c r="AH525" s="7"/>
      <c r="AI525" s="7"/>
    </row>
    <row r="526" spans="1:35" ht="14.5" x14ac:dyDescent="0.35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7"/>
      <c r="AF526" s="7"/>
      <c r="AG526" s="7"/>
      <c r="AH526" s="7"/>
      <c r="AI526" s="7"/>
    </row>
    <row r="527" spans="1:35" ht="14.5" x14ac:dyDescent="0.35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7"/>
      <c r="AF527" s="7"/>
      <c r="AG527" s="7"/>
      <c r="AH527" s="7"/>
      <c r="AI527" s="7"/>
    </row>
    <row r="528" spans="1:35" ht="14.5" x14ac:dyDescent="0.35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7"/>
      <c r="AF528" s="7"/>
      <c r="AG528" s="7"/>
      <c r="AH528" s="7"/>
      <c r="AI528" s="7"/>
    </row>
    <row r="529" spans="1:35" ht="14.5" x14ac:dyDescent="0.35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7"/>
      <c r="AF529" s="7"/>
      <c r="AG529" s="7"/>
      <c r="AH529" s="7"/>
      <c r="AI529" s="7"/>
    </row>
    <row r="530" spans="1:35" ht="14.5" x14ac:dyDescent="0.35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7"/>
      <c r="AF530" s="7"/>
      <c r="AG530" s="7"/>
      <c r="AH530" s="7"/>
      <c r="AI530" s="7"/>
    </row>
    <row r="531" spans="1:35" ht="14.5" x14ac:dyDescent="0.35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7"/>
      <c r="AF531" s="7"/>
      <c r="AG531" s="7"/>
      <c r="AH531" s="7"/>
      <c r="AI531" s="7"/>
    </row>
    <row r="532" spans="1:35" ht="14.5" x14ac:dyDescent="0.35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7"/>
      <c r="AF532" s="7"/>
      <c r="AG532" s="7"/>
      <c r="AH532" s="7"/>
      <c r="AI532" s="7"/>
    </row>
    <row r="533" spans="1:35" ht="14.5" x14ac:dyDescent="0.35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7"/>
      <c r="AF533" s="7"/>
      <c r="AG533" s="7"/>
      <c r="AH533" s="7"/>
      <c r="AI533" s="7"/>
    </row>
    <row r="534" spans="1:35" ht="14.5" x14ac:dyDescent="0.35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7"/>
      <c r="AF534" s="7"/>
      <c r="AG534" s="7"/>
      <c r="AH534" s="7"/>
      <c r="AI534" s="7"/>
    </row>
    <row r="535" spans="1:35" ht="14.5" x14ac:dyDescent="0.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7"/>
      <c r="AF535" s="7"/>
      <c r="AG535" s="7"/>
      <c r="AH535" s="7"/>
      <c r="AI535" s="7"/>
    </row>
    <row r="536" spans="1:35" ht="14.5" x14ac:dyDescent="0.35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7"/>
      <c r="AF536" s="7"/>
      <c r="AG536" s="7"/>
      <c r="AH536" s="7"/>
      <c r="AI536" s="7"/>
    </row>
    <row r="537" spans="1:35" ht="14.5" x14ac:dyDescent="0.35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7"/>
      <c r="AF537" s="7"/>
      <c r="AG537" s="7"/>
      <c r="AH537" s="7"/>
      <c r="AI537" s="7"/>
    </row>
    <row r="538" spans="1:35" ht="14.5" x14ac:dyDescent="0.35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7"/>
      <c r="AF538" s="7"/>
      <c r="AG538" s="7"/>
      <c r="AH538" s="7"/>
      <c r="AI538" s="7"/>
    </row>
    <row r="539" spans="1:35" ht="14.5" x14ac:dyDescent="0.35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7"/>
      <c r="AF539" s="7"/>
      <c r="AG539" s="7"/>
      <c r="AH539" s="7"/>
      <c r="AI539" s="7"/>
    </row>
    <row r="540" spans="1:35" ht="14.5" x14ac:dyDescent="0.35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7"/>
      <c r="AF540" s="7"/>
      <c r="AG540" s="7"/>
      <c r="AH540" s="7"/>
      <c r="AI540" s="7"/>
    </row>
    <row r="541" spans="1:35" ht="14.5" x14ac:dyDescent="0.35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7"/>
      <c r="AF541" s="7"/>
      <c r="AG541" s="7"/>
      <c r="AH541" s="7"/>
      <c r="AI541" s="7"/>
    </row>
    <row r="542" spans="1:35" ht="14.5" x14ac:dyDescent="0.35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7"/>
      <c r="AF542" s="7"/>
      <c r="AG542" s="7"/>
      <c r="AH542" s="7"/>
      <c r="AI542" s="7"/>
    </row>
    <row r="543" spans="1:35" ht="14.5" x14ac:dyDescent="0.35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7"/>
      <c r="AF543" s="7"/>
      <c r="AG543" s="7"/>
      <c r="AH543" s="7"/>
      <c r="AI543" s="7"/>
    </row>
    <row r="544" spans="1:35" ht="14.5" x14ac:dyDescent="0.35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7"/>
      <c r="AF544" s="7"/>
      <c r="AG544" s="7"/>
      <c r="AH544" s="7"/>
      <c r="AI544" s="7"/>
    </row>
    <row r="545" spans="1:35" ht="14.5" x14ac:dyDescent="0.3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7"/>
      <c r="AF545" s="7"/>
      <c r="AG545" s="7"/>
      <c r="AH545" s="7"/>
      <c r="AI545" s="7"/>
    </row>
    <row r="546" spans="1:35" ht="14.5" x14ac:dyDescent="0.35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7"/>
      <c r="AF546" s="7"/>
      <c r="AG546" s="7"/>
      <c r="AH546" s="7"/>
      <c r="AI546" s="7"/>
    </row>
    <row r="547" spans="1:35" ht="14.5" x14ac:dyDescent="0.35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7"/>
      <c r="AF547" s="7"/>
      <c r="AG547" s="7"/>
      <c r="AH547" s="7"/>
      <c r="AI547" s="7"/>
    </row>
    <row r="548" spans="1:35" ht="14.5" x14ac:dyDescent="0.35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7"/>
      <c r="AF548" s="7"/>
      <c r="AG548" s="7"/>
      <c r="AH548" s="7"/>
      <c r="AI548" s="7"/>
    </row>
    <row r="549" spans="1:35" ht="14.5" x14ac:dyDescent="0.35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7"/>
      <c r="AF549" s="7"/>
      <c r="AG549" s="7"/>
      <c r="AH549" s="7"/>
      <c r="AI549" s="7"/>
    </row>
    <row r="550" spans="1:35" ht="14.5" x14ac:dyDescent="0.35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7"/>
      <c r="AF550" s="7"/>
      <c r="AG550" s="7"/>
      <c r="AH550" s="7"/>
      <c r="AI550" s="7"/>
    </row>
    <row r="551" spans="1:35" ht="14.5" x14ac:dyDescent="0.35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7"/>
      <c r="AF551" s="7"/>
      <c r="AG551" s="7"/>
      <c r="AH551" s="7"/>
      <c r="AI551" s="7"/>
    </row>
    <row r="552" spans="1:35" ht="14.5" x14ac:dyDescent="0.35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7"/>
      <c r="AF552" s="7"/>
      <c r="AG552" s="7"/>
      <c r="AH552" s="7"/>
      <c r="AI552" s="7"/>
    </row>
    <row r="553" spans="1:35" ht="14.5" x14ac:dyDescent="0.35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7"/>
      <c r="AF553" s="7"/>
      <c r="AG553" s="7"/>
      <c r="AH553" s="7"/>
      <c r="AI553" s="7"/>
    </row>
    <row r="554" spans="1:35" ht="14.5" x14ac:dyDescent="0.35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7"/>
      <c r="AF554" s="7"/>
      <c r="AG554" s="7"/>
      <c r="AH554" s="7"/>
      <c r="AI554" s="7"/>
    </row>
    <row r="555" spans="1:35" ht="14.5" x14ac:dyDescent="0.3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7"/>
      <c r="AF555" s="7"/>
      <c r="AG555" s="7"/>
      <c r="AH555" s="7"/>
      <c r="AI555" s="7"/>
    </row>
    <row r="556" spans="1:35" ht="14.5" x14ac:dyDescent="0.35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7"/>
      <c r="AF556" s="7"/>
      <c r="AG556" s="7"/>
      <c r="AH556" s="7"/>
      <c r="AI556" s="7"/>
    </row>
    <row r="557" spans="1:35" ht="14.5" x14ac:dyDescent="0.35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7"/>
      <c r="AF557" s="7"/>
      <c r="AG557" s="7"/>
      <c r="AH557" s="7"/>
      <c r="AI557" s="7"/>
    </row>
    <row r="558" spans="1:35" ht="14.5" x14ac:dyDescent="0.35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7"/>
      <c r="AF558" s="7"/>
      <c r="AG558" s="7"/>
      <c r="AH558" s="7"/>
      <c r="AI558" s="7"/>
    </row>
    <row r="559" spans="1:35" ht="14.5" x14ac:dyDescent="0.35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7"/>
      <c r="AF559" s="7"/>
      <c r="AG559" s="7"/>
      <c r="AH559" s="7"/>
      <c r="AI559" s="7"/>
    </row>
    <row r="560" spans="1:35" ht="14.5" x14ac:dyDescent="0.35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7"/>
      <c r="AF560" s="7"/>
      <c r="AG560" s="7"/>
      <c r="AH560" s="7"/>
      <c r="AI560" s="7"/>
    </row>
    <row r="561" spans="1:35" ht="14.5" x14ac:dyDescent="0.35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7"/>
      <c r="AF561" s="7"/>
      <c r="AG561" s="7"/>
      <c r="AH561" s="7"/>
      <c r="AI561" s="7"/>
    </row>
    <row r="562" spans="1:35" ht="14.5" x14ac:dyDescent="0.35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7"/>
      <c r="AF562" s="7"/>
      <c r="AG562" s="7"/>
      <c r="AH562" s="7"/>
      <c r="AI562" s="7"/>
    </row>
    <row r="563" spans="1:35" ht="14.5" x14ac:dyDescent="0.35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7"/>
      <c r="AF563" s="7"/>
      <c r="AG563" s="7"/>
      <c r="AH563" s="7"/>
      <c r="AI563" s="7"/>
    </row>
    <row r="564" spans="1:35" ht="14.5" x14ac:dyDescent="0.35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7"/>
      <c r="AF564" s="7"/>
      <c r="AG564" s="7"/>
      <c r="AH564" s="7"/>
      <c r="AI564" s="7"/>
    </row>
    <row r="565" spans="1:35" ht="14.5" x14ac:dyDescent="0.3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7"/>
      <c r="AF565" s="7"/>
      <c r="AG565" s="7"/>
      <c r="AH565" s="7"/>
      <c r="AI565" s="7"/>
    </row>
    <row r="566" spans="1:35" ht="14.5" x14ac:dyDescent="0.35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7"/>
      <c r="AF566" s="7"/>
      <c r="AG566" s="7"/>
      <c r="AH566" s="7"/>
      <c r="AI566" s="7"/>
    </row>
    <row r="567" spans="1:35" ht="14.5" x14ac:dyDescent="0.35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7"/>
      <c r="AF567" s="7"/>
      <c r="AG567" s="7"/>
      <c r="AH567" s="7"/>
      <c r="AI567" s="7"/>
    </row>
    <row r="568" spans="1:35" ht="14.5" x14ac:dyDescent="0.35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7"/>
      <c r="AF568" s="7"/>
      <c r="AG568" s="7"/>
      <c r="AH568" s="7"/>
      <c r="AI568" s="7"/>
    </row>
    <row r="569" spans="1:35" ht="14.5" x14ac:dyDescent="0.35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7"/>
      <c r="AF569" s="7"/>
      <c r="AG569" s="7"/>
      <c r="AH569" s="7"/>
      <c r="AI569" s="7"/>
    </row>
    <row r="570" spans="1:35" ht="14.5" x14ac:dyDescent="0.35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7"/>
      <c r="AF570" s="7"/>
      <c r="AG570" s="7"/>
      <c r="AH570" s="7"/>
      <c r="AI570" s="7"/>
    </row>
    <row r="571" spans="1:35" ht="14.5" x14ac:dyDescent="0.35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7"/>
      <c r="AF571" s="7"/>
      <c r="AG571" s="7"/>
      <c r="AH571" s="7"/>
      <c r="AI571" s="7"/>
    </row>
    <row r="572" spans="1:35" ht="14.5" x14ac:dyDescent="0.35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7"/>
      <c r="AF572" s="7"/>
      <c r="AG572" s="7"/>
      <c r="AH572" s="7"/>
      <c r="AI572" s="7"/>
    </row>
    <row r="573" spans="1:35" ht="14.5" x14ac:dyDescent="0.35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7"/>
      <c r="AF573" s="7"/>
      <c r="AG573" s="7"/>
      <c r="AH573" s="7"/>
      <c r="AI573" s="7"/>
    </row>
    <row r="574" spans="1:35" ht="14.5" x14ac:dyDescent="0.35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7"/>
      <c r="AF574" s="7"/>
      <c r="AG574" s="7"/>
      <c r="AH574" s="7"/>
      <c r="AI574" s="7"/>
    </row>
    <row r="575" spans="1:35" ht="14.5" x14ac:dyDescent="0.3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7"/>
      <c r="AF575" s="7"/>
      <c r="AG575" s="7"/>
      <c r="AH575" s="7"/>
      <c r="AI575" s="7"/>
    </row>
    <row r="576" spans="1:35" ht="14.5" x14ac:dyDescent="0.35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7"/>
      <c r="AF576" s="7"/>
      <c r="AG576" s="7"/>
      <c r="AH576" s="7"/>
      <c r="AI576" s="7"/>
    </row>
    <row r="577" spans="1:35" ht="14.5" x14ac:dyDescent="0.35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7"/>
      <c r="AF577" s="7"/>
      <c r="AG577" s="7"/>
      <c r="AH577" s="7"/>
      <c r="AI577" s="7"/>
    </row>
    <row r="578" spans="1:35" ht="14.5" x14ac:dyDescent="0.35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7"/>
      <c r="AF578" s="7"/>
      <c r="AG578" s="7"/>
      <c r="AH578" s="7"/>
      <c r="AI578" s="7"/>
    </row>
    <row r="579" spans="1:35" ht="14.5" x14ac:dyDescent="0.35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7"/>
      <c r="AF579" s="7"/>
      <c r="AG579" s="7"/>
      <c r="AH579" s="7"/>
      <c r="AI579" s="7"/>
    </row>
    <row r="580" spans="1:35" ht="14.5" x14ac:dyDescent="0.35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7"/>
      <c r="AF580" s="7"/>
      <c r="AG580" s="7"/>
      <c r="AH580" s="7"/>
      <c r="AI580" s="7"/>
    </row>
    <row r="581" spans="1:35" ht="14.5" x14ac:dyDescent="0.35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7"/>
      <c r="AF581" s="7"/>
      <c r="AG581" s="7"/>
      <c r="AH581" s="7"/>
      <c r="AI581" s="7"/>
    </row>
    <row r="582" spans="1:35" ht="14.5" x14ac:dyDescent="0.35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7"/>
      <c r="AF582" s="7"/>
      <c r="AG582" s="7"/>
      <c r="AH582" s="7"/>
      <c r="AI582" s="7"/>
    </row>
    <row r="583" spans="1:35" ht="14.5" x14ac:dyDescent="0.35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7"/>
      <c r="AF583" s="7"/>
      <c r="AG583" s="7"/>
      <c r="AH583" s="7"/>
      <c r="AI583" s="7"/>
    </row>
    <row r="584" spans="1:35" ht="14.5" x14ac:dyDescent="0.35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7"/>
      <c r="AF584" s="7"/>
      <c r="AG584" s="7"/>
      <c r="AH584" s="7"/>
      <c r="AI584" s="7"/>
    </row>
    <row r="585" spans="1:35" ht="14.5" x14ac:dyDescent="0.3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7"/>
      <c r="AF585" s="7"/>
      <c r="AG585" s="7"/>
      <c r="AH585" s="7"/>
      <c r="AI585" s="7"/>
    </row>
    <row r="586" spans="1:35" ht="14.5" x14ac:dyDescent="0.35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7"/>
      <c r="AF586" s="7"/>
      <c r="AG586" s="7"/>
      <c r="AH586" s="7"/>
      <c r="AI586" s="7"/>
    </row>
    <row r="587" spans="1:35" ht="14.5" x14ac:dyDescent="0.35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7"/>
      <c r="AF587" s="7"/>
      <c r="AG587" s="7"/>
      <c r="AH587" s="7"/>
      <c r="AI587" s="7"/>
    </row>
    <row r="588" spans="1:35" ht="14.5" x14ac:dyDescent="0.35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7"/>
      <c r="AF588" s="7"/>
      <c r="AG588" s="7"/>
      <c r="AH588" s="7"/>
      <c r="AI588" s="7"/>
    </row>
    <row r="589" spans="1:35" ht="14.5" x14ac:dyDescent="0.35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7"/>
      <c r="AF589" s="7"/>
      <c r="AG589" s="7"/>
      <c r="AH589" s="7"/>
      <c r="AI589" s="7"/>
    </row>
    <row r="590" spans="1:35" ht="14.5" x14ac:dyDescent="0.35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7"/>
      <c r="AF590" s="7"/>
      <c r="AG590" s="7"/>
      <c r="AH590" s="7"/>
      <c r="AI590" s="7"/>
    </row>
    <row r="591" spans="1:35" ht="14.5" x14ac:dyDescent="0.35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7"/>
      <c r="AF591" s="7"/>
      <c r="AG591" s="7"/>
      <c r="AH591" s="7"/>
      <c r="AI591" s="7"/>
    </row>
    <row r="592" spans="1:35" ht="14.5" x14ac:dyDescent="0.3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7"/>
      <c r="AF592" s="7"/>
      <c r="AG592" s="7"/>
      <c r="AH592" s="7"/>
      <c r="AI592" s="7"/>
    </row>
    <row r="593" spans="1:35" ht="14.5" x14ac:dyDescent="0.35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7"/>
      <c r="AF593" s="7"/>
      <c r="AG593" s="7"/>
      <c r="AH593" s="7"/>
      <c r="AI593" s="7"/>
    </row>
    <row r="594" spans="1:35" ht="14.5" x14ac:dyDescent="0.35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7"/>
      <c r="AF594" s="7"/>
      <c r="AG594" s="7"/>
      <c r="AH594" s="7"/>
      <c r="AI594" s="7"/>
    </row>
    <row r="595" spans="1:35" ht="14.5" x14ac:dyDescent="0.3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7"/>
      <c r="AF595" s="7"/>
      <c r="AG595" s="7"/>
      <c r="AH595" s="7"/>
      <c r="AI595" s="7"/>
    </row>
    <row r="596" spans="1:35" ht="14.5" x14ac:dyDescent="0.35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7"/>
      <c r="AF596" s="7"/>
      <c r="AG596" s="7"/>
      <c r="AH596" s="7"/>
      <c r="AI596" s="7"/>
    </row>
    <row r="597" spans="1:35" ht="14.5" x14ac:dyDescent="0.35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7"/>
      <c r="AF597" s="7"/>
      <c r="AG597" s="7"/>
      <c r="AH597" s="7"/>
      <c r="AI597" s="7"/>
    </row>
    <row r="598" spans="1:35" ht="14.5" x14ac:dyDescent="0.35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7"/>
      <c r="AF598" s="7"/>
      <c r="AG598" s="7"/>
      <c r="AH598" s="7"/>
      <c r="AI598" s="7"/>
    </row>
    <row r="599" spans="1:35" ht="14.5" x14ac:dyDescent="0.35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7"/>
      <c r="AF599" s="7"/>
      <c r="AG599" s="7"/>
      <c r="AH599" s="7"/>
      <c r="AI599" s="7"/>
    </row>
    <row r="600" spans="1:35" ht="14.5" x14ac:dyDescent="0.35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7"/>
      <c r="AF600" s="7"/>
      <c r="AG600" s="7"/>
      <c r="AH600" s="7"/>
      <c r="AI600" s="7"/>
    </row>
    <row r="601" spans="1:35" ht="14.5" x14ac:dyDescent="0.35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7"/>
      <c r="AF601" s="7"/>
      <c r="AG601" s="7"/>
      <c r="AH601" s="7"/>
      <c r="AI601" s="7"/>
    </row>
    <row r="602" spans="1:35" ht="14.5" x14ac:dyDescent="0.35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7"/>
      <c r="AF602" s="7"/>
      <c r="AG602" s="7"/>
      <c r="AH602" s="7"/>
      <c r="AI602" s="7"/>
    </row>
    <row r="603" spans="1:35" ht="14.5" x14ac:dyDescent="0.3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7"/>
      <c r="AF603" s="7"/>
      <c r="AG603" s="7"/>
      <c r="AH603" s="7"/>
      <c r="AI603" s="7"/>
    </row>
    <row r="604" spans="1:35" ht="14.5" x14ac:dyDescent="0.35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7"/>
      <c r="AF604" s="7"/>
      <c r="AG604" s="7"/>
      <c r="AH604" s="7"/>
      <c r="AI604" s="7"/>
    </row>
    <row r="605" spans="1:35" ht="14.5" x14ac:dyDescent="0.3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7"/>
      <c r="AF605" s="7"/>
      <c r="AG605" s="7"/>
      <c r="AH605" s="7"/>
      <c r="AI605" s="7"/>
    </row>
    <row r="606" spans="1:35" ht="14.5" x14ac:dyDescent="0.35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7"/>
      <c r="AF606" s="7"/>
      <c r="AG606" s="7"/>
      <c r="AH606" s="7"/>
      <c r="AI606" s="7"/>
    </row>
    <row r="607" spans="1:35" ht="14.5" x14ac:dyDescent="0.35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7"/>
      <c r="AF607" s="7"/>
      <c r="AG607" s="7"/>
      <c r="AH607" s="7"/>
      <c r="AI607" s="7"/>
    </row>
    <row r="608" spans="1:35" ht="14.5" x14ac:dyDescent="0.35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7"/>
      <c r="AF608" s="7"/>
      <c r="AG608" s="7"/>
      <c r="AH608" s="7"/>
      <c r="AI608" s="7"/>
    </row>
    <row r="609" spans="1:35" ht="14.5" x14ac:dyDescent="0.35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7"/>
      <c r="AF609" s="7"/>
      <c r="AG609" s="7"/>
      <c r="AH609" s="7"/>
      <c r="AI609" s="7"/>
    </row>
    <row r="610" spans="1:35" ht="14.5" x14ac:dyDescent="0.35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7"/>
      <c r="AF610" s="7"/>
      <c r="AG610" s="7"/>
      <c r="AH610" s="7"/>
      <c r="AI610" s="7"/>
    </row>
    <row r="611" spans="1:35" ht="14.5" x14ac:dyDescent="0.35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7"/>
      <c r="AF611" s="7"/>
      <c r="AG611" s="7"/>
      <c r="AH611" s="7"/>
      <c r="AI611" s="7"/>
    </row>
    <row r="612" spans="1:35" ht="14.5" x14ac:dyDescent="0.3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7"/>
      <c r="AF612" s="7"/>
      <c r="AG612" s="7"/>
      <c r="AH612" s="7"/>
      <c r="AI612" s="7"/>
    </row>
    <row r="613" spans="1:35" ht="14.5" x14ac:dyDescent="0.35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7"/>
      <c r="AF613" s="7"/>
      <c r="AG613" s="7"/>
      <c r="AH613" s="7"/>
      <c r="AI613" s="7"/>
    </row>
    <row r="614" spans="1:35" ht="14.5" x14ac:dyDescent="0.35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7"/>
      <c r="AF614" s="7"/>
      <c r="AG614" s="7"/>
      <c r="AH614" s="7"/>
      <c r="AI614" s="7"/>
    </row>
    <row r="615" spans="1:35" ht="14.5" x14ac:dyDescent="0.3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7"/>
      <c r="AF615" s="7"/>
      <c r="AG615" s="7"/>
      <c r="AH615" s="7"/>
      <c r="AI615" s="7"/>
    </row>
    <row r="616" spans="1:35" ht="14.5" x14ac:dyDescent="0.35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7"/>
      <c r="AF616" s="7"/>
      <c r="AG616" s="7"/>
      <c r="AH616" s="7"/>
      <c r="AI616" s="7"/>
    </row>
    <row r="617" spans="1:35" ht="14.5" x14ac:dyDescent="0.35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7"/>
      <c r="AF617" s="7"/>
      <c r="AG617" s="7"/>
      <c r="AH617" s="7"/>
      <c r="AI617" s="7"/>
    </row>
    <row r="618" spans="1:35" ht="14.5" x14ac:dyDescent="0.35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7"/>
      <c r="AF618" s="7"/>
      <c r="AG618" s="7"/>
      <c r="AH618" s="7"/>
      <c r="AI618" s="7"/>
    </row>
    <row r="619" spans="1:35" ht="14.5" x14ac:dyDescent="0.35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7"/>
      <c r="AF619" s="7"/>
      <c r="AG619" s="7"/>
      <c r="AH619" s="7"/>
      <c r="AI619" s="7"/>
    </row>
    <row r="620" spans="1:35" ht="14.5" x14ac:dyDescent="0.35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7"/>
      <c r="AF620" s="7"/>
      <c r="AG620" s="7"/>
      <c r="AH620" s="7"/>
      <c r="AI620" s="7"/>
    </row>
    <row r="621" spans="1:35" ht="14.5" x14ac:dyDescent="0.35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7"/>
      <c r="AF621" s="7"/>
      <c r="AG621" s="7"/>
      <c r="AH621" s="7"/>
      <c r="AI621" s="7"/>
    </row>
    <row r="622" spans="1:35" ht="14.5" x14ac:dyDescent="0.35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7"/>
      <c r="AF622" s="7"/>
      <c r="AG622" s="7"/>
      <c r="AH622" s="7"/>
      <c r="AI622" s="7"/>
    </row>
    <row r="623" spans="1:35" ht="14.5" x14ac:dyDescent="0.35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7"/>
      <c r="AF623" s="7"/>
      <c r="AG623" s="7"/>
      <c r="AH623" s="7"/>
      <c r="AI623" s="7"/>
    </row>
    <row r="624" spans="1:35" ht="14.5" x14ac:dyDescent="0.35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7"/>
      <c r="AF624" s="7"/>
      <c r="AG624" s="7"/>
      <c r="AH624" s="7"/>
      <c r="AI624" s="7"/>
    </row>
    <row r="625" spans="1:35" ht="14.5" x14ac:dyDescent="0.3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7"/>
      <c r="AF625" s="7"/>
      <c r="AG625" s="7"/>
      <c r="AH625" s="7"/>
      <c r="AI625" s="7"/>
    </row>
    <row r="626" spans="1:35" ht="14.5" x14ac:dyDescent="0.35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7"/>
      <c r="AF626" s="7"/>
      <c r="AG626" s="7"/>
      <c r="AH626" s="7"/>
      <c r="AI626" s="7"/>
    </row>
    <row r="627" spans="1:35" ht="14.5" x14ac:dyDescent="0.35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7"/>
      <c r="AF627" s="7"/>
      <c r="AG627" s="7"/>
      <c r="AH627" s="7"/>
      <c r="AI627" s="7"/>
    </row>
    <row r="628" spans="1:35" ht="14.5" x14ac:dyDescent="0.35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7"/>
      <c r="AF628" s="7"/>
      <c r="AG628" s="7"/>
      <c r="AH628" s="7"/>
      <c r="AI628" s="7"/>
    </row>
    <row r="629" spans="1:35" ht="14.5" x14ac:dyDescent="0.35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7"/>
      <c r="AF629" s="7"/>
      <c r="AG629" s="7"/>
      <c r="AH629" s="7"/>
      <c r="AI629" s="7"/>
    </row>
    <row r="630" spans="1:35" ht="14.5" x14ac:dyDescent="0.35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7"/>
      <c r="AF630" s="7"/>
      <c r="AG630" s="7"/>
      <c r="AH630" s="7"/>
      <c r="AI630" s="7"/>
    </row>
    <row r="631" spans="1:35" ht="14.5" x14ac:dyDescent="0.35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7"/>
      <c r="AF631" s="7"/>
      <c r="AG631" s="7"/>
      <c r="AH631" s="7"/>
      <c r="AI631" s="7"/>
    </row>
    <row r="632" spans="1:35" ht="14.5" x14ac:dyDescent="0.35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7"/>
      <c r="AF632" s="7"/>
      <c r="AG632" s="7"/>
      <c r="AH632" s="7"/>
      <c r="AI632" s="7"/>
    </row>
    <row r="633" spans="1:35" ht="14.5" x14ac:dyDescent="0.35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7"/>
      <c r="AF633" s="7"/>
      <c r="AG633" s="7"/>
      <c r="AH633" s="7"/>
      <c r="AI633" s="7"/>
    </row>
    <row r="634" spans="1:35" ht="14.5" x14ac:dyDescent="0.35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7"/>
      <c r="AF634" s="7"/>
      <c r="AG634" s="7"/>
      <c r="AH634" s="7"/>
      <c r="AI634" s="7"/>
    </row>
    <row r="635" spans="1:35" ht="14.5" x14ac:dyDescent="0.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7"/>
      <c r="AF635" s="7"/>
      <c r="AG635" s="7"/>
      <c r="AH635" s="7"/>
      <c r="AI635" s="7"/>
    </row>
    <row r="636" spans="1:35" ht="14.5" x14ac:dyDescent="0.3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7"/>
      <c r="AF636" s="7"/>
      <c r="AG636" s="7"/>
      <c r="AH636" s="7"/>
      <c r="AI636" s="7"/>
    </row>
    <row r="637" spans="1:35" ht="14.5" x14ac:dyDescent="0.35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7"/>
      <c r="AF637" s="7"/>
      <c r="AG637" s="7"/>
      <c r="AH637" s="7"/>
      <c r="AI637" s="7"/>
    </row>
    <row r="638" spans="1:35" ht="14.5" x14ac:dyDescent="0.35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7"/>
      <c r="AF638" s="7"/>
      <c r="AG638" s="7"/>
      <c r="AH638" s="7"/>
      <c r="AI638" s="7"/>
    </row>
    <row r="639" spans="1:35" ht="14.5" x14ac:dyDescent="0.35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7"/>
      <c r="AF639" s="7"/>
      <c r="AG639" s="7"/>
      <c r="AH639" s="7"/>
      <c r="AI639" s="7"/>
    </row>
    <row r="640" spans="1:35" ht="14.5" x14ac:dyDescent="0.35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7"/>
      <c r="AF640" s="7"/>
      <c r="AG640" s="7"/>
      <c r="AH640" s="7"/>
      <c r="AI640" s="7"/>
    </row>
    <row r="641" spans="1:35" ht="14.5" x14ac:dyDescent="0.35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7"/>
      <c r="AF641" s="7"/>
      <c r="AG641" s="7"/>
      <c r="AH641" s="7"/>
      <c r="AI641" s="7"/>
    </row>
    <row r="642" spans="1:35" ht="14.5" x14ac:dyDescent="0.35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7"/>
      <c r="AF642" s="7"/>
      <c r="AG642" s="7"/>
      <c r="AH642" s="7"/>
      <c r="AI642" s="7"/>
    </row>
    <row r="643" spans="1:35" ht="14.5" x14ac:dyDescent="0.35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7"/>
      <c r="AF643" s="7"/>
      <c r="AG643" s="7"/>
      <c r="AH643" s="7"/>
      <c r="AI643" s="7"/>
    </row>
    <row r="644" spans="1:35" ht="14.5" x14ac:dyDescent="0.35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7"/>
      <c r="AF644" s="7"/>
      <c r="AG644" s="7"/>
      <c r="AH644" s="7"/>
      <c r="AI644" s="7"/>
    </row>
    <row r="645" spans="1:35" ht="14.5" x14ac:dyDescent="0.3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7"/>
      <c r="AF645" s="7"/>
      <c r="AG645" s="7"/>
      <c r="AH645" s="7"/>
      <c r="AI645" s="7"/>
    </row>
    <row r="646" spans="1:35" ht="14.5" x14ac:dyDescent="0.35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7"/>
      <c r="AF646" s="7"/>
      <c r="AG646" s="7"/>
      <c r="AH646" s="7"/>
      <c r="AI646" s="7"/>
    </row>
    <row r="647" spans="1:35" ht="14.5" x14ac:dyDescent="0.35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7"/>
      <c r="AF647" s="7"/>
      <c r="AG647" s="7"/>
      <c r="AH647" s="7"/>
      <c r="AI647" s="7"/>
    </row>
    <row r="648" spans="1:35" ht="14.5" x14ac:dyDescent="0.35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7"/>
      <c r="AF648" s="7"/>
      <c r="AG648" s="7"/>
      <c r="AH648" s="7"/>
      <c r="AI648" s="7"/>
    </row>
    <row r="649" spans="1:35" ht="14.5" x14ac:dyDescent="0.35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7"/>
      <c r="AF649" s="7"/>
      <c r="AG649" s="7"/>
      <c r="AH649" s="7"/>
      <c r="AI649" s="7"/>
    </row>
    <row r="650" spans="1:35" ht="14.5" x14ac:dyDescent="0.35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7"/>
      <c r="AF650" s="7"/>
      <c r="AG650" s="7"/>
      <c r="AH650" s="7"/>
      <c r="AI650" s="7"/>
    </row>
    <row r="651" spans="1:35" ht="14.5" x14ac:dyDescent="0.35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7"/>
      <c r="AF651" s="7"/>
      <c r="AG651" s="7"/>
      <c r="AH651" s="7"/>
      <c r="AI651" s="7"/>
    </row>
    <row r="652" spans="1:35" ht="14.5" x14ac:dyDescent="0.35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7"/>
      <c r="AF652" s="7"/>
      <c r="AG652" s="7"/>
      <c r="AH652" s="7"/>
      <c r="AI652" s="7"/>
    </row>
    <row r="653" spans="1:35" ht="14.5" x14ac:dyDescent="0.35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7"/>
      <c r="AF653" s="7"/>
      <c r="AG653" s="7"/>
      <c r="AH653" s="7"/>
      <c r="AI653" s="7"/>
    </row>
    <row r="654" spans="1:35" ht="14.5" x14ac:dyDescent="0.35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7"/>
      <c r="AF654" s="7"/>
      <c r="AG654" s="7"/>
      <c r="AH654" s="7"/>
      <c r="AI654" s="7"/>
    </row>
    <row r="655" spans="1:35" ht="14.5" x14ac:dyDescent="0.3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7"/>
      <c r="AF655" s="7"/>
      <c r="AG655" s="7"/>
      <c r="AH655" s="7"/>
      <c r="AI655" s="7"/>
    </row>
    <row r="656" spans="1:35" ht="14.5" x14ac:dyDescent="0.35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7"/>
      <c r="AF656" s="7"/>
      <c r="AG656" s="7"/>
      <c r="AH656" s="7"/>
      <c r="AI656" s="7"/>
    </row>
    <row r="657" spans="1:35" ht="14.5" x14ac:dyDescent="0.35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7"/>
      <c r="AF657" s="7"/>
      <c r="AG657" s="7"/>
      <c r="AH657" s="7"/>
      <c r="AI657" s="7"/>
    </row>
    <row r="658" spans="1:35" ht="14.5" x14ac:dyDescent="0.35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7"/>
      <c r="AF658" s="7"/>
      <c r="AG658" s="7"/>
      <c r="AH658" s="7"/>
      <c r="AI658" s="7"/>
    </row>
    <row r="659" spans="1:35" ht="14.5" x14ac:dyDescent="0.35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7"/>
      <c r="AF659" s="7"/>
      <c r="AG659" s="7"/>
      <c r="AH659" s="7"/>
      <c r="AI659" s="7"/>
    </row>
    <row r="660" spans="1:35" ht="14.5" x14ac:dyDescent="0.35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7"/>
      <c r="AF660" s="7"/>
      <c r="AG660" s="7"/>
      <c r="AH660" s="7"/>
      <c r="AI660" s="7"/>
    </row>
    <row r="661" spans="1:35" ht="14.5" x14ac:dyDescent="0.35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7"/>
      <c r="AF661" s="7"/>
      <c r="AG661" s="7"/>
      <c r="AH661" s="7"/>
      <c r="AI661" s="7"/>
    </row>
    <row r="662" spans="1:35" ht="14.5" x14ac:dyDescent="0.35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7"/>
      <c r="AF662" s="7"/>
      <c r="AG662" s="7"/>
      <c r="AH662" s="7"/>
      <c r="AI662" s="7"/>
    </row>
    <row r="663" spans="1:35" ht="14.5" x14ac:dyDescent="0.35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7"/>
      <c r="AF663" s="7"/>
      <c r="AG663" s="7"/>
      <c r="AH663" s="7"/>
      <c r="AI663" s="7"/>
    </row>
    <row r="664" spans="1:35" ht="14.5" x14ac:dyDescent="0.35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7"/>
      <c r="AF664" s="7"/>
      <c r="AG664" s="7"/>
      <c r="AH664" s="7"/>
      <c r="AI664" s="7"/>
    </row>
    <row r="665" spans="1:35" ht="14.5" x14ac:dyDescent="0.3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7"/>
      <c r="AF665" s="7"/>
      <c r="AG665" s="7"/>
      <c r="AH665" s="7"/>
      <c r="AI665" s="7"/>
    </row>
    <row r="666" spans="1:35" ht="14.5" x14ac:dyDescent="0.35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7"/>
      <c r="AF666" s="7"/>
      <c r="AG666" s="7"/>
      <c r="AH666" s="7"/>
      <c r="AI666" s="7"/>
    </row>
    <row r="667" spans="1:35" ht="14.5" x14ac:dyDescent="0.35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7"/>
      <c r="AF667" s="7"/>
      <c r="AG667" s="7"/>
      <c r="AH667" s="7"/>
      <c r="AI667" s="7"/>
    </row>
    <row r="668" spans="1:35" ht="14.5" x14ac:dyDescent="0.35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7"/>
      <c r="AF668" s="7"/>
      <c r="AG668" s="7"/>
      <c r="AH668" s="7"/>
      <c r="AI668" s="7"/>
    </row>
    <row r="669" spans="1:35" ht="14.5" x14ac:dyDescent="0.35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7"/>
      <c r="AF669" s="7"/>
      <c r="AG669" s="7"/>
      <c r="AH669" s="7"/>
      <c r="AI669" s="7"/>
    </row>
    <row r="670" spans="1:35" ht="14.5" x14ac:dyDescent="0.35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7"/>
      <c r="AF670" s="7"/>
      <c r="AG670" s="7"/>
      <c r="AH670" s="7"/>
      <c r="AI670" s="7"/>
    </row>
    <row r="671" spans="1:35" ht="14.5" x14ac:dyDescent="0.35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7"/>
      <c r="AF671" s="7"/>
      <c r="AG671" s="7"/>
      <c r="AH671" s="7"/>
      <c r="AI671" s="7"/>
    </row>
    <row r="672" spans="1:35" ht="14.5" x14ac:dyDescent="0.35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7"/>
      <c r="AF672" s="7"/>
      <c r="AG672" s="7"/>
      <c r="AH672" s="7"/>
      <c r="AI672" s="7"/>
    </row>
    <row r="673" spans="1:35" ht="14.5" x14ac:dyDescent="0.35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7"/>
      <c r="AF673" s="7"/>
      <c r="AG673" s="7"/>
      <c r="AH673" s="7"/>
      <c r="AI673" s="7"/>
    </row>
    <row r="674" spans="1:35" ht="14.5" x14ac:dyDescent="0.35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7"/>
      <c r="AF674" s="7"/>
      <c r="AG674" s="7"/>
      <c r="AH674" s="7"/>
      <c r="AI674" s="7"/>
    </row>
    <row r="675" spans="1:35" ht="14.5" x14ac:dyDescent="0.3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7"/>
      <c r="AF675" s="7"/>
      <c r="AG675" s="7"/>
      <c r="AH675" s="7"/>
      <c r="AI675" s="7"/>
    </row>
    <row r="676" spans="1:35" ht="14.5" x14ac:dyDescent="0.35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7"/>
      <c r="AF676" s="7"/>
      <c r="AG676" s="7"/>
      <c r="AH676" s="7"/>
      <c r="AI676" s="7"/>
    </row>
    <row r="677" spans="1:35" ht="14.5" x14ac:dyDescent="0.35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7"/>
      <c r="AF677" s="7"/>
      <c r="AG677" s="7"/>
      <c r="AH677" s="7"/>
      <c r="AI677" s="7"/>
    </row>
    <row r="678" spans="1:35" ht="14.5" x14ac:dyDescent="0.35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7"/>
      <c r="AF678" s="7"/>
      <c r="AG678" s="7"/>
      <c r="AH678" s="7"/>
      <c r="AI678" s="7"/>
    </row>
    <row r="679" spans="1:35" ht="14.5" x14ac:dyDescent="0.35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7"/>
      <c r="AF679" s="7"/>
      <c r="AG679" s="7"/>
      <c r="AH679" s="7"/>
      <c r="AI679" s="7"/>
    </row>
    <row r="680" spans="1:35" ht="14.5" x14ac:dyDescent="0.35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7"/>
      <c r="AF680" s="7"/>
      <c r="AG680" s="7"/>
      <c r="AH680" s="7"/>
      <c r="AI680" s="7"/>
    </row>
    <row r="681" spans="1:35" ht="14.5" x14ac:dyDescent="0.35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7"/>
      <c r="AF681" s="7"/>
      <c r="AG681" s="7"/>
      <c r="AH681" s="7"/>
      <c r="AI681" s="7"/>
    </row>
    <row r="682" spans="1:35" ht="14.5" x14ac:dyDescent="0.35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7"/>
      <c r="AF682" s="7"/>
      <c r="AG682" s="7"/>
      <c r="AH682" s="7"/>
      <c r="AI682" s="7"/>
    </row>
    <row r="683" spans="1:35" ht="14.5" x14ac:dyDescent="0.35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7"/>
      <c r="AF683" s="7"/>
      <c r="AG683" s="7"/>
      <c r="AH683" s="7"/>
      <c r="AI683" s="7"/>
    </row>
    <row r="684" spans="1:35" ht="14.5" x14ac:dyDescent="0.35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7"/>
      <c r="AF684" s="7"/>
      <c r="AG684" s="7"/>
      <c r="AH684" s="7"/>
      <c r="AI684" s="7"/>
    </row>
    <row r="685" spans="1:35" ht="14.5" x14ac:dyDescent="0.3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7"/>
      <c r="AF685" s="7"/>
      <c r="AG685" s="7"/>
      <c r="AH685" s="7"/>
      <c r="AI685" s="7"/>
    </row>
    <row r="686" spans="1:35" ht="14.5" x14ac:dyDescent="0.35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7"/>
      <c r="AF686" s="7"/>
      <c r="AG686" s="7"/>
      <c r="AH686" s="7"/>
      <c r="AI686" s="7"/>
    </row>
    <row r="687" spans="1:35" ht="14.5" x14ac:dyDescent="0.35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7"/>
      <c r="AF687" s="7"/>
      <c r="AG687" s="7"/>
      <c r="AH687" s="7"/>
      <c r="AI687" s="7"/>
    </row>
    <row r="688" spans="1:35" ht="14.5" x14ac:dyDescent="0.35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7"/>
      <c r="AF688" s="7"/>
      <c r="AG688" s="7"/>
      <c r="AH688" s="7"/>
      <c r="AI688" s="7"/>
    </row>
    <row r="689" spans="1:35" ht="14.5" x14ac:dyDescent="0.35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7"/>
      <c r="AF689" s="7"/>
      <c r="AG689" s="7"/>
      <c r="AH689" s="7"/>
      <c r="AI689" s="7"/>
    </row>
    <row r="690" spans="1:35" ht="14.5" x14ac:dyDescent="0.35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7"/>
      <c r="AF690" s="7"/>
      <c r="AG690" s="7"/>
      <c r="AH690" s="7"/>
      <c r="AI690" s="7"/>
    </row>
    <row r="691" spans="1:35" ht="14.5" x14ac:dyDescent="0.35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7"/>
      <c r="AF691" s="7"/>
      <c r="AG691" s="7"/>
      <c r="AH691" s="7"/>
      <c r="AI691" s="7"/>
    </row>
    <row r="692" spans="1:35" ht="14.5" x14ac:dyDescent="0.35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7"/>
      <c r="AF692" s="7"/>
      <c r="AG692" s="7"/>
      <c r="AH692" s="7"/>
      <c r="AI692" s="7"/>
    </row>
    <row r="693" spans="1:35" ht="14.5" x14ac:dyDescent="0.35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7"/>
      <c r="AF693" s="7"/>
      <c r="AG693" s="7"/>
      <c r="AH693" s="7"/>
      <c r="AI693" s="7"/>
    </row>
    <row r="694" spans="1:35" ht="14.5" x14ac:dyDescent="0.35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7"/>
      <c r="AF694" s="7"/>
      <c r="AG694" s="7"/>
      <c r="AH694" s="7"/>
      <c r="AI694" s="7"/>
    </row>
    <row r="695" spans="1:35" ht="14.5" x14ac:dyDescent="0.3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7"/>
      <c r="AF695" s="7"/>
      <c r="AG695" s="7"/>
      <c r="AH695" s="7"/>
      <c r="AI695" s="7"/>
    </row>
    <row r="696" spans="1:35" ht="14.5" x14ac:dyDescent="0.35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7"/>
      <c r="AF696" s="7"/>
      <c r="AG696" s="7"/>
      <c r="AH696" s="7"/>
      <c r="AI696" s="7"/>
    </row>
    <row r="697" spans="1:35" ht="14.5" x14ac:dyDescent="0.35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7"/>
      <c r="AF697" s="7"/>
      <c r="AG697" s="7"/>
      <c r="AH697" s="7"/>
      <c r="AI697" s="7"/>
    </row>
    <row r="698" spans="1:35" ht="14.5" x14ac:dyDescent="0.35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7"/>
      <c r="AF698" s="7"/>
      <c r="AG698" s="7"/>
      <c r="AH698" s="7"/>
      <c r="AI698" s="7"/>
    </row>
    <row r="699" spans="1:35" ht="14.5" x14ac:dyDescent="0.35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7"/>
      <c r="AF699" s="7"/>
      <c r="AG699" s="7"/>
      <c r="AH699" s="7"/>
      <c r="AI699" s="7"/>
    </row>
    <row r="700" spans="1:35" ht="14.5" x14ac:dyDescent="0.35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7"/>
      <c r="AF700" s="7"/>
      <c r="AG700" s="7"/>
      <c r="AH700" s="7"/>
      <c r="AI700" s="7"/>
    </row>
    <row r="701" spans="1:35" ht="14.5" x14ac:dyDescent="0.35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7"/>
      <c r="AF701" s="7"/>
      <c r="AG701" s="7"/>
      <c r="AH701" s="7"/>
      <c r="AI701" s="7"/>
    </row>
    <row r="702" spans="1:35" ht="14.5" x14ac:dyDescent="0.35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7"/>
      <c r="AF702" s="7"/>
      <c r="AG702" s="7"/>
      <c r="AH702" s="7"/>
      <c r="AI702" s="7"/>
    </row>
    <row r="703" spans="1:35" ht="14.5" x14ac:dyDescent="0.3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7"/>
      <c r="AF703" s="7"/>
      <c r="AG703" s="7"/>
      <c r="AH703" s="7"/>
      <c r="AI703" s="7"/>
    </row>
    <row r="704" spans="1:35" ht="14.5" x14ac:dyDescent="0.35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7"/>
      <c r="AF704" s="7"/>
      <c r="AG704" s="7"/>
      <c r="AH704" s="7"/>
      <c r="AI704" s="7"/>
    </row>
    <row r="705" spans="1:35" ht="14.5" x14ac:dyDescent="0.3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7"/>
      <c r="AF705" s="7"/>
      <c r="AG705" s="7"/>
      <c r="AH705" s="7"/>
      <c r="AI705" s="7"/>
    </row>
    <row r="706" spans="1:35" ht="14.5" x14ac:dyDescent="0.35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7"/>
      <c r="AF706" s="7"/>
      <c r="AG706" s="7"/>
      <c r="AH706" s="7"/>
      <c r="AI706" s="7"/>
    </row>
    <row r="707" spans="1:35" ht="14.5" x14ac:dyDescent="0.35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7"/>
      <c r="AF707" s="7"/>
      <c r="AG707" s="7"/>
      <c r="AH707" s="7"/>
      <c r="AI707" s="7"/>
    </row>
    <row r="708" spans="1:35" ht="14.5" x14ac:dyDescent="0.35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7"/>
      <c r="AF708" s="7"/>
      <c r="AG708" s="7"/>
      <c r="AH708" s="7"/>
      <c r="AI708" s="7"/>
    </row>
    <row r="709" spans="1:35" ht="14.5" x14ac:dyDescent="0.35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7"/>
      <c r="AF709" s="7"/>
      <c r="AG709" s="7"/>
      <c r="AH709" s="7"/>
      <c r="AI709" s="7"/>
    </row>
    <row r="710" spans="1:35" ht="14.5" x14ac:dyDescent="0.35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7"/>
      <c r="AF710" s="7"/>
      <c r="AG710" s="7"/>
      <c r="AH710" s="7"/>
      <c r="AI710" s="7"/>
    </row>
    <row r="711" spans="1:35" ht="14.5" x14ac:dyDescent="0.35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7"/>
      <c r="AF711" s="7"/>
      <c r="AG711" s="7"/>
      <c r="AH711" s="7"/>
      <c r="AI711" s="7"/>
    </row>
    <row r="712" spans="1:35" ht="14.5" x14ac:dyDescent="0.35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7"/>
      <c r="AF712" s="7"/>
      <c r="AG712" s="7"/>
      <c r="AH712" s="7"/>
      <c r="AI712" s="7"/>
    </row>
    <row r="713" spans="1:35" ht="14.5" x14ac:dyDescent="0.35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7"/>
      <c r="AF713" s="7"/>
      <c r="AG713" s="7"/>
      <c r="AH713" s="7"/>
      <c r="AI713" s="7"/>
    </row>
    <row r="714" spans="1:35" ht="14.5" x14ac:dyDescent="0.35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7"/>
      <c r="AF714" s="7"/>
      <c r="AG714" s="7"/>
      <c r="AH714" s="7"/>
      <c r="AI714" s="7"/>
    </row>
    <row r="715" spans="1:35" ht="14.5" x14ac:dyDescent="0.3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7"/>
      <c r="AF715" s="7"/>
      <c r="AG715" s="7"/>
      <c r="AH715" s="7"/>
      <c r="AI715" s="7"/>
    </row>
    <row r="716" spans="1:35" ht="14.5" x14ac:dyDescent="0.35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7"/>
      <c r="AF716" s="7"/>
      <c r="AG716" s="7"/>
      <c r="AH716" s="7"/>
      <c r="AI716" s="7"/>
    </row>
    <row r="717" spans="1:35" ht="14.5" x14ac:dyDescent="0.35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7"/>
      <c r="AF717" s="7"/>
      <c r="AG717" s="7"/>
      <c r="AH717" s="7"/>
      <c r="AI717" s="7"/>
    </row>
    <row r="718" spans="1:35" ht="14.5" x14ac:dyDescent="0.35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7"/>
      <c r="AF718" s="7"/>
      <c r="AG718" s="7"/>
      <c r="AH718" s="7"/>
      <c r="AI718" s="7"/>
    </row>
    <row r="719" spans="1:35" ht="14.5" x14ac:dyDescent="0.35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7"/>
      <c r="AF719" s="7"/>
      <c r="AG719" s="7"/>
      <c r="AH719" s="7"/>
      <c r="AI719" s="7"/>
    </row>
    <row r="720" spans="1:35" ht="14.5" x14ac:dyDescent="0.35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7"/>
      <c r="AF720" s="7"/>
      <c r="AG720" s="7"/>
      <c r="AH720" s="7"/>
      <c r="AI720" s="7"/>
    </row>
    <row r="721" spans="1:35" ht="14.5" x14ac:dyDescent="0.35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7"/>
      <c r="AF721" s="7"/>
      <c r="AG721" s="7"/>
      <c r="AH721" s="7"/>
      <c r="AI721" s="7"/>
    </row>
    <row r="722" spans="1:35" ht="14.5" x14ac:dyDescent="0.35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7"/>
      <c r="AF722" s="7"/>
      <c r="AG722" s="7"/>
      <c r="AH722" s="7"/>
      <c r="AI722" s="7"/>
    </row>
    <row r="723" spans="1:35" ht="14.5" x14ac:dyDescent="0.35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7"/>
      <c r="AF723" s="7"/>
      <c r="AG723" s="7"/>
      <c r="AH723" s="7"/>
      <c r="AI723" s="7"/>
    </row>
    <row r="724" spans="1:35" ht="14.5" x14ac:dyDescent="0.35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7"/>
      <c r="AF724" s="7"/>
      <c r="AG724" s="7"/>
      <c r="AH724" s="7"/>
      <c r="AI724" s="7"/>
    </row>
    <row r="725" spans="1:35" ht="14.5" x14ac:dyDescent="0.3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7"/>
      <c r="AF725" s="7"/>
      <c r="AG725" s="7"/>
      <c r="AH725" s="7"/>
      <c r="AI725" s="7"/>
    </row>
    <row r="726" spans="1:35" ht="14.5" x14ac:dyDescent="0.35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7"/>
      <c r="AF726" s="7"/>
      <c r="AG726" s="7"/>
      <c r="AH726" s="7"/>
      <c r="AI726" s="7"/>
    </row>
    <row r="727" spans="1:35" ht="14.5" x14ac:dyDescent="0.35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7"/>
      <c r="AF727" s="7"/>
      <c r="AG727" s="7"/>
      <c r="AH727" s="7"/>
      <c r="AI727" s="7"/>
    </row>
    <row r="728" spans="1:35" ht="14.5" x14ac:dyDescent="0.35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7"/>
      <c r="AF728" s="7"/>
      <c r="AG728" s="7"/>
      <c r="AH728" s="7"/>
      <c r="AI728" s="7"/>
    </row>
    <row r="729" spans="1:35" ht="14.5" x14ac:dyDescent="0.35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7"/>
      <c r="AF729" s="7"/>
      <c r="AG729" s="7"/>
      <c r="AH729" s="7"/>
      <c r="AI729" s="7"/>
    </row>
    <row r="730" spans="1:35" ht="14.5" x14ac:dyDescent="0.35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7"/>
      <c r="AF730" s="7"/>
      <c r="AG730" s="7"/>
      <c r="AH730" s="7"/>
      <c r="AI730" s="7"/>
    </row>
    <row r="731" spans="1:35" ht="14.5" x14ac:dyDescent="0.35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7"/>
      <c r="AF731" s="7"/>
      <c r="AG731" s="7"/>
      <c r="AH731" s="7"/>
      <c r="AI731" s="7"/>
    </row>
    <row r="732" spans="1:35" ht="14.5" x14ac:dyDescent="0.35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7"/>
      <c r="AF732" s="7"/>
      <c r="AG732" s="7"/>
      <c r="AH732" s="7"/>
      <c r="AI732" s="7"/>
    </row>
    <row r="733" spans="1:35" ht="14.5" x14ac:dyDescent="0.35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7"/>
      <c r="AF733" s="7"/>
      <c r="AG733" s="7"/>
      <c r="AH733" s="7"/>
      <c r="AI733" s="7"/>
    </row>
    <row r="734" spans="1:35" ht="14.5" x14ac:dyDescent="0.35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7"/>
      <c r="AF734" s="7"/>
      <c r="AG734" s="7"/>
      <c r="AH734" s="7"/>
      <c r="AI734" s="7"/>
    </row>
    <row r="735" spans="1:35" ht="14.5" x14ac:dyDescent="0.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7"/>
      <c r="AF735" s="7"/>
      <c r="AG735" s="7"/>
      <c r="AH735" s="7"/>
      <c r="AI735" s="7"/>
    </row>
    <row r="736" spans="1:35" ht="14.5" x14ac:dyDescent="0.35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7"/>
      <c r="AF736" s="7"/>
      <c r="AG736" s="7"/>
      <c r="AH736" s="7"/>
      <c r="AI736" s="7"/>
    </row>
    <row r="737" spans="1:35" ht="14.5" x14ac:dyDescent="0.35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7"/>
      <c r="AF737" s="7"/>
      <c r="AG737" s="7"/>
      <c r="AH737" s="7"/>
      <c r="AI737" s="7"/>
    </row>
    <row r="738" spans="1:35" ht="14.5" x14ac:dyDescent="0.35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7"/>
      <c r="AF738" s="7"/>
      <c r="AG738" s="7"/>
      <c r="AH738" s="7"/>
      <c r="AI738" s="7"/>
    </row>
    <row r="739" spans="1:35" ht="14.5" x14ac:dyDescent="0.35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7"/>
      <c r="AF739" s="7"/>
      <c r="AG739" s="7"/>
      <c r="AH739" s="7"/>
      <c r="AI739" s="7"/>
    </row>
    <row r="740" spans="1:35" ht="14.5" x14ac:dyDescent="0.35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7"/>
      <c r="AF740" s="7"/>
      <c r="AG740" s="7"/>
      <c r="AH740" s="7"/>
      <c r="AI740" s="7"/>
    </row>
    <row r="741" spans="1:35" ht="14.5" x14ac:dyDescent="0.35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7"/>
      <c r="AF741" s="7"/>
      <c r="AG741" s="7"/>
      <c r="AH741" s="7"/>
      <c r="AI741" s="7"/>
    </row>
    <row r="742" spans="1:35" ht="14.5" x14ac:dyDescent="0.35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7"/>
      <c r="AF742" s="7"/>
      <c r="AG742" s="7"/>
      <c r="AH742" s="7"/>
      <c r="AI742" s="7"/>
    </row>
    <row r="743" spans="1:35" ht="14.5" x14ac:dyDescent="0.35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7"/>
      <c r="AF743" s="7"/>
      <c r="AG743" s="7"/>
      <c r="AH743" s="7"/>
      <c r="AI743" s="7"/>
    </row>
    <row r="744" spans="1:35" ht="14.5" x14ac:dyDescent="0.35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7"/>
      <c r="AF744" s="7"/>
      <c r="AG744" s="7"/>
      <c r="AH744" s="7"/>
      <c r="AI744" s="7"/>
    </row>
    <row r="745" spans="1:35" ht="14.5" x14ac:dyDescent="0.3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7"/>
      <c r="AF745" s="7"/>
      <c r="AG745" s="7"/>
      <c r="AH745" s="7"/>
      <c r="AI745" s="7"/>
    </row>
    <row r="746" spans="1:35" ht="14.5" x14ac:dyDescent="0.35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7"/>
      <c r="AF746" s="7"/>
      <c r="AG746" s="7"/>
      <c r="AH746" s="7"/>
      <c r="AI746" s="7"/>
    </row>
    <row r="747" spans="1:35" ht="14.5" x14ac:dyDescent="0.35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7"/>
      <c r="AF747" s="7"/>
      <c r="AG747" s="7"/>
      <c r="AH747" s="7"/>
      <c r="AI747" s="7"/>
    </row>
    <row r="748" spans="1:35" ht="14.5" x14ac:dyDescent="0.35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7"/>
      <c r="AF748" s="7"/>
      <c r="AG748" s="7"/>
      <c r="AH748" s="7"/>
      <c r="AI748" s="7"/>
    </row>
    <row r="749" spans="1:35" ht="14.5" x14ac:dyDescent="0.35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7"/>
      <c r="AF749" s="7"/>
      <c r="AG749" s="7"/>
      <c r="AH749" s="7"/>
      <c r="AI749" s="7"/>
    </row>
    <row r="750" spans="1:35" ht="14.5" x14ac:dyDescent="0.35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7"/>
      <c r="AF750" s="7"/>
      <c r="AG750" s="7"/>
      <c r="AH750" s="7"/>
      <c r="AI750" s="7"/>
    </row>
    <row r="751" spans="1:35" ht="14.5" x14ac:dyDescent="0.35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7"/>
      <c r="AF751" s="7"/>
      <c r="AG751" s="7"/>
      <c r="AH751" s="7"/>
      <c r="AI751" s="7"/>
    </row>
    <row r="752" spans="1:35" ht="14.5" x14ac:dyDescent="0.35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7"/>
      <c r="AF752" s="7"/>
      <c r="AG752" s="7"/>
      <c r="AH752" s="7"/>
      <c r="AI752" s="7"/>
    </row>
    <row r="753" spans="1:35" ht="14.5" x14ac:dyDescent="0.35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7"/>
      <c r="AF753" s="7"/>
      <c r="AG753" s="7"/>
      <c r="AH753" s="7"/>
      <c r="AI753" s="7"/>
    </row>
    <row r="754" spans="1:35" ht="14.5" x14ac:dyDescent="0.35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7"/>
      <c r="AF754" s="7"/>
      <c r="AG754" s="7"/>
      <c r="AH754" s="7"/>
      <c r="AI754" s="7"/>
    </row>
    <row r="755" spans="1:35" ht="14.5" x14ac:dyDescent="0.3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7"/>
      <c r="AF755" s="7"/>
      <c r="AG755" s="7"/>
      <c r="AH755" s="7"/>
      <c r="AI755" s="7"/>
    </row>
    <row r="756" spans="1:35" ht="14.5" x14ac:dyDescent="0.35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7"/>
      <c r="AF756" s="7"/>
      <c r="AG756" s="7"/>
      <c r="AH756" s="7"/>
      <c r="AI756" s="7"/>
    </row>
    <row r="757" spans="1:35" ht="14.5" x14ac:dyDescent="0.35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7"/>
      <c r="AF757" s="7"/>
      <c r="AG757" s="7"/>
      <c r="AH757" s="7"/>
      <c r="AI757" s="7"/>
    </row>
    <row r="758" spans="1:35" ht="14.5" x14ac:dyDescent="0.35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7"/>
      <c r="AF758" s="7"/>
      <c r="AG758" s="7"/>
      <c r="AH758" s="7"/>
      <c r="AI758" s="7"/>
    </row>
    <row r="759" spans="1:35" ht="14.5" x14ac:dyDescent="0.35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7"/>
      <c r="AF759" s="7"/>
      <c r="AG759" s="7"/>
      <c r="AH759" s="7"/>
      <c r="AI759" s="7"/>
    </row>
    <row r="760" spans="1:35" ht="14.5" x14ac:dyDescent="0.35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7"/>
      <c r="AF760" s="7"/>
      <c r="AG760" s="7"/>
      <c r="AH760" s="7"/>
      <c r="AI760" s="7"/>
    </row>
    <row r="761" spans="1:35" ht="14.5" x14ac:dyDescent="0.35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7"/>
      <c r="AF761" s="7"/>
      <c r="AG761" s="7"/>
      <c r="AH761" s="7"/>
      <c r="AI761" s="7"/>
    </row>
    <row r="762" spans="1:35" ht="14.5" x14ac:dyDescent="0.35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7"/>
      <c r="AF762" s="7"/>
      <c r="AG762" s="7"/>
      <c r="AH762" s="7"/>
      <c r="AI762" s="7"/>
    </row>
    <row r="763" spans="1:35" ht="14.5" x14ac:dyDescent="0.35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7"/>
      <c r="AF763" s="7"/>
      <c r="AG763" s="7"/>
      <c r="AH763" s="7"/>
      <c r="AI763" s="7"/>
    </row>
    <row r="764" spans="1:35" ht="14.5" x14ac:dyDescent="0.35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7"/>
      <c r="AF764" s="7"/>
      <c r="AG764" s="7"/>
      <c r="AH764" s="7"/>
      <c r="AI764" s="7"/>
    </row>
    <row r="765" spans="1:35" ht="14.5" x14ac:dyDescent="0.3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7"/>
      <c r="AF765" s="7"/>
      <c r="AG765" s="7"/>
      <c r="AH765" s="7"/>
      <c r="AI765" s="7"/>
    </row>
    <row r="766" spans="1:35" ht="14.5" x14ac:dyDescent="0.35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7"/>
      <c r="AF766" s="7"/>
      <c r="AG766" s="7"/>
      <c r="AH766" s="7"/>
      <c r="AI766" s="7"/>
    </row>
    <row r="767" spans="1:35" ht="14.5" x14ac:dyDescent="0.35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7"/>
      <c r="AF767" s="7"/>
      <c r="AG767" s="7"/>
      <c r="AH767" s="7"/>
      <c r="AI767" s="7"/>
    </row>
    <row r="768" spans="1:35" ht="14.5" x14ac:dyDescent="0.35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7"/>
      <c r="AF768" s="7"/>
      <c r="AG768" s="7"/>
      <c r="AH768" s="7"/>
      <c r="AI768" s="7"/>
    </row>
    <row r="769" spans="1:35" ht="14.5" x14ac:dyDescent="0.35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7"/>
      <c r="AF769" s="7"/>
      <c r="AG769" s="7"/>
      <c r="AH769" s="7"/>
      <c r="AI769" s="7"/>
    </row>
    <row r="770" spans="1:35" ht="14.5" x14ac:dyDescent="0.35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7"/>
      <c r="AF770" s="7"/>
      <c r="AG770" s="7"/>
      <c r="AH770" s="7"/>
      <c r="AI770" s="7"/>
    </row>
    <row r="771" spans="1:35" ht="14.5" x14ac:dyDescent="0.35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7"/>
      <c r="AF771" s="7"/>
      <c r="AG771" s="7"/>
      <c r="AH771" s="7"/>
      <c r="AI771" s="7"/>
    </row>
    <row r="772" spans="1:35" ht="14.5" x14ac:dyDescent="0.35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7"/>
      <c r="AF772" s="7"/>
      <c r="AG772" s="7"/>
      <c r="AH772" s="7"/>
      <c r="AI772" s="7"/>
    </row>
    <row r="773" spans="1:35" ht="14.5" x14ac:dyDescent="0.35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7"/>
      <c r="AF773" s="7"/>
      <c r="AG773" s="7"/>
      <c r="AH773" s="7"/>
      <c r="AI773" s="7"/>
    </row>
    <row r="774" spans="1:35" ht="14.5" x14ac:dyDescent="0.35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7"/>
      <c r="AF774" s="7"/>
      <c r="AG774" s="7"/>
      <c r="AH774" s="7"/>
      <c r="AI774" s="7"/>
    </row>
    <row r="775" spans="1:35" ht="14.5" x14ac:dyDescent="0.3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7"/>
      <c r="AF775" s="7"/>
      <c r="AG775" s="7"/>
      <c r="AH775" s="7"/>
      <c r="AI775" s="7"/>
    </row>
    <row r="776" spans="1:35" ht="14.5" x14ac:dyDescent="0.35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7"/>
      <c r="AF776" s="7"/>
      <c r="AG776" s="7"/>
      <c r="AH776" s="7"/>
      <c r="AI776" s="7"/>
    </row>
    <row r="777" spans="1:35" ht="14.5" x14ac:dyDescent="0.35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7"/>
      <c r="AF777" s="7"/>
      <c r="AG777" s="7"/>
      <c r="AH777" s="7"/>
      <c r="AI777" s="7"/>
    </row>
    <row r="778" spans="1:35" ht="14.5" x14ac:dyDescent="0.35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7"/>
      <c r="AF778" s="7"/>
      <c r="AG778" s="7"/>
      <c r="AH778" s="7"/>
      <c r="AI778" s="7"/>
    </row>
    <row r="779" spans="1:35" ht="14.5" x14ac:dyDescent="0.35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7"/>
      <c r="AF779" s="7"/>
      <c r="AG779" s="7"/>
      <c r="AH779" s="7"/>
      <c r="AI779" s="7"/>
    </row>
    <row r="780" spans="1:35" ht="14.5" x14ac:dyDescent="0.35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7"/>
      <c r="AF780" s="7"/>
      <c r="AG780" s="7"/>
      <c r="AH780" s="7"/>
      <c r="AI780" s="7"/>
    </row>
    <row r="781" spans="1:35" ht="14.5" x14ac:dyDescent="0.35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7"/>
      <c r="AF781" s="7"/>
      <c r="AG781" s="7"/>
      <c r="AH781" s="7"/>
      <c r="AI781" s="7"/>
    </row>
    <row r="782" spans="1:35" ht="14.5" x14ac:dyDescent="0.35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7"/>
      <c r="AF782" s="7"/>
      <c r="AG782" s="7"/>
      <c r="AH782" s="7"/>
      <c r="AI782" s="7"/>
    </row>
    <row r="783" spans="1:35" ht="14.5" x14ac:dyDescent="0.35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7"/>
      <c r="AF783" s="7"/>
      <c r="AG783" s="7"/>
      <c r="AH783" s="7"/>
      <c r="AI783" s="7"/>
    </row>
    <row r="784" spans="1:35" ht="14.5" x14ac:dyDescent="0.35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7"/>
      <c r="AF784" s="7"/>
      <c r="AG784" s="7"/>
      <c r="AH784" s="7"/>
      <c r="AI784" s="7"/>
    </row>
    <row r="785" spans="1:35" ht="14.5" x14ac:dyDescent="0.3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7"/>
      <c r="AF785" s="7"/>
      <c r="AG785" s="7"/>
      <c r="AH785" s="7"/>
      <c r="AI785" s="7"/>
    </row>
    <row r="786" spans="1:35" ht="14.5" x14ac:dyDescent="0.35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7"/>
      <c r="AF786" s="7"/>
      <c r="AG786" s="7"/>
      <c r="AH786" s="7"/>
      <c r="AI786" s="7"/>
    </row>
    <row r="787" spans="1:35" ht="14.5" x14ac:dyDescent="0.35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7"/>
      <c r="AF787" s="7"/>
      <c r="AG787" s="7"/>
      <c r="AH787" s="7"/>
      <c r="AI787" s="7"/>
    </row>
    <row r="788" spans="1:35" ht="14.5" x14ac:dyDescent="0.35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7"/>
      <c r="AF788" s="7"/>
      <c r="AG788" s="7"/>
      <c r="AH788" s="7"/>
      <c r="AI788" s="7"/>
    </row>
    <row r="789" spans="1:35" ht="14.5" x14ac:dyDescent="0.35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7"/>
      <c r="AF789" s="7"/>
      <c r="AG789" s="7"/>
      <c r="AH789" s="7"/>
      <c r="AI789" s="7"/>
    </row>
    <row r="790" spans="1:35" ht="14.5" x14ac:dyDescent="0.35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7"/>
      <c r="AF790" s="7"/>
      <c r="AG790" s="7"/>
      <c r="AH790" s="7"/>
      <c r="AI790" s="7"/>
    </row>
    <row r="791" spans="1:35" ht="14.5" x14ac:dyDescent="0.35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7"/>
      <c r="AF791" s="7"/>
      <c r="AG791" s="7"/>
      <c r="AH791" s="7"/>
      <c r="AI791" s="7"/>
    </row>
    <row r="792" spans="1:35" ht="14.5" x14ac:dyDescent="0.35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7"/>
      <c r="AF792" s="7"/>
      <c r="AG792" s="7"/>
      <c r="AH792" s="7"/>
      <c r="AI792" s="7"/>
    </row>
    <row r="793" spans="1:35" ht="14.5" x14ac:dyDescent="0.35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7"/>
      <c r="AF793" s="7"/>
      <c r="AG793" s="7"/>
      <c r="AH793" s="7"/>
      <c r="AI793" s="7"/>
    </row>
    <row r="794" spans="1:35" ht="14.5" x14ac:dyDescent="0.35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7"/>
      <c r="AF794" s="7"/>
      <c r="AG794" s="7"/>
      <c r="AH794" s="7"/>
      <c r="AI794" s="7"/>
    </row>
    <row r="795" spans="1:35" ht="14.5" x14ac:dyDescent="0.3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7"/>
      <c r="AF795" s="7"/>
      <c r="AG795" s="7"/>
      <c r="AH795" s="7"/>
      <c r="AI795" s="7"/>
    </row>
    <row r="796" spans="1:35" ht="14.5" x14ac:dyDescent="0.35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7"/>
      <c r="AF796" s="7"/>
      <c r="AG796" s="7"/>
      <c r="AH796" s="7"/>
      <c r="AI796" s="7"/>
    </row>
    <row r="797" spans="1:35" ht="14.5" x14ac:dyDescent="0.35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7"/>
      <c r="AF797" s="7"/>
      <c r="AG797" s="7"/>
      <c r="AH797" s="7"/>
      <c r="AI797" s="7"/>
    </row>
    <row r="798" spans="1:35" ht="14.5" x14ac:dyDescent="0.35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7"/>
      <c r="AF798" s="7"/>
      <c r="AG798" s="7"/>
      <c r="AH798" s="7"/>
      <c r="AI798" s="7"/>
    </row>
    <row r="799" spans="1:35" ht="14.5" x14ac:dyDescent="0.35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7"/>
      <c r="AF799" s="7"/>
      <c r="AG799" s="7"/>
      <c r="AH799" s="7"/>
      <c r="AI799" s="7"/>
    </row>
    <row r="800" spans="1:35" ht="14.5" x14ac:dyDescent="0.3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7"/>
      <c r="AF800" s="7"/>
      <c r="AG800" s="7"/>
      <c r="AH800" s="7"/>
      <c r="AI800" s="7"/>
    </row>
    <row r="801" spans="1:35" ht="14.5" x14ac:dyDescent="0.35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7"/>
      <c r="AF801" s="7"/>
      <c r="AG801" s="7"/>
      <c r="AH801" s="7"/>
      <c r="AI801" s="7"/>
    </row>
    <row r="802" spans="1:35" ht="14.5" x14ac:dyDescent="0.35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7"/>
      <c r="AF802" s="7"/>
      <c r="AG802" s="7"/>
      <c r="AH802" s="7"/>
      <c r="AI802" s="7"/>
    </row>
    <row r="803" spans="1:35" ht="14.5" x14ac:dyDescent="0.35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7"/>
      <c r="AF803" s="7"/>
      <c r="AG803" s="7"/>
      <c r="AH803" s="7"/>
      <c r="AI803" s="7"/>
    </row>
    <row r="804" spans="1:35" ht="14.5" x14ac:dyDescent="0.35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7"/>
      <c r="AF804" s="7"/>
      <c r="AG804" s="7"/>
      <c r="AH804" s="7"/>
      <c r="AI804" s="7"/>
    </row>
    <row r="805" spans="1:35" ht="14.5" x14ac:dyDescent="0.3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7"/>
      <c r="AF805" s="7"/>
      <c r="AG805" s="7"/>
      <c r="AH805" s="7"/>
      <c r="AI805" s="7"/>
    </row>
    <row r="806" spans="1:35" ht="14.5" x14ac:dyDescent="0.35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7"/>
      <c r="AF806" s="7"/>
      <c r="AG806" s="7"/>
      <c r="AH806" s="7"/>
      <c r="AI806" s="7"/>
    </row>
    <row r="807" spans="1:35" ht="14.5" x14ac:dyDescent="0.3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7"/>
      <c r="AF807" s="7"/>
      <c r="AG807" s="7"/>
      <c r="AH807" s="7"/>
      <c r="AI807" s="7"/>
    </row>
    <row r="808" spans="1:35" ht="14.5" x14ac:dyDescent="0.35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7"/>
      <c r="AF808" s="7"/>
      <c r="AG808" s="7"/>
      <c r="AH808" s="7"/>
      <c r="AI808" s="7"/>
    </row>
    <row r="809" spans="1:35" ht="14.5" x14ac:dyDescent="0.35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7"/>
      <c r="AF809" s="7"/>
      <c r="AG809" s="7"/>
      <c r="AH809" s="7"/>
      <c r="AI809" s="7"/>
    </row>
    <row r="810" spans="1:35" ht="14.5" x14ac:dyDescent="0.35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7"/>
      <c r="AF810" s="7"/>
      <c r="AG810" s="7"/>
      <c r="AH810" s="7"/>
      <c r="AI810" s="7"/>
    </row>
    <row r="811" spans="1:35" ht="14.5" x14ac:dyDescent="0.3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7"/>
      <c r="AF811" s="7"/>
      <c r="AG811" s="7"/>
      <c r="AH811" s="7"/>
      <c r="AI811" s="7"/>
    </row>
    <row r="812" spans="1:35" ht="14.5" x14ac:dyDescent="0.35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7"/>
      <c r="AF812" s="7"/>
      <c r="AG812" s="7"/>
      <c r="AH812" s="7"/>
      <c r="AI812" s="7"/>
    </row>
    <row r="813" spans="1:35" ht="14.5" x14ac:dyDescent="0.35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7"/>
      <c r="AF813" s="7"/>
      <c r="AG813" s="7"/>
      <c r="AH813" s="7"/>
      <c r="AI813" s="7"/>
    </row>
    <row r="814" spans="1:35" ht="14.5" x14ac:dyDescent="0.35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7"/>
      <c r="AF814" s="7"/>
      <c r="AG814" s="7"/>
      <c r="AH814" s="7"/>
      <c r="AI814" s="7"/>
    </row>
    <row r="815" spans="1:35" ht="14.5" x14ac:dyDescent="0.3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7"/>
      <c r="AF815" s="7"/>
      <c r="AG815" s="7"/>
      <c r="AH815" s="7"/>
      <c r="AI815" s="7"/>
    </row>
    <row r="816" spans="1:35" ht="14.5" x14ac:dyDescent="0.35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7"/>
      <c r="AF816" s="7"/>
      <c r="AG816" s="7"/>
      <c r="AH816" s="7"/>
      <c r="AI816" s="7"/>
    </row>
    <row r="817" spans="1:35" ht="14.5" x14ac:dyDescent="0.35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7"/>
      <c r="AF817" s="7"/>
      <c r="AG817" s="7"/>
      <c r="AH817" s="7"/>
      <c r="AI817" s="7"/>
    </row>
    <row r="818" spans="1:35" ht="14.5" x14ac:dyDescent="0.35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7"/>
      <c r="AF818" s="7"/>
      <c r="AG818" s="7"/>
      <c r="AH818" s="7"/>
      <c r="AI818" s="7"/>
    </row>
    <row r="819" spans="1:35" ht="14.5" x14ac:dyDescent="0.35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7"/>
      <c r="AF819" s="7"/>
      <c r="AG819" s="7"/>
      <c r="AH819" s="7"/>
      <c r="AI819" s="7"/>
    </row>
    <row r="820" spans="1:35" ht="14.5" x14ac:dyDescent="0.35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7"/>
      <c r="AF820" s="7"/>
      <c r="AG820" s="7"/>
      <c r="AH820" s="7"/>
      <c r="AI820" s="7"/>
    </row>
    <row r="821" spans="1:35" ht="14.5" x14ac:dyDescent="0.35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7"/>
      <c r="AF821" s="7"/>
      <c r="AG821" s="7"/>
      <c r="AH821" s="7"/>
      <c r="AI821" s="7"/>
    </row>
    <row r="822" spans="1:35" ht="14.5" x14ac:dyDescent="0.35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7"/>
      <c r="AF822" s="7"/>
      <c r="AG822" s="7"/>
      <c r="AH822" s="7"/>
      <c r="AI822" s="7"/>
    </row>
    <row r="823" spans="1:35" ht="14.5" x14ac:dyDescent="0.35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7"/>
      <c r="AF823" s="7"/>
      <c r="AG823" s="7"/>
      <c r="AH823" s="7"/>
      <c r="AI823" s="7"/>
    </row>
    <row r="824" spans="1:35" ht="14.5" x14ac:dyDescent="0.35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7"/>
      <c r="AF824" s="7"/>
      <c r="AG824" s="7"/>
      <c r="AH824" s="7"/>
      <c r="AI824" s="7"/>
    </row>
    <row r="825" spans="1:35" ht="14.5" x14ac:dyDescent="0.3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7"/>
      <c r="AF825" s="7"/>
      <c r="AG825" s="7"/>
      <c r="AH825" s="7"/>
      <c r="AI825" s="7"/>
    </row>
    <row r="826" spans="1:35" ht="14.5" x14ac:dyDescent="0.35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7"/>
      <c r="AF826" s="7"/>
      <c r="AG826" s="7"/>
      <c r="AH826" s="7"/>
      <c r="AI826" s="7"/>
    </row>
    <row r="827" spans="1:35" ht="14.5" x14ac:dyDescent="0.35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7"/>
      <c r="AF827" s="7"/>
      <c r="AG827" s="7"/>
      <c r="AH827" s="7"/>
      <c r="AI827" s="7"/>
    </row>
    <row r="828" spans="1:35" ht="14.5" x14ac:dyDescent="0.35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7"/>
      <c r="AF828" s="7"/>
      <c r="AG828" s="7"/>
      <c r="AH828" s="7"/>
      <c r="AI828" s="7"/>
    </row>
    <row r="829" spans="1:35" ht="14.5" x14ac:dyDescent="0.35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7"/>
      <c r="AF829" s="7"/>
      <c r="AG829" s="7"/>
      <c r="AH829" s="7"/>
      <c r="AI829" s="7"/>
    </row>
    <row r="830" spans="1:35" ht="14.5" x14ac:dyDescent="0.35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7"/>
      <c r="AF830" s="7"/>
      <c r="AG830" s="7"/>
      <c r="AH830" s="7"/>
      <c r="AI830" s="7"/>
    </row>
    <row r="831" spans="1:35" ht="14.5" x14ac:dyDescent="0.35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7"/>
      <c r="AF831" s="7"/>
      <c r="AG831" s="7"/>
      <c r="AH831" s="7"/>
      <c r="AI831" s="7"/>
    </row>
    <row r="832" spans="1:35" ht="14.5" x14ac:dyDescent="0.35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7"/>
      <c r="AF832" s="7"/>
      <c r="AG832" s="7"/>
      <c r="AH832" s="7"/>
      <c r="AI832" s="7"/>
    </row>
    <row r="833" spans="1:35" ht="14.5" x14ac:dyDescent="0.35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7"/>
      <c r="AF833" s="7"/>
      <c r="AG833" s="7"/>
      <c r="AH833" s="7"/>
      <c r="AI833" s="7"/>
    </row>
    <row r="834" spans="1:35" ht="14.5" x14ac:dyDescent="0.35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7"/>
      <c r="AF834" s="7"/>
      <c r="AG834" s="7"/>
      <c r="AH834" s="7"/>
      <c r="AI834" s="7"/>
    </row>
    <row r="835" spans="1:35" ht="14.5" x14ac:dyDescent="0.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7"/>
      <c r="AF835" s="7"/>
      <c r="AG835" s="7"/>
      <c r="AH835" s="7"/>
      <c r="AI835" s="7"/>
    </row>
    <row r="836" spans="1:35" ht="14.5" x14ac:dyDescent="0.35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7"/>
      <c r="AF836" s="7"/>
      <c r="AG836" s="7"/>
      <c r="AH836" s="7"/>
      <c r="AI836" s="7"/>
    </row>
    <row r="837" spans="1:35" ht="14.5" x14ac:dyDescent="0.35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7"/>
      <c r="AF837" s="7"/>
      <c r="AG837" s="7"/>
      <c r="AH837" s="7"/>
      <c r="AI837" s="7"/>
    </row>
    <row r="838" spans="1:35" ht="14.5" x14ac:dyDescent="0.35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7"/>
      <c r="AF838" s="7"/>
      <c r="AG838" s="7"/>
      <c r="AH838" s="7"/>
      <c r="AI838" s="7"/>
    </row>
    <row r="839" spans="1:35" ht="14.5" x14ac:dyDescent="0.35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7"/>
      <c r="AF839" s="7"/>
      <c r="AG839" s="7"/>
      <c r="AH839" s="7"/>
      <c r="AI839" s="7"/>
    </row>
    <row r="840" spans="1:35" ht="14.5" x14ac:dyDescent="0.35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7"/>
      <c r="AF840" s="7"/>
      <c r="AG840" s="7"/>
      <c r="AH840" s="7"/>
      <c r="AI840" s="7"/>
    </row>
    <row r="841" spans="1:35" ht="14.5" x14ac:dyDescent="0.35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7"/>
      <c r="AF841" s="7"/>
      <c r="AG841" s="7"/>
      <c r="AH841" s="7"/>
      <c r="AI841" s="7"/>
    </row>
    <row r="842" spans="1:35" ht="14.5" x14ac:dyDescent="0.35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7"/>
      <c r="AF842" s="7"/>
      <c r="AG842" s="7"/>
      <c r="AH842" s="7"/>
      <c r="AI842" s="7"/>
    </row>
    <row r="843" spans="1:35" ht="14.5" x14ac:dyDescent="0.35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7"/>
      <c r="AF843" s="7"/>
      <c r="AG843" s="7"/>
      <c r="AH843" s="7"/>
      <c r="AI843" s="7"/>
    </row>
    <row r="844" spans="1:35" ht="14.5" x14ac:dyDescent="0.35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7"/>
      <c r="AF844" s="7"/>
      <c r="AG844" s="7"/>
      <c r="AH844" s="7"/>
      <c r="AI844" s="7"/>
    </row>
    <row r="845" spans="1:35" ht="14.5" x14ac:dyDescent="0.3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7"/>
      <c r="AF845" s="7"/>
      <c r="AG845" s="7"/>
      <c r="AH845" s="7"/>
      <c r="AI845" s="7"/>
    </row>
    <row r="846" spans="1:35" ht="14.5" x14ac:dyDescent="0.35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7"/>
      <c r="AF846" s="7"/>
      <c r="AG846" s="7"/>
      <c r="AH846" s="7"/>
      <c r="AI846" s="7"/>
    </row>
    <row r="847" spans="1:35" ht="14.5" x14ac:dyDescent="0.35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7"/>
      <c r="AF847" s="7"/>
      <c r="AG847" s="7"/>
      <c r="AH847" s="7"/>
      <c r="AI847" s="7"/>
    </row>
    <row r="848" spans="1:35" ht="14.5" x14ac:dyDescent="0.35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7"/>
      <c r="AF848" s="7"/>
      <c r="AG848" s="7"/>
      <c r="AH848" s="7"/>
      <c r="AI848" s="7"/>
    </row>
    <row r="849" spans="1:35" ht="14.5" x14ac:dyDescent="0.35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7"/>
      <c r="AF849" s="7"/>
      <c r="AG849" s="7"/>
      <c r="AH849" s="7"/>
      <c r="AI849" s="7"/>
    </row>
    <row r="850" spans="1:35" ht="14.5" x14ac:dyDescent="0.35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7"/>
      <c r="AF850" s="7"/>
      <c r="AG850" s="7"/>
      <c r="AH850" s="7"/>
      <c r="AI850" s="7"/>
    </row>
    <row r="851" spans="1:35" ht="14.5" x14ac:dyDescent="0.35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7"/>
      <c r="AF851" s="7"/>
      <c r="AG851" s="7"/>
      <c r="AH851" s="7"/>
      <c r="AI851" s="7"/>
    </row>
    <row r="852" spans="1:35" ht="14.5" x14ac:dyDescent="0.35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7"/>
      <c r="AF852" s="7"/>
      <c r="AG852" s="7"/>
      <c r="AH852" s="7"/>
      <c r="AI852" s="7"/>
    </row>
    <row r="853" spans="1:35" ht="14.5" x14ac:dyDescent="0.35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7"/>
      <c r="AF853" s="7"/>
      <c r="AG853" s="7"/>
      <c r="AH853" s="7"/>
      <c r="AI853" s="7"/>
    </row>
    <row r="854" spans="1:35" ht="14.5" x14ac:dyDescent="0.35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7"/>
      <c r="AF854" s="7"/>
      <c r="AG854" s="7"/>
      <c r="AH854" s="7"/>
      <c r="AI854" s="7"/>
    </row>
    <row r="855" spans="1:35" ht="14.5" x14ac:dyDescent="0.3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7"/>
      <c r="AF855" s="7"/>
      <c r="AG855" s="7"/>
      <c r="AH855" s="7"/>
      <c r="AI855" s="7"/>
    </row>
    <row r="856" spans="1:35" ht="14.5" x14ac:dyDescent="0.35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7"/>
      <c r="AF856" s="7"/>
      <c r="AG856" s="7"/>
      <c r="AH856" s="7"/>
      <c r="AI856" s="7"/>
    </row>
    <row r="857" spans="1:35" ht="14.5" x14ac:dyDescent="0.35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7"/>
      <c r="AF857" s="7"/>
      <c r="AG857" s="7"/>
      <c r="AH857" s="7"/>
      <c r="AI857" s="7"/>
    </row>
    <row r="858" spans="1:35" ht="14.5" x14ac:dyDescent="0.35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7"/>
      <c r="AF858" s="7"/>
      <c r="AG858" s="7"/>
      <c r="AH858" s="7"/>
      <c r="AI858" s="7"/>
    </row>
    <row r="859" spans="1:35" ht="14.5" x14ac:dyDescent="0.35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7"/>
      <c r="AF859" s="7"/>
      <c r="AG859" s="7"/>
      <c r="AH859" s="7"/>
      <c r="AI859" s="7"/>
    </row>
    <row r="860" spans="1:35" ht="14.5" x14ac:dyDescent="0.35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7"/>
      <c r="AF860" s="7"/>
      <c r="AG860" s="7"/>
      <c r="AH860" s="7"/>
      <c r="AI860" s="7"/>
    </row>
    <row r="861" spans="1:35" ht="14.5" x14ac:dyDescent="0.35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7"/>
      <c r="AF861" s="7"/>
      <c r="AG861" s="7"/>
      <c r="AH861" s="7"/>
      <c r="AI861" s="7"/>
    </row>
    <row r="862" spans="1:35" ht="14.5" x14ac:dyDescent="0.35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7"/>
      <c r="AF862" s="7"/>
      <c r="AG862" s="7"/>
      <c r="AH862" s="7"/>
      <c r="AI862" s="7"/>
    </row>
    <row r="863" spans="1:35" ht="14.5" x14ac:dyDescent="0.35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7"/>
      <c r="AF863" s="7"/>
      <c r="AG863" s="7"/>
      <c r="AH863" s="7"/>
      <c r="AI863" s="7"/>
    </row>
    <row r="864" spans="1:35" ht="14.5" x14ac:dyDescent="0.35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7"/>
      <c r="AF864" s="7"/>
      <c r="AG864" s="7"/>
      <c r="AH864" s="7"/>
      <c r="AI864" s="7"/>
    </row>
    <row r="865" spans="1:35" ht="14.5" x14ac:dyDescent="0.3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7"/>
      <c r="AF865" s="7"/>
      <c r="AG865" s="7"/>
      <c r="AH865" s="7"/>
      <c r="AI865" s="7"/>
    </row>
    <row r="866" spans="1:35" ht="14.5" x14ac:dyDescent="0.35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7"/>
      <c r="AF866" s="7"/>
      <c r="AG866" s="7"/>
      <c r="AH866" s="7"/>
      <c r="AI866" s="7"/>
    </row>
    <row r="867" spans="1:35" ht="14.5" x14ac:dyDescent="0.35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7"/>
      <c r="AF867" s="7"/>
      <c r="AG867" s="7"/>
      <c r="AH867" s="7"/>
      <c r="AI867" s="7"/>
    </row>
    <row r="868" spans="1:35" ht="14.5" x14ac:dyDescent="0.35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7"/>
      <c r="AF868" s="7"/>
      <c r="AG868" s="7"/>
      <c r="AH868" s="7"/>
      <c r="AI868" s="7"/>
    </row>
    <row r="869" spans="1:35" ht="14.5" x14ac:dyDescent="0.35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7"/>
      <c r="AF869" s="7"/>
      <c r="AG869" s="7"/>
      <c r="AH869" s="7"/>
      <c r="AI869" s="7"/>
    </row>
    <row r="870" spans="1:35" ht="14.5" x14ac:dyDescent="0.35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7"/>
      <c r="AF870" s="7"/>
      <c r="AG870" s="7"/>
      <c r="AH870" s="7"/>
      <c r="AI870" s="7"/>
    </row>
    <row r="871" spans="1:35" ht="14.5" x14ac:dyDescent="0.35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7"/>
      <c r="AF871" s="7"/>
      <c r="AG871" s="7"/>
      <c r="AH871" s="7"/>
      <c r="AI871" s="7"/>
    </row>
    <row r="872" spans="1:35" ht="14.5" x14ac:dyDescent="0.35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7"/>
      <c r="AF872" s="7"/>
      <c r="AG872" s="7"/>
      <c r="AH872" s="7"/>
      <c r="AI872" s="7"/>
    </row>
    <row r="873" spans="1:35" ht="14.5" x14ac:dyDescent="0.35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7"/>
      <c r="AF873" s="7"/>
      <c r="AG873" s="7"/>
      <c r="AH873" s="7"/>
      <c r="AI873" s="7"/>
    </row>
    <row r="874" spans="1:35" ht="14.5" x14ac:dyDescent="0.35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7"/>
      <c r="AF874" s="7"/>
      <c r="AG874" s="7"/>
      <c r="AH874" s="7"/>
      <c r="AI874" s="7"/>
    </row>
    <row r="875" spans="1:35" ht="14.5" x14ac:dyDescent="0.3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7"/>
      <c r="AF875" s="7"/>
      <c r="AG875" s="7"/>
      <c r="AH875" s="7"/>
      <c r="AI875" s="7"/>
    </row>
    <row r="876" spans="1:35" ht="14.5" x14ac:dyDescent="0.35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7"/>
      <c r="AF876" s="7"/>
      <c r="AG876" s="7"/>
      <c r="AH876" s="7"/>
      <c r="AI876" s="7"/>
    </row>
    <row r="877" spans="1:35" ht="14.5" x14ac:dyDescent="0.35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7"/>
      <c r="AF877" s="7"/>
      <c r="AG877" s="7"/>
      <c r="AH877" s="7"/>
      <c r="AI877" s="7"/>
    </row>
    <row r="878" spans="1:35" ht="14.5" x14ac:dyDescent="0.35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7"/>
      <c r="AF878" s="7"/>
      <c r="AG878" s="7"/>
      <c r="AH878" s="7"/>
      <c r="AI878" s="7"/>
    </row>
    <row r="879" spans="1:35" ht="14.5" x14ac:dyDescent="0.35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7"/>
      <c r="AF879" s="7"/>
      <c r="AG879" s="7"/>
      <c r="AH879" s="7"/>
      <c r="AI879" s="7"/>
    </row>
    <row r="880" spans="1:35" ht="14.5" x14ac:dyDescent="0.35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7"/>
      <c r="AF880" s="7"/>
      <c r="AG880" s="7"/>
      <c r="AH880" s="7"/>
      <c r="AI880" s="7"/>
    </row>
    <row r="881" spans="1:35" ht="14.5" x14ac:dyDescent="0.35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7"/>
      <c r="AF881" s="7"/>
      <c r="AG881" s="7"/>
      <c r="AH881" s="7"/>
      <c r="AI881" s="7"/>
    </row>
    <row r="882" spans="1:35" ht="14.5" x14ac:dyDescent="0.35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7"/>
      <c r="AF882" s="7"/>
      <c r="AG882" s="7"/>
      <c r="AH882" s="7"/>
      <c r="AI882" s="7"/>
    </row>
    <row r="883" spans="1:35" ht="14.5" x14ac:dyDescent="0.35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7"/>
      <c r="AF883" s="7"/>
      <c r="AG883" s="7"/>
      <c r="AH883" s="7"/>
      <c r="AI883" s="7"/>
    </row>
    <row r="884" spans="1:35" ht="14.5" x14ac:dyDescent="0.35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7"/>
      <c r="AF884" s="7"/>
      <c r="AG884" s="7"/>
      <c r="AH884" s="7"/>
      <c r="AI884" s="7"/>
    </row>
    <row r="885" spans="1:35" ht="14.5" x14ac:dyDescent="0.3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7"/>
      <c r="AF885" s="7"/>
      <c r="AG885" s="7"/>
      <c r="AH885" s="7"/>
      <c r="AI885" s="7"/>
    </row>
    <row r="886" spans="1:35" ht="14.5" x14ac:dyDescent="0.35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7"/>
      <c r="AF886" s="7"/>
      <c r="AG886" s="7"/>
      <c r="AH886" s="7"/>
      <c r="AI886" s="7"/>
    </row>
    <row r="887" spans="1:35" ht="14.5" x14ac:dyDescent="0.35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7"/>
      <c r="AF887" s="7"/>
      <c r="AG887" s="7"/>
      <c r="AH887" s="7"/>
      <c r="AI887" s="7"/>
    </row>
    <row r="888" spans="1:35" ht="14.5" x14ac:dyDescent="0.35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7"/>
      <c r="AF888" s="7"/>
      <c r="AG888" s="7"/>
      <c r="AH888" s="7"/>
      <c r="AI888" s="7"/>
    </row>
    <row r="889" spans="1:35" ht="14.5" x14ac:dyDescent="0.35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7"/>
      <c r="AF889" s="7"/>
      <c r="AG889" s="7"/>
      <c r="AH889" s="7"/>
      <c r="AI889" s="7"/>
    </row>
    <row r="890" spans="1:35" ht="14.5" x14ac:dyDescent="0.35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7"/>
      <c r="AF890" s="7"/>
      <c r="AG890" s="7"/>
      <c r="AH890" s="7"/>
      <c r="AI890" s="7"/>
    </row>
    <row r="891" spans="1:35" ht="14.5" x14ac:dyDescent="0.35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7"/>
      <c r="AF891" s="7"/>
      <c r="AG891" s="7"/>
      <c r="AH891" s="7"/>
      <c r="AI891" s="7"/>
    </row>
    <row r="892" spans="1:35" ht="14.5" x14ac:dyDescent="0.35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7"/>
      <c r="AF892" s="7"/>
      <c r="AG892" s="7"/>
      <c r="AH892" s="7"/>
      <c r="AI892" s="7"/>
    </row>
    <row r="893" spans="1:35" ht="14.5" x14ac:dyDescent="0.35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7"/>
      <c r="AF893" s="7"/>
      <c r="AG893" s="7"/>
      <c r="AH893" s="7"/>
      <c r="AI893" s="7"/>
    </row>
    <row r="894" spans="1:35" ht="14.5" x14ac:dyDescent="0.35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7"/>
      <c r="AF894" s="7"/>
      <c r="AG894" s="7"/>
      <c r="AH894" s="7"/>
      <c r="AI894" s="7"/>
    </row>
    <row r="895" spans="1:35" ht="14.5" x14ac:dyDescent="0.3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7"/>
      <c r="AF895" s="7"/>
      <c r="AG895" s="7"/>
      <c r="AH895" s="7"/>
      <c r="AI895" s="7"/>
    </row>
    <row r="896" spans="1:35" ht="14.5" x14ac:dyDescent="0.35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7"/>
      <c r="AF896" s="7"/>
      <c r="AG896" s="7"/>
      <c r="AH896" s="7"/>
      <c r="AI896" s="7"/>
    </row>
    <row r="897" spans="1:35" ht="14.5" x14ac:dyDescent="0.35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7"/>
      <c r="AF897" s="7"/>
      <c r="AG897" s="7"/>
      <c r="AH897" s="7"/>
      <c r="AI897" s="7"/>
    </row>
    <row r="898" spans="1:35" ht="14.5" x14ac:dyDescent="0.35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7"/>
      <c r="AF898" s="7"/>
      <c r="AG898" s="7"/>
      <c r="AH898" s="7"/>
      <c r="AI898" s="7"/>
    </row>
    <row r="899" spans="1:35" ht="14.5" x14ac:dyDescent="0.35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7"/>
      <c r="AF899" s="7"/>
      <c r="AG899" s="7"/>
      <c r="AH899" s="7"/>
      <c r="AI899" s="7"/>
    </row>
    <row r="900" spans="1:35" ht="14.5" x14ac:dyDescent="0.35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7"/>
      <c r="AF900" s="7"/>
      <c r="AG900" s="7"/>
      <c r="AH900" s="7"/>
      <c r="AI900" s="7"/>
    </row>
    <row r="901" spans="1:35" ht="14.5" x14ac:dyDescent="0.35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7"/>
      <c r="AF901" s="7"/>
      <c r="AG901" s="7"/>
      <c r="AH901" s="7"/>
      <c r="AI901" s="7"/>
    </row>
    <row r="902" spans="1:35" ht="14.5" x14ac:dyDescent="0.35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7"/>
      <c r="AF902" s="7"/>
      <c r="AG902" s="7"/>
      <c r="AH902" s="7"/>
      <c r="AI902" s="7"/>
    </row>
    <row r="903" spans="1:35" ht="14.5" x14ac:dyDescent="0.35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7"/>
      <c r="AF903" s="7"/>
      <c r="AG903" s="7"/>
      <c r="AH903" s="7"/>
      <c r="AI903" s="7"/>
    </row>
    <row r="904" spans="1:35" ht="14.5" x14ac:dyDescent="0.35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7"/>
      <c r="AF904" s="7"/>
      <c r="AG904" s="7"/>
      <c r="AH904" s="7"/>
      <c r="AI904" s="7"/>
    </row>
    <row r="905" spans="1:35" ht="14.5" x14ac:dyDescent="0.3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7"/>
      <c r="AF905" s="7"/>
      <c r="AG905" s="7"/>
      <c r="AH905" s="7"/>
      <c r="AI905" s="7"/>
    </row>
    <row r="906" spans="1:35" ht="14.5" x14ac:dyDescent="0.35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7"/>
      <c r="AF906" s="7"/>
      <c r="AG906" s="7"/>
      <c r="AH906" s="7"/>
      <c r="AI906" s="7"/>
    </row>
    <row r="907" spans="1:35" ht="14.5" x14ac:dyDescent="0.35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7"/>
      <c r="AF907" s="7"/>
      <c r="AG907" s="7"/>
      <c r="AH907" s="7"/>
      <c r="AI907" s="7"/>
    </row>
    <row r="908" spans="1:35" ht="14.5" x14ac:dyDescent="0.35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7"/>
      <c r="AF908" s="7"/>
      <c r="AG908" s="7"/>
      <c r="AH908" s="7"/>
      <c r="AI908" s="7"/>
    </row>
    <row r="909" spans="1:35" ht="14.5" x14ac:dyDescent="0.35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7"/>
      <c r="AF909" s="7"/>
      <c r="AG909" s="7"/>
      <c r="AH909" s="7"/>
      <c r="AI909" s="7"/>
    </row>
    <row r="910" spans="1:35" ht="14.5" x14ac:dyDescent="0.35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7"/>
      <c r="AF910" s="7"/>
      <c r="AG910" s="7"/>
      <c r="AH910" s="7"/>
      <c r="AI910" s="7"/>
    </row>
    <row r="911" spans="1:35" ht="14.5" x14ac:dyDescent="0.35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7"/>
      <c r="AF911" s="7"/>
      <c r="AG911" s="7"/>
      <c r="AH911" s="7"/>
      <c r="AI911" s="7"/>
    </row>
    <row r="912" spans="1:35" ht="14.5" x14ac:dyDescent="0.35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7"/>
      <c r="AF912" s="7"/>
      <c r="AG912" s="7"/>
      <c r="AH912" s="7"/>
      <c r="AI912" s="7"/>
    </row>
    <row r="913" spans="1:35" ht="14.5" x14ac:dyDescent="0.35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7"/>
      <c r="AF913" s="7"/>
      <c r="AG913" s="7"/>
      <c r="AH913" s="7"/>
      <c r="AI913" s="7"/>
    </row>
    <row r="914" spans="1:35" ht="14.5" x14ac:dyDescent="0.35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7"/>
      <c r="AF914" s="7"/>
      <c r="AG914" s="7"/>
      <c r="AH914" s="7"/>
      <c r="AI914" s="7"/>
    </row>
    <row r="915" spans="1:35" ht="14.5" x14ac:dyDescent="0.3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7"/>
      <c r="AF915" s="7"/>
      <c r="AG915" s="7"/>
      <c r="AH915" s="7"/>
      <c r="AI915" s="7"/>
    </row>
    <row r="916" spans="1:35" ht="14.5" x14ac:dyDescent="0.35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7"/>
      <c r="AF916" s="7"/>
      <c r="AG916" s="7"/>
      <c r="AH916" s="7"/>
      <c r="AI916" s="7"/>
    </row>
    <row r="917" spans="1:35" ht="14.5" x14ac:dyDescent="0.35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7"/>
      <c r="AF917" s="7"/>
      <c r="AG917" s="7"/>
      <c r="AH917" s="7"/>
      <c r="AI917" s="7"/>
    </row>
    <row r="918" spans="1:35" ht="14.5" x14ac:dyDescent="0.35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7"/>
      <c r="AF918" s="7"/>
      <c r="AG918" s="7"/>
      <c r="AH918" s="7"/>
      <c r="AI918" s="7"/>
    </row>
    <row r="919" spans="1:35" ht="14.5" x14ac:dyDescent="0.35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7"/>
      <c r="AF919" s="7"/>
      <c r="AG919" s="7"/>
      <c r="AH919" s="7"/>
      <c r="AI919" s="7"/>
    </row>
    <row r="920" spans="1:35" ht="14.5" x14ac:dyDescent="0.35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7"/>
      <c r="AF920" s="7"/>
      <c r="AG920" s="7"/>
      <c r="AH920" s="7"/>
      <c r="AI920" s="7"/>
    </row>
    <row r="921" spans="1:35" ht="14.5" x14ac:dyDescent="0.35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7"/>
      <c r="AF921" s="7"/>
      <c r="AG921" s="7"/>
      <c r="AH921" s="7"/>
      <c r="AI921" s="7"/>
    </row>
    <row r="922" spans="1:35" ht="14.5" x14ac:dyDescent="0.35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7"/>
      <c r="AF922" s="7"/>
      <c r="AG922" s="7"/>
      <c r="AH922" s="7"/>
      <c r="AI922" s="7"/>
    </row>
    <row r="923" spans="1:35" ht="14.5" x14ac:dyDescent="0.35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7"/>
      <c r="AF923" s="7"/>
      <c r="AG923" s="7"/>
      <c r="AH923" s="7"/>
      <c r="AI923" s="7"/>
    </row>
    <row r="924" spans="1:35" ht="14.5" x14ac:dyDescent="0.35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7"/>
      <c r="AF924" s="7"/>
      <c r="AG924" s="7"/>
      <c r="AH924" s="7"/>
      <c r="AI924" s="7"/>
    </row>
    <row r="925" spans="1:35" ht="14.5" x14ac:dyDescent="0.3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7"/>
      <c r="AF925" s="7"/>
      <c r="AG925" s="7"/>
      <c r="AH925" s="7"/>
      <c r="AI925" s="7"/>
    </row>
    <row r="926" spans="1:35" ht="14.5" x14ac:dyDescent="0.35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7"/>
      <c r="AF926" s="7"/>
      <c r="AG926" s="7"/>
      <c r="AH926" s="7"/>
      <c r="AI926" s="7"/>
    </row>
    <row r="927" spans="1:35" ht="14.5" x14ac:dyDescent="0.35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7"/>
      <c r="AF927" s="7"/>
      <c r="AG927" s="7"/>
      <c r="AH927" s="7"/>
      <c r="AI927" s="7"/>
    </row>
    <row r="928" spans="1:35" ht="14.5" x14ac:dyDescent="0.35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7"/>
      <c r="AF928" s="7"/>
      <c r="AG928" s="7"/>
      <c r="AH928" s="7"/>
      <c r="AI928" s="7"/>
    </row>
    <row r="929" spans="1:35" ht="14.5" x14ac:dyDescent="0.35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7"/>
      <c r="AF929" s="7"/>
      <c r="AG929" s="7"/>
      <c r="AH929" s="7"/>
      <c r="AI929" s="7"/>
    </row>
    <row r="930" spans="1:35" ht="14.5" x14ac:dyDescent="0.35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7"/>
      <c r="AF930" s="7"/>
      <c r="AG930" s="7"/>
      <c r="AH930" s="7"/>
      <c r="AI930" s="7"/>
    </row>
    <row r="931" spans="1:35" ht="14.5" x14ac:dyDescent="0.35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7"/>
      <c r="AF931" s="7"/>
      <c r="AG931" s="7"/>
      <c r="AH931" s="7"/>
      <c r="AI931" s="7"/>
    </row>
    <row r="932" spans="1:35" ht="14.5" x14ac:dyDescent="0.35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7"/>
      <c r="AF932" s="7"/>
      <c r="AG932" s="7"/>
      <c r="AH932" s="7"/>
      <c r="AI932" s="7"/>
    </row>
    <row r="933" spans="1:35" ht="14.5" x14ac:dyDescent="0.35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7"/>
      <c r="AF933" s="7"/>
      <c r="AG933" s="7"/>
      <c r="AH933" s="7"/>
      <c r="AI933" s="7"/>
    </row>
    <row r="934" spans="1:35" ht="14.5" x14ac:dyDescent="0.35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7"/>
      <c r="AF934" s="7"/>
      <c r="AG934" s="7"/>
      <c r="AH934" s="7"/>
      <c r="AI934" s="7"/>
    </row>
    <row r="935" spans="1:35" ht="14.5" x14ac:dyDescent="0.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7"/>
      <c r="AF935" s="7"/>
      <c r="AG935" s="7"/>
      <c r="AH935" s="7"/>
      <c r="AI935" s="7"/>
    </row>
    <row r="936" spans="1:35" ht="14.5" x14ac:dyDescent="0.35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7"/>
      <c r="AF936" s="7"/>
      <c r="AG936" s="7"/>
      <c r="AH936" s="7"/>
      <c r="AI936" s="7"/>
    </row>
    <row r="937" spans="1:35" ht="14.5" x14ac:dyDescent="0.35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7"/>
      <c r="AF937" s="7"/>
      <c r="AG937" s="7"/>
      <c r="AH937" s="7"/>
      <c r="AI937" s="7"/>
    </row>
    <row r="938" spans="1:35" ht="14.5" x14ac:dyDescent="0.35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7"/>
      <c r="AF938" s="7"/>
      <c r="AG938" s="7"/>
      <c r="AH938" s="7"/>
      <c r="AI938" s="7"/>
    </row>
    <row r="939" spans="1:35" ht="14.5" x14ac:dyDescent="0.35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7"/>
      <c r="AF939" s="7"/>
      <c r="AG939" s="7"/>
      <c r="AH939" s="7"/>
      <c r="AI939" s="7"/>
    </row>
    <row r="940" spans="1:35" ht="14.5" x14ac:dyDescent="0.35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7"/>
      <c r="AF940" s="7"/>
      <c r="AG940" s="7"/>
      <c r="AH940" s="7"/>
      <c r="AI940" s="7"/>
    </row>
    <row r="941" spans="1:35" ht="14.5" x14ac:dyDescent="0.35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7"/>
      <c r="AF941" s="7"/>
      <c r="AG941" s="7"/>
      <c r="AH941" s="7"/>
      <c r="AI941" s="7"/>
    </row>
    <row r="942" spans="1:35" ht="14.5" x14ac:dyDescent="0.35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7"/>
      <c r="AF942" s="7"/>
      <c r="AG942" s="7"/>
      <c r="AH942" s="7"/>
      <c r="AI942" s="7"/>
    </row>
    <row r="943" spans="1:35" ht="14.5" x14ac:dyDescent="0.35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7"/>
      <c r="AF943" s="7"/>
      <c r="AG943" s="7"/>
      <c r="AH943" s="7"/>
      <c r="AI943" s="7"/>
    </row>
    <row r="944" spans="1:35" ht="14.5" x14ac:dyDescent="0.35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7"/>
      <c r="AF944" s="7"/>
      <c r="AG944" s="7"/>
      <c r="AH944" s="7"/>
      <c r="AI944" s="7"/>
    </row>
    <row r="945" spans="1:35" ht="14.5" x14ac:dyDescent="0.3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7"/>
      <c r="AF945" s="7"/>
      <c r="AG945" s="7"/>
      <c r="AH945" s="7"/>
      <c r="AI945" s="7"/>
    </row>
    <row r="946" spans="1:35" ht="14.5" x14ac:dyDescent="0.35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7"/>
      <c r="AF946" s="7"/>
      <c r="AG946" s="7"/>
      <c r="AH946" s="7"/>
      <c r="AI946" s="7"/>
    </row>
    <row r="947" spans="1:35" ht="14.5" x14ac:dyDescent="0.35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7"/>
      <c r="AF947" s="7"/>
      <c r="AG947" s="7"/>
      <c r="AH947" s="7"/>
      <c r="AI947" s="7"/>
    </row>
    <row r="948" spans="1:35" ht="14.5" x14ac:dyDescent="0.35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7"/>
      <c r="AF948" s="7"/>
      <c r="AG948" s="7"/>
      <c r="AH948" s="7"/>
      <c r="AI948" s="7"/>
    </row>
    <row r="949" spans="1:35" ht="14.5" x14ac:dyDescent="0.35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7"/>
      <c r="AF949" s="7"/>
      <c r="AG949" s="7"/>
      <c r="AH949" s="7"/>
      <c r="AI949" s="7"/>
    </row>
    <row r="950" spans="1:35" ht="14.5" x14ac:dyDescent="0.35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7"/>
      <c r="AF950" s="7"/>
      <c r="AG950" s="7"/>
      <c r="AH950" s="7"/>
      <c r="AI950" s="7"/>
    </row>
    <row r="951" spans="1:35" ht="14.5" x14ac:dyDescent="0.35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7"/>
      <c r="AF951" s="7"/>
      <c r="AG951" s="7"/>
      <c r="AH951" s="7"/>
      <c r="AI951" s="7"/>
    </row>
    <row r="952" spans="1:35" ht="14.5" x14ac:dyDescent="0.35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7"/>
      <c r="AF952" s="7"/>
      <c r="AG952" s="7"/>
      <c r="AH952" s="7"/>
      <c r="AI952" s="7"/>
    </row>
    <row r="953" spans="1:35" ht="14.5" x14ac:dyDescent="0.35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7"/>
      <c r="AF953" s="7"/>
      <c r="AG953" s="7"/>
      <c r="AH953" s="7"/>
      <c r="AI953" s="7"/>
    </row>
    <row r="954" spans="1:35" ht="14.5" x14ac:dyDescent="0.35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7"/>
      <c r="AF954" s="7"/>
      <c r="AG954" s="7"/>
      <c r="AH954" s="7"/>
      <c r="AI954" s="7"/>
    </row>
    <row r="955" spans="1:35" ht="14.5" x14ac:dyDescent="0.3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7"/>
      <c r="AF955" s="7"/>
      <c r="AG955" s="7"/>
      <c r="AH955" s="7"/>
      <c r="AI955" s="7"/>
    </row>
    <row r="956" spans="1:35" ht="14.5" x14ac:dyDescent="0.35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7"/>
      <c r="AF956" s="7"/>
      <c r="AG956" s="7"/>
      <c r="AH956" s="7"/>
      <c r="AI956" s="7"/>
    </row>
    <row r="957" spans="1:35" ht="14.5" x14ac:dyDescent="0.3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7"/>
      <c r="AF957" s="7"/>
      <c r="AG957" s="7"/>
      <c r="AH957" s="7"/>
      <c r="AI957" s="7"/>
    </row>
    <row r="958" spans="1:35" ht="14.5" x14ac:dyDescent="0.35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7"/>
      <c r="AF958" s="7"/>
      <c r="AG958" s="7"/>
      <c r="AH958" s="7"/>
      <c r="AI958" s="7"/>
    </row>
    <row r="959" spans="1:35" ht="14.5" x14ac:dyDescent="0.35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7"/>
      <c r="AF959" s="7"/>
      <c r="AG959" s="7"/>
      <c r="AH959" s="7"/>
      <c r="AI959" s="7"/>
    </row>
    <row r="960" spans="1:35" ht="14.5" x14ac:dyDescent="0.35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7"/>
      <c r="AF960" s="7"/>
      <c r="AG960" s="7"/>
      <c r="AH960" s="7"/>
      <c r="AI960" s="7"/>
    </row>
    <row r="961" spans="1:35" ht="14.5" x14ac:dyDescent="0.35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7"/>
      <c r="AF961" s="7"/>
      <c r="AG961" s="7"/>
      <c r="AH961" s="7"/>
      <c r="AI961" s="7"/>
    </row>
    <row r="962" spans="1:35" ht="14.5" x14ac:dyDescent="0.35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7"/>
      <c r="AF962" s="7"/>
      <c r="AG962" s="7"/>
      <c r="AH962" s="7"/>
      <c r="AI962" s="7"/>
    </row>
    <row r="963" spans="1:35" ht="14.5" x14ac:dyDescent="0.35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7"/>
      <c r="AF963" s="7"/>
      <c r="AG963" s="7"/>
      <c r="AH963" s="7"/>
      <c r="AI963" s="7"/>
    </row>
    <row r="964" spans="1:35" ht="14.5" x14ac:dyDescent="0.35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7"/>
      <c r="AF964" s="7"/>
      <c r="AG964" s="7"/>
      <c r="AH964" s="7"/>
      <c r="AI964" s="7"/>
    </row>
    <row r="965" spans="1:35" ht="14.5" x14ac:dyDescent="0.3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7"/>
      <c r="AF965" s="7"/>
      <c r="AG965" s="7"/>
      <c r="AH965" s="7"/>
      <c r="AI965" s="7"/>
    </row>
    <row r="966" spans="1:35" ht="14.5" x14ac:dyDescent="0.35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7"/>
      <c r="AF966" s="7"/>
      <c r="AG966" s="7"/>
      <c r="AH966" s="7"/>
      <c r="AI966" s="7"/>
    </row>
    <row r="967" spans="1:35" ht="14.5" x14ac:dyDescent="0.35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7"/>
      <c r="AF967" s="7"/>
      <c r="AG967" s="7"/>
      <c r="AH967" s="7"/>
      <c r="AI967" s="7"/>
    </row>
    <row r="968" spans="1:35" ht="14.5" x14ac:dyDescent="0.35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7"/>
      <c r="AF968" s="7"/>
      <c r="AG968" s="7"/>
      <c r="AH968" s="7"/>
      <c r="AI968" s="7"/>
    </row>
    <row r="969" spans="1:35" ht="14.5" x14ac:dyDescent="0.35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7"/>
      <c r="AF969" s="7"/>
      <c r="AG969" s="7"/>
      <c r="AH969" s="7"/>
      <c r="AI969" s="7"/>
    </row>
    <row r="970" spans="1:35" ht="14.5" x14ac:dyDescent="0.35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7"/>
      <c r="AF970" s="7"/>
      <c r="AG970" s="7"/>
      <c r="AH970" s="7"/>
      <c r="AI970" s="7"/>
    </row>
    <row r="971" spans="1:35" ht="14.5" x14ac:dyDescent="0.35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7"/>
      <c r="AF971" s="7"/>
      <c r="AG971" s="7"/>
      <c r="AH971" s="7"/>
      <c r="AI971" s="7"/>
    </row>
    <row r="972" spans="1:35" ht="14.5" x14ac:dyDescent="0.35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7"/>
      <c r="AF972" s="7"/>
      <c r="AG972" s="7"/>
      <c r="AH972" s="7"/>
      <c r="AI972" s="7"/>
    </row>
    <row r="973" spans="1:35" ht="14.5" x14ac:dyDescent="0.35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7"/>
      <c r="AF973" s="7"/>
      <c r="AG973" s="7"/>
      <c r="AH973" s="7"/>
      <c r="AI973" s="7"/>
    </row>
    <row r="974" spans="1:35" ht="14.5" x14ac:dyDescent="0.35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7"/>
      <c r="AF974" s="7"/>
      <c r="AG974" s="7"/>
      <c r="AH974" s="7"/>
      <c r="AI974" s="7"/>
    </row>
    <row r="975" spans="1:35" ht="14.5" x14ac:dyDescent="0.3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7"/>
      <c r="AF975" s="7"/>
      <c r="AG975" s="7"/>
      <c r="AH975" s="7"/>
      <c r="AI975" s="7"/>
    </row>
    <row r="976" spans="1:35" ht="14.5" x14ac:dyDescent="0.35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7"/>
      <c r="AF976" s="7"/>
      <c r="AG976" s="7"/>
      <c r="AH976" s="7"/>
      <c r="AI976" s="7"/>
    </row>
    <row r="977" spans="1:35" ht="14.5" x14ac:dyDescent="0.35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7"/>
      <c r="AF977" s="7"/>
      <c r="AG977" s="7"/>
      <c r="AH977" s="7"/>
      <c r="AI977" s="7"/>
    </row>
    <row r="978" spans="1:35" ht="14.5" x14ac:dyDescent="0.35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7"/>
      <c r="AF978" s="7"/>
      <c r="AG978" s="7"/>
      <c r="AH978" s="7"/>
      <c r="AI978" s="7"/>
    </row>
    <row r="979" spans="1:35" ht="14.5" x14ac:dyDescent="0.35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7"/>
      <c r="AF979" s="7"/>
      <c r="AG979" s="7"/>
      <c r="AH979" s="7"/>
      <c r="AI979" s="7"/>
    </row>
    <row r="980" spans="1:35" ht="14.5" x14ac:dyDescent="0.35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7"/>
      <c r="AF980" s="7"/>
      <c r="AG980" s="7"/>
      <c r="AH980" s="7"/>
      <c r="AI980" s="7"/>
    </row>
    <row r="981" spans="1:35" ht="14.5" x14ac:dyDescent="0.35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7"/>
      <c r="AF981" s="7"/>
      <c r="AG981" s="7"/>
      <c r="AH981" s="7"/>
      <c r="AI981" s="7"/>
    </row>
    <row r="982" spans="1:35" ht="14.5" x14ac:dyDescent="0.35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7"/>
      <c r="AF982" s="7"/>
      <c r="AG982" s="7"/>
      <c r="AH982" s="7"/>
      <c r="AI982" s="7"/>
    </row>
    <row r="983" spans="1:35" ht="14.5" x14ac:dyDescent="0.35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7"/>
      <c r="AF983" s="7"/>
      <c r="AG983" s="7"/>
      <c r="AH983" s="7"/>
      <c r="AI983" s="7"/>
    </row>
    <row r="984" spans="1:35" ht="14.5" x14ac:dyDescent="0.35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7"/>
      <c r="AF984" s="7"/>
      <c r="AG984" s="7"/>
      <c r="AH984" s="7"/>
      <c r="AI984" s="7"/>
    </row>
    <row r="985" spans="1:35" ht="14.5" x14ac:dyDescent="0.3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7"/>
      <c r="AF985" s="7"/>
      <c r="AG985" s="7"/>
      <c r="AH985" s="7"/>
      <c r="AI985" s="7"/>
    </row>
    <row r="986" spans="1:35" ht="14.5" x14ac:dyDescent="0.3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7"/>
      <c r="AF986" s="7"/>
      <c r="AG986" s="7"/>
      <c r="AH986" s="7"/>
      <c r="AI986" s="7"/>
    </row>
    <row r="987" spans="1:35" ht="14.5" x14ac:dyDescent="0.35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7"/>
      <c r="AF987" s="7"/>
      <c r="AG987" s="7"/>
      <c r="AH987" s="7"/>
      <c r="AI987" s="7"/>
    </row>
    <row r="988" spans="1:35" ht="14.5" x14ac:dyDescent="0.35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7"/>
      <c r="AF988" s="7"/>
      <c r="AG988" s="7"/>
      <c r="AH988" s="7"/>
      <c r="AI988" s="7"/>
    </row>
    <row r="989" spans="1:35" ht="14.5" x14ac:dyDescent="0.35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7"/>
      <c r="AF989" s="7"/>
      <c r="AG989" s="7"/>
      <c r="AH989" s="7"/>
      <c r="AI989" s="7"/>
    </row>
    <row r="990" spans="1:35" ht="14.5" x14ac:dyDescent="0.35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7"/>
      <c r="AF990" s="7"/>
      <c r="AG990" s="7"/>
      <c r="AH990" s="7"/>
      <c r="AI990" s="7"/>
    </row>
    <row r="991" spans="1:35" ht="14.5" x14ac:dyDescent="0.35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7"/>
      <c r="AF991" s="7"/>
      <c r="AG991" s="7"/>
      <c r="AH991" s="7"/>
      <c r="AI991" s="7"/>
    </row>
    <row r="992" spans="1:35" ht="14.5" x14ac:dyDescent="0.35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7"/>
      <c r="AF992" s="7"/>
      <c r="AG992" s="7"/>
      <c r="AH992" s="7"/>
      <c r="AI992" s="7"/>
    </row>
    <row r="993" spans="1:35" ht="14.5" x14ac:dyDescent="0.35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7"/>
      <c r="AF993" s="7"/>
      <c r="AG993" s="7"/>
      <c r="AH993" s="7"/>
      <c r="AI993" s="7"/>
    </row>
    <row r="994" spans="1:35" ht="14.5" x14ac:dyDescent="0.35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7"/>
      <c r="AF994" s="7"/>
      <c r="AG994" s="7"/>
      <c r="AH994" s="7"/>
      <c r="AI994" s="7"/>
    </row>
    <row r="995" spans="1:35" ht="14.5" x14ac:dyDescent="0.3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7"/>
      <c r="AF995" s="7"/>
      <c r="AG995" s="7"/>
      <c r="AH995" s="7"/>
      <c r="AI995" s="7"/>
    </row>
    <row r="996" spans="1:35" ht="14.5" x14ac:dyDescent="0.35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7"/>
      <c r="AF996" s="7"/>
      <c r="AG996" s="7"/>
      <c r="AH996" s="7"/>
      <c r="AI996" s="7"/>
    </row>
    <row r="997" spans="1:35" ht="14.5" x14ac:dyDescent="0.35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7"/>
      <c r="AF997" s="7"/>
      <c r="AG997" s="7"/>
      <c r="AH997" s="7"/>
      <c r="AI997" s="7"/>
    </row>
    <row r="998" spans="1:35" ht="14.5" x14ac:dyDescent="0.35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7"/>
      <c r="AF998" s="7"/>
      <c r="AG998" s="7"/>
      <c r="AH998" s="7"/>
      <c r="AI998" s="7"/>
    </row>
    <row r="999" spans="1:35" ht="14.5" x14ac:dyDescent="0.35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7"/>
      <c r="AF999" s="7"/>
      <c r="AG999" s="7"/>
      <c r="AH999" s="7"/>
      <c r="AI999" s="7"/>
    </row>
    <row r="1000" spans="1:35" ht="14.5" x14ac:dyDescent="0.35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7"/>
      <c r="AF1000" s="7"/>
      <c r="AG1000" s="7"/>
      <c r="AH1000" s="7"/>
      <c r="AI1000" s="7"/>
    </row>
    <row r="1001" spans="1:35" ht="14.5" x14ac:dyDescent="0.35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7"/>
      <c r="AF1001" s="7"/>
      <c r="AG1001" s="7"/>
      <c r="AH1001" s="7"/>
      <c r="AI1001" s="7"/>
    </row>
    <row r="1002" spans="1:35" ht="14.5" x14ac:dyDescent="0.35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7"/>
      <c r="AF1002" s="7"/>
      <c r="AG1002" s="7"/>
      <c r="AH1002" s="7"/>
      <c r="AI1002" s="7"/>
    </row>
    <row r="1003" spans="1:35" ht="14.5" x14ac:dyDescent="0.35">
      <c r="A1003" s="19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  <c r="P1003" s="19"/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  <c r="AB1003" s="19"/>
      <c r="AC1003" s="19"/>
      <c r="AD1003" s="19"/>
      <c r="AE1003" s="7"/>
      <c r="AF1003" s="7"/>
      <c r="AG1003" s="7"/>
      <c r="AH1003" s="7"/>
      <c r="AI1003" s="7"/>
    </row>
    <row r="1004" spans="1:35" ht="14.5" x14ac:dyDescent="0.35">
      <c r="A1004" s="19"/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  <c r="AE1004" s="7"/>
      <c r="AF1004" s="7"/>
      <c r="AG1004" s="7"/>
      <c r="AH1004" s="7"/>
      <c r="AI1004" s="7"/>
    </row>
  </sheetData>
  <mergeCells count="8">
    <mergeCell ref="V70:V71"/>
    <mergeCell ref="W70:W71"/>
    <mergeCell ref="C2:H2"/>
    <mergeCell ref="I2:N2"/>
    <mergeCell ref="V19:V20"/>
    <mergeCell ref="W19:W20"/>
    <mergeCell ref="C47:H47"/>
    <mergeCell ref="I47:N47"/>
  </mergeCells>
  <hyperlinks>
    <hyperlink ref="I18" r:id="rId1" location="gid=62411718" xr:uid="{00000000-0004-0000-0300-000000000000}"/>
    <hyperlink ref="E40" r:id="rId2" location="gid=62411718" xr:uid="{00000000-0004-0000-0300-000001000000}"/>
    <hyperlink ref="I69" r:id="rId3" location="gid=62411718" xr:uid="{00000000-0004-0000-0300-000002000000}"/>
    <hyperlink ref="E97" r:id="rId4" location="gid=62411718" xr:uid="{00000000-0004-0000-0300-000003000000}"/>
  </hyperlinks>
  <pageMargins left="0.7" right="0.7" top="0.75" bottom="0.75" header="0.3" footer="0.3"/>
  <legacy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T992"/>
  <sheetViews>
    <sheetView workbookViewId="0">
      <pane xSplit="2" topLeftCell="C1" activePane="topRight" state="frozen"/>
      <selection pane="topRight" activeCell="D2" sqref="D2"/>
    </sheetView>
  </sheetViews>
  <sheetFormatPr defaultColWidth="12.6328125" defaultRowHeight="15.75" customHeight="1" x14ac:dyDescent="0.25"/>
  <cols>
    <col min="2" max="2" width="24.6328125" customWidth="1"/>
    <col min="6" max="6" width="14.90625" customWidth="1"/>
    <col min="7" max="7" width="15.90625" customWidth="1"/>
    <col min="8" max="8" width="15.453125" customWidth="1"/>
    <col min="9" max="9" width="14.453125" customWidth="1"/>
    <col min="10" max="10" width="13.90625" customWidth="1"/>
    <col min="12" max="12" width="15.36328125" customWidth="1"/>
    <col min="13" max="13" width="15.7265625" customWidth="1"/>
    <col min="14" max="14" width="15.90625" customWidth="1"/>
    <col min="15" max="15" width="14.7265625" customWidth="1"/>
    <col min="16" max="16" width="15.7265625" customWidth="1"/>
    <col min="17" max="17" width="15.453125" customWidth="1"/>
    <col min="18" max="18" width="14.453125" customWidth="1"/>
    <col min="19" max="19" width="14.6328125" customWidth="1"/>
    <col min="20" max="20" width="14.08984375" customWidth="1"/>
    <col min="25" max="25" width="14.36328125" customWidth="1"/>
    <col min="26" max="26" width="14.90625" customWidth="1"/>
    <col min="27" max="27" width="14.08984375" customWidth="1"/>
    <col min="31" max="37" width="17.26953125" customWidth="1"/>
    <col min="39" max="39" width="25.08984375" customWidth="1"/>
    <col min="43" max="43" width="18.36328125" customWidth="1"/>
  </cols>
  <sheetData>
    <row r="1" spans="1:46" ht="15.75" customHeight="1" x14ac:dyDescent="0.35">
      <c r="A1" s="129" t="s">
        <v>275</v>
      </c>
      <c r="B1" s="19"/>
      <c r="C1" s="71" t="s">
        <v>212</v>
      </c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30"/>
      <c r="AM1" s="19"/>
      <c r="AN1" s="19"/>
      <c r="AO1" s="19"/>
      <c r="AP1" s="130"/>
      <c r="AQ1" s="130"/>
      <c r="AR1" s="19"/>
      <c r="AS1" s="19"/>
      <c r="AT1" s="19"/>
    </row>
    <row r="2" spans="1:46" ht="15.75" customHeight="1" x14ac:dyDescent="0.35">
      <c r="A2" s="19"/>
      <c r="B2" s="19"/>
      <c r="C2" s="92"/>
      <c r="D2" s="131" t="s">
        <v>214</v>
      </c>
      <c r="E2" s="131" t="s">
        <v>215</v>
      </c>
      <c r="F2" s="132" t="s">
        <v>216</v>
      </c>
      <c r="G2" s="132" t="s">
        <v>217</v>
      </c>
      <c r="H2" s="132" t="s">
        <v>218</v>
      </c>
      <c r="I2" s="133" t="s">
        <v>219</v>
      </c>
      <c r="K2" s="92"/>
      <c r="L2" s="131" t="s">
        <v>214</v>
      </c>
      <c r="M2" s="131" t="s">
        <v>215</v>
      </c>
      <c r="N2" s="132" t="s">
        <v>216</v>
      </c>
      <c r="O2" s="132" t="s">
        <v>217</v>
      </c>
      <c r="P2" s="132" t="s">
        <v>218</v>
      </c>
      <c r="Q2" s="133" t="s">
        <v>219</v>
      </c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30"/>
      <c r="AM2" s="19"/>
      <c r="AN2" s="19"/>
      <c r="AO2" s="19"/>
      <c r="AP2" s="130"/>
      <c r="AQ2" s="130"/>
      <c r="AR2" s="19"/>
      <c r="AS2" s="19"/>
      <c r="AT2" s="19"/>
    </row>
    <row r="3" spans="1:46" ht="15.75" customHeight="1" x14ac:dyDescent="0.35">
      <c r="A3" s="19"/>
      <c r="B3" s="19"/>
      <c r="C3" s="33" t="s">
        <v>276</v>
      </c>
      <c r="D3" s="134">
        <f>'River, Stream, Melt Bpca Calibr'!C35</f>
        <v>8.4842677211913034E-2</v>
      </c>
      <c r="E3" s="134">
        <f>'River, Stream, Melt Bpca Calibr'!D35</f>
        <v>8.7578549304519068E-2</v>
      </c>
      <c r="F3" s="135">
        <f>'River, Stream, Melt Bpca Calibr'!E35</f>
        <v>8.8048556159892562E-5</v>
      </c>
      <c r="G3" s="135">
        <f>'River, Stream, Melt Bpca Calibr'!F35</f>
        <v>1.2845009336373734E-3</v>
      </c>
      <c r="H3" s="135">
        <f>'River, Stream, Melt Bpca Calibr'!G35</f>
        <v>4.2363885170437932E-5</v>
      </c>
      <c r="I3" s="136">
        <f>'River, Stream, Melt Bpca Calibr'!H35</f>
        <v>4.1945082796629224E-4</v>
      </c>
      <c r="K3" s="33" t="s">
        <v>276</v>
      </c>
      <c r="L3" s="134">
        <f>'River, Stream, Melt Bpca Calibr'!C92</f>
        <v>7.798024637859062E-2</v>
      </c>
      <c r="M3" s="134">
        <f>'River, Stream, Melt Bpca Calibr'!D92</f>
        <v>8.2073885349827569E-2</v>
      </c>
      <c r="N3" s="134">
        <f>'River, Stream, Melt Bpca Calibr'!E92</f>
        <v>4.3143634512769702E-5</v>
      </c>
      <c r="O3" s="134">
        <f>'River, Stream, Melt Bpca Calibr'!F92</f>
        <v>1.241342768325192E-3</v>
      </c>
      <c r="P3" s="134">
        <f>'River, Stream, Melt Bpca Calibr'!G92</f>
        <v>2.2177329094933353E-5</v>
      </c>
      <c r="Q3" s="137">
        <f>'River, Stream, Melt Bpca Calibr'!H92</f>
        <v>1.2097426225025269E-4</v>
      </c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30"/>
      <c r="AM3" s="19"/>
      <c r="AN3" s="19"/>
      <c r="AO3" s="19"/>
      <c r="AP3" s="130"/>
      <c r="AQ3" s="130"/>
      <c r="AR3" s="19"/>
      <c r="AS3" s="19"/>
      <c r="AT3" s="19"/>
    </row>
    <row r="4" spans="1:46" ht="15.75" customHeight="1" x14ac:dyDescent="0.35">
      <c r="A4" s="19"/>
      <c r="B4" s="19"/>
      <c r="C4" s="34" t="s">
        <v>277</v>
      </c>
      <c r="D4" s="138">
        <f>'River, Stream, Melt Bpca Calibr'!C36</f>
        <v>20.832855850018646</v>
      </c>
      <c r="E4" s="138">
        <f>'River, Stream, Melt Bpca Calibr'!D36</f>
        <v>12.556060838383601</v>
      </c>
      <c r="F4" s="138">
        <f>'River, Stream, Melt Bpca Calibr'!E36</f>
        <v>8.1488908689682376</v>
      </c>
      <c r="G4" s="138">
        <f>'River, Stream, Melt Bpca Calibr'!F36</f>
        <v>3.5253778164139646</v>
      </c>
      <c r="H4" s="138">
        <f>'River, Stream, Melt Bpca Calibr'!G36</f>
        <v>1.9642484205166681</v>
      </c>
      <c r="I4" s="139">
        <f>'River, Stream, Melt Bpca Calibr'!H36</f>
        <v>10.173653987358804</v>
      </c>
      <c r="K4" s="34" t="s">
        <v>277</v>
      </c>
      <c r="L4" s="138">
        <f>'River, Stream, Melt Bpca Calibr'!C93</f>
        <v>20.784451479826544</v>
      </c>
      <c r="M4" s="138">
        <f>'River, Stream, Melt Bpca Calibr'!D93</f>
        <v>13.313772399519436</v>
      </c>
      <c r="N4" s="138">
        <f>'River, Stream, Melt Bpca Calibr'!E93</f>
        <v>0.16973799727190908</v>
      </c>
      <c r="O4" s="138">
        <f>'River, Stream, Melt Bpca Calibr'!F93</f>
        <v>15.870345101717788</v>
      </c>
      <c r="P4" s="138">
        <f>'River, Stream, Melt Bpca Calibr'!G93</f>
        <v>1.5368504022494278</v>
      </c>
      <c r="Q4" s="139">
        <f>'River, Stream, Melt Bpca Calibr'!H93</f>
        <v>40.118778857253403</v>
      </c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30"/>
      <c r="AM4" s="19"/>
      <c r="AN4" s="19"/>
      <c r="AO4" s="19"/>
      <c r="AP4" s="130"/>
      <c r="AQ4" s="130"/>
      <c r="AR4" s="19"/>
      <c r="AS4" s="19"/>
      <c r="AT4" s="19"/>
    </row>
    <row r="5" spans="1:46" ht="15.75" customHeight="1" x14ac:dyDescent="0.25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30"/>
      <c r="AM5" s="70"/>
      <c r="AN5" s="70"/>
      <c r="AO5" s="70"/>
      <c r="AP5" s="140"/>
      <c r="AQ5" s="140"/>
      <c r="AR5" s="70"/>
      <c r="AS5" s="70"/>
      <c r="AT5" s="19"/>
    </row>
    <row r="6" spans="1:46" ht="15.75" customHeight="1" x14ac:dyDescent="0.35">
      <c r="A6" s="19"/>
      <c r="B6" s="92"/>
      <c r="C6" s="231" t="s">
        <v>278</v>
      </c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2"/>
      <c r="O6" s="232" t="s">
        <v>279</v>
      </c>
      <c r="P6" s="225"/>
      <c r="Q6" s="225"/>
      <c r="R6" s="225"/>
      <c r="S6" s="225"/>
      <c r="T6" s="225"/>
      <c r="U6" s="226"/>
      <c r="V6" s="224" t="s">
        <v>280</v>
      </c>
      <c r="W6" s="225"/>
      <c r="X6" s="225"/>
      <c r="Y6" s="225"/>
      <c r="Z6" s="225"/>
      <c r="AA6" s="225"/>
      <c r="AB6" s="226"/>
      <c r="AC6" s="224" t="s">
        <v>143</v>
      </c>
      <c r="AD6" s="225"/>
      <c r="AE6" s="225"/>
      <c r="AF6" s="225"/>
      <c r="AG6" s="225"/>
      <c r="AH6" s="225"/>
      <c r="AI6" s="225"/>
      <c r="AJ6" s="225"/>
      <c r="AK6" s="226"/>
      <c r="AL6" s="3"/>
      <c r="AM6" s="141"/>
      <c r="AN6" s="233" t="s">
        <v>281</v>
      </c>
      <c r="AO6" s="225"/>
      <c r="AP6" s="225"/>
      <c r="AQ6" s="225"/>
      <c r="AR6" s="225"/>
      <c r="AS6" s="226"/>
      <c r="AT6" s="130"/>
    </row>
    <row r="7" spans="1:46" ht="15.75" customHeight="1" x14ac:dyDescent="0.35">
      <c r="A7" s="19"/>
      <c r="B7" s="20" t="s">
        <v>0</v>
      </c>
      <c r="C7" s="3" t="s">
        <v>282</v>
      </c>
      <c r="D7" s="3" t="s">
        <v>283</v>
      </c>
      <c r="E7" s="3" t="s">
        <v>284</v>
      </c>
      <c r="F7" s="1" t="s">
        <v>285</v>
      </c>
      <c r="G7" s="1" t="s">
        <v>286</v>
      </c>
      <c r="H7" s="1" t="s">
        <v>287</v>
      </c>
      <c r="I7" s="142" t="s">
        <v>288</v>
      </c>
      <c r="J7" s="3" t="s">
        <v>289</v>
      </c>
      <c r="K7" s="3" t="s">
        <v>290</v>
      </c>
      <c r="L7" s="1" t="s">
        <v>291</v>
      </c>
      <c r="M7" s="1" t="s">
        <v>292</v>
      </c>
      <c r="N7" s="1" t="s">
        <v>293</v>
      </c>
      <c r="O7" s="21" t="s">
        <v>22</v>
      </c>
      <c r="P7" s="5" t="s">
        <v>23</v>
      </c>
      <c r="Q7" s="5" t="s">
        <v>24</v>
      </c>
      <c r="R7" s="131" t="s">
        <v>25</v>
      </c>
      <c r="S7" s="131" t="s">
        <v>26</v>
      </c>
      <c r="T7" s="131" t="s">
        <v>27</v>
      </c>
      <c r="U7" s="5" t="s">
        <v>28</v>
      </c>
      <c r="V7" s="21" t="s">
        <v>22</v>
      </c>
      <c r="W7" s="5" t="s">
        <v>23</v>
      </c>
      <c r="X7" s="5" t="s">
        <v>24</v>
      </c>
      <c r="Y7" s="131" t="s">
        <v>25</v>
      </c>
      <c r="Z7" s="131" t="s">
        <v>26</v>
      </c>
      <c r="AA7" s="131" t="s">
        <v>27</v>
      </c>
      <c r="AB7" s="23" t="s">
        <v>28</v>
      </c>
      <c r="AC7" s="21" t="s">
        <v>22</v>
      </c>
      <c r="AD7" s="5" t="s">
        <v>23</v>
      </c>
      <c r="AE7" s="5" t="s">
        <v>24</v>
      </c>
      <c r="AF7" s="131" t="s">
        <v>25</v>
      </c>
      <c r="AG7" s="131" t="s">
        <v>26</v>
      </c>
      <c r="AH7" s="131" t="s">
        <v>27</v>
      </c>
      <c r="AI7" s="5" t="s">
        <v>28</v>
      </c>
      <c r="AJ7" s="5" t="s">
        <v>41</v>
      </c>
      <c r="AK7" s="23" t="s">
        <v>42</v>
      </c>
      <c r="AL7" s="143"/>
      <c r="AM7" s="99" t="s">
        <v>0</v>
      </c>
      <c r="AN7" s="99" t="s">
        <v>294</v>
      </c>
      <c r="AO7" s="144" t="s">
        <v>295</v>
      </c>
      <c r="AP7" s="93" t="s">
        <v>296</v>
      </c>
      <c r="AQ7" s="145" t="s">
        <v>297</v>
      </c>
      <c r="AR7" s="145" t="s">
        <v>196</v>
      </c>
      <c r="AS7" s="94" t="s">
        <v>192</v>
      </c>
      <c r="AT7" s="19"/>
    </row>
    <row r="8" spans="1:46" ht="15.75" customHeight="1" x14ac:dyDescent="0.35">
      <c r="A8" s="19"/>
      <c r="B8" s="39" t="s">
        <v>99</v>
      </c>
      <c r="C8" s="75">
        <v>13.5</v>
      </c>
      <c r="D8" s="75">
        <v>13.7</v>
      </c>
      <c r="E8" s="75">
        <v>11095.27</v>
      </c>
      <c r="F8" s="84">
        <v>3586.76</v>
      </c>
      <c r="G8" s="84">
        <v>48546.47</v>
      </c>
      <c r="H8" s="84">
        <v>102684.42</v>
      </c>
      <c r="I8" s="146">
        <v>1.621</v>
      </c>
      <c r="J8" s="84">
        <v>2.8119999999999998</v>
      </c>
      <c r="K8" s="75">
        <v>0.86599999999999999</v>
      </c>
      <c r="L8" s="75">
        <v>2.3929999999999998</v>
      </c>
      <c r="M8" s="75">
        <v>1.635</v>
      </c>
      <c r="N8" s="75">
        <v>2.7440000000000002</v>
      </c>
      <c r="O8" s="147">
        <f t="shared" ref="O8:O15" si="0">C8*$D$3+$D$4</f>
        <v>21.97823199237947</v>
      </c>
      <c r="P8" s="148">
        <f t="shared" ref="P8:P15" si="1">D8*$E$3+$E$4</f>
        <v>13.755886963855513</v>
      </c>
      <c r="Q8" s="148"/>
      <c r="R8" s="148"/>
      <c r="S8" s="148">
        <f t="shared" ref="S8:S15" si="2">(G8*$H$3+$H$4)</f>
        <v>4.020865501026778</v>
      </c>
      <c r="T8" s="148">
        <f t="shared" ref="T8:T15" si="3">(H8*$I$3+$I$4)</f>
        <v>53.244718975597301</v>
      </c>
      <c r="U8" s="148">
        <f t="shared" ref="U8:U15" si="4">SUM(R8:T8)</f>
        <v>57.265584476624078</v>
      </c>
      <c r="V8" s="147">
        <f t="shared" ref="V8:V16" si="5">O8*AP8/AQ8</f>
        <v>0.24019925674731663</v>
      </c>
      <c r="W8" s="148">
        <f t="shared" ref="W8:W16" si="6">P8*AP8/AQ8</f>
        <v>0.15033756244650837</v>
      </c>
      <c r="X8" s="148"/>
      <c r="Y8" s="148"/>
      <c r="Z8" s="148">
        <f t="shared" ref="Z8:Z15" si="7">S8*AP8/AQ8</f>
        <v>4.3943885257123255E-2</v>
      </c>
      <c r="AA8" s="148">
        <f t="shared" ref="AA8:AA15" si="8">T8*AP8/AQ8</f>
        <v>0.58190949700106342</v>
      </c>
      <c r="AB8" s="149">
        <f t="shared" ref="AB8:AB15" si="9">U8*AP8/AQ8</f>
        <v>0.62585338225818665</v>
      </c>
      <c r="AC8" s="147">
        <f t="shared" ref="AC8:AC16" si="10">V8*AR8/AS8</f>
        <v>2.6106575607451111E-3</v>
      </c>
      <c r="AD8" s="148">
        <f t="shared" ref="AD8:AD16" si="11">W8*AR8/AS8</f>
        <v>1.6339763052549577E-3</v>
      </c>
      <c r="AE8" s="148"/>
      <c r="AF8" s="148"/>
      <c r="AG8" s="148">
        <f t="shared" ref="AG8:AG15" si="12">Z8*AP8/AQ8</f>
        <v>4.8026104106145637E-4</v>
      </c>
      <c r="AH8" s="148">
        <f t="shared" ref="AH8:AH15" si="13">AA8*AP8/AQ8</f>
        <v>6.3596666338914037E-3</v>
      </c>
      <c r="AI8" s="148">
        <f t="shared" ref="AI8:AI15" si="14">AB8*AP8/AQ8</f>
        <v>6.8399276749528601E-3</v>
      </c>
      <c r="AJ8" s="148">
        <f t="shared" ref="AJ8:AJ16" si="15">AC8+AD8</f>
        <v>4.2446338660000688E-3</v>
      </c>
      <c r="AK8" s="149">
        <f t="shared" ref="AK8:AK15" si="16">AE8+AI8</f>
        <v>6.8399276749528601E-3</v>
      </c>
      <c r="AL8" s="148"/>
      <c r="AM8" s="29" t="s">
        <v>99</v>
      </c>
      <c r="AN8" s="147">
        <f t="shared" ref="AN8:AN16" si="17">AO8/12*1000</f>
        <v>45.283333333333339</v>
      </c>
      <c r="AO8" s="150">
        <f>'River, Stream, Melt PPL'!F2</f>
        <v>0.54339999999999999</v>
      </c>
      <c r="AP8" s="151">
        <v>0.1</v>
      </c>
      <c r="AQ8" s="151">
        <f>'River, Stream, Melt PPL'!V2</f>
        <v>9.15</v>
      </c>
      <c r="AR8" s="150">
        <f>'River, Stream, Melt PPL'!J2</f>
        <v>9.3470959595959595</v>
      </c>
      <c r="AS8" s="152">
        <f>'River, Stream, Melt PPL'!E2</f>
        <v>860</v>
      </c>
      <c r="AT8" s="19"/>
    </row>
    <row r="9" spans="1:46" ht="15.75" customHeight="1" x14ac:dyDescent="0.35">
      <c r="A9" s="19"/>
      <c r="B9" s="39" t="s">
        <v>90</v>
      </c>
      <c r="C9" s="75">
        <v>225.2</v>
      </c>
      <c r="D9" s="75">
        <v>408.6</v>
      </c>
      <c r="E9" s="77">
        <v>332623.43</v>
      </c>
      <c r="F9" s="153">
        <v>11101.74</v>
      </c>
      <c r="G9" s="153">
        <v>909499.37</v>
      </c>
      <c r="H9" s="153">
        <v>380921.68</v>
      </c>
      <c r="I9" s="146">
        <v>1.59</v>
      </c>
      <c r="J9" s="84">
        <v>3.0329999999999999</v>
      </c>
      <c r="K9" s="77">
        <v>0.82</v>
      </c>
      <c r="L9" s="77">
        <v>2.472</v>
      </c>
      <c r="M9" s="77">
        <v>1.601</v>
      </c>
      <c r="N9" s="77">
        <v>2.7549999999999999</v>
      </c>
      <c r="O9" s="147">
        <f t="shared" si="0"/>
        <v>39.939426758141465</v>
      </c>
      <c r="P9" s="148">
        <f t="shared" si="1"/>
        <v>48.340656084210096</v>
      </c>
      <c r="Q9" s="148">
        <f t="shared" ref="Q9:Q15" si="18">E9*$F$3+$F$4</f>
        <v>37.435903625419328</v>
      </c>
      <c r="R9" s="148">
        <f>(F9*$G$3+$G$4)</f>
        <v>17.785573211413336</v>
      </c>
      <c r="S9" s="148">
        <f t="shared" si="2"/>
        <v>40.494175293782313</v>
      </c>
      <c r="T9" s="148">
        <f t="shared" si="3"/>
        <v>169.9515680536698</v>
      </c>
      <c r="U9" s="148">
        <f t="shared" si="4"/>
        <v>228.23131655886544</v>
      </c>
      <c r="V9" s="147">
        <f t="shared" si="5"/>
        <v>0.43177758657450233</v>
      </c>
      <c r="W9" s="148">
        <f t="shared" si="6"/>
        <v>0.52260168739686597</v>
      </c>
      <c r="X9" s="148">
        <f t="shared" ref="X9:X15" si="19">Q9*AP9/AQ9</f>
        <v>0.40471247162615492</v>
      </c>
      <c r="Y9" s="148">
        <f>R9*AP9/AQ9</f>
        <v>0.19227646715041447</v>
      </c>
      <c r="Z9" s="148">
        <f t="shared" si="7"/>
        <v>0.43777486804088983</v>
      </c>
      <c r="AA9" s="148">
        <f t="shared" si="8"/>
        <v>1.837314249228863</v>
      </c>
      <c r="AB9" s="149">
        <f t="shared" si="9"/>
        <v>2.467365584420167</v>
      </c>
      <c r="AC9" s="147">
        <f t="shared" si="10"/>
        <v>4.2778157919821508E-3</v>
      </c>
      <c r="AD9" s="148">
        <f t="shared" si="11"/>
        <v>5.1776512277973133E-3</v>
      </c>
      <c r="AE9" s="148">
        <f t="shared" ref="AE9:AE15" si="20">X9*AR9/AS9</f>
        <v>4.0096694598476205E-3</v>
      </c>
      <c r="AF9" s="148">
        <f>Y9*AP9/AQ9</f>
        <v>2.0786645097342106E-3</v>
      </c>
      <c r="AG9" s="148">
        <f t="shared" si="12"/>
        <v>4.7327012761177283E-3</v>
      </c>
      <c r="AH9" s="148">
        <f t="shared" si="13"/>
        <v>1.986285674842014E-2</v>
      </c>
      <c r="AI9" s="148">
        <f t="shared" si="14"/>
        <v>2.6674222534272075E-2</v>
      </c>
      <c r="AJ9" s="148">
        <f t="shared" si="15"/>
        <v>9.4554670197794649E-3</v>
      </c>
      <c r="AK9" s="149">
        <f t="shared" si="16"/>
        <v>3.0683891994119694E-2</v>
      </c>
      <c r="AL9" s="148"/>
      <c r="AM9" s="29" t="s">
        <v>90</v>
      </c>
      <c r="AN9" s="147">
        <f t="shared" si="17"/>
        <v>45.383333333333333</v>
      </c>
      <c r="AO9" s="150">
        <f>'River, Stream, Melt PPL'!F3</f>
        <v>0.54459999999999997</v>
      </c>
      <c r="AP9" s="151">
        <v>0.1</v>
      </c>
      <c r="AQ9" s="151">
        <f>'River, Stream, Melt PPL'!V3</f>
        <v>9.25</v>
      </c>
      <c r="AR9" s="150">
        <f>'River, Stream, Melt PPL'!J3</f>
        <v>9.3130050505050512</v>
      </c>
      <c r="AS9" s="152">
        <f>'River, Stream, Melt PPL'!E3</f>
        <v>940</v>
      </c>
      <c r="AT9" s="19"/>
    </row>
    <row r="10" spans="1:46" ht="15.75" customHeight="1" x14ac:dyDescent="0.35">
      <c r="A10" s="19"/>
      <c r="B10" s="39" t="s">
        <v>86</v>
      </c>
      <c r="C10" s="75">
        <v>160</v>
      </c>
      <c r="D10" s="75">
        <v>980.7</v>
      </c>
      <c r="E10" s="75">
        <v>57256.18</v>
      </c>
      <c r="F10" s="153"/>
      <c r="G10" s="84">
        <v>246251.34</v>
      </c>
      <c r="H10" s="153">
        <v>10866.37</v>
      </c>
      <c r="I10" s="146">
        <v>1.597</v>
      </c>
      <c r="J10" s="84">
        <v>2.7490000000000001</v>
      </c>
      <c r="K10" s="75">
        <v>0.85</v>
      </c>
      <c r="L10" s="77"/>
      <c r="M10" s="75">
        <v>1.605</v>
      </c>
      <c r="N10" s="77">
        <v>2.7480000000000002</v>
      </c>
      <c r="O10" s="147">
        <f t="shared" si="0"/>
        <v>34.407684203924731</v>
      </c>
      <c r="P10" s="148">
        <f t="shared" si="1"/>
        <v>98.444344141325459</v>
      </c>
      <c r="Q10" s="148">
        <f t="shared" si="18"/>
        <v>13.190214849199155</v>
      </c>
      <c r="R10" s="148"/>
      <c r="S10" s="148">
        <f t="shared" si="2"/>
        <v>12.396411911343137</v>
      </c>
      <c r="T10" s="148">
        <f t="shared" si="3"/>
        <v>14.731561880846883</v>
      </c>
      <c r="U10" s="148">
        <f t="shared" si="4"/>
        <v>27.127973792190019</v>
      </c>
      <c r="V10" s="147">
        <f t="shared" si="5"/>
        <v>0.37707051182383267</v>
      </c>
      <c r="W10" s="148">
        <f t="shared" si="6"/>
        <v>1.0788421275761695</v>
      </c>
      <c r="X10" s="148">
        <f t="shared" si="19"/>
        <v>0.14455029971725103</v>
      </c>
      <c r="Y10" s="148"/>
      <c r="Z10" s="148">
        <f t="shared" si="7"/>
        <v>0.13585108943937685</v>
      </c>
      <c r="AA10" s="148">
        <f t="shared" si="8"/>
        <v>0.16144177403667817</v>
      </c>
      <c r="AB10" s="149">
        <f t="shared" si="9"/>
        <v>0.29729286347605505</v>
      </c>
      <c r="AC10" s="147">
        <f t="shared" si="10"/>
        <v>4.2257862145174581E-3</v>
      </c>
      <c r="AD10" s="148">
        <f t="shared" si="11"/>
        <v>1.209046066291709E-2</v>
      </c>
      <c r="AE10" s="148">
        <f t="shared" si="20"/>
        <v>1.6199587204392954E-3</v>
      </c>
      <c r="AF10" s="148"/>
      <c r="AG10" s="148">
        <f t="shared" si="12"/>
        <v>1.4887790623493353E-3</v>
      </c>
      <c r="AH10" s="148">
        <f t="shared" si="13"/>
        <v>1.7692249209498977E-3</v>
      </c>
      <c r="AI10" s="148">
        <f t="shared" si="14"/>
        <v>3.2580039832992339E-3</v>
      </c>
      <c r="AJ10" s="148">
        <f t="shared" si="15"/>
        <v>1.6316246877434548E-2</v>
      </c>
      <c r="AK10" s="149">
        <f t="shared" si="16"/>
        <v>4.8779627037385288E-3</v>
      </c>
      <c r="AL10" s="148"/>
      <c r="AM10" s="29" t="s">
        <v>86</v>
      </c>
      <c r="AN10" s="147">
        <f t="shared" si="17"/>
        <v>15.575000000000001</v>
      </c>
      <c r="AO10" s="150">
        <f>'River, Stream, Melt PPL'!F4</f>
        <v>0.18690000000000001</v>
      </c>
      <c r="AP10" s="151">
        <v>0.1</v>
      </c>
      <c r="AQ10" s="151">
        <f>'River, Stream, Melt PPL'!V4</f>
        <v>9.125</v>
      </c>
      <c r="AR10" s="150">
        <f>'River, Stream, Melt PPL'!J4</f>
        <v>9.1896464646464615</v>
      </c>
      <c r="AS10" s="152">
        <f>'River, Stream, Melt PPL'!E4</f>
        <v>820</v>
      </c>
      <c r="AT10" s="19"/>
    </row>
    <row r="11" spans="1:46" ht="15.75" customHeight="1" x14ac:dyDescent="0.35">
      <c r="A11" s="19"/>
      <c r="B11" s="39" t="s">
        <v>104</v>
      </c>
      <c r="C11" s="75">
        <v>73.7</v>
      </c>
      <c r="D11" s="75">
        <v>777.1</v>
      </c>
      <c r="E11" s="75">
        <v>45390.17</v>
      </c>
      <c r="F11" s="153">
        <v>3742.48</v>
      </c>
      <c r="G11" s="84">
        <v>183599.41</v>
      </c>
      <c r="H11" s="84">
        <v>9627.8799999999992</v>
      </c>
      <c r="I11" s="146">
        <v>1.59</v>
      </c>
      <c r="J11" s="84">
        <v>2.7519999999999998</v>
      </c>
      <c r="K11" s="75">
        <v>0.87</v>
      </c>
      <c r="L11" s="77">
        <v>2.3719999999999999</v>
      </c>
      <c r="M11" s="75">
        <v>1.603</v>
      </c>
      <c r="N11" s="75">
        <v>2.7229999999999999</v>
      </c>
      <c r="O11" s="147">
        <f t="shared" si="0"/>
        <v>27.085761160536638</v>
      </c>
      <c r="P11" s="148">
        <f t="shared" si="1"/>
        <v>80.613351502925369</v>
      </c>
      <c r="Q11" s="148">
        <f t="shared" si="18"/>
        <v>12.145429801320308</v>
      </c>
      <c r="R11" s="148"/>
      <c r="S11" s="148">
        <f t="shared" si="2"/>
        <v>9.7422327431168227</v>
      </c>
      <c r="T11" s="148">
        <f t="shared" si="3"/>
        <v>14.21207622491891</v>
      </c>
      <c r="U11" s="148">
        <f t="shared" si="4"/>
        <v>23.954308968035733</v>
      </c>
      <c r="V11" s="147">
        <f t="shared" si="5"/>
        <v>0.29046392665454845</v>
      </c>
      <c r="W11" s="148">
        <f t="shared" si="6"/>
        <v>0.86448634319491025</v>
      </c>
      <c r="X11" s="148">
        <f t="shared" si="19"/>
        <v>0.13024589599271111</v>
      </c>
      <c r="Y11" s="148"/>
      <c r="Z11" s="148">
        <f t="shared" si="7"/>
        <v>0.1044743457706898</v>
      </c>
      <c r="AA11" s="148">
        <f t="shared" si="8"/>
        <v>0.15240832412781674</v>
      </c>
      <c r="AB11" s="149">
        <f t="shared" si="9"/>
        <v>0.25688266989850655</v>
      </c>
      <c r="AC11" s="147">
        <f t="shared" si="10"/>
        <v>3.2253804682036507E-3</v>
      </c>
      <c r="AD11" s="148">
        <f t="shared" si="11"/>
        <v>9.5994617937042847E-3</v>
      </c>
      <c r="AE11" s="148">
        <f t="shared" si="20"/>
        <v>1.446281381089345E-3</v>
      </c>
      <c r="AF11" s="148"/>
      <c r="AG11" s="148">
        <f t="shared" si="12"/>
        <v>1.1203683192567272E-3</v>
      </c>
      <c r="AH11" s="148">
        <f t="shared" si="13"/>
        <v>1.6344056206736382E-3</v>
      </c>
      <c r="AI11" s="148">
        <f t="shared" si="14"/>
        <v>2.7547739399303656E-3</v>
      </c>
      <c r="AJ11" s="148">
        <f t="shared" si="15"/>
        <v>1.2824842261907936E-2</v>
      </c>
      <c r="AK11" s="149">
        <f t="shared" si="16"/>
        <v>4.2010553210197104E-3</v>
      </c>
      <c r="AL11" s="148"/>
      <c r="AM11" s="29" t="s">
        <v>104</v>
      </c>
      <c r="AN11" s="147">
        <f t="shared" si="17"/>
        <v>7.5</v>
      </c>
      <c r="AO11" s="150" t="str">
        <f>'River, Stream, Melt PPL'!F5</f>
        <v>0.09</v>
      </c>
      <c r="AP11" s="151">
        <v>0.1</v>
      </c>
      <c r="AQ11" s="151">
        <f>'River, Stream, Melt PPL'!V5</f>
        <v>9.3249999999999993</v>
      </c>
      <c r="AR11" s="150">
        <f>'River, Stream, Melt PPL'!J5</f>
        <v>9.3830808080808072</v>
      </c>
      <c r="AS11" s="152">
        <f>'River, Stream, Melt PPL'!E5</f>
        <v>845</v>
      </c>
      <c r="AT11" s="19"/>
    </row>
    <row r="12" spans="1:46" ht="15.75" customHeight="1" x14ac:dyDescent="0.35">
      <c r="A12" s="19"/>
      <c r="B12" s="39" t="s">
        <v>95</v>
      </c>
      <c r="C12" s="75">
        <v>601.20000000000005</v>
      </c>
      <c r="D12" s="75">
        <v>794.2</v>
      </c>
      <c r="E12" s="75">
        <v>123317.58</v>
      </c>
      <c r="F12" s="153">
        <v>9739.85</v>
      </c>
      <c r="G12" s="84">
        <v>318649.65000000002</v>
      </c>
      <c r="H12" s="84">
        <v>272155.46000000002</v>
      </c>
      <c r="I12" s="146">
        <v>1.581</v>
      </c>
      <c r="J12" s="84">
        <v>3.03</v>
      </c>
      <c r="K12" s="75">
        <v>0.83699999999999997</v>
      </c>
      <c r="L12" s="77">
        <v>2.331</v>
      </c>
      <c r="M12" s="75">
        <v>1.607</v>
      </c>
      <c r="N12" s="75">
        <v>2.7610000000000001</v>
      </c>
      <c r="O12" s="147">
        <f t="shared" si="0"/>
        <v>71.840273389820766</v>
      </c>
      <c r="P12" s="148">
        <f t="shared" si="1"/>
        <v>82.110944696032647</v>
      </c>
      <c r="Q12" s="148">
        <f t="shared" si="18"/>
        <v>19.006825737100282</v>
      </c>
      <c r="R12" s="148">
        <f>(F12*$G$3+$G$4)</f>
        <v>16.036224234901937</v>
      </c>
      <c r="S12" s="148">
        <f t="shared" si="2"/>
        <v>15.463485602716906</v>
      </c>
      <c r="T12" s="148">
        <f t="shared" si="3"/>
        <v>124.32948701990594</v>
      </c>
      <c r="U12" s="148">
        <f t="shared" si="4"/>
        <v>155.82919685752478</v>
      </c>
      <c r="V12" s="147">
        <f t="shared" si="5"/>
        <v>0.77665160421427859</v>
      </c>
      <c r="W12" s="148">
        <f t="shared" si="6"/>
        <v>0.88768588860575848</v>
      </c>
      <c r="X12" s="148">
        <f t="shared" si="19"/>
        <v>0.20547919715784091</v>
      </c>
      <c r="Y12" s="148">
        <f>R12*AP12/AQ12</f>
        <v>0.17336458632326418</v>
      </c>
      <c r="Z12" s="148">
        <f t="shared" si="7"/>
        <v>0.16717281732666925</v>
      </c>
      <c r="AA12" s="148">
        <f t="shared" si="8"/>
        <v>1.3441025623773617</v>
      </c>
      <c r="AB12" s="149">
        <f t="shared" si="9"/>
        <v>1.684639966027295</v>
      </c>
      <c r="AC12" s="147">
        <f t="shared" si="10"/>
        <v>9.7311293796512668E-3</v>
      </c>
      <c r="AD12" s="148">
        <f t="shared" si="11"/>
        <v>1.112234389736747E-2</v>
      </c>
      <c r="AE12" s="148">
        <f t="shared" si="20"/>
        <v>2.5745709421314033E-3</v>
      </c>
      <c r="AF12" s="148">
        <f>Y12*AP12/AQ12</f>
        <v>1.8742117440352887E-3</v>
      </c>
      <c r="AG12" s="148">
        <f t="shared" si="12"/>
        <v>1.8072737008288566E-3</v>
      </c>
      <c r="AH12" s="148">
        <f t="shared" si="13"/>
        <v>1.4530838512187694E-2</v>
      </c>
      <c r="AI12" s="148">
        <f t="shared" si="14"/>
        <v>1.821232395705184E-2</v>
      </c>
      <c r="AJ12" s="148">
        <f t="shared" si="15"/>
        <v>2.0853473277018739E-2</v>
      </c>
      <c r="AK12" s="149">
        <f t="shared" si="16"/>
        <v>2.0786894899183242E-2</v>
      </c>
      <c r="AL12" s="148"/>
      <c r="AM12" s="29" t="s">
        <v>95</v>
      </c>
      <c r="AN12" s="147">
        <f t="shared" si="17"/>
        <v>24.166666666666668</v>
      </c>
      <c r="AO12" s="150" t="str">
        <f>'River, Stream, Melt PPL'!F6</f>
        <v>0.29</v>
      </c>
      <c r="AP12" s="151">
        <v>0.1</v>
      </c>
      <c r="AQ12" s="151">
        <f>'River, Stream, Melt PPL'!V6</f>
        <v>9.25</v>
      </c>
      <c r="AR12" s="150">
        <f>'River, Stream, Melt PPL'!J6</f>
        <v>9.3282828282828305</v>
      </c>
      <c r="AS12" s="152">
        <f>'River, Stream, Melt PPL'!E6</f>
        <v>744.5</v>
      </c>
      <c r="AT12" s="19"/>
    </row>
    <row r="13" spans="1:46" ht="15.75" customHeight="1" x14ac:dyDescent="0.35">
      <c r="A13" s="19"/>
      <c r="B13" s="38" t="s">
        <v>121</v>
      </c>
      <c r="C13" s="75">
        <v>118.8</v>
      </c>
      <c r="D13" s="75">
        <v>155.19999999999999</v>
      </c>
      <c r="E13" s="75">
        <v>47284.639999999999</v>
      </c>
      <c r="F13" s="84"/>
      <c r="G13" s="84">
        <v>254901.06</v>
      </c>
      <c r="H13" s="84">
        <v>356262.88</v>
      </c>
      <c r="I13" s="146">
        <v>1.593</v>
      </c>
      <c r="J13" s="84">
        <v>3.048</v>
      </c>
      <c r="K13" s="75">
        <v>0.85</v>
      </c>
      <c r="L13" s="75"/>
      <c r="M13" s="75">
        <v>1.6080000000000001</v>
      </c>
      <c r="N13" s="75">
        <v>2.7509999999999999</v>
      </c>
      <c r="O13" s="147">
        <f t="shared" si="0"/>
        <v>30.912165902793916</v>
      </c>
      <c r="P13" s="148">
        <f t="shared" si="1"/>
        <v>26.148251690444958</v>
      </c>
      <c r="Q13" s="148">
        <f t="shared" si="18"/>
        <v>12.31223514950854</v>
      </c>
      <c r="R13" s="148"/>
      <c r="S13" s="148">
        <f t="shared" si="2"/>
        <v>12.762847656179577</v>
      </c>
      <c r="T13" s="148">
        <f t="shared" si="3"/>
        <v>159.60841397701461</v>
      </c>
      <c r="U13" s="148">
        <f t="shared" si="4"/>
        <v>172.37126163319419</v>
      </c>
      <c r="V13" s="147">
        <f t="shared" si="5"/>
        <v>0.33783787871905918</v>
      </c>
      <c r="W13" s="148">
        <f t="shared" si="6"/>
        <v>0.28577324251852415</v>
      </c>
      <c r="X13" s="148">
        <f t="shared" si="19"/>
        <v>0.13455994698916438</v>
      </c>
      <c r="Y13" s="148"/>
      <c r="Z13" s="148">
        <f t="shared" si="7"/>
        <v>0.13948467383802818</v>
      </c>
      <c r="AA13" s="148">
        <f t="shared" si="8"/>
        <v>1.7443542511149137</v>
      </c>
      <c r="AB13" s="149">
        <f t="shared" si="9"/>
        <v>1.8838389249529419</v>
      </c>
      <c r="AC13" s="147">
        <f t="shared" si="10"/>
        <v>4.1358536612085117E-3</v>
      </c>
      <c r="AD13" s="148">
        <f t="shared" si="11"/>
        <v>3.4984718582386364E-3</v>
      </c>
      <c r="AE13" s="148">
        <f t="shared" si="20"/>
        <v>1.6472997389080592E-3</v>
      </c>
      <c r="AF13" s="148"/>
      <c r="AG13" s="148">
        <f t="shared" si="12"/>
        <v>1.5244226648964828E-3</v>
      </c>
      <c r="AH13" s="148">
        <f t="shared" si="13"/>
        <v>1.906398088650179E-2</v>
      </c>
      <c r="AI13" s="148">
        <f t="shared" si="14"/>
        <v>2.0588403551398272E-2</v>
      </c>
      <c r="AJ13" s="148">
        <f t="shared" si="15"/>
        <v>7.6343255194471476E-3</v>
      </c>
      <c r="AK13" s="149">
        <f t="shared" si="16"/>
        <v>2.223570329030633E-2</v>
      </c>
      <c r="AL13" s="148"/>
      <c r="AM13" s="33" t="s">
        <v>121</v>
      </c>
      <c r="AN13" s="147">
        <f t="shared" si="17"/>
        <v>22.95</v>
      </c>
      <c r="AO13" s="150">
        <f>'River, Stream, Melt PPL'!F7</f>
        <v>0.27539999999999998</v>
      </c>
      <c r="AP13" s="151">
        <v>0.1</v>
      </c>
      <c r="AQ13" s="151">
        <f>'River, Stream, Melt PPL'!V7</f>
        <v>9.15</v>
      </c>
      <c r="AR13" s="150">
        <f>'River, Stream, Melt PPL'!J7</f>
        <v>9.1020202020202046</v>
      </c>
      <c r="AS13" s="152">
        <f>'River, Stream, Melt PPL'!E7</f>
        <v>743.5</v>
      </c>
      <c r="AT13" s="19"/>
    </row>
    <row r="14" spans="1:46" ht="15.75" customHeight="1" x14ac:dyDescent="0.35">
      <c r="A14" s="19"/>
      <c r="B14" s="38" t="s">
        <v>127</v>
      </c>
      <c r="C14" s="75">
        <v>202.2</v>
      </c>
      <c r="D14" s="75">
        <v>204.1</v>
      </c>
      <c r="E14" s="75">
        <v>27131.25</v>
      </c>
      <c r="F14" s="153"/>
      <c r="G14" s="84">
        <v>138234.9</v>
      </c>
      <c r="H14" s="153">
        <v>195050.58</v>
      </c>
      <c r="I14" s="146">
        <v>1.597</v>
      </c>
      <c r="J14" s="84">
        <v>3.052</v>
      </c>
      <c r="K14" s="75">
        <v>0.84</v>
      </c>
      <c r="L14" s="77"/>
      <c r="M14" s="75">
        <v>1.617</v>
      </c>
      <c r="N14" s="77">
        <v>2.7490000000000001</v>
      </c>
      <c r="O14" s="147">
        <f t="shared" si="0"/>
        <v>37.988045182267456</v>
      </c>
      <c r="P14" s="148">
        <f t="shared" si="1"/>
        <v>30.430842751435943</v>
      </c>
      <c r="Q14" s="148">
        <f t="shared" si="18"/>
        <v>10.537758258281322</v>
      </c>
      <c r="R14" s="148"/>
      <c r="S14" s="148">
        <f t="shared" si="2"/>
        <v>7.8204158506636388</v>
      </c>
      <c r="T14" s="148">
        <f t="shared" si="3"/>
        <v>91.987781263664317</v>
      </c>
      <c r="U14" s="148">
        <f t="shared" si="4"/>
        <v>99.808197114327953</v>
      </c>
      <c r="V14" s="147">
        <f t="shared" si="5"/>
        <v>0.40198989610865038</v>
      </c>
      <c r="W14" s="148">
        <f t="shared" si="6"/>
        <v>0.32201950001519519</v>
      </c>
      <c r="X14" s="148">
        <f t="shared" si="19"/>
        <v>0.11151066939980236</v>
      </c>
      <c r="Y14" s="148"/>
      <c r="Z14" s="148">
        <f t="shared" si="7"/>
        <v>8.2755723287445918E-2</v>
      </c>
      <c r="AA14" s="148">
        <f t="shared" si="8"/>
        <v>0.97341567474777069</v>
      </c>
      <c r="AB14" s="149">
        <f t="shared" si="9"/>
        <v>1.0561713980352165</v>
      </c>
      <c r="AC14" s="147">
        <f t="shared" si="10"/>
        <v>4.6602487083539654E-3</v>
      </c>
      <c r="AD14" s="148">
        <f t="shared" si="11"/>
        <v>3.7331559164486914E-3</v>
      </c>
      <c r="AE14" s="148">
        <f t="shared" si="20"/>
        <v>1.2927375988018828E-3</v>
      </c>
      <c r="AF14" s="148"/>
      <c r="AG14" s="148">
        <f t="shared" si="12"/>
        <v>8.7572193954969237E-4</v>
      </c>
      <c r="AH14" s="148">
        <f t="shared" si="13"/>
        <v>1.0300694970875881E-2</v>
      </c>
      <c r="AI14" s="148">
        <f t="shared" si="14"/>
        <v>1.1176416910425573E-2</v>
      </c>
      <c r="AJ14" s="148">
        <f t="shared" si="15"/>
        <v>8.3934046248026577E-3</v>
      </c>
      <c r="AK14" s="149">
        <f t="shared" si="16"/>
        <v>1.2469154509227457E-2</v>
      </c>
      <c r="AL14" s="148"/>
      <c r="AM14" s="33" t="s">
        <v>127</v>
      </c>
      <c r="AN14" s="147">
        <f t="shared" si="17"/>
        <v>21.241666666666671</v>
      </c>
      <c r="AO14" s="150">
        <f>'River, Stream, Melt PPL'!F8</f>
        <v>0.25490000000000002</v>
      </c>
      <c r="AP14" s="151">
        <v>0.1</v>
      </c>
      <c r="AQ14" s="151">
        <f>'River, Stream, Melt PPL'!V8</f>
        <v>9.4499999999999993</v>
      </c>
      <c r="AR14" s="150">
        <f>'River, Stream, Melt PPL'!J8</f>
        <v>9.3960858585858595</v>
      </c>
      <c r="AS14" s="152">
        <f>'River, Stream, Melt PPL'!E8</f>
        <v>810.5</v>
      </c>
      <c r="AT14" s="19"/>
    </row>
    <row r="15" spans="1:46" ht="15.75" customHeight="1" x14ac:dyDescent="0.35">
      <c r="A15" s="19"/>
      <c r="B15" s="38" t="s">
        <v>137</v>
      </c>
      <c r="C15" s="75">
        <v>726.9</v>
      </c>
      <c r="D15" s="75">
        <v>1546</v>
      </c>
      <c r="E15" s="75">
        <v>280293.87</v>
      </c>
      <c r="F15" s="84">
        <v>6406.89</v>
      </c>
      <c r="G15" s="84">
        <v>607130.64</v>
      </c>
      <c r="H15" s="84">
        <v>8058.5</v>
      </c>
      <c r="I15" s="146">
        <v>1.571</v>
      </c>
      <c r="J15" s="84">
        <v>2.9609999999999999</v>
      </c>
      <c r="K15" s="75">
        <v>0.83</v>
      </c>
      <c r="L15" s="75">
        <v>2.3199999999999998</v>
      </c>
      <c r="M15" s="75">
        <v>1.59</v>
      </c>
      <c r="N15" s="75">
        <v>2.76</v>
      </c>
      <c r="O15" s="147">
        <f t="shared" si="0"/>
        <v>82.504997915358231</v>
      </c>
      <c r="P15" s="148">
        <f t="shared" si="1"/>
        <v>147.95249806317008</v>
      </c>
      <c r="Q15" s="148">
        <f t="shared" si="18"/>
        <v>32.828361422936865</v>
      </c>
      <c r="R15" s="148">
        <f>(F15*$G$3+$G$4)</f>
        <v>11.755034003125916</v>
      </c>
      <c r="S15" s="148">
        <f t="shared" si="2"/>
        <v>27.684661136931158</v>
      </c>
      <c r="T15" s="148">
        <f t="shared" si="3"/>
        <v>13.553798484525171</v>
      </c>
      <c r="U15" s="148">
        <f t="shared" si="4"/>
        <v>52.993493624582243</v>
      </c>
      <c r="V15" s="147">
        <f t="shared" si="5"/>
        <v>0.88240639481666561</v>
      </c>
      <c r="W15" s="148">
        <f t="shared" si="6"/>
        <v>1.5823796584296268</v>
      </c>
      <c r="X15" s="148">
        <f t="shared" si="19"/>
        <v>0.35110546976403068</v>
      </c>
      <c r="Y15" s="148">
        <f>R15*AP15/AQ15</f>
        <v>0.12572228880348574</v>
      </c>
      <c r="Z15" s="148">
        <f t="shared" si="7"/>
        <v>0.29609263248054718</v>
      </c>
      <c r="AA15" s="148">
        <f t="shared" si="8"/>
        <v>0.1449604115991997</v>
      </c>
      <c r="AB15" s="149">
        <f t="shared" si="9"/>
        <v>0.56677533288323256</v>
      </c>
      <c r="AC15" s="147">
        <f t="shared" si="10"/>
        <v>1.0527468401479273E-2</v>
      </c>
      <c r="AD15" s="148">
        <f t="shared" si="11"/>
        <v>1.8878435096475622E-2</v>
      </c>
      <c r="AE15" s="148">
        <f t="shared" si="20"/>
        <v>4.1888315409311224E-3</v>
      </c>
      <c r="AF15" s="148">
        <f>Y15*AP15/AQ15</f>
        <v>1.3446234096629493E-3</v>
      </c>
      <c r="AG15" s="148">
        <f t="shared" si="12"/>
        <v>3.1667661227866013E-3</v>
      </c>
      <c r="AH15" s="148">
        <f t="shared" si="13"/>
        <v>1.5503787336812803E-3</v>
      </c>
      <c r="AI15" s="148">
        <f t="shared" si="14"/>
        <v>6.0617682661308295E-3</v>
      </c>
      <c r="AJ15" s="148">
        <f t="shared" si="15"/>
        <v>2.9405903497954897E-2</v>
      </c>
      <c r="AK15" s="149">
        <f t="shared" si="16"/>
        <v>1.0250599807061951E-2</v>
      </c>
      <c r="AL15" s="148"/>
      <c r="AM15" s="33" t="s">
        <v>137</v>
      </c>
      <c r="AN15" s="147">
        <f t="shared" si="17"/>
        <v>22.500000000000004</v>
      </c>
      <c r="AO15" s="150">
        <f>'River, Stream, Melt PPL'!F9</f>
        <v>0.27</v>
      </c>
      <c r="AP15" s="151">
        <v>0.1</v>
      </c>
      <c r="AQ15" s="151">
        <f>'River, Stream, Melt PPL'!V9</f>
        <v>9.35</v>
      </c>
      <c r="AR15" s="150">
        <f>'River, Stream, Melt PPL'!J9</f>
        <v>9.3474747474747453</v>
      </c>
      <c r="AS15" s="152">
        <f>'River, Stream, Melt PPL'!E9</f>
        <v>783.5</v>
      </c>
      <c r="AT15" s="19"/>
    </row>
    <row r="16" spans="1:46" ht="15.75" customHeight="1" x14ac:dyDescent="0.35">
      <c r="A16" s="19"/>
      <c r="B16" s="154" t="s">
        <v>190</v>
      </c>
      <c r="C16" s="87">
        <v>1972.4</v>
      </c>
      <c r="D16" s="87">
        <v>3882.4</v>
      </c>
      <c r="E16" s="155">
        <v>17822.77</v>
      </c>
      <c r="F16" s="125"/>
      <c r="G16" s="156">
        <v>13410.8</v>
      </c>
      <c r="H16" s="125"/>
      <c r="I16" s="157">
        <v>1.5740000000000001</v>
      </c>
      <c r="J16" s="90">
        <v>3.032</v>
      </c>
      <c r="K16" s="87">
        <v>0.86</v>
      </c>
      <c r="L16" s="124"/>
      <c r="M16" s="87">
        <v>1.6859999999999999</v>
      </c>
      <c r="N16" s="124"/>
      <c r="O16" s="158">
        <f>C16*$L$3+$L$4</f>
        <v>174.59268943695869</v>
      </c>
      <c r="P16" s="159">
        <f>D16*$M$3+$M$4</f>
        <v>331.95742488169003</v>
      </c>
      <c r="Q16" s="107"/>
      <c r="R16" s="70"/>
      <c r="S16" s="70"/>
      <c r="T16" s="70"/>
      <c r="U16" s="70"/>
      <c r="V16" s="160">
        <f t="shared" si="5"/>
        <v>1.9292009882536874</v>
      </c>
      <c r="W16" s="161">
        <f t="shared" si="6"/>
        <v>3.6680378439965748</v>
      </c>
      <c r="X16" s="161"/>
      <c r="Y16" s="161"/>
      <c r="Z16" s="161"/>
      <c r="AA16" s="161"/>
      <c r="AB16" s="162"/>
      <c r="AC16" s="160">
        <f t="shared" si="10"/>
        <v>1.9404536016156743E-2</v>
      </c>
      <c r="AD16" s="161">
        <f t="shared" si="11"/>
        <v>3.6894327177847075E-2</v>
      </c>
      <c r="AE16" s="161"/>
      <c r="AF16" s="161"/>
      <c r="AG16" s="161"/>
      <c r="AH16" s="161"/>
      <c r="AI16" s="161"/>
      <c r="AJ16" s="161">
        <f t="shared" si="15"/>
        <v>5.6298863194003818E-2</v>
      </c>
      <c r="AK16" s="162"/>
      <c r="AL16" s="163"/>
      <c r="AM16" s="164" t="s">
        <v>190</v>
      </c>
      <c r="AN16" s="160">
        <f t="shared" si="17"/>
        <v>44.924999999999997</v>
      </c>
      <c r="AO16" s="165">
        <f>'River, Stream, Melt PPL'!F10</f>
        <v>0.53910000000000002</v>
      </c>
      <c r="AP16" s="166">
        <v>0.1</v>
      </c>
      <c r="AQ16" s="167">
        <f>'River, Stream, Melt PPL'!V10</f>
        <v>9.0500000000000007</v>
      </c>
      <c r="AR16" s="165">
        <f>'River, Stream, Melt PPL'!J10</f>
        <v>9.2536616161616152</v>
      </c>
      <c r="AS16" s="168">
        <f>'River, Stream, Melt PPL'!E10</f>
        <v>920</v>
      </c>
      <c r="AT16" s="19"/>
    </row>
    <row r="17" spans="1:46" ht="15.75" customHeight="1" x14ac:dyDescent="0.35">
      <c r="A17" s="19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E17" s="19"/>
      <c r="AF17" s="19"/>
      <c r="AG17" s="19"/>
      <c r="AH17" s="19"/>
      <c r="AI17" s="19"/>
      <c r="AJ17" s="19"/>
      <c r="AK17" s="19"/>
      <c r="AL17" s="19"/>
      <c r="AM17" s="130"/>
      <c r="AN17" s="130"/>
      <c r="AO17" s="130"/>
      <c r="AP17" s="169"/>
      <c r="AQ17" s="19"/>
      <c r="AR17" s="19"/>
      <c r="AS17" s="169"/>
      <c r="AT17" s="19"/>
    </row>
    <row r="18" spans="1:46" ht="15.75" customHeight="1" x14ac:dyDescent="0.35">
      <c r="A18" s="19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E18" s="19"/>
      <c r="AF18" s="19"/>
      <c r="AG18" s="19"/>
      <c r="AH18" s="19"/>
      <c r="AI18" s="19"/>
      <c r="AJ18" s="19"/>
      <c r="AK18" s="19"/>
      <c r="AL18" s="19"/>
      <c r="AM18" s="130"/>
      <c r="AN18" s="130"/>
      <c r="AO18" s="130"/>
      <c r="AP18" s="169"/>
      <c r="AQ18" s="19"/>
      <c r="AR18" s="19"/>
      <c r="AS18" s="169"/>
      <c r="AT18" s="19"/>
    </row>
    <row r="19" spans="1:46" ht="15.75" customHeight="1" x14ac:dyDescent="0.35">
      <c r="A19" s="19"/>
      <c r="B19" s="1" t="s">
        <v>298</v>
      </c>
      <c r="C19" s="3"/>
      <c r="D19" s="62" t="s">
        <v>0</v>
      </c>
      <c r="E19" s="7" t="s">
        <v>191</v>
      </c>
      <c r="F19" s="3"/>
      <c r="G19" s="3"/>
      <c r="H19" s="3"/>
      <c r="I19" s="3"/>
      <c r="J19" s="3"/>
      <c r="K19" s="3"/>
      <c r="L19" s="3"/>
      <c r="M19" s="3"/>
      <c r="N19" s="3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E19" s="19"/>
      <c r="AF19" s="19"/>
      <c r="AG19" s="19"/>
      <c r="AH19" s="19"/>
      <c r="AI19" s="19"/>
      <c r="AJ19" s="19"/>
      <c r="AK19" s="19"/>
      <c r="AL19" s="19"/>
      <c r="AM19" s="130"/>
      <c r="AN19" s="130"/>
      <c r="AO19" s="130"/>
      <c r="AP19" s="19"/>
      <c r="AQ19" s="19"/>
      <c r="AR19" s="19"/>
      <c r="AS19" s="169"/>
      <c r="AT19" s="19"/>
    </row>
    <row r="20" spans="1:46" ht="15.75" customHeight="1" x14ac:dyDescent="0.35">
      <c r="A20" s="19"/>
      <c r="B20" s="7" t="s">
        <v>299</v>
      </c>
      <c r="C20" s="3"/>
      <c r="D20" s="62" t="s">
        <v>300</v>
      </c>
      <c r="E20" s="7" t="s">
        <v>301</v>
      </c>
      <c r="F20" s="3"/>
      <c r="G20" s="3"/>
      <c r="H20" s="3"/>
      <c r="I20" s="3"/>
      <c r="J20" s="3"/>
      <c r="K20" s="3"/>
      <c r="L20" s="3"/>
      <c r="M20" s="3"/>
      <c r="N20" s="3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E20" s="19"/>
      <c r="AF20" s="19"/>
      <c r="AG20" s="19"/>
      <c r="AH20" s="19"/>
      <c r="AI20" s="19"/>
      <c r="AJ20" s="19"/>
      <c r="AK20" s="19"/>
      <c r="AL20" s="19"/>
      <c r="AM20" s="130"/>
      <c r="AN20" s="130"/>
      <c r="AO20" s="130"/>
      <c r="AP20" s="19"/>
      <c r="AQ20" s="19"/>
      <c r="AR20" s="19"/>
      <c r="AS20" s="169"/>
      <c r="AT20" s="19"/>
    </row>
    <row r="21" spans="1:46" ht="15.75" customHeight="1" x14ac:dyDescent="0.35">
      <c r="A21" s="19"/>
      <c r="B21" s="7" t="s">
        <v>302</v>
      </c>
      <c r="C21" s="3"/>
      <c r="D21" s="62" t="s">
        <v>303</v>
      </c>
      <c r="E21" s="7" t="s">
        <v>304</v>
      </c>
      <c r="F21" s="3"/>
      <c r="G21" s="3"/>
      <c r="H21" s="3"/>
      <c r="I21" s="3"/>
      <c r="J21" s="3"/>
      <c r="K21" s="3"/>
      <c r="L21" s="3"/>
      <c r="M21" s="3"/>
      <c r="N21" s="3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E21" s="19"/>
      <c r="AF21" s="19"/>
      <c r="AG21" s="19"/>
      <c r="AH21" s="19"/>
      <c r="AI21" s="19"/>
      <c r="AJ21" s="19"/>
      <c r="AK21" s="19"/>
      <c r="AL21" s="19"/>
      <c r="AM21" s="130"/>
      <c r="AN21" s="130"/>
      <c r="AO21" s="130"/>
      <c r="AP21" s="19"/>
      <c r="AQ21" s="19"/>
      <c r="AR21" s="19"/>
      <c r="AS21" s="169"/>
      <c r="AT21" s="19"/>
    </row>
    <row r="22" spans="1:46" ht="15.75" customHeight="1" x14ac:dyDescent="0.35">
      <c r="A22" s="19"/>
      <c r="B22" s="7" t="s">
        <v>305</v>
      </c>
      <c r="C22" s="19"/>
      <c r="D22" s="42" t="s">
        <v>306</v>
      </c>
      <c r="E22" s="7" t="s">
        <v>307</v>
      </c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30"/>
      <c r="AQ22" s="130"/>
      <c r="AR22" s="19"/>
      <c r="AS22" s="19"/>
      <c r="AT22" s="19"/>
    </row>
    <row r="23" spans="1:46" ht="15.75" customHeight="1" x14ac:dyDescent="0.35">
      <c r="A23" s="19"/>
      <c r="C23" s="19"/>
      <c r="D23" s="42" t="s">
        <v>308</v>
      </c>
      <c r="E23" s="7" t="s">
        <v>309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30"/>
      <c r="AQ23" s="130"/>
      <c r="AR23" s="19"/>
      <c r="AS23" s="19"/>
      <c r="AT23" s="19"/>
    </row>
    <row r="24" spans="1:46" ht="15.75" customHeight="1" x14ac:dyDescent="0.35">
      <c r="A24" s="19"/>
      <c r="C24" s="19"/>
      <c r="D24" s="62" t="s">
        <v>310</v>
      </c>
      <c r="E24" s="7" t="s">
        <v>311</v>
      </c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30"/>
      <c r="AQ24" s="130"/>
      <c r="AR24" s="19"/>
      <c r="AS24" s="19"/>
      <c r="AT24" s="19"/>
    </row>
    <row r="25" spans="1:46" ht="15.75" customHeight="1" x14ac:dyDescent="0.35">
      <c r="A25" s="19"/>
      <c r="C25" s="19"/>
      <c r="D25" s="62" t="s">
        <v>312</v>
      </c>
      <c r="E25" s="7" t="s">
        <v>313</v>
      </c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30"/>
      <c r="AQ25" s="130"/>
      <c r="AR25" s="19"/>
      <c r="AS25" s="19"/>
      <c r="AT25" s="19"/>
    </row>
    <row r="26" spans="1:46" ht="15.75" customHeight="1" x14ac:dyDescent="0.35">
      <c r="A26" s="19"/>
      <c r="C26" s="19"/>
      <c r="D26" s="62" t="s">
        <v>314</v>
      </c>
      <c r="E26" s="7" t="s">
        <v>315</v>
      </c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30"/>
      <c r="AQ26" s="130"/>
      <c r="AR26" s="19"/>
      <c r="AS26" s="19"/>
      <c r="AT26" s="19"/>
    </row>
    <row r="27" spans="1:46" ht="15.75" customHeight="1" x14ac:dyDescent="0.35">
      <c r="A27" s="19"/>
      <c r="B27" s="19"/>
      <c r="C27" s="19"/>
      <c r="D27" s="62" t="s">
        <v>316</v>
      </c>
      <c r="E27" s="7" t="s">
        <v>195</v>
      </c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30"/>
      <c r="AQ27" s="130"/>
      <c r="AR27" s="19"/>
      <c r="AS27" s="19"/>
      <c r="AT27" s="19"/>
    </row>
    <row r="28" spans="1:46" ht="15.75" customHeight="1" x14ac:dyDescent="0.35">
      <c r="A28" s="19"/>
      <c r="B28" s="19"/>
      <c r="C28" s="19"/>
      <c r="D28" s="43" t="s">
        <v>317</v>
      </c>
      <c r="E28" s="7" t="s">
        <v>318</v>
      </c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30"/>
      <c r="AQ28" s="130"/>
      <c r="AR28" s="19"/>
      <c r="AS28" s="19"/>
      <c r="AT28" s="19"/>
    </row>
    <row r="29" spans="1:46" ht="15.75" customHeight="1" x14ac:dyDescent="0.35">
      <c r="A29" s="19"/>
      <c r="B29" s="19"/>
      <c r="C29" s="19"/>
      <c r="D29" s="64" t="s">
        <v>319</v>
      </c>
      <c r="E29" s="7" t="s">
        <v>320</v>
      </c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30"/>
      <c r="AQ29" s="130"/>
      <c r="AR29" s="19"/>
      <c r="AS29" s="19"/>
      <c r="AT29" s="19"/>
    </row>
    <row r="30" spans="1:46" ht="15.75" customHeight="1" x14ac:dyDescent="0.35">
      <c r="A30" s="19"/>
      <c r="B30" s="19"/>
      <c r="C30" s="19"/>
      <c r="D30" s="64" t="s">
        <v>196</v>
      </c>
      <c r="E30" s="7" t="s">
        <v>197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30"/>
      <c r="AQ30" s="130"/>
      <c r="AR30" s="19"/>
      <c r="AS30" s="19"/>
      <c r="AT30" s="19"/>
    </row>
    <row r="31" spans="1:46" ht="15.75" customHeight="1" x14ac:dyDescent="0.35">
      <c r="A31" s="19"/>
      <c r="B31" s="19"/>
      <c r="C31" s="19"/>
      <c r="D31" s="64" t="s">
        <v>192</v>
      </c>
      <c r="E31" s="7" t="s">
        <v>193</v>
      </c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30"/>
      <c r="AP31" s="130"/>
      <c r="AQ31" s="19"/>
      <c r="AR31" s="19"/>
      <c r="AS31" s="19"/>
      <c r="AT31" s="19"/>
    </row>
    <row r="32" spans="1:46" ht="15.75" customHeight="1" x14ac:dyDescent="0.25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30"/>
      <c r="AP32" s="130"/>
      <c r="AQ32" s="19"/>
      <c r="AR32" s="19"/>
      <c r="AS32" s="19"/>
      <c r="AT32" s="19"/>
    </row>
    <row r="33" spans="1:46" ht="15.75" customHeight="1" x14ac:dyDescent="0.35">
      <c r="A33" s="19"/>
      <c r="B33" s="19"/>
      <c r="C33" s="19"/>
      <c r="D33" s="104"/>
      <c r="E33" s="7" t="s">
        <v>208</v>
      </c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30"/>
      <c r="AP33" s="130"/>
      <c r="AQ33" s="19"/>
      <c r="AR33" s="19"/>
      <c r="AS33" s="19"/>
      <c r="AT33" s="19"/>
    </row>
    <row r="34" spans="1:46" ht="15.75" customHeight="1" x14ac:dyDescent="0.35">
      <c r="A34" s="19"/>
      <c r="B34" s="19"/>
      <c r="C34" s="19"/>
      <c r="D34" s="105"/>
      <c r="E34" s="7" t="s">
        <v>321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E34" s="169"/>
      <c r="AF34" s="19"/>
      <c r="AG34" s="19"/>
      <c r="AH34" s="19"/>
      <c r="AI34" s="19"/>
      <c r="AJ34" s="19"/>
      <c r="AK34" s="19"/>
      <c r="AL34" s="169"/>
      <c r="AM34" s="19"/>
      <c r="AN34" s="19"/>
      <c r="AO34" s="130"/>
      <c r="AP34" s="130"/>
      <c r="AQ34" s="19"/>
      <c r="AR34" s="19"/>
      <c r="AS34" s="19"/>
      <c r="AT34" s="19"/>
    </row>
    <row r="35" spans="1:46" ht="15.75" customHeight="1" x14ac:dyDescent="0.35">
      <c r="A35" s="19"/>
      <c r="B35" s="19"/>
      <c r="C35" s="19"/>
      <c r="D35" s="170"/>
      <c r="E35" s="7" t="s">
        <v>322</v>
      </c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E35" s="163"/>
      <c r="AF35" s="19"/>
      <c r="AG35" s="19"/>
      <c r="AH35" s="19"/>
      <c r="AI35" s="19"/>
      <c r="AJ35" s="19"/>
      <c r="AK35" s="19"/>
      <c r="AL35" s="163"/>
      <c r="AM35" s="19"/>
      <c r="AN35" s="19"/>
      <c r="AO35" s="130"/>
      <c r="AP35" s="130"/>
      <c r="AQ35" s="19"/>
      <c r="AR35" s="19"/>
      <c r="AS35" s="19"/>
      <c r="AT35" s="19"/>
    </row>
    <row r="36" spans="1:46" ht="15.75" customHeight="1" x14ac:dyDescent="0.35">
      <c r="A36" s="19"/>
      <c r="B36" s="19"/>
      <c r="C36" s="19"/>
      <c r="D36" s="171" t="s">
        <v>323</v>
      </c>
      <c r="E36" s="171" t="s">
        <v>324</v>
      </c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E36" s="163"/>
      <c r="AF36" s="19"/>
      <c r="AG36" s="19"/>
      <c r="AH36" s="19"/>
      <c r="AI36" s="19"/>
      <c r="AJ36" s="19"/>
      <c r="AK36" s="19"/>
      <c r="AL36" s="163"/>
      <c r="AM36" s="19"/>
      <c r="AN36" s="19"/>
      <c r="AO36" s="19"/>
      <c r="AP36" s="130"/>
      <c r="AQ36" s="130"/>
      <c r="AR36" s="19"/>
      <c r="AS36" s="19"/>
      <c r="AT36" s="19"/>
    </row>
    <row r="37" spans="1:46" ht="15.75" customHeight="1" x14ac:dyDescent="0.35">
      <c r="A37" s="19"/>
      <c r="B37" s="19"/>
      <c r="C37" s="19"/>
      <c r="D37" s="19"/>
      <c r="E37" s="171" t="s">
        <v>325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63"/>
      <c r="AM37" s="19"/>
      <c r="AN37" s="19"/>
      <c r="AO37" s="19"/>
      <c r="AP37" s="130"/>
      <c r="AQ37" s="130"/>
      <c r="AR37" s="19"/>
      <c r="AS37" s="19"/>
      <c r="AT37" s="19"/>
    </row>
    <row r="38" spans="1:46" ht="15.75" customHeight="1" x14ac:dyDescent="0.25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30"/>
      <c r="AM38" s="19"/>
      <c r="AN38" s="19"/>
      <c r="AO38" s="19"/>
      <c r="AP38" s="130"/>
      <c r="AQ38" s="130"/>
      <c r="AR38" s="19"/>
      <c r="AS38" s="19"/>
      <c r="AT38" s="19"/>
    </row>
    <row r="39" spans="1:46" ht="15.75" customHeight="1" x14ac:dyDescent="0.25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30"/>
      <c r="AM39" s="19"/>
      <c r="AN39" s="19"/>
      <c r="AO39" s="19"/>
      <c r="AP39" s="130"/>
      <c r="AQ39" s="130"/>
      <c r="AR39" s="19"/>
      <c r="AS39" s="19"/>
      <c r="AT39" s="19"/>
    </row>
    <row r="40" spans="1:46" ht="15.75" customHeight="1" x14ac:dyDescent="0.25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30"/>
      <c r="AM40" s="19"/>
      <c r="AN40" s="19"/>
      <c r="AO40" s="19"/>
      <c r="AP40" s="130"/>
      <c r="AQ40" s="130"/>
      <c r="AR40" s="19"/>
      <c r="AS40" s="19"/>
      <c r="AT40" s="19"/>
    </row>
    <row r="41" spans="1:46" ht="15.75" customHeight="1" x14ac:dyDescent="0.25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30"/>
      <c r="AM41" s="19"/>
      <c r="AN41" s="19"/>
      <c r="AO41" s="19"/>
      <c r="AP41" s="130"/>
      <c r="AQ41" s="130"/>
      <c r="AR41" s="19"/>
      <c r="AS41" s="19"/>
      <c r="AT41" s="19"/>
    </row>
    <row r="42" spans="1:46" ht="15.75" customHeight="1" x14ac:dyDescent="0.25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30"/>
      <c r="AM42" s="19"/>
      <c r="AN42" s="19"/>
      <c r="AO42" s="19"/>
      <c r="AP42" s="130"/>
      <c r="AQ42" s="130"/>
      <c r="AR42" s="19"/>
      <c r="AS42" s="19"/>
      <c r="AT42" s="19"/>
    </row>
    <row r="43" spans="1:46" ht="15.75" customHeight="1" x14ac:dyDescent="0.25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30"/>
      <c r="AM43" s="19"/>
      <c r="AN43" s="19"/>
      <c r="AO43" s="19"/>
      <c r="AP43" s="130"/>
      <c r="AQ43" s="130"/>
      <c r="AR43" s="19"/>
      <c r="AS43" s="19"/>
      <c r="AT43" s="19"/>
    </row>
    <row r="44" spans="1:46" ht="15.75" customHeight="1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30"/>
      <c r="AM44" s="19"/>
      <c r="AN44" s="19"/>
      <c r="AO44" s="19"/>
      <c r="AP44" s="130"/>
      <c r="AQ44" s="130"/>
      <c r="AR44" s="19"/>
      <c r="AS44" s="19"/>
      <c r="AT44" s="19"/>
    </row>
    <row r="45" spans="1:46" ht="15.75" customHeight="1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30"/>
      <c r="AM45" s="19"/>
      <c r="AN45" s="19"/>
      <c r="AO45" s="19"/>
      <c r="AP45" s="130"/>
      <c r="AQ45" s="130"/>
      <c r="AR45" s="19"/>
      <c r="AS45" s="19"/>
      <c r="AT45" s="19"/>
    </row>
    <row r="46" spans="1:46" ht="15.75" customHeight="1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30"/>
      <c r="AM46" s="19"/>
      <c r="AN46" s="19"/>
      <c r="AO46" s="19"/>
      <c r="AP46" s="130"/>
      <c r="AQ46" s="130"/>
      <c r="AR46" s="19"/>
      <c r="AS46" s="19"/>
      <c r="AT46" s="19"/>
    </row>
    <row r="47" spans="1:46" ht="15.75" customHeight="1" x14ac:dyDescent="0.25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30"/>
      <c r="AM47" s="19"/>
      <c r="AN47" s="19"/>
      <c r="AO47" s="19"/>
      <c r="AP47" s="130"/>
      <c r="AQ47" s="130"/>
      <c r="AR47" s="19"/>
      <c r="AS47" s="19"/>
      <c r="AT47" s="19"/>
    </row>
    <row r="48" spans="1:46" ht="15.75" customHeight="1" x14ac:dyDescent="0.25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30"/>
      <c r="AQ48" s="130"/>
      <c r="AR48" s="19"/>
      <c r="AS48" s="19"/>
      <c r="AT48" s="19"/>
    </row>
    <row r="49" spans="1:46" ht="15.75" customHeight="1" x14ac:dyDescent="0.25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63"/>
      <c r="AM49" s="19"/>
      <c r="AN49" s="19"/>
      <c r="AO49" s="19"/>
      <c r="AP49" s="130"/>
      <c r="AQ49" s="130"/>
      <c r="AR49" s="19"/>
      <c r="AS49" s="19"/>
      <c r="AT49" s="19"/>
    </row>
    <row r="50" spans="1:46" ht="15.75" customHeight="1" x14ac:dyDescent="0.25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63"/>
      <c r="AM50" s="19"/>
      <c r="AN50" s="19"/>
      <c r="AO50" s="19"/>
      <c r="AP50" s="130"/>
      <c r="AQ50" s="130"/>
      <c r="AR50" s="19"/>
      <c r="AS50" s="19"/>
      <c r="AT50" s="19"/>
    </row>
    <row r="51" spans="1:46" ht="15.75" customHeight="1" x14ac:dyDescent="0.2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63"/>
      <c r="AM51" s="19"/>
      <c r="AN51" s="19"/>
      <c r="AO51" s="19"/>
      <c r="AP51" s="130"/>
      <c r="AQ51" s="130"/>
      <c r="AR51" s="19"/>
      <c r="AS51" s="19"/>
      <c r="AT51" s="19"/>
    </row>
    <row r="52" spans="1:46" ht="15.75" customHeight="1" x14ac:dyDescent="0.25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63"/>
      <c r="AM52" s="19"/>
      <c r="AN52" s="19"/>
      <c r="AO52" s="19"/>
      <c r="AP52" s="130"/>
      <c r="AQ52" s="130"/>
      <c r="AR52" s="19"/>
      <c r="AS52" s="19"/>
      <c r="AT52" s="19"/>
    </row>
    <row r="53" spans="1:46" ht="15.75" customHeight="1" x14ac:dyDescent="0.25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63"/>
      <c r="AM53" s="19"/>
      <c r="AN53" s="19"/>
      <c r="AO53" s="19"/>
      <c r="AP53" s="130"/>
      <c r="AQ53" s="130"/>
      <c r="AR53" s="19"/>
      <c r="AS53" s="19"/>
      <c r="AT53" s="19"/>
    </row>
    <row r="54" spans="1:46" ht="15.75" customHeight="1" x14ac:dyDescent="0.25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30"/>
      <c r="AM54" s="19"/>
      <c r="AN54" s="19"/>
      <c r="AO54" s="19"/>
      <c r="AP54" s="130"/>
      <c r="AQ54" s="130"/>
      <c r="AR54" s="19"/>
      <c r="AS54" s="19"/>
      <c r="AT54" s="19"/>
    </row>
    <row r="55" spans="1:46" ht="12.5" x14ac:dyDescent="0.25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30"/>
      <c r="AM55" s="19"/>
      <c r="AN55" s="19"/>
      <c r="AO55" s="19"/>
      <c r="AP55" s="130"/>
      <c r="AQ55" s="130"/>
      <c r="AR55" s="19"/>
      <c r="AS55" s="19"/>
      <c r="AT55" s="19"/>
    </row>
    <row r="56" spans="1:46" ht="12.5" x14ac:dyDescent="0.25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30"/>
      <c r="AM56" s="19"/>
      <c r="AN56" s="19"/>
      <c r="AO56" s="19"/>
      <c r="AP56" s="130"/>
      <c r="AQ56" s="130"/>
      <c r="AR56" s="19"/>
      <c r="AS56" s="19"/>
      <c r="AT56" s="19"/>
    </row>
    <row r="57" spans="1:46" ht="12.5" x14ac:dyDescent="0.25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30"/>
      <c r="AM57" s="19"/>
      <c r="AN57" s="19"/>
      <c r="AO57" s="19"/>
      <c r="AP57" s="130"/>
      <c r="AQ57" s="130"/>
      <c r="AR57" s="19"/>
      <c r="AS57" s="19"/>
      <c r="AT57" s="19"/>
    </row>
    <row r="58" spans="1:46" ht="12.5" x14ac:dyDescent="0.25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30"/>
      <c r="AM58" s="19"/>
      <c r="AN58" s="19"/>
      <c r="AO58" s="19"/>
      <c r="AP58" s="130"/>
      <c r="AQ58" s="130"/>
      <c r="AR58" s="19"/>
      <c r="AS58" s="19"/>
      <c r="AT58" s="19"/>
    </row>
    <row r="59" spans="1:46" ht="12.5" x14ac:dyDescent="0.25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30"/>
      <c r="AM59" s="19"/>
      <c r="AN59" s="19"/>
      <c r="AO59" s="19"/>
      <c r="AP59" s="130"/>
      <c r="AQ59" s="130"/>
      <c r="AR59" s="19"/>
      <c r="AS59" s="19"/>
      <c r="AT59" s="19"/>
    </row>
    <row r="60" spans="1:46" ht="12.5" x14ac:dyDescent="0.25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30"/>
      <c r="AM60" s="19"/>
      <c r="AN60" s="19"/>
      <c r="AO60" s="19"/>
      <c r="AP60" s="130"/>
      <c r="AQ60" s="130"/>
      <c r="AR60" s="19"/>
      <c r="AS60" s="19"/>
      <c r="AT60" s="19"/>
    </row>
    <row r="61" spans="1:46" ht="12.5" x14ac:dyDescent="0.25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30"/>
      <c r="AM61" s="19"/>
      <c r="AN61" s="19"/>
      <c r="AO61" s="19"/>
      <c r="AP61" s="130"/>
      <c r="AQ61" s="130"/>
      <c r="AR61" s="19"/>
      <c r="AS61" s="19"/>
      <c r="AT61" s="19"/>
    </row>
    <row r="62" spans="1:46" ht="12.5" x14ac:dyDescent="0.25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30"/>
      <c r="AM62" s="19"/>
      <c r="AN62" s="19"/>
      <c r="AO62" s="19"/>
      <c r="AP62" s="130"/>
      <c r="AQ62" s="130"/>
      <c r="AR62" s="19"/>
      <c r="AS62" s="19"/>
      <c r="AT62" s="19"/>
    </row>
    <row r="63" spans="1:46" ht="12.5" x14ac:dyDescent="0.25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30"/>
      <c r="AM63" s="19"/>
      <c r="AN63" s="19"/>
      <c r="AO63" s="19"/>
      <c r="AP63" s="130"/>
      <c r="AQ63" s="130"/>
      <c r="AR63" s="19"/>
      <c r="AS63" s="19"/>
      <c r="AT63" s="19"/>
    </row>
    <row r="64" spans="1:46" ht="12.5" x14ac:dyDescent="0.25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30"/>
      <c r="AM64" s="19"/>
      <c r="AN64" s="19"/>
      <c r="AO64" s="19"/>
      <c r="AP64" s="130"/>
      <c r="AQ64" s="130"/>
      <c r="AR64" s="19"/>
      <c r="AS64" s="19"/>
      <c r="AT64" s="19"/>
    </row>
    <row r="65" spans="1:46" ht="12.5" x14ac:dyDescent="0.25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30"/>
      <c r="AM65" s="19"/>
      <c r="AN65" s="19"/>
      <c r="AO65" s="19"/>
      <c r="AP65" s="130"/>
      <c r="AQ65" s="130"/>
      <c r="AR65" s="19"/>
      <c r="AS65" s="19"/>
      <c r="AT65" s="19"/>
    </row>
    <row r="66" spans="1:46" ht="12.5" x14ac:dyDescent="0.25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30"/>
      <c r="AM66" s="19"/>
      <c r="AN66" s="19"/>
      <c r="AO66" s="19"/>
      <c r="AP66" s="130"/>
      <c r="AQ66" s="130"/>
      <c r="AR66" s="19"/>
      <c r="AS66" s="19"/>
      <c r="AT66" s="19"/>
    </row>
    <row r="67" spans="1:46" ht="12.5" x14ac:dyDescent="0.25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30"/>
      <c r="AM67" s="19"/>
      <c r="AN67" s="19"/>
      <c r="AO67" s="19"/>
      <c r="AP67" s="130"/>
      <c r="AQ67" s="130"/>
      <c r="AR67" s="19"/>
      <c r="AS67" s="19"/>
      <c r="AT67" s="19"/>
    </row>
    <row r="68" spans="1:46" ht="12.5" x14ac:dyDescent="0.25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30"/>
      <c r="AM68" s="19"/>
      <c r="AN68" s="19"/>
      <c r="AO68" s="19"/>
      <c r="AP68" s="130"/>
      <c r="AQ68" s="130"/>
      <c r="AR68" s="19"/>
      <c r="AS68" s="19"/>
      <c r="AT68" s="19"/>
    </row>
    <row r="69" spans="1:46" ht="12.5" x14ac:dyDescent="0.25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30"/>
      <c r="AM69" s="19"/>
      <c r="AN69" s="19"/>
      <c r="AO69" s="19"/>
      <c r="AP69" s="130"/>
      <c r="AQ69" s="130"/>
      <c r="AR69" s="19"/>
      <c r="AS69" s="19"/>
      <c r="AT69" s="19"/>
    </row>
    <row r="70" spans="1:46" ht="12.5" x14ac:dyDescent="0.25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30"/>
      <c r="AM70" s="19"/>
      <c r="AN70" s="19"/>
      <c r="AO70" s="19"/>
      <c r="AP70" s="130"/>
      <c r="AQ70" s="130"/>
      <c r="AR70" s="19"/>
      <c r="AS70" s="19"/>
      <c r="AT70" s="19"/>
    </row>
    <row r="71" spans="1:46" ht="12.5" x14ac:dyDescent="0.25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30"/>
      <c r="AM71" s="19"/>
      <c r="AN71" s="19"/>
      <c r="AO71" s="19"/>
      <c r="AP71" s="130"/>
      <c r="AQ71" s="130"/>
      <c r="AR71" s="19"/>
      <c r="AS71" s="19"/>
      <c r="AT71" s="19"/>
    </row>
    <row r="72" spans="1:46" ht="12.5" x14ac:dyDescent="0.25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30"/>
      <c r="AM72" s="19"/>
      <c r="AN72" s="19"/>
      <c r="AO72" s="19"/>
      <c r="AP72" s="130"/>
      <c r="AQ72" s="130"/>
      <c r="AR72" s="19"/>
      <c r="AS72" s="19"/>
      <c r="AT72" s="19"/>
    </row>
    <row r="73" spans="1:46" ht="12.5" x14ac:dyDescent="0.25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30"/>
      <c r="AM73" s="19"/>
      <c r="AN73" s="19"/>
      <c r="AO73" s="19"/>
      <c r="AP73" s="130"/>
      <c r="AQ73" s="130"/>
      <c r="AR73" s="19"/>
      <c r="AS73" s="19"/>
      <c r="AT73" s="19"/>
    </row>
    <row r="74" spans="1:46" ht="12.5" x14ac:dyDescent="0.25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30"/>
      <c r="AM74" s="19"/>
      <c r="AN74" s="19"/>
      <c r="AO74" s="19"/>
      <c r="AP74" s="130"/>
      <c r="AQ74" s="130"/>
      <c r="AR74" s="19"/>
      <c r="AS74" s="19"/>
      <c r="AT74" s="19"/>
    </row>
    <row r="75" spans="1:46" ht="12.5" x14ac:dyDescent="0.25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30"/>
      <c r="AM75" s="19"/>
      <c r="AN75" s="19"/>
      <c r="AO75" s="19"/>
      <c r="AP75" s="130"/>
      <c r="AQ75" s="130"/>
      <c r="AR75" s="19"/>
      <c r="AS75" s="19"/>
      <c r="AT75" s="19"/>
    </row>
    <row r="76" spans="1:46" ht="12.5" x14ac:dyDescent="0.25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30"/>
      <c r="AM76" s="19"/>
      <c r="AN76" s="19"/>
      <c r="AO76" s="19"/>
      <c r="AP76" s="130"/>
      <c r="AQ76" s="130"/>
      <c r="AR76" s="19"/>
      <c r="AS76" s="19"/>
      <c r="AT76" s="19"/>
    </row>
    <row r="77" spans="1:46" ht="12.5" x14ac:dyDescent="0.25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30"/>
      <c r="AM77" s="19"/>
      <c r="AN77" s="19"/>
      <c r="AO77" s="19"/>
      <c r="AP77" s="130"/>
      <c r="AQ77" s="130"/>
      <c r="AR77" s="19"/>
      <c r="AS77" s="19"/>
      <c r="AT77" s="19"/>
    </row>
    <row r="78" spans="1:46" ht="12.5" x14ac:dyDescent="0.25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30"/>
      <c r="AM78" s="19"/>
      <c r="AN78" s="19"/>
      <c r="AO78" s="19"/>
      <c r="AP78" s="130"/>
      <c r="AQ78" s="130"/>
      <c r="AR78" s="19"/>
      <c r="AS78" s="19"/>
      <c r="AT78" s="19"/>
    </row>
    <row r="79" spans="1:46" ht="12.5" x14ac:dyDescent="0.25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30"/>
      <c r="AM79" s="19"/>
      <c r="AN79" s="19"/>
      <c r="AO79" s="19"/>
      <c r="AP79" s="130"/>
      <c r="AQ79" s="130"/>
      <c r="AR79" s="19"/>
      <c r="AS79" s="19"/>
      <c r="AT79" s="19"/>
    </row>
    <row r="80" spans="1:46" ht="12.5" x14ac:dyDescent="0.25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30"/>
      <c r="AM80" s="19"/>
      <c r="AN80" s="19"/>
      <c r="AO80" s="19"/>
      <c r="AP80" s="130"/>
      <c r="AQ80" s="130"/>
      <c r="AR80" s="19"/>
      <c r="AS80" s="19"/>
      <c r="AT80" s="19"/>
    </row>
    <row r="81" spans="1:46" ht="12.5" x14ac:dyDescent="0.25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30"/>
      <c r="AM81" s="19"/>
      <c r="AN81" s="19"/>
      <c r="AO81" s="19"/>
      <c r="AP81" s="130"/>
      <c r="AQ81" s="130"/>
      <c r="AR81" s="19"/>
      <c r="AS81" s="19"/>
      <c r="AT81" s="19"/>
    </row>
    <row r="82" spans="1:46" ht="12.5" x14ac:dyDescent="0.25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30"/>
      <c r="AM82" s="19"/>
      <c r="AN82" s="19"/>
      <c r="AO82" s="19"/>
      <c r="AP82" s="130"/>
      <c r="AQ82" s="130"/>
      <c r="AR82" s="19"/>
      <c r="AS82" s="19"/>
      <c r="AT82" s="19"/>
    </row>
    <row r="83" spans="1:46" ht="12.5" x14ac:dyDescent="0.25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30"/>
      <c r="AM83" s="19"/>
      <c r="AN83" s="19"/>
      <c r="AO83" s="19"/>
      <c r="AP83" s="130"/>
      <c r="AQ83" s="130"/>
      <c r="AR83" s="19"/>
      <c r="AS83" s="19"/>
      <c r="AT83" s="19"/>
    </row>
    <row r="84" spans="1:46" ht="12.5" x14ac:dyDescent="0.25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30"/>
      <c r="AM84" s="19"/>
      <c r="AN84" s="19"/>
      <c r="AO84" s="19"/>
      <c r="AP84" s="130"/>
      <c r="AQ84" s="130"/>
      <c r="AR84" s="19"/>
      <c r="AS84" s="19"/>
      <c r="AT84" s="19"/>
    </row>
    <row r="85" spans="1:46" ht="12.5" x14ac:dyDescent="0.25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30"/>
      <c r="AM85" s="19"/>
      <c r="AN85" s="19"/>
      <c r="AO85" s="19"/>
      <c r="AP85" s="130"/>
      <c r="AQ85" s="130"/>
      <c r="AR85" s="19"/>
      <c r="AS85" s="19"/>
      <c r="AT85" s="19"/>
    </row>
    <row r="86" spans="1:46" ht="12.5" x14ac:dyDescent="0.25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30"/>
      <c r="AM86" s="19"/>
      <c r="AN86" s="19"/>
      <c r="AO86" s="19"/>
      <c r="AP86" s="130"/>
      <c r="AQ86" s="130"/>
      <c r="AR86" s="19"/>
      <c r="AS86" s="19"/>
      <c r="AT86" s="19"/>
    </row>
    <row r="87" spans="1:46" ht="12.5" x14ac:dyDescent="0.25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30"/>
      <c r="AM87" s="19"/>
      <c r="AN87" s="19"/>
      <c r="AO87" s="19"/>
      <c r="AP87" s="130"/>
      <c r="AQ87" s="130"/>
      <c r="AR87" s="19"/>
      <c r="AS87" s="19"/>
      <c r="AT87" s="19"/>
    </row>
    <row r="88" spans="1:46" ht="12.5" x14ac:dyDescent="0.25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30"/>
      <c r="AM88" s="19"/>
      <c r="AN88" s="19"/>
      <c r="AO88" s="19"/>
      <c r="AP88" s="130"/>
      <c r="AQ88" s="130"/>
      <c r="AR88" s="19"/>
      <c r="AS88" s="19"/>
      <c r="AT88" s="19"/>
    </row>
    <row r="89" spans="1:46" ht="12.5" x14ac:dyDescent="0.25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30"/>
      <c r="AM89" s="19"/>
      <c r="AN89" s="19"/>
      <c r="AO89" s="19"/>
      <c r="AP89" s="130"/>
      <c r="AQ89" s="130"/>
      <c r="AR89" s="19"/>
      <c r="AS89" s="19"/>
      <c r="AT89" s="19"/>
    </row>
    <row r="90" spans="1:46" ht="12.5" x14ac:dyDescent="0.25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30"/>
      <c r="AM90" s="19"/>
      <c r="AN90" s="19"/>
      <c r="AO90" s="19"/>
      <c r="AP90" s="130"/>
      <c r="AQ90" s="130"/>
      <c r="AR90" s="19"/>
      <c r="AS90" s="19"/>
      <c r="AT90" s="19"/>
    </row>
    <row r="91" spans="1:46" ht="12.5" x14ac:dyDescent="0.25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30"/>
      <c r="AM91" s="19"/>
      <c r="AN91" s="19"/>
      <c r="AO91" s="19"/>
      <c r="AP91" s="130"/>
      <c r="AQ91" s="130"/>
      <c r="AR91" s="19"/>
      <c r="AS91" s="19"/>
      <c r="AT91" s="19"/>
    </row>
    <row r="92" spans="1:46" ht="12.5" x14ac:dyDescent="0.25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30"/>
      <c r="AM92" s="19"/>
      <c r="AN92" s="19"/>
      <c r="AO92" s="19"/>
      <c r="AP92" s="130"/>
      <c r="AQ92" s="130"/>
      <c r="AR92" s="19"/>
      <c r="AS92" s="19"/>
      <c r="AT92" s="19"/>
    </row>
    <row r="93" spans="1:46" ht="12.5" x14ac:dyDescent="0.25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30"/>
      <c r="AM93" s="19"/>
      <c r="AN93" s="19"/>
      <c r="AO93" s="19"/>
      <c r="AP93" s="130"/>
      <c r="AQ93" s="130"/>
      <c r="AR93" s="19"/>
      <c r="AS93" s="19"/>
      <c r="AT93" s="19"/>
    </row>
    <row r="94" spans="1:46" ht="12.5" x14ac:dyDescent="0.25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30"/>
      <c r="AM94" s="19"/>
      <c r="AN94" s="19"/>
      <c r="AO94" s="19"/>
      <c r="AP94" s="130"/>
      <c r="AQ94" s="130"/>
      <c r="AR94" s="19"/>
      <c r="AS94" s="19"/>
      <c r="AT94" s="19"/>
    </row>
    <row r="95" spans="1:46" ht="12.5" x14ac:dyDescent="0.25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30"/>
      <c r="AM95" s="19"/>
      <c r="AN95" s="19"/>
      <c r="AO95" s="19"/>
      <c r="AP95" s="130"/>
      <c r="AQ95" s="130"/>
      <c r="AR95" s="19"/>
      <c r="AS95" s="19"/>
      <c r="AT95" s="19"/>
    </row>
    <row r="96" spans="1:46" ht="12.5" x14ac:dyDescent="0.25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30"/>
      <c r="AM96" s="19"/>
      <c r="AN96" s="19"/>
      <c r="AO96" s="19"/>
      <c r="AP96" s="130"/>
      <c r="AQ96" s="130"/>
      <c r="AR96" s="19"/>
      <c r="AS96" s="19"/>
      <c r="AT96" s="19"/>
    </row>
    <row r="97" spans="1:46" ht="12.5" x14ac:dyDescent="0.25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30"/>
      <c r="AM97" s="19"/>
      <c r="AN97" s="19"/>
      <c r="AO97" s="19"/>
      <c r="AP97" s="130"/>
      <c r="AQ97" s="130"/>
      <c r="AR97" s="19"/>
      <c r="AS97" s="19"/>
      <c r="AT97" s="19"/>
    </row>
    <row r="98" spans="1:46" ht="12.5" x14ac:dyDescent="0.25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30"/>
      <c r="AM98" s="19"/>
      <c r="AN98" s="19"/>
      <c r="AO98" s="19"/>
      <c r="AP98" s="130"/>
      <c r="AQ98" s="130"/>
      <c r="AR98" s="19"/>
      <c r="AS98" s="19"/>
      <c r="AT98" s="19"/>
    </row>
    <row r="99" spans="1:46" ht="12.5" x14ac:dyDescent="0.25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30"/>
      <c r="AM99" s="19"/>
      <c r="AN99" s="19"/>
      <c r="AO99" s="19"/>
      <c r="AP99" s="130"/>
      <c r="AQ99" s="130"/>
      <c r="AR99" s="19"/>
      <c r="AS99" s="19"/>
      <c r="AT99" s="19"/>
    </row>
    <row r="100" spans="1:46" ht="12.5" x14ac:dyDescent="0.25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30"/>
      <c r="AM100" s="19"/>
      <c r="AN100" s="19"/>
      <c r="AO100" s="19"/>
      <c r="AP100" s="130"/>
      <c r="AQ100" s="130"/>
      <c r="AR100" s="19"/>
      <c r="AS100" s="19"/>
      <c r="AT100" s="19"/>
    </row>
    <row r="101" spans="1:46" ht="12.5" x14ac:dyDescent="0.25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30"/>
      <c r="AM101" s="19"/>
      <c r="AN101" s="19"/>
      <c r="AO101" s="19"/>
      <c r="AP101" s="130"/>
      <c r="AQ101" s="130"/>
      <c r="AR101" s="19"/>
      <c r="AS101" s="19"/>
      <c r="AT101" s="19"/>
    </row>
    <row r="102" spans="1:46" ht="12.5" x14ac:dyDescent="0.25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30"/>
      <c r="AM102" s="19"/>
      <c r="AN102" s="19"/>
      <c r="AO102" s="19"/>
      <c r="AP102" s="130"/>
      <c r="AQ102" s="130"/>
      <c r="AR102" s="19"/>
      <c r="AS102" s="19"/>
      <c r="AT102" s="19"/>
    </row>
    <row r="103" spans="1:46" ht="12.5" x14ac:dyDescent="0.25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30"/>
      <c r="AM103" s="19"/>
      <c r="AN103" s="19"/>
      <c r="AO103" s="19"/>
      <c r="AP103" s="130"/>
      <c r="AQ103" s="130"/>
      <c r="AR103" s="19"/>
      <c r="AS103" s="19"/>
      <c r="AT103" s="19"/>
    </row>
    <row r="104" spans="1:46" ht="12.5" x14ac:dyDescent="0.25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30"/>
      <c r="AM104" s="19"/>
      <c r="AN104" s="19"/>
      <c r="AO104" s="19"/>
      <c r="AP104" s="130"/>
      <c r="AQ104" s="130"/>
      <c r="AR104" s="19"/>
      <c r="AS104" s="19"/>
      <c r="AT104" s="19"/>
    </row>
    <row r="105" spans="1:46" ht="12.5" x14ac:dyDescent="0.2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30"/>
      <c r="AM105" s="19"/>
      <c r="AN105" s="19"/>
      <c r="AO105" s="19"/>
      <c r="AP105" s="130"/>
      <c r="AQ105" s="130"/>
      <c r="AR105" s="19"/>
      <c r="AS105" s="19"/>
      <c r="AT105" s="19"/>
    </row>
    <row r="106" spans="1:46" ht="12.5" x14ac:dyDescent="0.25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30"/>
      <c r="AM106" s="19"/>
      <c r="AN106" s="19"/>
      <c r="AO106" s="19"/>
      <c r="AP106" s="130"/>
      <c r="AQ106" s="130"/>
      <c r="AR106" s="19"/>
      <c r="AS106" s="19"/>
      <c r="AT106" s="19"/>
    </row>
    <row r="107" spans="1:46" ht="12.5" x14ac:dyDescent="0.25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30"/>
      <c r="AM107" s="19"/>
      <c r="AN107" s="19"/>
      <c r="AO107" s="19"/>
      <c r="AP107" s="130"/>
      <c r="AQ107" s="130"/>
      <c r="AR107" s="19"/>
      <c r="AS107" s="19"/>
      <c r="AT107" s="19"/>
    </row>
    <row r="108" spans="1:46" ht="12.5" x14ac:dyDescent="0.25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30"/>
      <c r="AM108" s="19"/>
      <c r="AN108" s="19"/>
      <c r="AO108" s="19"/>
      <c r="AP108" s="130"/>
      <c r="AQ108" s="130"/>
      <c r="AR108" s="19"/>
      <c r="AS108" s="19"/>
      <c r="AT108" s="19"/>
    </row>
    <row r="109" spans="1:46" ht="12.5" x14ac:dyDescent="0.25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30"/>
      <c r="AM109" s="19"/>
      <c r="AN109" s="19"/>
      <c r="AO109" s="19"/>
      <c r="AP109" s="130"/>
      <c r="AQ109" s="130"/>
      <c r="AR109" s="19"/>
      <c r="AS109" s="19"/>
      <c r="AT109" s="19"/>
    </row>
    <row r="110" spans="1:46" ht="12.5" x14ac:dyDescent="0.25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30"/>
      <c r="AM110" s="19"/>
      <c r="AN110" s="19"/>
      <c r="AO110" s="19"/>
      <c r="AP110" s="130"/>
      <c r="AQ110" s="130"/>
      <c r="AR110" s="19"/>
      <c r="AS110" s="19"/>
      <c r="AT110" s="19"/>
    </row>
    <row r="111" spans="1:46" ht="12.5" x14ac:dyDescent="0.25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30"/>
      <c r="AM111" s="19"/>
      <c r="AN111" s="19"/>
      <c r="AO111" s="19"/>
      <c r="AP111" s="130"/>
      <c r="AQ111" s="130"/>
      <c r="AR111" s="19"/>
      <c r="AS111" s="19"/>
      <c r="AT111" s="19"/>
    </row>
    <row r="112" spans="1:46" ht="12.5" x14ac:dyDescent="0.25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30"/>
      <c r="AM112" s="19"/>
      <c r="AN112" s="19"/>
      <c r="AO112" s="19"/>
      <c r="AP112" s="130"/>
      <c r="AQ112" s="130"/>
      <c r="AR112" s="19"/>
      <c r="AS112" s="19"/>
      <c r="AT112" s="19"/>
    </row>
    <row r="113" spans="1:46" ht="12.5" x14ac:dyDescent="0.25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30"/>
      <c r="AM113" s="19"/>
      <c r="AN113" s="19"/>
      <c r="AO113" s="19"/>
      <c r="AP113" s="130"/>
      <c r="AQ113" s="130"/>
      <c r="AR113" s="19"/>
      <c r="AS113" s="19"/>
      <c r="AT113" s="19"/>
    </row>
    <row r="114" spans="1:46" ht="12.5" x14ac:dyDescent="0.25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30"/>
      <c r="AM114" s="19"/>
      <c r="AN114" s="19"/>
      <c r="AO114" s="19"/>
      <c r="AP114" s="130"/>
      <c r="AQ114" s="130"/>
      <c r="AR114" s="19"/>
      <c r="AS114" s="19"/>
      <c r="AT114" s="19"/>
    </row>
    <row r="115" spans="1:46" ht="12.5" x14ac:dyDescent="0.2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30"/>
      <c r="AM115" s="19"/>
      <c r="AN115" s="19"/>
      <c r="AO115" s="19"/>
      <c r="AP115" s="130"/>
      <c r="AQ115" s="130"/>
      <c r="AR115" s="19"/>
      <c r="AS115" s="19"/>
      <c r="AT115" s="19"/>
    </row>
    <row r="116" spans="1:46" ht="12.5" x14ac:dyDescent="0.25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30"/>
      <c r="AM116" s="19"/>
      <c r="AN116" s="19"/>
      <c r="AO116" s="19"/>
      <c r="AP116" s="130"/>
      <c r="AQ116" s="130"/>
      <c r="AR116" s="19"/>
      <c r="AS116" s="19"/>
      <c r="AT116" s="19"/>
    </row>
    <row r="117" spans="1:46" ht="12.5" x14ac:dyDescent="0.25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30"/>
      <c r="AM117" s="19"/>
      <c r="AN117" s="19"/>
      <c r="AO117" s="19"/>
      <c r="AP117" s="130"/>
      <c r="AQ117" s="130"/>
      <c r="AR117" s="19"/>
      <c r="AS117" s="19"/>
      <c r="AT117" s="19"/>
    </row>
    <row r="118" spans="1:46" ht="12.5" x14ac:dyDescent="0.25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30"/>
      <c r="AM118" s="19"/>
      <c r="AN118" s="19"/>
      <c r="AO118" s="19"/>
      <c r="AP118" s="130"/>
      <c r="AQ118" s="130"/>
      <c r="AR118" s="19"/>
      <c r="AS118" s="19"/>
      <c r="AT118" s="19"/>
    </row>
    <row r="119" spans="1:46" ht="12.5" x14ac:dyDescent="0.25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30"/>
      <c r="AM119" s="19"/>
      <c r="AN119" s="19"/>
      <c r="AO119" s="19"/>
      <c r="AP119" s="130"/>
      <c r="AQ119" s="130"/>
      <c r="AR119" s="19"/>
      <c r="AS119" s="19"/>
      <c r="AT119" s="19"/>
    </row>
    <row r="120" spans="1:46" ht="12.5" x14ac:dyDescent="0.25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30"/>
      <c r="AM120" s="19"/>
      <c r="AN120" s="19"/>
      <c r="AO120" s="19"/>
      <c r="AP120" s="130"/>
      <c r="AQ120" s="130"/>
      <c r="AR120" s="19"/>
      <c r="AS120" s="19"/>
      <c r="AT120" s="19"/>
    </row>
    <row r="121" spans="1:46" ht="12.5" x14ac:dyDescent="0.25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30"/>
      <c r="AM121" s="19"/>
      <c r="AN121" s="19"/>
      <c r="AO121" s="19"/>
      <c r="AP121" s="130"/>
      <c r="AQ121" s="130"/>
      <c r="AR121" s="19"/>
      <c r="AS121" s="19"/>
      <c r="AT121" s="19"/>
    </row>
    <row r="122" spans="1:46" ht="12.5" x14ac:dyDescent="0.25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30"/>
      <c r="AM122" s="19"/>
      <c r="AN122" s="19"/>
      <c r="AO122" s="19"/>
      <c r="AP122" s="130"/>
      <c r="AQ122" s="130"/>
      <c r="AR122" s="19"/>
      <c r="AS122" s="19"/>
      <c r="AT122" s="19"/>
    </row>
    <row r="123" spans="1:46" ht="12.5" x14ac:dyDescent="0.25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30"/>
      <c r="AM123" s="19"/>
      <c r="AN123" s="19"/>
      <c r="AO123" s="19"/>
      <c r="AP123" s="130"/>
      <c r="AQ123" s="130"/>
      <c r="AR123" s="19"/>
      <c r="AS123" s="19"/>
      <c r="AT123" s="19"/>
    </row>
    <row r="124" spans="1:46" ht="12.5" x14ac:dyDescent="0.25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30"/>
      <c r="AM124" s="19"/>
      <c r="AN124" s="19"/>
      <c r="AO124" s="19"/>
      <c r="AP124" s="130"/>
      <c r="AQ124" s="130"/>
      <c r="AR124" s="19"/>
      <c r="AS124" s="19"/>
      <c r="AT124" s="19"/>
    </row>
    <row r="125" spans="1:46" ht="12.5" x14ac:dyDescent="0.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30"/>
      <c r="AM125" s="19"/>
      <c r="AN125" s="19"/>
      <c r="AO125" s="19"/>
      <c r="AP125" s="130"/>
      <c r="AQ125" s="130"/>
      <c r="AR125" s="19"/>
      <c r="AS125" s="19"/>
      <c r="AT125" s="19"/>
    </row>
    <row r="126" spans="1:46" ht="12.5" x14ac:dyDescent="0.25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30"/>
      <c r="AM126" s="19"/>
      <c r="AN126" s="19"/>
      <c r="AO126" s="19"/>
      <c r="AP126" s="130"/>
      <c r="AQ126" s="130"/>
      <c r="AR126" s="19"/>
      <c r="AS126" s="19"/>
      <c r="AT126" s="19"/>
    </row>
    <row r="127" spans="1:46" ht="12.5" x14ac:dyDescent="0.2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30"/>
      <c r="AM127" s="19"/>
      <c r="AN127" s="19"/>
      <c r="AO127" s="19"/>
      <c r="AP127" s="130"/>
      <c r="AQ127" s="130"/>
      <c r="AR127" s="19"/>
      <c r="AS127" s="19"/>
      <c r="AT127" s="19"/>
    </row>
    <row r="128" spans="1:46" ht="12.5" x14ac:dyDescent="0.2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30"/>
      <c r="AM128" s="19"/>
      <c r="AN128" s="19"/>
      <c r="AO128" s="19"/>
      <c r="AP128" s="130"/>
      <c r="AQ128" s="130"/>
      <c r="AR128" s="19"/>
      <c r="AS128" s="19"/>
      <c r="AT128" s="19"/>
    </row>
    <row r="129" spans="1:46" ht="12.5" x14ac:dyDescent="0.2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30"/>
      <c r="AM129" s="19"/>
      <c r="AN129" s="19"/>
      <c r="AO129" s="19"/>
      <c r="AP129" s="130"/>
      <c r="AQ129" s="130"/>
      <c r="AR129" s="19"/>
      <c r="AS129" s="19"/>
      <c r="AT129" s="19"/>
    </row>
    <row r="130" spans="1:46" ht="12.5" x14ac:dyDescent="0.25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30"/>
      <c r="AM130" s="19"/>
      <c r="AN130" s="19"/>
      <c r="AO130" s="19"/>
      <c r="AP130" s="130"/>
      <c r="AQ130" s="130"/>
      <c r="AR130" s="19"/>
      <c r="AS130" s="19"/>
      <c r="AT130" s="19"/>
    </row>
    <row r="131" spans="1:46" ht="12.5" x14ac:dyDescent="0.25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30"/>
      <c r="AM131" s="19"/>
      <c r="AN131" s="19"/>
      <c r="AO131" s="19"/>
      <c r="AP131" s="130"/>
      <c r="AQ131" s="130"/>
      <c r="AR131" s="19"/>
      <c r="AS131" s="19"/>
      <c r="AT131" s="19"/>
    </row>
    <row r="132" spans="1:46" ht="12.5" x14ac:dyDescent="0.25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30"/>
      <c r="AM132" s="19"/>
      <c r="AN132" s="19"/>
      <c r="AO132" s="19"/>
      <c r="AP132" s="130"/>
      <c r="AQ132" s="130"/>
      <c r="AR132" s="19"/>
      <c r="AS132" s="19"/>
      <c r="AT132" s="19"/>
    </row>
    <row r="133" spans="1:46" ht="12.5" x14ac:dyDescent="0.25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30"/>
      <c r="AM133" s="19"/>
      <c r="AN133" s="19"/>
      <c r="AO133" s="19"/>
      <c r="AP133" s="130"/>
      <c r="AQ133" s="130"/>
      <c r="AR133" s="19"/>
      <c r="AS133" s="19"/>
      <c r="AT133" s="19"/>
    </row>
    <row r="134" spans="1:46" ht="12.5" x14ac:dyDescent="0.25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30"/>
      <c r="AM134" s="19"/>
      <c r="AN134" s="19"/>
      <c r="AO134" s="19"/>
      <c r="AP134" s="130"/>
      <c r="AQ134" s="130"/>
      <c r="AR134" s="19"/>
      <c r="AS134" s="19"/>
      <c r="AT134" s="19"/>
    </row>
    <row r="135" spans="1:46" ht="12.5" x14ac:dyDescent="0.2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30"/>
      <c r="AM135" s="19"/>
      <c r="AN135" s="19"/>
      <c r="AO135" s="19"/>
      <c r="AP135" s="130"/>
      <c r="AQ135" s="130"/>
      <c r="AR135" s="19"/>
      <c r="AS135" s="19"/>
      <c r="AT135" s="19"/>
    </row>
    <row r="136" spans="1:46" ht="12.5" x14ac:dyDescent="0.25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30"/>
      <c r="AM136" s="19"/>
      <c r="AN136" s="19"/>
      <c r="AO136" s="19"/>
      <c r="AP136" s="130"/>
      <c r="AQ136" s="130"/>
      <c r="AR136" s="19"/>
      <c r="AS136" s="19"/>
      <c r="AT136" s="19"/>
    </row>
    <row r="137" spans="1:46" ht="12.5" x14ac:dyDescent="0.25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30"/>
      <c r="AM137" s="19"/>
      <c r="AN137" s="19"/>
      <c r="AO137" s="19"/>
      <c r="AP137" s="130"/>
      <c r="AQ137" s="130"/>
      <c r="AR137" s="19"/>
      <c r="AS137" s="19"/>
      <c r="AT137" s="19"/>
    </row>
    <row r="138" spans="1:46" ht="12.5" x14ac:dyDescent="0.25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30"/>
      <c r="AM138" s="19"/>
      <c r="AN138" s="19"/>
      <c r="AO138" s="19"/>
      <c r="AP138" s="130"/>
      <c r="AQ138" s="130"/>
      <c r="AR138" s="19"/>
      <c r="AS138" s="19"/>
      <c r="AT138" s="19"/>
    </row>
    <row r="139" spans="1:46" ht="12.5" x14ac:dyDescent="0.25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30"/>
      <c r="AM139" s="19"/>
      <c r="AN139" s="19"/>
      <c r="AO139" s="19"/>
      <c r="AP139" s="130"/>
      <c r="AQ139" s="130"/>
      <c r="AR139" s="19"/>
      <c r="AS139" s="19"/>
      <c r="AT139" s="19"/>
    </row>
    <row r="140" spans="1:46" ht="12.5" x14ac:dyDescent="0.25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30"/>
      <c r="AM140" s="19"/>
      <c r="AN140" s="19"/>
      <c r="AO140" s="19"/>
      <c r="AP140" s="130"/>
      <c r="AQ140" s="130"/>
      <c r="AR140" s="19"/>
      <c r="AS140" s="19"/>
      <c r="AT140" s="19"/>
    </row>
    <row r="141" spans="1:46" ht="12.5" x14ac:dyDescent="0.25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30"/>
      <c r="AM141" s="19"/>
      <c r="AN141" s="19"/>
      <c r="AO141" s="19"/>
      <c r="AP141" s="130"/>
      <c r="AQ141" s="130"/>
      <c r="AR141" s="19"/>
      <c r="AS141" s="19"/>
      <c r="AT141" s="19"/>
    </row>
    <row r="142" spans="1:46" ht="12.5" x14ac:dyDescent="0.2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30"/>
      <c r="AM142" s="19"/>
      <c r="AN142" s="19"/>
      <c r="AO142" s="19"/>
      <c r="AP142" s="130"/>
      <c r="AQ142" s="130"/>
      <c r="AR142" s="19"/>
      <c r="AS142" s="19"/>
      <c r="AT142" s="19"/>
    </row>
    <row r="143" spans="1:46" ht="12.5" x14ac:dyDescent="0.2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30"/>
      <c r="AM143" s="19"/>
      <c r="AN143" s="19"/>
      <c r="AO143" s="19"/>
      <c r="AP143" s="130"/>
      <c r="AQ143" s="130"/>
      <c r="AR143" s="19"/>
      <c r="AS143" s="19"/>
      <c r="AT143" s="19"/>
    </row>
    <row r="144" spans="1:46" ht="12.5" x14ac:dyDescent="0.2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30"/>
      <c r="AM144" s="19"/>
      <c r="AN144" s="19"/>
      <c r="AO144" s="19"/>
      <c r="AP144" s="130"/>
      <c r="AQ144" s="130"/>
      <c r="AR144" s="19"/>
      <c r="AS144" s="19"/>
      <c r="AT144" s="19"/>
    </row>
    <row r="145" spans="1:46" ht="12.5" x14ac:dyDescent="0.2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30"/>
      <c r="AM145" s="19"/>
      <c r="AN145" s="19"/>
      <c r="AO145" s="19"/>
      <c r="AP145" s="130"/>
      <c r="AQ145" s="130"/>
      <c r="AR145" s="19"/>
      <c r="AS145" s="19"/>
      <c r="AT145" s="19"/>
    </row>
    <row r="146" spans="1:46" ht="12.5" x14ac:dyDescent="0.25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30"/>
      <c r="AM146" s="19"/>
      <c r="AN146" s="19"/>
      <c r="AO146" s="19"/>
      <c r="AP146" s="130"/>
      <c r="AQ146" s="130"/>
      <c r="AR146" s="19"/>
      <c r="AS146" s="19"/>
      <c r="AT146" s="19"/>
    </row>
    <row r="147" spans="1:46" ht="12.5" x14ac:dyDescent="0.25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30"/>
      <c r="AM147" s="19"/>
      <c r="AN147" s="19"/>
      <c r="AO147" s="19"/>
      <c r="AP147" s="130"/>
      <c r="AQ147" s="130"/>
      <c r="AR147" s="19"/>
      <c r="AS147" s="19"/>
      <c r="AT147" s="19"/>
    </row>
    <row r="148" spans="1:46" ht="12.5" x14ac:dyDescent="0.25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30"/>
      <c r="AM148" s="19"/>
      <c r="AN148" s="19"/>
      <c r="AO148" s="19"/>
      <c r="AP148" s="130"/>
      <c r="AQ148" s="130"/>
      <c r="AR148" s="19"/>
      <c r="AS148" s="19"/>
      <c r="AT148" s="19"/>
    </row>
    <row r="149" spans="1:46" ht="12.5" x14ac:dyDescent="0.25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30"/>
      <c r="AM149" s="19"/>
      <c r="AN149" s="19"/>
      <c r="AO149" s="19"/>
      <c r="AP149" s="130"/>
      <c r="AQ149" s="130"/>
      <c r="AR149" s="19"/>
      <c r="AS149" s="19"/>
      <c r="AT149" s="19"/>
    </row>
    <row r="150" spans="1:46" ht="12.5" x14ac:dyDescent="0.25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30"/>
      <c r="AM150" s="19"/>
      <c r="AN150" s="19"/>
      <c r="AO150" s="19"/>
      <c r="AP150" s="130"/>
      <c r="AQ150" s="130"/>
      <c r="AR150" s="19"/>
      <c r="AS150" s="19"/>
      <c r="AT150" s="19"/>
    </row>
    <row r="151" spans="1:46" ht="12.5" x14ac:dyDescent="0.25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30"/>
      <c r="AM151" s="19"/>
      <c r="AN151" s="19"/>
      <c r="AO151" s="19"/>
      <c r="AP151" s="130"/>
      <c r="AQ151" s="130"/>
      <c r="AR151" s="19"/>
      <c r="AS151" s="19"/>
      <c r="AT151" s="19"/>
    </row>
    <row r="152" spans="1:46" ht="12.5" x14ac:dyDescent="0.2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30"/>
      <c r="AM152" s="19"/>
      <c r="AN152" s="19"/>
      <c r="AO152" s="19"/>
      <c r="AP152" s="130"/>
      <c r="AQ152" s="130"/>
      <c r="AR152" s="19"/>
      <c r="AS152" s="19"/>
      <c r="AT152" s="19"/>
    </row>
    <row r="153" spans="1:46" ht="12.5" x14ac:dyDescent="0.25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30"/>
      <c r="AM153" s="19"/>
      <c r="AN153" s="19"/>
      <c r="AO153" s="19"/>
      <c r="AP153" s="130"/>
      <c r="AQ153" s="130"/>
      <c r="AR153" s="19"/>
      <c r="AS153" s="19"/>
      <c r="AT153" s="19"/>
    </row>
    <row r="154" spans="1:46" ht="12.5" x14ac:dyDescent="0.25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30"/>
      <c r="AM154" s="19"/>
      <c r="AN154" s="19"/>
      <c r="AO154" s="19"/>
      <c r="AP154" s="130"/>
      <c r="AQ154" s="130"/>
      <c r="AR154" s="19"/>
      <c r="AS154" s="19"/>
      <c r="AT154" s="19"/>
    </row>
    <row r="155" spans="1:46" ht="12.5" x14ac:dyDescent="0.2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30"/>
      <c r="AM155" s="19"/>
      <c r="AN155" s="19"/>
      <c r="AO155" s="19"/>
      <c r="AP155" s="130"/>
      <c r="AQ155" s="130"/>
      <c r="AR155" s="19"/>
      <c r="AS155" s="19"/>
      <c r="AT155" s="19"/>
    </row>
    <row r="156" spans="1:46" ht="12.5" x14ac:dyDescent="0.25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30"/>
      <c r="AM156" s="19"/>
      <c r="AN156" s="19"/>
      <c r="AO156" s="19"/>
      <c r="AP156" s="130"/>
      <c r="AQ156" s="130"/>
      <c r="AR156" s="19"/>
      <c r="AS156" s="19"/>
      <c r="AT156" s="19"/>
    </row>
    <row r="157" spans="1:46" ht="12.5" x14ac:dyDescent="0.25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30"/>
      <c r="AM157" s="19"/>
      <c r="AN157" s="19"/>
      <c r="AO157" s="19"/>
      <c r="AP157" s="130"/>
      <c r="AQ157" s="130"/>
      <c r="AR157" s="19"/>
      <c r="AS157" s="19"/>
      <c r="AT157" s="19"/>
    </row>
    <row r="158" spans="1:46" ht="12.5" x14ac:dyDescent="0.25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30"/>
      <c r="AM158" s="19"/>
      <c r="AN158" s="19"/>
      <c r="AO158" s="19"/>
      <c r="AP158" s="130"/>
      <c r="AQ158" s="130"/>
      <c r="AR158" s="19"/>
      <c r="AS158" s="19"/>
      <c r="AT158" s="19"/>
    </row>
    <row r="159" spans="1:46" ht="12.5" x14ac:dyDescent="0.25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30"/>
      <c r="AM159" s="19"/>
      <c r="AN159" s="19"/>
      <c r="AO159" s="19"/>
      <c r="AP159" s="130"/>
      <c r="AQ159" s="130"/>
      <c r="AR159" s="19"/>
      <c r="AS159" s="19"/>
      <c r="AT159" s="19"/>
    </row>
    <row r="160" spans="1:46" ht="12.5" x14ac:dyDescent="0.25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30"/>
      <c r="AM160" s="19"/>
      <c r="AN160" s="19"/>
      <c r="AO160" s="19"/>
      <c r="AP160" s="130"/>
      <c r="AQ160" s="130"/>
      <c r="AR160" s="19"/>
      <c r="AS160" s="19"/>
      <c r="AT160" s="19"/>
    </row>
    <row r="161" spans="1:46" ht="12.5" x14ac:dyDescent="0.25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30"/>
      <c r="AM161" s="19"/>
      <c r="AN161" s="19"/>
      <c r="AO161" s="19"/>
      <c r="AP161" s="130"/>
      <c r="AQ161" s="130"/>
      <c r="AR161" s="19"/>
      <c r="AS161" s="19"/>
      <c r="AT161" s="19"/>
    </row>
    <row r="162" spans="1:46" ht="12.5" x14ac:dyDescent="0.25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30"/>
      <c r="AM162" s="19"/>
      <c r="AN162" s="19"/>
      <c r="AO162" s="19"/>
      <c r="AP162" s="130"/>
      <c r="AQ162" s="130"/>
      <c r="AR162" s="19"/>
      <c r="AS162" s="19"/>
      <c r="AT162" s="19"/>
    </row>
    <row r="163" spans="1:46" ht="12.5" x14ac:dyDescent="0.25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30"/>
      <c r="AM163" s="19"/>
      <c r="AN163" s="19"/>
      <c r="AO163" s="19"/>
      <c r="AP163" s="130"/>
      <c r="AQ163" s="130"/>
      <c r="AR163" s="19"/>
      <c r="AS163" s="19"/>
      <c r="AT163" s="19"/>
    </row>
    <row r="164" spans="1:46" ht="12.5" x14ac:dyDescent="0.25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30"/>
      <c r="AM164" s="19"/>
      <c r="AN164" s="19"/>
      <c r="AO164" s="19"/>
      <c r="AP164" s="130"/>
      <c r="AQ164" s="130"/>
      <c r="AR164" s="19"/>
      <c r="AS164" s="19"/>
      <c r="AT164" s="19"/>
    </row>
    <row r="165" spans="1:46" ht="12.5" x14ac:dyDescent="0.2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30"/>
      <c r="AM165" s="19"/>
      <c r="AN165" s="19"/>
      <c r="AO165" s="19"/>
      <c r="AP165" s="130"/>
      <c r="AQ165" s="130"/>
      <c r="AR165" s="19"/>
      <c r="AS165" s="19"/>
      <c r="AT165" s="19"/>
    </row>
    <row r="166" spans="1:46" ht="12.5" x14ac:dyDescent="0.25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30"/>
      <c r="AM166" s="19"/>
      <c r="AN166" s="19"/>
      <c r="AO166" s="19"/>
      <c r="AP166" s="130"/>
      <c r="AQ166" s="130"/>
      <c r="AR166" s="19"/>
      <c r="AS166" s="19"/>
      <c r="AT166" s="19"/>
    </row>
    <row r="167" spans="1:46" ht="12.5" x14ac:dyDescent="0.25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30"/>
      <c r="AM167" s="19"/>
      <c r="AN167" s="19"/>
      <c r="AO167" s="19"/>
      <c r="AP167" s="130"/>
      <c r="AQ167" s="130"/>
      <c r="AR167" s="19"/>
      <c r="AS167" s="19"/>
      <c r="AT167" s="19"/>
    </row>
    <row r="168" spans="1:46" ht="12.5" x14ac:dyDescent="0.25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30"/>
      <c r="AM168" s="19"/>
      <c r="AN168" s="19"/>
      <c r="AO168" s="19"/>
      <c r="AP168" s="130"/>
      <c r="AQ168" s="130"/>
      <c r="AR168" s="19"/>
      <c r="AS168" s="19"/>
      <c r="AT168" s="19"/>
    </row>
    <row r="169" spans="1:46" ht="12.5" x14ac:dyDescent="0.25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30"/>
      <c r="AM169" s="19"/>
      <c r="AN169" s="19"/>
      <c r="AO169" s="19"/>
      <c r="AP169" s="130"/>
      <c r="AQ169" s="130"/>
      <c r="AR169" s="19"/>
      <c r="AS169" s="19"/>
      <c r="AT169" s="19"/>
    </row>
    <row r="170" spans="1:46" ht="12.5" x14ac:dyDescent="0.25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30"/>
      <c r="AM170" s="19"/>
      <c r="AN170" s="19"/>
      <c r="AO170" s="19"/>
      <c r="AP170" s="130"/>
      <c r="AQ170" s="130"/>
      <c r="AR170" s="19"/>
      <c r="AS170" s="19"/>
      <c r="AT170" s="19"/>
    </row>
    <row r="171" spans="1:46" ht="12.5" x14ac:dyDescent="0.25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30"/>
      <c r="AM171" s="19"/>
      <c r="AN171" s="19"/>
      <c r="AO171" s="19"/>
      <c r="AP171" s="130"/>
      <c r="AQ171" s="130"/>
      <c r="AR171" s="19"/>
      <c r="AS171" s="19"/>
      <c r="AT171" s="19"/>
    </row>
    <row r="172" spans="1:46" ht="12.5" x14ac:dyDescent="0.25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30"/>
      <c r="AM172" s="19"/>
      <c r="AN172" s="19"/>
      <c r="AO172" s="19"/>
      <c r="AP172" s="130"/>
      <c r="AQ172" s="130"/>
      <c r="AR172" s="19"/>
      <c r="AS172" s="19"/>
      <c r="AT172" s="19"/>
    </row>
    <row r="173" spans="1:46" ht="12.5" x14ac:dyDescent="0.25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30"/>
      <c r="AM173" s="19"/>
      <c r="AN173" s="19"/>
      <c r="AO173" s="19"/>
      <c r="AP173" s="130"/>
      <c r="AQ173" s="130"/>
      <c r="AR173" s="19"/>
      <c r="AS173" s="19"/>
      <c r="AT173" s="19"/>
    </row>
    <row r="174" spans="1:46" ht="12.5" x14ac:dyDescent="0.25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30"/>
      <c r="AM174" s="19"/>
      <c r="AN174" s="19"/>
      <c r="AO174" s="19"/>
      <c r="AP174" s="130"/>
      <c r="AQ174" s="130"/>
      <c r="AR174" s="19"/>
      <c r="AS174" s="19"/>
      <c r="AT174" s="19"/>
    </row>
    <row r="175" spans="1:46" ht="12.5" x14ac:dyDescent="0.2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30"/>
      <c r="AM175" s="19"/>
      <c r="AN175" s="19"/>
      <c r="AO175" s="19"/>
      <c r="AP175" s="130"/>
      <c r="AQ175" s="130"/>
      <c r="AR175" s="19"/>
      <c r="AS175" s="19"/>
      <c r="AT175" s="19"/>
    </row>
    <row r="176" spans="1:46" ht="12.5" x14ac:dyDescent="0.25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30"/>
      <c r="AM176" s="19"/>
      <c r="AN176" s="19"/>
      <c r="AO176" s="19"/>
      <c r="AP176" s="130"/>
      <c r="AQ176" s="130"/>
      <c r="AR176" s="19"/>
      <c r="AS176" s="19"/>
      <c r="AT176" s="19"/>
    </row>
    <row r="177" spans="1:46" ht="12.5" x14ac:dyDescent="0.25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30"/>
      <c r="AM177" s="19"/>
      <c r="AN177" s="19"/>
      <c r="AO177" s="19"/>
      <c r="AP177" s="130"/>
      <c r="AQ177" s="130"/>
      <c r="AR177" s="19"/>
      <c r="AS177" s="19"/>
      <c r="AT177" s="19"/>
    </row>
    <row r="178" spans="1:46" ht="12.5" x14ac:dyDescent="0.25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30"/>
      <c r="AM178" s="19"/>
      <c r="AN178" s="19"/>
      <c r="AO178" s="19"/>
      <c r="AP178" s="130"/>
      <c r="AQ178" s="130"/>
      <c r="AR178" s="19"/>
      <c r="AS178" s="19"/>
      <c r="AT178" s="19"/>
    </row>
    <row r="179" spans="1:46" ht="12.5" x14ac:dyDescent="0.25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30"/>
      <c r="AM179" s="19"/>
      <c r="AN179" s="19"/>
      <c r="AO179" s="19"/>
      <c r="AP179" s="130"/>
      <c r="AQ179" s="130"/>
      <c r="AR179" s="19"/>
      <c r="AS179" s="19"/>
      <c r="AT179" s="19"/>
    </row>
    <row r="180" spans="1:46" ht="12.5" x14ac:dyDescent="0.25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30"/>
      <c r="AM180" s="19"/>
      <c r="AN180" s="19"/>
      <c r="AO180" s="19"/>
      <c r="AP180" s="130"/>
      <c r="AQ180" s="130"/>
      <c r="AR180" s="19"/>
      <c r="AS180" s="19"/>
      <c r="AT180" s="19"/>
    </row>
    <row r="181" spans="1:46" ht="12.5" x14ac:dyDescent="0.25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30"/>
      <c r="AM181" s="19"/>
      <c r="AN181" s="19"/>
      <c r="AO181" s="19"/>
      <c r="AP181" s="130"/>
      <c r="AQ181" s="130"/>
      <c r="AR181" s="19"/>
      <c r="AS181" s="19"/>
      <c r="AT181" s="19"/>
    </row>
    <row r="182" spans="1:46" ht="12.5" x14ac:dyDescent="0.25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30"/>
      <c r="AM182" s="19"/>
      <c r="AN182" s="19"/>
      <c r="AO182" s="19"/>
      <c r="AP182" s="130"/>
      <c r="AQ182" s="130"/>
      <c r="AR182" s="19"/>
      <c r="AS182" s="19"/>
      <c r="AT182" s="19"/>
    </row>
    <row r="183" spans="1:46" ht="12.5" x14ac:dyDescent="0.25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30"/>
      <c r="AM183" s="19"/>
      <c r="AN183" s="19"/>
      <c r="AO183" s="19"/>
      <c r="AP183" s="130"/>
      <c r="AQ183" s="130"/>
      <c r="AR183" s="19"/>
      <c r="AS183" s="19"/>
      <c r="AT183" s="19"/>
    </row>
    <row r="184" spans="1:46" ht="12.5" x14ac:dyDescent="0.25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30"/>
      <c r="AM184" s="19"/>
      <c r="AN184" s="19"/>
      <c r="AO184" s="19"/>
      <c r="AP184" s="130"/>
      <c r="AQ184" s="130"/>
      <c r="AR184" s="19"/>
      <c r="AS184" s="19"/>
      <c r="AT184" s="19"/>
    </row>
    <row r="185" spans="1:46" ht="12.5" x14ac:dyDescent="0.2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30"/>
      <c r="AM185" s="19"/>
      <c r="AN185" s="19"/>
      <c r="AO185" s="19"/>
      <c r="AP185" s="130"/>
      <c r="AQ185" s="130"/>
      <c r="AR185" s="19"/>
      <c r="AS185" s="19"/>
      <c r="AT185" s="19"/>
    </row>
    <row r="186" spans="1:46" ht="12.5" x14ac:dyDescent="0.25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30"/>
      <c r="AM186" s="19"/>
      <c r="AN186" s="19"/>
      <c r="AO186" s="19"/>
      <c r="AP186" s="130"/>
      <c r="AQ186" s="130"/>
      <c r="AR186" s="19"/>
      <c r="AS186" s="19"/>
      <c r="AT186" s="19"/>
    </row>
    <row r="187" spans="1:46" ht="12.5" x14ac:dyDescent="0.25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30"/>
      <c r="AM187" s="19"/>
      <c r="AN187" s="19"/>
      <c r="AO187" s="19"/>
      <c r="AP187" s="130"/>
      <c r="AQ187" s="130"/>
      <c r="AR187" s="19"/>
      <c r="AS187" s="19"/>
      <c r="AT187" s="19"/>
    </row>
    <row r="188" spans="1:46" ht="12.5" x14ac:dyDescent="0.25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30"/>
      <c r="AM188" s="19"/>
      <c r="AN188" s="19"/>
      <c r="AO188" s="19"/>
      <c r="AP188" s="130"/>
      <c r="AQ188" s="130"/>
      <c r="AR188" s="19"/>
      <c r="AS188" s="19"/>
      <c r="AT188" s="19"/>
    </row>
    <row r="189" spans="1:46" ht="12.5" x14ac:dyDescent="0.25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30"/>
      <c r="AM189" s="19"/>
      <c r="AN189" s="19"/>
      <c r="AO189" s="19"/>
      <c r="AP189" s="130"/>
      <c r="AQ189" s="130"/>
      <c r="AR189" s="19"/>
      <c r="AS189" s="19"/>
      <c r="AT189" s="19"/>
    </row>
    <row r="190" spans="1:46" ht="12.5" x14ac:dyDescent="0.25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30"/>
      <c r="AM190" s="19"/>
      <c r="AN190" s="19"/>
      <c r="AO190" s="19"/>
      <c r="AP190" s="130"/>
      <c r="AQ190" s="130"/>
      <c r="AR190" s="19"/>
      <c r="AS190" s="19"/>
      <c r="AT190" s="19"/>
    </row>
    <row r="191" spans="1:46" ht="12.5" x14ac:dyDescent="0.25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30"/>
      <c r="AM191" s="19"/>
      <c r="AN191" s="19"/>
      <c r="AO191" s="19"/>
      <c r="AP191" s="130"/>
      <c r="AQ191" s="130"/>
      <c r="AR191" s="19"/>
      <c r="AS191" s="19"/>
      <c r="AT191" s="19"/>
    </row>
    <row r="192" spans="1:46" ht="12.5" x14ac:dyDescent="0.25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30"/>
      <c r="AM192" s="19"/>
      <c r="AN192" s="19"/>
      <c r="AO192" s="19"/>
      <c r="AP192" s="130"/>
      <c r="AQ192" s="130"/>
      <c r="AR192" s="19"/>
      <c r="AS192" s="19"/>
      <c r="AT192" s="19"/>
    </row>
    <row r="193" spans="1:46" ht="12.5" x14ac:dyDescent="0.25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30"/>
      <c r="AM193" s="19"/>
      <c r="AN193" s="19"/>
      <c r="AO193" s="19"/>
      <c r="AP193" s="130"/>
      <c r="AQ193" s="130"/>
      <c r="AR193" s="19"/>
      <c r="AS193" s="19"/>
      <c r="AT193" s="19"/>
    </row>
    <row r="194" spans="1:46" ht="12.5" x14ac:dyDescent="0.25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30"/>
      <c r="AM194" s="19"/>
      <c r="AN194" s="19"/>
      <c r="AO194" s="19"/>
      <c r="AP194" s="130"/>
      <c r="AQ194" s="130"/>
      <c r="AR194" s="19"/>
      <c r="AS194" s="19"/>
      <c r="AT194" s="19"/>
    </row>
    <row r="195" spans="1:46" ht="12.5" x14ac:dyDescent="0.2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30"/>
      <c r="AM195" s="19"/>
      <c r="AN195" s="19"/>
      <c r="AO195" s="19"/>
      <c r="AP195" s="130"/>
      <c r="AQ195" s="130"/>
      <c r="AR195" s="19"/>
      <c r="AS195" s="19"/>
      <c r="AT195" s="19"/>
    </row>
    <row r="196" spans="1:46" ht="12.5" x14ac:dyDescent="0.25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30"/>
      <c r="AM196" s="19"/>
      <c r="AN196" s="19"/>
      <c r="AO196" s="19"/>
      <c r="AP196" s="130"/>
      <c r="AQ196" s="130"/>
      <c r="AR196" s="19"/>
      <c r="AS196" s="19"/>
      <c r="AT196" s="19"/>
    </row>
    <row r="197" spans="1:46" ht="12.5" x14ac:dyDescent="0.25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30"/>
      <c r="AM197" s="19"/>
      <c r="AN197" s="19"/>
      <c r="AO197" s="19"/>
      <c r="AP197" s="130"/>
      <c r="AQ197" s="130"/>
      <c r="AR197" s="19"/>
      <c r="AS197" s="19"/>
      <c r="AT197" s="19"/>
    </row>
    <row r="198" spans="1:46" ht="12.5" x14ac:dyDescent="0.25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30"/>
      <c r="AM198" s="19"/>
      <c r="AN198" s="19"/>
      <c r="AO198" s="19"/>
      <c r="AP198" s="130"/>
      <c r="AQ198" s="130"/>
      <c r="AR198" s="19"/>
      <c r="AS198" s="19"/>
      <c r="AT198" s="19"/>
    </row>
    <row r="199" spans="1:46" ht="12.5" x14ac:dyDescent="0.25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30"/>
      <c r="AM199" s="19"/>
      <c r="AN199" s="19"/>
      <c r="AO199" s="19"/>
      <c r="AP199" s="130"/>
      <c r="AQ199" s="130"/>
      <c r="AR199" s="19"/>
      <c r="AS199" s="19"/>
      <c r="AT199" s="19"/>
    </row>
    <row r="200" spans="1:46" ht="12.5" x14ac:dyDescent="0.25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30"/>
      <c r="AM200" s="19"/>
      <c r="AN200" s="19"/>
      <c r="AO200" s="19"/>
      <c r="AP200" s="130"/>
      <c r="AQ200" s="130"/>
      <c r="AR200" s="19"/>
      <c r="AS200" s="19"/>
      <c r="AT200" s="19"/>
    </row>
    <row r="201" spans="1:46" ht="12.5" x14ac:dyDescent="0.25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30"/>
      <c r="AM201" s="19"/>
      <c r="AN201" s="19"/>
      <c r="AO201" s="19"/>
      <c r="AP201" s="130"/>
      <c r="AQ201" s="130"/>
      <c r="AR201" s="19"/>
      <c r="AS201" s="19"/>
      <c r="AT201" s="19"/>
    </row>
    <row r="202" spans="1:46" ht="12.5" x14ac:dyDescent="0.25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30"/>
      <c r="AM202" s="19"/>
      <c r="AN202" s="19"/>
      <c r="AO202" s="19"/>
      <c r="AP202" s="130"/>
      <c r="AQ202" s="130"/>
      <c r="AR202" s="19"/>
      <c r="AS202" s="19"/>
      <c r="AT202" s="19"/>
    </row>
    <row r="203" spans="1:46" ht="12.5" x14ac:dyDescent="0.25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30"/>
      <c r="AM203" s="19"/>
      <c r="AN203" s="19"/>
      <c r="AO203" s="19"/>
      <c r="AP203" s="130"/>
      <c r="AQ203" s="130"/>
      <c r="AR203" s="19"/>
      <c r="AS203" s="19"/>
      <c r="AT203" s="19"/>
    </row>
    <row r="204" spans="1:46" ht="12.5" x14ac:dyDescent="0.25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30"/>
      <c r="AM204" s="19"/>
      <c r="AN204" s="19"/>
      <c r="AO204" s="19"/>
      <c r="AP204" s="130"/>
      <c r="AQ204" s="130"/>
      <c r="AR204" s="19"/>
      <c r="AS204" s="19"/>
      <c r="AT204" s="19"/>
    </row>
    <row r="205" spans="1:46" ht="12.5" x14ac:dyDescent="0.2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30"/>
      <c r="AM205" s="19"/>
      <c r="AN205" s="19"/>
      <c r="AO205" s="19"/>
      <c r="AP205" s="130"/>
      <c r="AQ205" s="130"/>
      <c r="AR205" s="19"/>
      <c r="AS205" s="19"/>
      <c r="AT205" s="19"/>
    </row>
    <row r="206" spans="1:46" ht="12.5" x14ac:dyDescent="0.25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30"/>
      <c r="AM206" s="19"/>
      <c r="AN206" s="19"/>
      <c r="AO206" s="19"/>
      <c r="AP206" s="130"/>
      <c r="AQ206" s="130"/>
      <c r="AR206" s="19"/>
      <c r="AS206" s="19"/>
      <c r="AT206" s="19"/>
    </row>
    <row r="207" spans="1:46" ht="12.5" x14ac:dyDescent="0.25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30"/>
      <c r="AM207" s="19"/>
      <c r="AN207" s="19"/>
      <c r="AO207" s="19"/>
      <c r="AP207" s="130"/>
      <c r="AQ207" s="130"/>
      <c r="AR207" s="19"/>
      <c r="AS207" s="19"/>
      <c r="AT207" s="19"/>
    </row>
    <row r="208" spans="1:46" ht="12.5" x14ac:dyDescent="0.25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30"/>
      <c r="AM208" s="19"/>
      <c r="AN208" s="19"/>
      <c r="AO208" s="19"/>
      <c r="AP208" s="130"/>
      <c r="AQ208" s="130"/>
      <c r="AR208" s="19"/>
      <c r="AS208" s="19"/>
      <c r="AT208" s="19"/>
    </row>
    <row r="209" spans="1:46" ht="12.5" x14ac:dyDescent="0.25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30"/>
      <c r="AM209" s="19"/>
      <c r="AN209" s="19"/>
      <c r="AO209" s="19"/>
      <c r="AP209" s="130"/>
      <c r="AQ209" s="130"/>
      <c r="AR209" s="19"/>
      <c r="AS209" s="19"/>
      <c r="AT209" s="19"/>
    </row>
    <row r="210" spans="1:46" ht="12.5" x14ac:dyDescent="0.25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30"/>
      <c r="AM210" s="19"/>
      <c r="AN210" s="19"/>
      <c r="AO210" s="19"/>
      <c r="AP210" s="130"/>
      <c r="AQ210" s="130"/>
      <c r="AR210" s="19"/>
      <c r="AS210" s="19"/>
      <c r="AT210" s="19"/>
    </row>
    <row r="211" spans="1:46" ht="12.5" x14ac:dyDescent="0.25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30"/>
      <c r="AM211" s="19"/>
      <c r="AN211" s="19"/>
      <c r="AO211" s="19"/>
      <c r="AP211" s="130"/>
      <c r="AQ211" s="130"/>
      <c r="AR211" s="19"/>
      <c r="AS211" s="19"/>
      <c r="AT211" s="19"/>
    </row>
    <row r="212" spans="1:46" ht="12.5" x14ac:dyDescent="0.25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30"/>
      <c r="AM212" s="19"/>
      <c r="AN212" s="19"/>
      <c r="AO212" s="19"/>
      <c r="AP212" s="130"/>
      <c r="AQ212" s="130"/>
      <c r="AR212" s="19"/>
      <c r="AS212" s="19"/>
      <c r="AT212" s="19"/>
    </row>
    <row r="213" spans="1:46" ht="12.5" x14ac:dyDescent="0.25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30"/>
      <c r="AM213" s="19"/>
      <c r="AN213" s="19"/>
      <c r="AO213" s="19"/>
      <c r="AP213" s="130"/>
      <c r="AQ213" s="130"/>
      <c r="AR213" s="19"/>
      <c r="AS213" s="19"/>
      <c r="AT213" s="19"/>
    </row>
    <row r="214" spans="1:46" ht="12.5" x14ac:dyDescent="0.25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30"/>
      <c r="AM214" s="19"/>
      <c r="AN214" s="19"/>
      <c r="AO214" s="19"/>
      <c r="AP214" s="130"/>
      <c r="AQ214" s="130"/>
      <c r="AR214" s="19"/>
      <c r="AS214" s="19"/>
      <c r="AT214" s="19"/>
    </row>
    <row r="215" spans="1:46" ht="12.5" x14ac:dyDescent="0.2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30"/>
      <c r="AM215" s="19"/>
      <c r="AN215" s="19"/>
      <c r="AO215" s="19"/>
      <c r="AP215" s="130"/>
      <c r="AQ215" s="130"/>
      <c r="AR215" s="19"/>
      <c r="AS215" s="19"/>
      <c r="AT215" s="19"/>
    </row>
    <row r="216" spans="1:46" ht="12.5" x14ac:dyDescent="0.25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30"/>
      <c r="AM216" s="19"/>
      <c r="AN216" s="19"/>
      <c r="AO216" s="19"/>
      <c r="AP216" s="130"/>
      <c r="AQ216" s="130"/>
      <c r="AR216" s="19"/>
      <c r="AS216" s="19"/>
      <c r="AT216" s="19"/>
    </row>
    <row r="217" spans="1:46" ht="12.5" x14ac:dyDescent="0.25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30"/>
      <c r="AM217" s="19"/>
      <c r="AN217" s="19"/>
      <c r="AO217" s="19"/>
      <c r="AP217" s="130"/>
      <c r="AQ217" s="130"/>
      <c r="AR217" s="19"/>
      <c r="AS217" s="19"/>
      <c r="AT217" s="19"/>
    </row>
    <row r="218" spans="1:46" ht="12.5" x14ac:dyDescent="0.25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30"/>
      <c r="AM218" s="19"/>
      <c r="AN218" s="19"/>
      <c r="AO218" s="19"/>
      <c r="AP218" s="130"/>
      <c r="AQ218" s="130"/>
      <c r="AR218" s="19"/>
      <c r="AS218" s="19"/>
      <c r="AT218" s="19"/>
    </row>
    <row r="219" spans="1:46" ht="12.5" x14ac:dyDescent="0.25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30"/>
      <c r="AM219" s="19"/>
      <c r="AN219" s="19"/>
      <c r="AO219" s="19"/>
      <c r="AP219" s="130"/>
      <c r="AQ219" s="130"/>
      <c r="AR219" s="19"/>
      <c r="AS219" s="19"/>
      <c r="AT219" s="19"/>
    </row>
    <row r="220" spans="1:46" ht="12.5" x14ac:dyDescent="0.25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30"/>
      <c r="AM220" s="19"/>
      <c r="AN220" s="19"/>
      <c r="AO220" s="19"/>
      <c r="AP220" s="130"/>
      <c r="AQ220" s="130"/>
      <c r="AR220" s="19"/>
      <c r="AS220" s="19"/>
      <c r="AT220" s="19"/>
    </row>
    <row r="221" spans="1:46" ht="12.5" x14ac:dyDescent="0.25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30"/>
      <c r="AM221" s="19"/>
      <c r="AN221" s="19"/>
      <c r="AO221" s="19"/>
      <c r="AP221" s="130"/>
      <c r="AQ221" s="130"/>
      <c r="AR221" s="19"/>
      <c r="AS221" s="19"/>
      <c r="AT221" s="19"/>
    </row>
    <row r="222" spans="1:46" ht="12.5" x14ac:dyDescent="0.25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30"/>
      <c r="AM222" s="19"/>
      <c r="AN222" s="19"/>
      <c r="AO222" s="19"/>
      <c r="AP222" s="130"/>
      <c r="AQ222" s="130"/>
      <c r="AR222" s="19"/>
      <c r="AS222" s="19"/>
      <c r="AT222" s="19"/>
    </row>
    <row r="223" spans="1:46" ht="12.5" x14ac:dyDescent="0.25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30"/>
      <c r="AM223" s="19"/>
      <c r="AN223" s="19"/>
      <c r="AO223" s="19"/>
      <c r="AP223" s="130"/>
      <c r="AQ223" s="130"/>
      <c r="AR223" s="19"/>
      <c r="AS223" s="19"/>
      <c r="AT223" s="19"/>
    </row>
    <row r="224" spans="1:46" ht="12.5" x14ac:dyDescent="0.25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30"/>
      <c r="AM224" s="19"/>
      <c r="AN224" s="19"/>
      <c r="AO224" s="19"/>
      <c r="AP224" s="130"/>
      <c r="AQ224" s="130"/>
      <c r="AR224" s="19"/>
      <c r="AS224" s="19"/>
      <c r="AT224" s="19"/>
    </row>
    <row r="225" spans="1:46" ht="12.5" x14ac:dyDescent="0.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30"/>
      <c r="AM225" s="19"/>
      <c r="AN225" s="19"/>
      <c r="AO225" s="19"/>
      <c r="AP225" s="130"/>
      <c r="AQ225" s="130"/>
      <c r="AR225" s="19"/>
      <c r="AS225" s="19"/>
      <c r="AT225" s="19"/>
    </row>
    <row r="226" spans="1:46" ht="12.5" x14ac:dyDescent="0.25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30"/>
      <c r="AM226" s="19"/>
      <c r="AN226" s="19"/>
      <c r="AO226" s="19"/>
      <c r="AP226" s="130"/>
      <c r="AQ226" s="130"/>
      <c r="AR226" s="19"/>
      <c r="AS226" s="19"/>
      <c r="AT226" s="19"/>
    </row>
    <row r="227" spans="1:46" ht="12.5" x14ac:dyDescent="0.25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30"/>
      <c r="AM227" s="19"/>
      <c r="AN227" s="19"/>
      <c r="AO227" s="19"/>
      <c r="AP227" s="130"/>
      <c r="AQ227" s="130"/>
      <c r="AR227" s="19"/>
      <c r="AS227" s="19"/>
      <c r="AT227" s="19"/>
    </row>
    <row r="228" spans="1:46" ht="12.5" x14ac:dyDescent="0.25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30"/>
      <c r="AM228" s="19"/>
      <c r="AN228" s="19"/>
      <c r="AO228" s="19"/>
      <c r="AP228" s="130"/>
      <c r="AQ228" s="130"/>
      <c r="AR228" s="19"/>
      <c r="AS228" s="19"/>
      <c r="AT228" s="19"/>
    </row>
    <row r="229" spans="1:46" ht="12.5" x14ac:dyDescent="0.25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30"/>
      <c r="AM229" s="19"/>
      <c r="AN229" s="19"/>
      <c r="AO229" s="19"/>
      <c r="AP229" s="130"/>
      <c r="AQ229" s="130"/>
      <c r="AR229" s="19"/>
      <c r="AS229" s="19"/>
      <c r="AT229" s="19"/>
    </row>
    <row r="230" spans="1:46" ht="12.5" x14ac:dyDescent="0.25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30"/>
      <c r="AM230" s="19"/>
      <c r="AN230" s="19"/>
      <c r="AO230" s="19"/>
      <c r="AP230" s="130"/>
      <c r="AQ230" s="130"/>
      <c r="AR230" s="19"/>
      <c r="AS230" s="19"/>
      <c r="AT230" s="19"/>
    </row>
    <row r="231" spans="1:46" ht="12.5" x14ac:dyDescent="0.25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30"/>
      <c r="AM231" s="19"/>
      <c r="AN231" s="19"/>
      <c r="AO231" s="19"/>
      <c r="AP231" s="130"/>
      <c r="AQ231" s="130"/>
      <c r="AR231" s="19"/>
      <c r="AS231" s="19"/>
      <c r="AT231" s="19"/>
    </row>
    <row r="232" spans="1:46" ht="12.5" x14ac:dyDescent="0.25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30"/>
      <c r="AM232" s="19"/>
      <c r="AN232" s="19"/>
      <c r="AO232" s="19"/>
      <c r="AP232" s="130"/>
      <c r="AQ232" s="130"/>
      <c r="AR232" s="19"/>
      <c r="AS232" s="19"/>
      <c r="AT232" s="19"/>
    </row>
    <row r="233" spans="1:46" ht="12.5" x14ac:dyDescent="0.25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30"/>
      <c r="AM233" s="19"/>
      <c r="AN233" s="19"/>
      <c r="AO233" s="19"/>
      <c r="AP233" s="130"/>
      <c r="AQ233" s="130"/>
      <c r="AR233" s="19"/>
      <c r="AS233" s="19"/>
      <c r="AT233" s="19"/>
    </row>
    <row r="234" spans="1:46" ht="12.5" x14ac:dyDescent="0.25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30"/>
      <c r="AM234" s="19"/>
      <c r="AN234" s="19"/>
      <c r="AO234" s="19"/>
      <c r="AP234" s="130"/>
      <c r="AQ234" s="130"/>
      <c r="AR234" s="19"/>
      <c r="AS234" s="19"/>
      <c r="AT234" s="19"/>
    </row>
    <row r="235" spans="1:46" ht="12.5" x14ac:dyDescent="0.2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30"/>
      <c r="AM235" s="19"/>
      <c r="AN235" s="19"/>
      <c r="AO235" s="19"/>
      <c r="AP235" s="130"/>
      <c r="AQ235" s="130"/>
      <c r="AR235" s="19"/>
      <c r="AS235" s="19"/>
      <c r="AT235" s="19"/>
    </row>
    <row r="236" spans="1:46" ht="12.5" x14ac:dyDescent="0.25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30"/>
      <c r="AM236" s="19"/>
      <c r="AN236" s="19"/>
      <c r="AO236" s="19"/>
      <c r="AP236" s="130"/>
      <c r="AQ236" s="130"/>
      <c r="AR236" s="19"/>
      <c r="AS236" s="19"/>
      <c r="AT236" s="19"/>
    </row>
    <row r="237" spans="1:46" ht="12.5" x14ac:dyDescent="0.25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30"/>
      <c r="AM237" s="19"/>
      <c r="AN237" s="19"/>
      <c r="AO237" s="19"/>
      <c r="AP237" s="130"/>
      <c r="AQ237" s="130"/>
      <c r="AR237" s="19"/>
      <c r="AS237" s="19"/>
      <c r="AT237" s="19"/>
    </row>
    <row r="238" spans="1:46" ht="12.5" x14ac:dyDescent="0.25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30"/>
      <c r="AM238" s="19"/>
      <c r="AN238" s="19"/>
      <c r="AO238" s="19"/>
      <c r="AP238" s="130"/>
      <c r="AQ238" s="130"/>
      <c r="AR238" s="19"/>
      <c r="AS238" s="19"/>
      <c r="AT238" s="19"/>
    </row>
    <row r="239" spans="1:46" ht="12.5" x14ac:dyDescent="0.25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30"/>
      <c r="AM239" s="19"/>
      <c r="AN239" s="19"/>
      <c r="AO239" s="19"/>
      <c r="AP239" s="130"/>
      <c r="AQ239" s="130"/>
      <c r="AR239" s="19"/>
      <c r="AS239" s="19"/>
      <c r="AT239" s="19"/>
    </row>
    <row r="240" spans="1:46" ht="12.5" x14ac:dyDescent="0.25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30"/>
      <c r="AM240" s="19"/>
      <c r="AN240" s="19"/>
      <c r="AO240" s="19"/>
      <c r="AP240" s="130"/>
      <c r="AQ240" s="130"/>
      <c r="AR240" s="19"/>
      <c r="AS240" s="19"/>
      <c r="AT240" s="19"/>
    </row>
    <row r="241" spans="1:46" ht="12.5" x14ac:dyDescent="0.25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30"/>
      <c r="AM241" s="19"/>
      <c r="AN241" s="19"/>
      <c r="AO241" s="19"/>
      <c r="AP241" s="130"/>
      <c r="AQ241" s="130"/>
      <c r="AR241" s="19"/>
      <c r="AS241" s="19"/>
      <c r="AT241" s="19"/>
    </row>
    <row r="242" spans="1:46" ht="12.5" x14ac:dyDescent="0.25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30"/>
      <c r="AM242" s="19"/>
      <c r="AN242" s="19"/>
      <c r="AO242" s="19"/>
      <c r="AP242" s="130"/>
      <c r="AQ242" s="130"/>
      <c r="AR242" s="19"/>
      <c r="AS242" s="19"/>
      <c r="AT242" s="19"/>
    </row>
    <row r="243" spans="1:46" ht="12.5" x14ac:dyDescent="0.25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30"/>
      <c r="AM243" s="19"/>
      <c r="AN243" s="19"/>
      <c r="AO243" s="19"/>
      <c r="AP243" s="130"/>
      <c r="AQ243" s="130"/>
      <c r="AR243" s="19"/>
      <c r="AS243" s="19"/>
      <c r="AT243" s="19"/>
    </row>
    <row r="244" spans="1:46" ht="12.5" x14ac:dyDescent="0.25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30"/>
      <c r="AM244" s="19"/>
      <c r="AN244" s="19"/>
      <c r="AO244" s="19"/>
      <c r="AP244" s="130"/>
      <c r="AQ244" s="130"/>
      <c r="AR244" s="19"/>
      <c r="AS244" s="19"/>
      <c r="AT244" s="19"/>
    </row>
    <row r="245" spans="1:46" ht="12.5" x14ac:dyDescent="0.2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30"/>
      <c r="AM245" s="19"/>
      <c r="AN245" s="19"/>
      <c r="AO245" s="19"/>
      <c r="AP245" s="130"/>
      <c r="AQ245" s="130"/>
      <c r="AR245" s="19"/>
      <c r="AS245" s="19"/>
      <c r="AT245" s="19"/>
    </row>
    <row r="246" spans="1:46" ht="12.5" x14ac:dyDescent="0.25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30"/>
      <c r="AM246" s="19"/>
      <c r="AN246" s="19"/>
      <c r="AO246" s="19"/>
      <c r="AP246" s="130"/>
      <c r="AQ246" s="130"/>
      <c r="AR246" s="19"/>
      <c r="AS246" s="19"/>
      <c r="AT246" s="19"/>
    </row>
    <row r="247" spans="1:46" ht="12.5" x14ac:dyDescent="0.25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30"/>
      <c r="AM247" s="19"/>
      <c r="AN247" s="19"/>
      <c r="AO247" s="19"/>
      <c r="AP247" s="130"/>
      <c r="AQ247" s="130"/>
      <c r="AR247" s="19"/>
      <c r="AS247" s="19"/>
      <c r="AT247" s="19"/>
    </row>
    <row r="248" spans="1:46" ht="12.5" x14ac:dyDescent="0.25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30"/>
      <c r="AM248" s="19"/>
      <c r="AN248" s="19"/>
      <c r="AO248" s="19"/>
      <c r="AP248" s="130"/>
      <c r="AQ248" s="130"/>
      <c r="AR248" s="19"/>
      <c r="AS248" s="19"/>
      <c r="AT248" s="19"/>
    </row>
    <row r="249" spans="1:46" ht="12.5" x14ac:dyDescent="0.25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30"/>
      <c r="AM249" s="19"/>
      <c r="AN249" s="19"/>
      <c r="AO249" s="19"/>
      <c r="AP249" s="130"/>
      <c r="AQ249" s="130"/>
      <c r="AR249" s="19"/>
      <c r="AS249" s="19"/>
      <c r="AT249" s="19"/>
    </row>
    <row r="250" spans="1:46" ht="12.5" x14ac:dyDescent="0.25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30"/>
      <c r="AM250" s="19"/>
      <c r="AN250" s="19"/>
      <c r="AO250" s="19"/>
      <c r="AP250" s="130"/>
      <c r="AQ250" s="130"/>
      <c r="AR250" s="19"/>
      <c r="AS250" s="19"/>
      <c r="AT250" s="19"/>
    </row>
    <row r="251" spans="1:46" ht="12.5" x14ac:dyDescent="0.25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30"/>
      <c r="AM251" s="19"/>
      <c r="AN251" s="19"/>
      <c r="AO251" s="19"/>
      <c r="AP251" s="130"/>
      <c r="AQ251" s="130"/>
      <c r="AR251" s="19"/>
      <c r="AS251" s="19"/>
      <c r="AT251" s="19"/>
    </row>
    <row r="252" spans="1:46" ht="12.5" x14ac:dyDescent="0.25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30"/>
      <c r="AM252" s="19"/>
      <c r="AN252" s="19"/>
      <c r="AO252" s="19"/>
      <c r="AP252" s="130"/>
      <c r="AQ252" s="130"/>
      <c r="AR252" s="19"/>
      <c r="AS252" s="19"/>
      <c r="AT252" s="19"/>
    </row>
    <row r="253" spans="1:46" ht="12.5" x14ac:dyDescent="0.25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30"/>
      <c r="AM253" s="19"/>
      <c r="AN253" s="19"/>
      <c r="AO253" s="19"/>
      <c r="AP253" s="130"/>
      <c r="AQ253" s="130"/>
      <c r="AR253" s="19"/>
      <c r="AS253" s="19"/>
      <c r="AT253" s="19"/>
    </row>
    <row r="254" spans="1:46" ht="12.5" x14ac:dyDescent="0.25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30"/>
      <c r="AM254" s="19"/>
      <c r="AN254" s="19"/>
      <c r="AO254" s="19"/>
      <c r="AP254" s="130"/>
      <c r="AQ254" s="130"/>
      <c r="AR254" s="19"/>
      <c r="AS254" s="19"/>
      <c r="AT254" s="19"/>
    </row>
    <row r="255" spans="1:46" ht="12.5" x14ac:dyDescent="0.2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30"/>
      <c r="AM255" s="19"/>
      <c r="AN255" s="19"/>
      <c r="AO255" s="19"/>
      <c r="AP255" s="130"/>
      <c r="AQ255" s="130"/>
      <c r="AR255" s="19"/>
      <c r="AS255" s="19"/>
      <c r="AT255" s="19"/>
    </row>
    <row r="256" spans="1:46" ht="12.5" x14ac:dyDescent="0.25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30"/>
      <c r="AM256" s="19"/>
      <c r="AN256" s="19"/>
      <c r="AO256" s="19"/>
      <c r="AP256" s="130"/>
      <c r="AQ256" s="130"/>
      <c r="AR256" s="19"/>
      <c r="AS256" s="19"/>
      <c r="AT256" s="19"/>
    </row>
    <row r="257" spans="1:46" ht="12.5" x14ac:dyDescent="0.25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30"/>
      <c r="AM257" s="19"/>
      <c r="AN257" s="19"/>
      <c r="AO257" s="19"/>
      <c r="AP257" s="130"/>
      <c r="AQ257" s="130"/>
      <c r="AR257" s="19"/>
      <c r="AS257" s="19"/>
      <c r="AT257" s="19"/>
    </row>
    <row r="258" spans="1:46" ht="12.5" x14ac:dyDescent="0.25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30"/>
      <c r="AM258" s="19"/>
      <c r="AN258" s="19"/>
      <c r="AO258" s="19"/>
      <c r="AP258" s="130"/>
      <c r="AQ258" s="130"/>
      <c r="AR258" s="19"/>
      <c r="AS258" s="19"/>
      <c r="AT258" s="19"/>
    </row>
    <row r="259" spans="1:46" ht="12.5" x14ac:dyDescent="0.25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30"/>
      <c r="AM259" s="19"/>
      <c r="AN259" s="19"/>
      <c r="AO259" s="19"/>
      <c r="AP259" s="130"/>
      <c r="AQ259" s="130"/>
      <c r="AR259" s="19"/>
      <c r="AS259" s="19"/>
      <c r="AT259" s="19"/>
    </row>
    <row r="260" spans="1:46" ht="12.5" x14ac:dyDescent="0.25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30"/>
      <c r="AM260" s="19"/>
      <c r="AN260" s="19"/>
      <c r="AO260" s="19"/>
      <c r="AP260" s="130"/>
      <c r="AQ260" s="130"/>
      <c r="AR260" s="19"/>
      <c r="AS260" s="19"/>
      <c r="AT260" s="19"/>
    </row>
    <row r="261" spans="1:46" ht="12.5" x14ac:dyDescent="0.25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30"/>
      <c r="AM261" s="19"/>
      <c r="AN261" s="19"/>
      <c r="AO261" s="19"/>
      <c r="AP261" s="130"/>
      <c r="AQ261" s="130"/>
      <c r="AR261" s="19"/>
      <c r="AS261" s="19"/>
      <c r="AT261" s="19"/>
    </row>
    <row r="262" spans="1:46" ht="12.5" x14ac:dyDescent="0.25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30"/>
      <c r="AM262" s="19"/>
      <c r="AN262" s="19"/>
      <c r="AO262" s="19"/>
      <c r="AP262" s="130"/>
      <c r="AQ262" s="130"/>
      <c r="AR262" s="19"/>
      <c r="AS262" s="19"/>
      <c r="AT262" s="19"/>
    </row>
    <row r="263" spans="1:46" ht="12.5" x14ac:dyDescent="0.25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30"/>
      <c r="AM263" s="19"/>
      <c r="AN263" s="19"/>
      <c r="AO263" s="19"/>
      <c r="AP263" s="130"/>
      <c r="AQ263" s="130"/>
      <c r="AR263" s="19"/>
      <c r="AS263" s="19"/>
      <c r="AT263" s="19"/>
    </row>
    <row r="264" spans="1:46" ht="12.5" x14ac:dyDescent="0.25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30"/>
      <c r="AM264" s="19"/>
      <c r="AN264" s="19"/>
      <c r="AO264" s="19"/>
      <c r="AP264" s="130"/>
      <c r="AQ264" s="130"/>
      <c r="AR264" s="19"/>
      <c r="AS264" s="19"/>
      <c r="AT264" s="19"/>
    </row>
    <row r="265" spans="1:46" ht="12.5" x14ac:dyDescent="0.2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30"/>
      <c r="AM265" s="19"/>
      <c r="AN265" s="19"/>
      <c r="AO265" s="19"/>
      <c r="AP265" s="130"/>
      <c r="AQ265" s="130"/>
      <c r="AR265" s="19"/>
      <c r="AS265" s="19"/>
      <c r="AT265" s="19"/>
    </row>
    <row r="266" spans="1:46" ht="12.5" x14ac:dyDescent="0.25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30"/>
      <c r="AM266" s="19"/>
      <c r="AN266" s="19"/>
      <c r="AO266" s="19"/>
      <c r="AP266" s="130"/>
      <c r="AQ266" s="130"/>
      <c r="AR266" s="19"/>
      <c r="AS266" s="19"/>
      <c r="AT266" s="19"/>
    </row>
    <row r="267" spans="1:46" ht="12.5" x14ac:dyDescent="0.2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30"/>
      <c r="AM267" s="19"/>
      <c r="AN267" s="19"/>
      <c r="AO267" s="19"/>
      <c r="AP267" s="130"/>
      <c r="AQ267" s="130"/>
      <c r="AR267" s="19"/>
      <c r="AS267" s="19"/>
      <c r="AT267" s="19"/>
    </row>
    <row r="268" spans="1:46" ht="12.5" x14ac:dyDescent="0.25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30"/>
      <c r="AM268" s="19"/>
      <c r="AN268" s="19"/>
      <c r="AO268" s="19"/>
      <c r="AP268" s="130"/>
      <c r="AQ268" s="130"/>
      <c r="AR268" s="19"/>
      <c r="AS268" s="19"/>
      <c r="AT268" s="19"/>
    </row>
    <row r="269" spans="1:46" ht="12.5" x14ac:dyDescent="0.25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30"/>
      <c r="AM269" s="19"/>
      <c r="AN269" s="19"/>
      <c r="AO269" s="19"/>
      <c r="AP269" s="130"/>
      <c r="AQ269" s="130"/>
      <c r="AR269" s="19"/>
      <c r="AS269" s="19"/>
      <c r="AT269" s="19"/>
    </row>
    <row r="270" spans="1:46" ht="12.5" x14ac:dyDescent="0.25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30"/>
      <c r="AM270" s="19"/>
      <c r="AN270" s="19"/>
      <c r="AO270" s="19"/>
      <c r="AP270" s="130"/>
      <c r="AQ270" s="130"/>
      <c r="AR270" s="19"/>
      <c r="AS270" s="19"/>
      <c r="AT270" s="19"/>
    </row>
    <row r="271" spans="1:46" ht="12.5" x14ac:dyDescent="0.25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30"/>
      <c r="AM271" s="19"/>
      <c r="AN271" s="19"/>
      <c r="AO271" s="19"/>
      <c r="AP271" s="130"/>
      <c r="AQ271" s="130"/>
      <c r="AR271" s="19"/>
      <c r="AS271" s="19"/>
      <c r="AT271" s="19"/>
    </row>
    <row r="272" spans="1:46" ht="12.5" x14ac:dyDescent="0.25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30"/>
      <c r="AM272" s="19"/>
      <c r="AN272" s="19"/>
      <c r="AO272" s="19"/>
      <c r="AP272" s="130"/>
      <c r="AQ272" s="130"/>
      <c r="AR272" s="19"/>
      <c r="AS272" s="19"/>
      <c r="AT272" s="19"/>
    </row>
    <row r="273" spans="1:46" ht="12.5" x14ac:dyDescent="0.25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30"/>
      <c r="AM273" s="19"/>
      <c r="AN273" s="19"/>
      <c r="AO273" s="19"/>
      <c r="AP273" s="130"/>
      <c r="AQ273" s="130"/>
      <c r="AR273" s="19"/>
      <c r="AS273" s="19"/>
      <c r="AT273" s="19"/>
    </row>
    <row r="274" spans="1:46" ht="12.5" x14ac:dyDescent="0.25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30"/>
      <c r="AM274" s="19"/>
      <c r="AN274" s="19"/>
      <c r="AO274" s="19"/>
      <c r="AP274" s="130"/>
      <c r="AQ274" s="130"/>
      <c r="AR274" s="19"/>
      <c r="AS274" s="19"/>
      <c r="AT274" s="19"/>
    </row>
    <row r="275" spans="1:46" ht="12.5" x14ac:dyDescent="0.2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30"/>
      <c r="AM275" s="19"/>
      <c r="AN275" s="19"/>
      <c r="AO275" s="19"/>
      <c r="AP275" s="130"/>
      <c r="AQ275" s="130"/>
      <c r="AR275" s="19"/>
      <c r="AS275" s="19"/>
      <c r="AT275" s="19"/>
    </row>
    <row r="276" spans="1:46" ht="12.5" x14ac:dyDescent="0.25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30"/>
      <c r="AM276" s="19"/>
      <c r="AN276" s="19"/>
      <c r="AO276" s="19"/>
      <c r="AP276" s="130"/>
      <c r="AQ276" s="130"/>
      <c r="AR276" s="19"/>
      <c r="AS276" s="19"/>
      <c r="AT276" s="19"/>
    </row>
    <row r="277" spans="1:46" ht="12.5" x14ac:dyDescent="0.2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30"/>
      <c r="AM277" s="19"/>
      <c r="AN277" s="19"/>
      <c r="AO277" s="19"/>
      <c r="AP277" s="130"/>
      <c r="AQ277" s="130"/>
      <c r="AR277" s="19"/>
      <c r="AS277" s="19"/>
      <c r="AT277" s="19"/>
    </row>
    <row r="278" spans="1:46" ht="12.5" x14ac:dyDescent="0.25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30"/>
      <c r="AM278" s="19"/>
      <c r="AN278" s="19"/>
      <c r="AO278" s="19"/>
      <c r="AP278" s="130"/>
      <c r="AQ278" s="130"/>
      <c r="AR278" s="19"/>
      <c r="AS278" s="19"/>
      <c r="AT278" s="19"/>
    </row>
    <row r="279" spans="1:46" ht="12.5" x14ac:dyDescent="0.25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30"/>
      <c r="AM279" s="19"/>
      <c r="AN279" s="19"/>
      <c r="AO279" s="19"/>
      <c r="AP279" s="130"/>
      <c r="AQ279" s="130"/>
      <c r="AR279" s="19"/>
      <c r="AS279" s="19"/>
      <c r="AT279" s="19"/>
    </row>
    <row r="280" spans="1:46" ht="12.5" x14ac:dyDescent="0.25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30"/>
      <c r="AM280" s="19"/>
      <c r="AN280" s="19"/>
      <c r="AO280" s="19"/>
      <c r="AP280" s="130"/>
      <c r="AQ280" s="130"/>
      <c r="AR280" s="19"/>
      <c r="AS280" s="19"/>
      <c r="AT280" s="19"/>
    </row>
    <row r="281" spans="1:46" ht="12.5" x14ac:dyDescent="0.25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30"/>
      <c r="AM281" s="19"/>
      <c r="AN281" s="19"/>
      <c r="AO281" s="19"/>
      <c r="AP281" s="130"/>
      <c r="AQ281" s="130"/>
      <c r="AR281" s="19"/>
      <c r="AS281" s="19"/>
      <c r="AT281" s="19"/>
    </row>
    <row r="282" spans="1:46" ht="12.5" x14ac:dyDescent="0.25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30"/>
      <c r="AM282" s="19"/>
      <c r="AN282" s="19"/>
      <c r="AO282" s="19"/>
      <c r="AP282" s="130"/>
      <c r="AQ282" s="130"/>
      <c r="AR282" s="19"/>
      <c r="AS282" s="19"/>
      <c r="AT282" s="19"/>
    </row>
    <row r="283" spans="1:46" ht="12.5" x14ac:dyDescent="0.25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30"/>
      <c r="AM283" s="19"/>
      <c r="AN283" s="19"/>
      <c r="AO283" s="19"/>
      <c r="AP283" s="130"/>
      <c r="AQ283" s="130"/>
      <c r="AR283" s="19"/>
      <c r="AS283" s="19"/>
      <c r="AT283" s="19"/>
    </row>
    <row r="284" spans="1:46" ht="12.5" x14ac:dyDescent="0.25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30"/>
      <c r="AM284" s="19"/>
      <c r="AN284" s="19"/>
      <c r="AO284" s="19"/>
      <c r="AP284" s="130"/>
      <c r="AQ284" s="130"/>
      <c r="AR284" s="19"/>
      <c r="AS284" s="19"/>
      <c r="AT284" s="19"/>
    </row>
    <row r="285" spans="1:46" ht="12.5" x14ac:dyDescent="0.2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30"/>
      <c r="AM285" s="19"/>
      <c r="AN285" s="19"/>
      <c r="AO285" s="19"/>
      <c r="AP285" s="130"/>
      <c r="AQ285" s="130"/>
      <c r="AR285" s="19"/>
      <c r="AS285" s="19"/>
      <c r="AT285" s="19"/>
    </row>
    <row r="286" spans="1:46" ht="12.5" x14ac:dyDescent="0.25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30"/>
      <c r="AM286" s="19"/>
      <c r="AN286" s="19"/>
      <c r="AO286" s="19"/>
      <c r="AP286" s="130"/>
      <c r="AQ286" s="130"/>
      <c r="AR286" s="19"/>
      <c r="AS286" s="19"/>
      <c r="AT286" s="19"/>
    </row>
    <row r="287" spans="1:46" ht="12.5" x14ac:dyDescent="0.25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30"/>
      <c r="AM287" s="19"/>
      <c r="AN287" s="19"/>
      <c r="AO287" s="19"/>
      <c r="AP287" s="130"/>
      <c r="AQ287" s="130"/>
      <c r="AR287" s="19"/>
      <c r="AS287" s="19"/>
      <c r="AT287" s="19"/>
    </row>
    <row r="288" spans="1:46" ht="12.5" x14ac:dyDescent="0.25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30"/>
      <c r="AM288" s="19"/>
      <c r="AN288" s="19"/>
      <c r="AO288" s="19"/>
      <c r="AP288" s="130"/>
      <c r="AQ288" s="130"/>
      <c r="AR288" s="19"/>
      <c r="AS288" s="19"/>
      <c r="AT288" s="19"/>
    </row>
    <row r="289" spans="1:46" ht="12.5" x14ac:dyDescent="0.25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30"/>
      <c r="AM289" s="19"/>
      <c r="AN289" s="19"/>
      <c r="AO289" s="19"/>
      <c r="AP289" s="130"/>
      <c r="AQ289" s="130"/>
      <c r="AR289" s="19"/>
      <c r="AS289" s="19"/>
      <c r="AT289" s="19"/>
    </row>
    <row r="290" spans="1:46" ht="12.5" x14ac:dyDescent="0.25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30"/>
      <c r="AM290" s="19"/>
      <c r="AN290" s="19"/>
      <c r="AO290" s="19"/>
      <c r="AP290" s="130"/>
      <c r="AQ290" s="130"/>
      <c r="AR290" s="19"/>
      <c r="AS290" s="19"/>
      <c r="AT290" s="19"/>
    </row>
    <row r="291" spans="1:46" ht="12.5" x14ac:dyDescent="0.25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30"/>
      <c r="AM291" s="19"/>
      <c r="AN291" s="19"/>
      <c r="AO291" s="19"/>
      <c r="AP291" s="130"/>
      <c r="AQ291" s="130"/>
      <c r="AR291" s="19"/>
      <c r="AS291" s="19"/>
      <c r="AT291" s="19"/>
    </row>
    <row r="292" spans="1:46" ht="12.5" x14ac:dyDescent="0.25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30"/>
      <c r="AM292" s="19"/>
      <c r="AN292" s="19"/>
      <c r="AO292" s="19"/>
      <c r="AP292" s="130"/>
      <c r="AQ292" s="130"/>
      <c r="AR292" s="19"/>
      <c r="AS292" s="19"/>
      <c r="AT292" s="19"/>
    </row>
    <row r="293" spans="1:46" ht="12.5" x14ac:dyDescent="0.25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30"/>
      <c r="AM293" s="19"/>
      <c r="AN293" s="19"/>
      <c r="AO293" s="19"/>
      <c r="AP293" s="130"/>
      <c r="AQ293" s="130"/>
      <c r="AR293" s="19"/>
      <c r="AS293" s="19"/>
      <c r="AT293" s="19"/>
    </row>
    <row r="294" spans="1:46" ht="12.5" x14ac:dyDescent="0.25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30"/>
      <c r="AM294" s="19"/>
      <c r="AN294" s="19"/>
      <c r="AO294" s="19"/>
      <c r="AP294" s="130"/>
      <c r="AQ294" s="130"/>
      <c r="AR294" s="19"/>
      <c r="AS294" s="19"/>
      <c r="AT294" s="19"/>
    </row>
    <row r="295" spans="1:46" ht="12.5" x14ac:dyDescent="0.2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30"/>
      <c r="AM295" s="19"/>
      <c r="AN295" s="19"/>
      <c r="AO295" s="19"/>
      <c r="AP295" s="130"/>
      <c r="AQ295" s="130"/>
      <c r="AR295" s="19"/>
      <c r="AS295" s="19"/>
      <c r="AT295" s="19"/>
    </row>
    <row r="296" spans="1:46" ht="12.5" x14ac:dyDescent="0.25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30"/>
      <c r="AM296" s="19"/>
      <c r="AN296" s="19"/>
      <c r="AO296" s="19"/>
      <c r="AP296" s="130"/>
      <c r="AQ296" s="130"/>
      <c r="AR296" s="19"/>
      <c r="AS296" s="19"/>
      <c r="AT296" s="19"/>
    </row>
    <row r="297" spans="1:46" ht="12.5" x14ac:dyDescent="0.25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30"/>
      <c r="AM297" s="19"/>
      <c r="AN297" s="19"/>
      <c r="AO297" s="19"/>
      <c r="AP297" s="130"/>
      <c r="AQ297" s="130"/>
      <c r="AR297" s="19"/>
      <c r="AS297" s="19"/>
      <c r="AT297" s="19"/>
    </row>
    <row r="298" spans="1:46" ht="12.5" x14ac:dyDescent="0.25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30"/>
      <c r="AM298" s="19"/>
      <c r="AN298" s="19"/>
      <c r="AO298" s="19"/>
      <c r="AP298" s="130"/>
      <c r="AQ298" s="130"/>
      <c r="AR298" s="19"/>
      <c r="AS298" s="19"/>
      <c r="AT298" s="19"/>
    </row>
    <row r="299" spans="1:46" ht="12.5" x14ac:dyDescent="0.25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30"/>
      <c r="AM299" s="19"/>
      <c r="AN299" s="19"/>
      <c r="AO299" s="19"/>
      <c r="AP299" s="130"/>
      <c r="AQ299" s="130"/>
      <c r="AR299" s="19"/>
      <c r="AS299" s="19"/>
      <c r="AT299" s="19"/>
    </row>
    <row r="300" spans="1:46" ht="12.5" x14ac:dyDescent="0.25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30"/>
      <c r="AM300" s="19"/>
      <c r="AN300" s="19"/>
      <c r="AO300" s="19"/>
      <c r="AP300" s="130"/>
      <c r="AQ300" s="130"/>
      <c r="AR300" s="19"/>
      <c r="AS300" s="19"/>
      <c r="AT300" s="19"/>
    </row>
    <row r="301" spans="1:46" ht="12.5" x14ac:dyDescent="0.25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30"/>
      <c r="AM301" s="19"/>
      <c r="AN301" s="19"/>
      <c r="AO301" s="19"/>
      <c r="AP301" s="130"/>
      <c r="AQ301" s="130"/>
      <c r="AR301" s="19"/>
      <c r="AS301" s="19"/>
      <c r="AT301" s="19"/>
    </row>
    <row r="302" spans="1:46" ht="12.5" x14ac:dyDescent="0.25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30"/>
      <c r="AM302" s="19"/>
      <c r="AN302" s="19"/>
      <c r="AO302" s="19"/>
      <c r="AP302" s="130"/>
      <c r="AQ302" s="130"/>
      <c r="AR302" s="19"/>
      <c r="AS302" s="19"/>
      <c r="AT302" s="19"/>
    </row>
    <row r="303" spans="1:46" ht="12.5" x14ac:dyDescent="0.25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30"/>
      <c r="AM303" s="19"/>
      <c r="AN303" s="19"/>
      <c r="AO303" s="19"/>
      <c r="AP303" s="130"/>
      <c r="AQ303" s="130"/>
      <c r="AR303" s="19"/>
      <c r="AS303" s="19"/>
      <c r="AT303" s="19"/>
    </row>
    <row r="304" spans="1:46" ht="12.5" x14ac:dyDescent="0.25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30"/>
      <c r="AM304" s="19"/>
      <c r="AN304" s="19"/>
      <c r="AO304" s="19"/>
      <c r="AP304" s="130"/>
      <c r="AQ304" s="130"/>
      <c r="AR304" s="19"/>
      <c r="AS304" s="19"/>
      <c r="AT304" s="19"/>
    </row>
    <row r="305" spans="1:46" ht="12.5" x14ac:dyDescent="0.2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30"/>
      <c r="AM305" s="19"/>
      <c r="AN305" s="19"/>
      <c r="AO305" s="19"/>
      <c r="AP305" s="130"/>
      <c r="AQ305" s="130"/>
      <c r="AR305" s="19"/>
      <c r="AS305" s="19"/>
      <c r="AT305" s="19"/>
    </row>
    <row r="306" spans="1:46" ht="12.5" x14ac:dyDescent="0.25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30"/>
      <c r="AM306" s="19"/>
      <c r="AN306" s="19"/>
      <c r="AO306" s="19"/>
      <c r="AP306" s="130"/>
      <c r="AQ306" s="130"/>
      <c r="AR306" s="19"/>
      <c r="AS306" s="19"/>
      <c r="AT306" s="19"/>
    </row>
    <row r="307" spans="1:46" ht="12.5" x14ac:dyDescent="0.25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30"/>
      <c r="AM307" s="19"/>
      <c r="AN307" s="19"/>
      <c r="AO307" s="19"/>
      <c r="AP307" s="130"/>
      <c r="AQ307" s="130"/>
      <c r="AR307" s="19"/>
      <c r="AS307" s="19"/>
      <c r="AT307" s="19"/>
    </row>
    <row r="308" spans="1:46" ht="12.5" x14ac:dyDescent="0.2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30"/>
      <c r="AM308" s="19"/>
      <c r="AN308" s="19"/>
      <c r="AO308" s="19"/>
      <c r="AP308" s="130"/>
      <c r="AQ308" s="130"/>
      <c r="AR308" s="19"/>
      <c r="AS308" s="19"/>
      <c r="AT308" s="19"/>
    </row>
    <row r="309" spans="1:46" ht="12.5" x14ac:dyDescent="0.25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30"/>
      <c r="AM309" s="19"/>
      <c r="AN309" s="19"/>
      <c r="AO309" s="19"/>
      <c r="AP309" s="130"/>
      <c r="AQ309" s="130"/>
      <c r="AR309" s="19"/>
      <c r="AS309" s="19"/>
      <c r="AT309" s="19"/>
    </row>
    <row r="310" spans="1:46" ht="12.5" x14ac:dyDescent="0.25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30"/>
      <c r="AM310" s="19"/>
      <c r="AN310" s="19"/>
      <c r="AO310" s="19"/>
      <c r="AP310" s="130"/>
      <c r="AQ310" s="130"/>
      <c r="AR310" s="19"/>
      <c r="AS310" s="19"/>
      <c r="AT310" s="19"/>
    </row>
    <row r="311" spans="1:46" ht="12.5" x14ac:dyDescent="0.25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30"/>
      <c r="AM311" s="19"/>
      <c r="AN311" s="19"/>
      <c r="AO311" s="19"/>
      <c r="AP311" s="130"/>
      <c r="AQ311" s="130"/>
      <c r="AR311" s="19"/>
      <c r="AS311" s="19"/>
      <c r="AT311" s="19"/>
    </row>
    <row r="312" spans="1:46" ht="12.5" x14ac:dyDescent="0.25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30"/>
      <c r="AM312" s="19"/>
      <c r="AN312" s="19"/>
      <c r="AO312" s="19"/>
      <c r="AP312" s="130"/>
      <c r="AQ312" s="130"/>
      <c r="AR312" s="19"/>
      <c r="AS312" s="19"/>
      <c r="AT312" s="19"/>
    </row>
    <row r="313" spans="1:46" ht="12.5" x14ac:dyDescent="0.25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30"/>
      <c r="AM313" s="19"/>
      <c r="AN313" s="19"/>
      <c r="AO313" s="19"/>
      <c r="AP313" s="130"/>
      <c r="AQ313" s="130"/>
      <c r="AR313" s="19"/>
      <c r="AS313" s="19"/>
      <c r="AT313" s="19"/>
    </row>
    <row r="314" spans="1:46" ht="12.5" x14ac:dyDescent="0.25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30"/>
      <c r="AM314" s="19"/>
      <c r="AN314" s="19"/>
      <c r="AO314" s="19"/>
      <c r="AP314" s="130"/>
      <c r="AQ314" s="130"/>
      <c r="AR314" s="19"/>
      <c r="AS314" s="19"/>
      <c r="AT314" s="19"/>
    </row>
    <row r="315" spans="1:46" ht="12.5" x14ac:dyDescent="0.2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30"/>
      <c r="AM315" s="19"/>
      <c r="AN315" s="19"/>
      <c r="AO315" s="19"/>
      <c r="AP315" s="130"/>
      <c r="AQ315" s="130"/>
      <c r="AR315" s="19"/>
      <c r="AS315" s="19"/>
      <c r="AT315" s="19"/>
    </row>
    <row r="316" spans="1:46" ht="12.5" x14ac:dyDescent="0.25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30"/>
      <c r="AM316" s="19"/>
      <c r="AN316" s="19"/>
      <c r="AO316" s="19"/>
      <c r="AP316" s="130"/>
      <c r="AQ316" s="130"/>
      <c r="AR316" s="19"/>
      <c r="AS316" s="19"/>
      <c r="AT316" s="19"/>
    </row>
    <row r="317" spans="1:46" ht="12.5" x14ac:dyDescent="0.25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30"/>
      <c r="AM317" s="19"/>
      <c r="AN317" s="19"/>
      <c r="AO317" s="19"/>
      <c r="AP317" s="130"/>
      <c r="AQ317" s="130"/>
      <c r="AR317" s="19"/>
      <c r="AS317" s="19"/>
      <c r="AT317" s="19"/>
    </row>
    <row r="318" spans="1:46" ht="12.5" x14ac:dyDescent="0.25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30"/>
      <c r="AM318" s="19"/>
      <c r="AN318" s="19"/>
      <c r="AO318" s="19"/>
      <c r="AP318" s="130"/>
      <c r="AQ318" s="130"/>
      <c r="AR318" s="19"/>
      <c r="AS318" s="19"/>
      <c r="AT318" s="19"/>
    </row>
    <row r="319" spans="1:46" ht="12.5" x14ac:dyDescent="0.25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30"/>
      <c r="AM319" s="19"/>
      <c r="AN319" s="19"/>
      <c r="AO319" s="19"/>
      <c r="AP319" s="130"/>
      <c r="AQ319" s="130"/>
      <c r="AR319" s="19"/>
      <c r="AS319" s="19"/>
      <c r="AT319" s="19"/>
    </row>
    <row r="320" spans="1:46" ht="12.5" x14ac:dyDescent="0.25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30"/>
      <c r="AM320" s="19"/>
      <c r="AN320" s="19"/>
      <c r="AO320" s="19"/>
      <c r="AP320" s="130"/>
      <c r="AQ320" s="130"/>
      <c r="AR320" s="19"/>
      <c r="AS320" s="19"/>
      <c r="AT320" s="19"/>
    </row>
    <row r="321" spans="1:46" ht="12.5" x14ac:dyDescent="0.25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30"/>
      <c r="AM321" s="19"/>
      <c r="AN321" s="19"/>
      <c r="AO321" s="19"/>
      <c r="AP321" s="130"/>
      <c r="AQ321" s="130"/>
      <c r="AR321" s="19"/>
      <c r="AS321" s="19"/>
      <c r="AT321" s="19"/>
    </row>
    <row r="322" spans="1:46" ht="12.5" x14ac:dyDescent="0.25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30"/>
      <c r="AM322" s="19"/>
      <c r="AN322" s="19"/>
      <c r="AO322" s="19"/>
      <c r="AP322" s="130"/>
      <c r="AQ322" s="130"/>
      <c r="AR322" s="19"/>
      <c r="AS322" s="19"/>
      <c r="AT322" s="19"/>
    </row>
    <row r="323" spans="1:46" ht="12.5" x14ac:dyDescent="0.25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30"/>
      <c r="AM323" s="19"/>
      <c r="AN323" s="19"/>
      <c r="AO323" s="19"/>
      <c r="AP323" s="130"/>
      <c r="AQ323" s="130"/>
      <c r="AR323" s="19"/>
      <c r="AS323" s="19"/>
      <c r="AT323" s="19"/>
    </row>
    <row r="324" spans="1:46" ht="12.5" x14ac:dyDescent="0.25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30"/>
      <c r="AM324" s="19"/>
      <c r="AN324" s="19"/>
      <c r="AO324" s="19"/>
      <c r="AP324" s="130"/>
      <c r="AQ324" s="130"/>
      <c r="AR324" s="19"/>
      <c r="AS324" s="19"/>
      <c r="AT324" s="19"/>
    </row>
    <row r="325" spans="1:46" ht="12.5" x14ac:dyDescent="0.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30"/>
      <c r="AM325" s="19"/>
      <c r="AN325" s="19"/>
      <c r="AO325" s="19"/>
      <c r="AP325" s="130"/>
      <c r="AQ325" s="130"/>
      <c r="AR325" s="19"/>
      <c r="AS325" s="19"/>
      <c r="AT325" s="19"/>
    </row>
    <row r="326" spans="1:46" ht="12.5" x14ac:dyDescent="0.25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30"/>
      <c r="AM326" s="19"/>
      <c r="AN326" s="19"/>
      <c r="AO326" s="19"/>
      <c r="AP326" s="130"/>
      <c r="AQ326" s="130"/>
      <c r="AR326" s="19"/>
      <c r="AS326" s="19"/>
      <c r="AT326" s="19"/>
    </row>
    <row r="327" spans="1:46" ht="12.5" x14ac:dyDescent="0.25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30"/>
      <c r="AM327" s="19"/>
      <c r="AN327" s="19"/>
      <c r="AO327" s="19"/>
      <c r="AP327" s="130"/>
      <c r="AQ327" s="130"/>
      <c r="AR327" s="19"/>
      <c r="AS327" s="19"/>
      <c r="AT327" s="19"/>
    </row>
    <row r="328" spans="1:46" ht="12.5" x14ac:dyDescent="0.25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30"/>
      <c r="AM328" s="19"/>
      <c r="AN328" s="19"/>
      <c r="AO328" s="19"/>
      <c r="AP328" s="130"/>
      <c r="AQ328" s="130"/>
      <c r="AR328" s="19"/>
      <c r="AS328" s="19"/>
      <c r="AT328" s="19"/>
    </row>
    <row r="329" spans="1:46" ht="12.5" x14ac:dyDescent="0.25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30"/>
      <c r="AM329" s="19"/>
      <c r="AN329" s="19"/>
      <c r="AO329" s="19"/>
      <c r="AP329" s="130"/>
      <c r="AQ329" s="130"/>
      <c r="AR329" s="19"/>
      <c r="AS329" s="19"/>
      <c r="AT329" s="19"/>
    </row>
    <row r="330" spans="1:46" ht="12.5" x14ac:dyDescent="0.25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30"/>
      <c r="AM330" s="19"/>
      <c r="AN330" s="19"/>
      <c r="AO330" s="19"/>
      <c r="AP330" s="130"/>
      <c r="AQ330" s="130"/>
      <c r="AR330" s="19"/>
      <c r="AS330" s="19"/>
      <c r="AT330" s="19"/>
    </row>
    <row r="331" spans="1:46" ht="12.5" x14ac:dyDescent="0.25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30"/>
      <c r="AM331" s="19"/>
      <c r="AN331" s="19"/>
      <c r="AO331" s="19"/>
      <c r="AP331" s="130"/>
      <c r="AQ331" s="130"/>
      <c r="AR331" s="19"/>
      <c r="AS331" s="19"/>
      <c r="AT331" s="19"/>
    </row>
    <row r="332" spans="1:46" ht="12.5" x14ac:dyDescent="0.25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30"/>
      <c r="AM332" s="19"/>
      <c r="AN332" s="19"/>
      <c r="AO332" s="19"/>
      <c r="AP332" s="130"/>
      <c r="AQ332" s="130"/>
      <c r="AR332" s="19"/>
      <c r="AS332" s="19"/>
      <c r="AT332" s="19"/>
    </row>
    <row r="333" spans="1:46" ht="12.5" x14ac:dyDescent="0.25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30"/>
      <c r="AM333" s="19"/>
      <c r="AN333" s="19"/>
      <c r="AO333" s="19"/>
      <c r="AP333" s="130"/>
      <c r="AQ333" s="130"/>
      <c r="AR333" s="19"/>
      <c r="AS333" s="19"/>
      <c r="AT333" s="19"/>
    </row>
    <row r="334" spans="1:46" ht="12.5" x14ac:dyDescent="0.2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30"/>
      <c r="AM334" s="19"/>
      <c r="AN334" s="19"/>
      <c r="AO334" s="19"/>
      <c r="AP334" s="130"/>
      <c r="AQ334" s="130"/>
      <c r="AR334" s="19"/>
      <c r="AS334" s="19"/>
      <c r="AT334" s="19"/>
    </row>
    <row r="335" spans="1:46" ht="12.5" x14ac:dyDescent="0.2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30"/>
      <c r="AM335" s="19"/>
      <c r="AN335" s="19"/>
      <c r="AO335" s="19"/>
      <c r="AP335" s="130"/>
      <c r="AQ335" s="130"/>
      <c r="AR335" s="19"/>
      <c r="AS335" s="19"/>
      <c r="AT335" s="19"/>
    </row>
    <row r="336" spans="1:46" ht="12.5" x14ac:dyDescent="0.25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30"/>
      <c r="AM336" s="19"/>
      <c r="AN336" s="19"/>
      <c r="AO336" s="19"/>
      <c r="AP336" s="130"/>
      <c r="AQ336" s="130"/>
      <c r="AR336" s="19"/>
      <c r="AS336" s="19"/>
      <c r="AT336" s="19"/>
    </row>
    <row r="337" spans="1:46" ht="12.5" x14ac:dyDescent="0.25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30"/>
      <c r="AM337" s="19"/>
      <c r="AN337" s="19"/>
      <c r="AO337" s="19"/>
      <c r="AP337" s="130"/>
      <c r="AQ337" s="130"/>
      <c r="AR337" s="19"/>
      <c r="AS337" s="19"/>
      <c r="AT337" s="19"/>
    </row>
    <row r="338" spans="1:46" ht="12.5" x14ac:dyDescent="0.25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30"/>
      <c r="AM338" s="19"/>
      <c r="AN338" s="19"/>
      <c r="AO338" s="19"/>
      <c r="AP338" s="130"/>
      <c r="AQ338" s="130"/>
      <c r="AR338" s="19"/>
      <c r="AS338" s="19"/>
      <c r="AT338" s="19"/>
    </row>
    <row r="339" spans="1:46" ht="12.5" x14ac:dyDescent="0.25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30"/>
      <c r="AM339" s="19"/>
      <c r="AN339" s="19"/>
      <c r="AO339" s="19"/>
      <c r="AP339" s="130"/>
      <c r="AQ339" s="130"/>
      <c r="AR339" s="19"/>
      <c r="AS339" s="19"/>
      <c r="AT339" s="19"/>
    </row>
    <row r="340" spans="1:46" ht="12.5" x14ac:dyDescent="0.25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30"/>
      <c r="AM340" s="19"/>
      <c r="AN340" s="19"/>
      <c r="AO340" s="19"/>
      <c r="AP340" s="130"/>
      <c r="AQ340" s="130"/>
      <c r="AR340" s="19"/>
      <c r="AS340" s="19"/>
      <c r="AT340" s="19"/>
    </row>
    <row r="341" spans="1:46" ht="12.5" x14ac:dyDescent="0.25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30"/>
      <c r="AM341" s="19"/>
      <c r="AN341" s="19"/>
      <c r="AO341" s="19"/>
      <c r="AP341" s="130"/>
      <c r="AQ341" s="130"/>
      <c r="AR341" s="19"/>
      <c r="AS341" s="19"/>
      <c r="AT341" s="19"/>
    </row>
    <row r="342" spans="1:46" ht="12.5" x14ac:dyDescent="0.25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30"/>
      <c r="AM342" s="19"/>
      <c r="AN342" s="19"/>
      <c r="AO342" s="19"/>
      <c r="AP342" s="130"/>
      <c r="AQ342" s="130"/>
      <c r="AR342" s="19"/>
      <c r="AS342" s="19"/>
      <c r="AT342" s="19"/>
    </row>
    <row r="343" spans="1:46" ht="12.5" x14ac:dyDescent="0.25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30"/>
      <c r="AM343" s="19"/>
      <c r="AN343" s="19"/>
      <c r="AO343" s="19"/>
      <c r="AP343" s="130"/>
      <c r="AQ343" s="130"/>
      <c r="AR343" s="19"/>
      <c r="AS343" s="19"/>
      <c r="AT343" s="19"/>
    </row>
    <row r="344" spans="1:46" ht="12.5" x14ac:dyDescent="0.25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30"/>
      <c r="AM344" s="19"/>
      <c r="AN344" s="19"/>
      <c r="AO344" s="19"/>
      <c r="AP344" s="130"/>
      <c r="AQ344" s="130"/>
      <c r="AR344" s="19"/>
      <c r="AS344" s="19"/>
      <c r="AT344" s="19"/>
    </row>
    <row r="345" spans="1:46" ht="12.5" x14ac:dyDescent="0.2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30"/>
      <c r="AM345" s="19"/>
      <c r="AN345" s="19"/>
      <c r="AO345" s="19"/>
      <c r="AP345" s="130"/>
      <c r="AQ345" s="130"/>
      <c r="AR345" s="19"/>
      <c r="AS345" s="19"/>
      <c r="AT345" s="19"/>
    </row>
    <row r="346" spans="1:46" ht="12.5" x14ac:dyDescent="0.25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30"/>
      <c r="AM346" s="19"/>
      <c r="AN346" s="19"/>
      <c r="AO346" s="19"/>
      <c r="AP346" s="130"/>
      <c r="AQ346" s="130"/>
      <c r="AR346" s="19"/>
      <c r="AS346" s="19"/>
      <c r="AT346" s="19"/>
    </row>
    <row r="347" spans="1:46" ht="12.5" x14ac:dyDescent="0.25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30"/>
      <c r="AM347" s="19"/>
      <c r="AN347" s="19"/>
      <c r="AO347" s="19"/>
      <c r="AP347" s="130"/>
      <c r="AQ347" s="130"/>
      <c r="AR347" s="19"/>
      <c r="AS347" s="19"/>
      <c r="AT347" s="19"/>
    </row>
    <row r="348" spans="1:46" ht="12.5" x14ac:dyDescent="0.25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30"/>
      <c r="AM348" s="19"/>
      <c r="AN348" s="19"/>
      <c r="AO348" s="19"/>
      <c r="AP348" s="130"/>
      <c r="AQ348" s="130"/>
      <c r="AR348" s="19"/>
      <c r="AS348" s="19"/>
      <c r="AT348" s="19"/>
    </row>
    <row r="349" spans="1:46" ht="12.5" x14ac:dyDescent="0.25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30"/>
      <c r="AM349" s="19"/>
      <c r="AN349" s="19"/>
      <c r="AO349" s="19"/>
      <c r="AP349" s="130"/>
      <c r="AQ349" s="130"/>
      <c r="AR349" s="19"/>
      <c r="AS349" s="19"/>
      <c r="AT349" s="19"/>
    </row>
    <row r="350" spans="1:46" ht="12.5" x14ac:dyDescent="0.2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30"/>
      <c r="AM350" s="19"/>
      <c r="AN350" s="19"/>
      <c r="AO350" s="19"/>
      <c r="AP350" s="130"/>
      <c r="AQ350" s="130"/>
      <c r="AR350" s="19"/>
      <c r="AS350" s="19"/>
      <c r="AT350" s="19"/>
    </row>
    <row r="351" spans="1:46" ht="12.5" x14ac:dyDescent="0.25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30"/>
      <c r="AM351" s="19"/>
      <c r="AN351" s="19"/>
      <c r="AO351" s="19"/>
      <c r="AP351" s="130"/>
      <c r="AQ351" s="130"/>
      <c r="AR351" s="19"/>
      <c r="AS351" s="19"/>
      <c r="AT351" s="19"/>
    </row>
    <row r="352" spans="1:46" ht="12.5" x14ac:dyDescent="0.25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30"/>
      <c r="AM352" s="19"/>
      <c r="AN352" s="19"/>
      <c r="AO352" s="19"/>
      <c r="AP352" s="130"/>
      <c r="AQ352" s="130"/>
      <c r="AR352" s="19"/>
      <c r="AS352" s="19"/>
      <c r="AT352" s="19"/>
    </row>
    <row r="353" spans="1:46" ht="12.5" x14ac:dyDescent="0.25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30"/>
      <c r="AM353" s="19"/>
      <c r="AN353" s="19"/>
      <c r="AO353" s="19"/>
      <c r="AP353" s="130"/>
      <c r="AQ353" s="130"/>
      <c r="AR353" s="19"/>
      <c r="AS353" s="19"/>
      <c r="AT353" s="19"/>
    </row>
    <row r="354" spans="1:46" ht="12.5" x14ac:dyDescent="0.25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30"/>
      <c r="AM354" s="19"/>
      <c r="AN354" s="19"/>
      <c r="AO354" s="19"/>
      <c r="AP354" s="130"/>
      <c r="AQ354" s="130"/>
      <c r="AR354" s="19"/>
      <c r="AS354" s="19"/>
      <c r="AT354" s="19"/>
    </row>
    <row r="355" spans="1:46" ht="12.5" x14ac:dyDescent="0.2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30"/>
      <c r="AM355" s="19"/>
      <c r="AN355" s="19"/>
      <c r="AO355" s="19"/>
      <c r="AP355" s="130"/>
      <c r="AQ355" s="130"/>
      <c r="AR355" s="19"/>
      <c r="AS355" s="19"/>
      <c r="AT355" s="19"/>
    </row>
    <row r="356" spans="1:46" ht="12.5" x14ac:dyDescent="0.25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30"/>
      <c r="AM356" s="19"/>
      <c r="AN356" s="19"/>
      <c r="AO356" s="19"/>
      <c r="AP356" s="130"/>
      <c r="AQ356" s="130"/>
      <c r="AR356" s="19"/>
      <c r="AS356" s="19"/>
      <c r="AT356" s="19"/>
    </row>
    <row r="357" spans="1:46" ht="12.5" x14ac:dyDescent="0.25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30"/>
      <c r="AM357" s="19"/>
      <c r="AN357" s="19"/>
      <c r="AO357" s="19"/>
      <c r="AP357" s="130"/>
      <c r="AQ357" s="130"/>
      <c r="AR357" s="19"/>
      <c r="AS357" s="19"/>
      <c r="AT357" s="19"/>
    </row>
    <row r="358" spans="1:46" ht="12.5" x14ac:dyDescent="0.25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30"/>
      <c r="AM358" s="19"/>
      <c r="AN358" s="19"/>
      <c r="AO358" s="19"/>
      <c r="AP358" s="130"/>
      <c r="AQ358" s="130"/>
      <c r="AR358" s="19"/>
      <c r="AS358" s="19"/>
      <c r="AT358" s="19"/>
    </row>
    <row r="359" spans="1:46" ht="12.5" x14ac:dyDescent="0.25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30"/>
      <c r="AM359" s="19"/>
      <c r="AN359" s="19"/>
      <c r="AO359" s="19"/>
      <c r="AP359" s="130"/>
      <c r="AQ359" s="130"/>
      <c r="AR359" s="19"/>
      <c r="AS359" s="19"/>
      <c r="AT359" s="19"/>
    </row>
    <row r="360" spans="1:46" ht="12.5" x14ac:dyDescent="0.25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30"/>
      <c r="AM360" s="19"/>
      <c r="AN360" s="19"/>
      <c r="AO360" s="19"/>
      <c r="AP360" s="130"/>
      <c r="AQ360" s="130"/>
      <c r="AR360" s="19"/>
      <c r="AS360" s="19"/>
      <c r="AT360" s="19"/>
    </row>
    <row r="361" spans="1:46" ht="12.5" x14ac:dyDescent="0.25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30"/>
      <c r="AM361" s="19"/>
      <c r="AN361" s="19"/>
      <c r="AO361" s="19"/>
      <c r="AP361" s="130"/>
      <c r="AQ361" s="130"/>
      <c r="AR361" s="19"/>
      <c r="AS361" s="19"/>
      <c r="AT361" s="19"/>
    </row>
    <row r="362" spans="1:46" ht="12.5" x14ac:dyDescent="0.25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30"/>
      <c r="AM362" s="19"/>
      <c r="AN362" s="19"/>
      <c r="AO362" s="19"/>
      <c r="AP362" s="130"/>
      <c r="AQ362" s="130"/>
      <c r="AR362" s="19"/>
      <c r="AS362" s="19"/>
      <c r="AT362" s="19"/>
    </row>
    <row r="363" spans="1:46" ht="12.5" x14ac:dyDescent="0.25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30"/>
      <c r="AM363" s="19"/>
      <c r="AN363" s="19"/>
      <c r="AO363" s="19"/>
      <c r="AP363" s="130"/>
      <c r="AQ363" s="130"/>
      <c r="AR363" s="19"/>
      <c r="AS363" s="19"/>
      <c r="AT363" s="19"/>
    </row>
    <row r="364" spans="1:46" ht="12.5" x14ac:dyDescent="0.25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30"/>
      <c r="AM364" s="19"/>
      <c r="AN364" s="19"/>
      <c r="AO364" s="19"/>
      <c r="AP364" s="130"/>
      <c r="AQ364" s="130"/>
      <c r="AR364" s="19"/>
      <c r="AS364" s="19"/>
      <c r="AT364" s="19"/>
    </row>
    <row r="365" spans="1:46" ht="12.5" x14ac:dyDescent="0.2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30"/>
      <c r="AM365" s="19"/>
      <c r="AN365" s="19"/>
      <c r="AO365" s="19"/>
      <c r="AP365" s="130"/>
      <c r="AQ365" s="130"/>
      <c r="AR365" s="19"/>
      <c r="AS365" s="19"/>
      <c r="AT365" s="19"/>
    </row>
    <row r="366" spans="1:46" ht="12.5" x14ac:dyDescent="0.25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30"/>
      <c r="AM366" s="19"/>
      <c r="AN366" s="19"/>
      <c r="AO366" s="19"/>
      <c r="AP366" s="130"/>
      <c r="AQ366" s="130"/>
      <c r="AR366" s="19"/>
      <c r="AS366" s="19"/>
      <c r="AT366" s="19"/>
    </row>
    <row r="367" spans="1:46" ht="12.5" x14ac:dyDescent="0.25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30"/>
      <c r="AM367" s="19"/>
      <c r="AN367" s="19"/>
      <c r="AO367" s="19"/>
      <c r="AP367" s="130"/>
      <c r="AQ367" s="130"/>
      <c r="AR367" s="19"/>
      <c r="AS367" s="19"/>
      <c r="AT367" s="19"/>
    </row>
    <row r="368" spans="1:46" ht="12.5" x14ac:dyDescent="0.25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30"/>
      <c r="AM368" s="19"/>
      <c r="AN368" s="19"/>
      <c r="AO368" s="19"/>
      <c r="AP368" s="130"/>
      <c r="AQ368" s="130"/>
      <c r="AR368" s="19"/>
      <c r="AS368" s="19"/>
      <c r="AT368" s="19"/>
    </row>
    <row r="369" spans="1:46" ht="12.5" x14ac:dyDescent="0.25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30"/>
      <c r="AM369" s="19"/>
      <c r="AN369" s="19"/>
      <c r="AO369" s="19"/>
      <c r="AP369" s="130"/>
      <c r="AQ369" s="130"/>
      <c r="AR369" s="19"/>
      <c r="AS369" s="19"/>
      <c r="AT369" s="19"/>
    </row>
    <row r="370" spans="1:46" ht="12.5" x14ac:dyDescent="0.25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30"/>
      <c r="AM370" s="19"/>
      <c r="AN370" s="19"/>
      <c r="AO370" s="19"/>
      <c r="AP370" s="130"/>
      <c r="AQ370" s="130"/>
      <c r="AR370" s="19"/>
      <c r="AS370" s="19"/>
      <c r="AT370" s="19"/>
    </row>
    <row r="371" spans="1:46" ht="12.5" x14ac:dyDescent="0.25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30"/>
      <c r="AM371" s="19"/>
      <c r="AN371" s="19"/>
      <c r="AO371" s="19"/>
      <c r="AP371" s="130"/>
      <c r="AQ371" s="130"/>
      <c r="AR371" s="19"/>
      <c r="AS371" s="19"/>
      <c r="AT371" s="19"/>
    </row>
    <row r="372" spans="1:46" ht="12.5" x14ac:dyDescent="0.25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30"/>
      <c r="AM372" s="19"/>
      <c r="AN372" s="19"/>
      <c r="AO372" s="19"/>
      <c r="AP372" s="130"/>
      <c r="AQ372" s="130"/>
      <c r="AR372" s="19"/>
      <c r="AS372" s="19"/>
      <c r="AT372" s="19"/>
    </row>
    <row r="373" spans="1:46" ht="12.5" x14ac:dyDescent="0.25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30"/>
      <c r="AM373" s="19"/>
      <c r="AN373" s="19"/>
      <c r="AO373" s="19"/>
      <c r="AP373" s="130"/>
      <c r="AQ373" s="130"/>
      <c r="AR373" s="19"/>
      <c r="AS373" s="19"/>
      <c r="AT373" s="19"/>
    </row>
    <row r="374" spans="1:46" ht="12.5" x14ac:dyDescent="0.25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30"/>
      <c r="AM374" s="19"/>
      <c r="AN374" s="19"/>
      <c r="AO374" s="19"/>
      <c r="AP374" s="130"/>
      <c r="AQ374" s="130"/>
      <c r="AR374" s="19"/>
      <c r="AS374" s="19"/>
      <c r="AT374" s="19"/>
    </row>
    <row r="375" spans="1:46" ht="12.5" x14ac:dyDescent="0.2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30"/>
      <c r="AM375" s="19"/>
      <c r="AN375" s="19"/>
      <c r="AO375" s="19"/>
      <c r="AP375" s="130"/>
      <c r="AQ375" s="130"/>
      <c r="AR375" s="19"/>
      <c r="AS375" s="19"/>
      <c r="AT375" s="19"/>
    </row>
    <row r="376" spans="1:46" ht="12.5" x14ac:dyDescent="0.25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30"/>
      <c r="AM376" s="19"/>
      <c r="AN376" s="19"/>
      <c r="AO376" s="19"/>
      <c r="AP376" s="130"/>
      <c r="AQ376" s="130"/>
      <c r="AR376" s="19"/>
      <c r="AS376" s="19"/>
      <c r="AT376" s="19"/>
    </row>
    <row r="377" spans="1:46" ht="12.5" x14ac:dyDescent="0.25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30"/>
      <c r="AM377" s="19"/>
      <c r="AN377" s="19"/>
      <c r="AO377" s="19"/>
      <c r="AP377" s="130"/>
      <c r="AQ377" s="130"/>
      <c r="AR377" s="19"/>
      <c r="AS377" s="19"/>
      <c r="AT377" s="19"/>
    </row>
    <row r="378" spans="1:46" ht="12.5" x14ac:dyDescent="0.25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30"/>
      <c r="AM378" s="19"/>
      <c r="AN378" s="19"/>
      <c r="AO378" s="19"/>
      <c r="AP378" s="130"/>
      <c r="AQ378" s="130"/>
      <c r="AR378" s="19"/>
      <c r="AS378" s="19"/>
      <c r="AT378" s="19"/>
    </row>
    <row r="379" spans="1:46" ht="12.5" x14ac:dyDescent="0.25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30"/>
      <c r="AM379" s="19"/>
      <c r="AN379" s="19"/>
      <c r="AO379" s="19"/>
      <c r="AP379" s="130"/>
      <c r="AQ379" s="130"/>
      <c r="AR379" s="19"/>
      <c r="AS379" s="19"/>
      <c r="AT379" s="19"/>
    </row>
    <row r="380" spans="1:46" ht="12.5" x14ac:dyDescent="0.25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30"/>
      <c r="AM380" s="19"/>
      <c r="AN380" s="19"/>
      <c r="AO380" s="19"/>
      <c r="AP380" s="130"/>
      <c r="AQ380" s="130"/>
      <c r="AR380" s="19"/>
      <c r="AS380" s="19"/>
      <c r="AT380" s="19"/>
    </row>
    <row r="381" spans="1:46" ht="12.5" x14ac:dyDescent="0.25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30"/>
      <c r="AM381" s="19"/>
      <c r="AN381" s="19"/>
      <c r="AO381" s="19"/>
      <c r="AP381" s="130"/>
      <c r="AQ381" s="130"/>
      <c r="AR381" s="19"/>
      <c r="AS381" s="19"/>
      <c r="AT381" s="19"/>
    </row>
    <row r="382" spans="1:46" ht="12.5" x14ac:dyDescent="0.25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30"/>
      <c r="AM382" s="19"/>
      <c r="AN382" s="19"/>
      <c r="AO382" s="19"/>
      <c r="AP382" s="130"/>
      <c r="AQ382" s="130"/>
      <c r="AR382" s="19"/>
      <c r="AS382" s="19"/>
      <c r="AT382" s="19"/>
    </row>
    <row r="383" spans="1:46" ht="12.5" x14ac:dyDescent="0.25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30"/>
      <c r="AM383" s="19"/>
      <c r="AN383" s="19"/>
      <c r="AO383" s="19"/>
      <c r="AP383" s="130"/>
      <c r="AQ383" s="130"/>
      <c r="AR383" s="19"/>
      <c r="AS383" s="19"/>
      <c r="AT383" s="19"/>
    </row>
    <row r="384" spans="1:46" ht="12.5" x14ac:dyDescent="0.25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30"/>
      <c r="AM384" s="19"/>
      <c r="AN384" s="19"/>
      <c r="AO384" s="19"/>
      <c r="AP384" s="130"/>
      <c r="AQ384" s="130"/>
      <c r="AR384" s="19"/>
      <c r="AS384" s="19"/>
      <c r="AT384" s="19"/>
    </row>
    <row r="385" spans="1:46" ht="12.5" x14ac:dyDescent="0.2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30"/>
      <c r="AM385" s="19"/>
      <c r="AN385" s="19"/>
      <c r="AO385" s="19"/>
      <c r="AP385" s="130"/>
      <c r="AQ385" s="130"/>
      <c r="AR385" s="19"/>
      <c r="AS385" s="19"/>
      <c r="AT385" s="19"/>
    </row>
    <row r="386" spans="1:46" ht="12.5" x14ac:dyDescent="0.25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30"/>
      <c r="AM386" s="19"/>
      <c r="AN386" s="19"/>
      <c r="AO386" s="19"/>
      <c r="AP386" s="130"/>
      <c r="AQ386" s="130"/>
      <c r="AR386" s="19"/>
      <c r="AS386" s="19"/>
      <c r="AT386" s="19"/>
    </row>
    <row r="387" spans="1:46" ht="12.5" x14ac:dyDescent="0.25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30"/>
      <c r="AM387" s="19"/>
      <c r="AN387" s="19"/>
      <c r="AO387" s="19"/>
      <c r="AP387" s="130"/>
      <c r="AQ387" s="130"/>
      <c r="AR387" s="19"/>
      <c r="AS387" s="19"/>
      <c r="AT387" s="19"/>
    </row>
    <row r="388" spans="1:46" ht="12.5" x14ac:dyDescent="0.25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30"/>
      <c r="AM388" s="19"/>
      <c r="AN388" s="19"/>
      <c r="AO388" s="19"/>
      <c r="AP388" s="130"/>
      <c r="AQ388" s="130"/>
      <c r="AR388" s="19"/>
      <c r="AS388" s="19"/>
      <c r="AT388" s="19"/>
    </row>
    <row r="389" spans="1:46" ht="12.5" x14ac:dyDescent="0.25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30"/>
      <c r="AM389" s="19"/>
      <c r="AN389" s="19"/>
      <c r="AO389" s="19"/>
      <c r="AP389" s="130"/>
      <c r="AQ389" s="130"/>
      <c r="AR389" s="19"/>
      <c r="AS389" s="19"/>
      <c r="AT389" s="19"/>
    </row>
    <row r="390" spans="1:46" ht="12.5" x14ac:dyDescent="0.25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30"/>
      <c r="AM390" s="19"/>
      <c r="AN390" s="19"/>
      <c r="AO390" s="19"/>
      <c r="AP390" s="130"/>
      <c r="AQ390" s="130"/>
      <c r="AR390" s="19"/>
      <c r="AS390" s="19"/>
      <c r="AT390" s="19"/>
    </row>
    <row r="391" spans="1:46" ht="12.5" x14ac:dyDescent="0.25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30"/>
      <c r="AM391" s="19"/>
      <c r="AN391" s="19"/>
      <c r="AO391" s="19"/>
      <c r="AP391" s="130"/>
      <c r="AQ391" s="130"/>
      <c r="AR391" s="19"/>
      <c r="AS391" s="19"/>
      <c r="AT391" s="19"/>
    </row>
    <row r="392" spans="1:46" ht="12.5" x14ac:dyDescent="0.25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30"/>
      <c r="AM392" s="19"/>
      <c r="AN392" s="19"/>
      <c r="AO392" s="19"/>
      <c r="AP392" s="130"/>
      <c r="AQ392" s="130"/>
      <c r="AR392" s="19"/>
      <c r="AS392" s="19"/>
      <c r="AT392" s="19"/>
    </row>
    <row r="393" spans="1:46" ht="12.5" x14ac:dyDescent="0.25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30"/>
      <c r="AM393" s="19"/>
      <c r="AN393" s="19"/>
      <c r="AO393" s="19"/>
      <c r="AP393" s="130"/>
      <c r="AQ393" s="130"/>
      <c r="AR393" s="19"/>
      <c r="AS393" s="19"/>
      <c r="AT393" s="19"/>
    </row>
    <row r="394" spans="1:46" ht="12.5" x14ac:dyDescent="0.25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30"/>
      <c r="AM394" s="19"/>
      <c r="AN394" s="19"/>
      <c r="AO394" s="19"/>
      <c r="AP394" s="130"/>
      <c r="AQ394" s="130"/>
      <c r="AR394" s="19"/>
      <c r="AS394" s="19"/>
      <c r="AT394" s="19"/>
    </row>
    <row r="395" spans="1:46" ht="12.5" x14ac:dyDescent="0.2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30"/>
      <c r="AM395" s="19"/>
      <c r="AN395" s="19"/>
      <c r="AO395" s="19"/>
      <c r="AP395" s="130"/>
      <c r="AQ395" s="130"/>
      <c r="AR395" s="19"/>
      <c r="AS395" s="19"/>
      <c r="AT395" s="19"/>
    </row>
    <row r="396" spans="1:46" ht="12.5" x14ac:dyDescent="0.2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30"/>
      <c r="AM396" s="19"/>
      <c r="AN396" s="19"/>
      <c r="AO396" s="19"/>
      <c r="AP396" s="130"/>
      <c r="AQ396" s="130"/>
      <c r="AR396" s="19"/>
      <c r="AS396" s="19"/>
      <c r="AT396" s="19"/>
    </row>
    <row r="397" spans="1:46" ht="12.5" x14ac:dyDescent="0.25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30"/>
      <c r="AM397" s="19"/>
      <c r="AN397" s="19"/>
      <c r="AO397" s="19"/>
      <c r="AP397" s="130"/>
      <c r="AQ397" s="130"/>
      <c r="AR397" s="19"/>
      <c r="AS397" s="19"/>
      <c r="AT397" s="19"/>
    </row>
    <row r="398" spans="1:46" ht="12.5" x14ac:dyDescent="0.25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30"/>
      <c r="AM398" s="19"/>
      <c r="AN398" s="19"/>
      <c r="AO398" s="19"/>
      <c r="AP398" s="130"/>
      <c r="AQ398" s="130"/>
      <c r="AR398" s="19"/>
      <c r="AS398" s="19"/>
      <c r="AT398" s="19"/>
    </row>
    <row r="399" spans="1:46" ht="12.5" x14ac:dyDescent="0.25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30"/>
      <c r="AM399" s="19"/>
      <c r="AN399" s="19"/>
      <c r="AO399" s="19"/>
      <c r="AP399" s="130"/>
      <c r="AQ399" s="130"/>
      <c r="AR399" s="19"/>
      <c r="AS399" s="19"/>
      <c r="AT399" s="19"/>
    </row>
    <row r="400" spans="1:46" ht="12.5" x14ac:dyDescent="0.25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30"/>
      <c r="AM400" s="19"/>
      <c r="AN400" s="19"/>
      <c r="AO400" s="19"/>
      <c r="AP400" s="130"/>
      <c r="AQ400" s="130"/>
      <c r="AR400" s="19"/>
      <c r="AS400" s="19"/>
      <c r="AT400" s="19"/>
    </row>
    <row r="401" spans="1:46" ht="12.5" x14ac:dyDescent="0.25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30"/>
      <c r="AM401" s="19"/>
      <c r="AN401" s="19"/>
      <c r="AO401" s="19"/>
      <c r="AP401" s="130"/>
      <c r="AQ401" s="130"/>
      <c r="AR401" s="19"/>
      <c r="AS401" s="19"/>
      <c r="AT401" s="19"/>
    </row>
    <row r="402" spans="1:46" ht="12.5" x14ac:dyDescent="0.25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30"/>
      <c r="AM402" s="19"/>
      <c r="AN402" s="19"/>
      <c r="AO402" s="19"/>
      <c r="AP402" s="130"/>
      <c r="AQ402" s="130"/>
      <c r="AR402" s="19"/>
      <c r="AS402" s="19"/>
      <c r="AT402" s="19"/>
    </row>
    <row r="403" spans="1:46" ht="12.5" x14ac:dyDescent="0.2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30"/>
      <c r="AM403" s="19"/>
      <c r="AN403" s="19"/>
      <c r="AO403" s="19"/>
      <c r="AP403" s="130"/>
      <c r="AQ403" s="130"/>
      <c r="AR403" s="19"/>
      <c r="AS403" s="19"/>
      <c r="AT403" s="19"/>
    </row>
    <row r="404" spans="1:46" ht="12.5" x14ac:dyDescent="0.25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30"/>
      <c r="AM404" s="19"/>
      <c r="AN404" s="19"/>
      <c r="AO404" s="19"/>
      <c r="AP404" s="130"/>
      <c r="AQ404" s="130"/>
      <c r="AR404" s="19"/>
      <c r="AS404" s="19"/>
      <c r="AT404" s="19"/>
    </row>
    <row r="405" spans="1:46" ht="12.5" x14ac:dyDescent="0.2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30"/>
      <c r="AM405" s="19"/>
      <c r="AN405" s="19"/>
      <c r="AO405" s="19"/>
      <c r="AP405" s="130"/>
      <c r="AQ405" s="130"/>
      <c r="AR405" s="19"/>
      <c r="AS405" s="19"/>
      <c r="AT405" s="19"/>
    </row>
    <row r="406" spans="1:46" ht="12.5" x14ac:dyDescent="0.25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30"/>
      <c r="AM406" s="19"/>
      <c r="AN406" s="19"/>
      <c r="AO406" s="19"/>
      <c r="AP406" s="130"/>
      <c r="AQ406" s="130"/>
      <c r="AR406" s="19"/>
      <c r="AS406" s="19"/>
      <c r="AT406" s="19"/>
    </row>
    <row r="407" spans="1:46" ht="12.5" x14ac:dyDescent="0.25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30"/>
      <c r="AM407" s="19"/>
      <c r="AN407" s="19"/>
      <c r="AO407" s="19"/>
      <c r="AP407" s="130"/>
      <c r="AQ407" s="130"/>
      <c r="AR407" s="19"/>
      <c r="AS407" s="19"/>
      <c r="AT407" s="19"/>
    </row>
    <row r="408" spans="1:46" ht="12.5" x14ac:dyDescent="0.25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30"/>
      <c r="AM408" s="19"/>
      <c r="AN408" s="19"/>
      <c r="AO408" s="19"/>
      <c r="AP408" s="130"/>
      <c r="AQ408" s="130"/>
      <c r="AR408" s="19"/>
      <c r="AS408" s="19"/>
      <c r="AT408" s="19"/>
    </row>
    <row r="409" spans="1:46" ht="12.5" x14ac:dyDescent="0.25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30"/>
      <c r="AM409" s="19"/>
      <c r="AN409" s="19"/>
      <c r="AO409" s="19"/>
      <c r="AP409" s="130"/>
      <c r="AQ409" s="130"/>
      <c r="AR409" s="19"/>
      <c r="AS409" s="19"/>
      <c r="AT409" s="19"/>
    </row>
    <row r="410" spans="1:46" ht="12.5" x14ac:dyDescent="0.25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30"/>
      <c r="AM410" s="19"/>
      <c r="AN410" s="19"/>
      <c r="AO410" s="19"/>
      <c r="AP410" s="130"/>
      <c r="AQ410" s="130"/>
      <c r="AR410" s="19"/>
      <c r="AS410" s="19"/>
      <c r="AT410" s="19"/>
    </row>
    <row r="411" spans="1:46" ht="12.5" x14ac:dyDescent="0.25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30"/>
      <c r="AM411" s="19"/>
      <c r="AN411" s="19"/>
      <c r="AO411" s="19"/>
      <c r="AP411" s="130"/>
      <c r="AQ411" s="130"/>
      <c r="AR411" s="19"/>
      <c r="AS411" s="19"/>
      <c r="AT411" s="19"/>
    </row>
    <row r="412" spans="1:46" ht="12.5" x14ac:dyDescent="0.25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30"/>
      <c r="AM412" s="19"/>
      <c r="AN412" s="19"/>
      <c r="AO412" s="19"/>
      <c r="AP412" s="130"/>
      <c r="AQ412" s="130"/>
      <c r="AR412" s="19"/>
      <c r="AS412" s="19"/>
      <c r="AT412" s="19"/>
    </row>
    <row r="413" spans="1:46" ht="12.5" x14ac:dyDescent="0.25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30"/>
      <c r="AM413" s="19"/>
      <c r="AN413" s="19"/>
      <c r="AO413" s="19"/>
      <c r="AP413" s="130"/>
      <c r="AQ413" s="130"/>
      <c r="AR413" s="19"/>
      <c r="AS413" s="19"/>
      <c r="AT413" s="19"/>
    </row>
    <row r="414" spans="1:46" ht="12.5" x14ac:dyDescent="0.25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30"/>
      <c r="AM414" s="19"/>
      <c r="AN414" s="19"/>
      <c r="AO414" s="19"/>
      <c r="AP414" s="130"/>
      <c r="AQ414" s="130"/>
      <c r="AR414" s="19"/>
      <c r="AS414" s="19"/>
      <c r="AT414" s="19"/>
    </row>
    <row r="415" spans="1:46" ht="12.5" x14ac:dyDescent="0.2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30"/>
      <c r="AM415" s="19"/>
      <c r="AN415" s="19"/>
      <c r="AO415" s="19"/>
      <c r="AP415" s="130"/>
      <c r="AQ415" s="130"/>
      <c r="AR415" s="19"/>
      <c r="AS415" s="19"/>
      <c r="AT415" s="19"/>
    </row>
    <row r="416" spans="1:46" ht="12.5" x14ac:dyDescent="0.25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30"/>
      <c r="AM416" s="19"/>
      <c r="AN416" s="19"/>
      <c r="AO416" s="19"/>
      <c r="AP416" s="130"/>
      <c r="AQ416" s="130"/>
      <c r="AR416" s="19"/>
      <c r="AS416" s="19"/>
      <c r="AT416" s="19"/>
    </row>
    <row r="417" spans="1:46" ht="12.5" x14ac:dyDescent="0.25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30"/>
      <c r="AM417" s="19"/>
      <c r="AN417" s="19"/>
      <c r="AO417" s="19"/>
      <c r="AP417" s="130"/>
      <c r="AQ417" s="130"/>
      <c r="AR417" s="19"/>
      <c r="AS417" s="19"/>
      <c r="AT417" s="19"/>
    </row>
    <row r="418" spans="1:46" ht="12.5" x14ac:dyDescent="0.25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30"/>
      <c r="AM418" s="19"/>
      <c r="AN418" s="19"/>
      <c r="AO418" s="19"/>
      <c r="AP418" s="130"/>
      <c r="AQ418" s="130"/>
      <c r="AR418" s="19"/>
      <c r="AS418" s="19"/>
      <c r="AT418" s="19"/>
    </row>
    <row r="419" spans="1:46" ht="12.5" x14ac:dyDescent="0.2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30"/>
      <c r="AM419" s="19"/>
      <c r="AN419" s="19"/>
      <c r="AO419" s="19"/>
      <c r="AP419" s="130"/>
      <c r="AQ419" s="130"/>
      <c r="AR419" s="19"/>
      <c r="AS419" s="19"/>
      <c r="AT419" s="19"/>
    </row>
    <row r="420" spans="1:46" ht="12.5" x14ac:dyDescent="0.25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30"/>
      <c r="AM420" s="19"/>
      <c r="AN420" s="19"/>
      <c r="AO420" s="19"/>
      <c r="AP420" s="130"/>
      <c r="AQ420" s="130"/>
      <c r="AR420" s="19"/>
      <c r="AS420" s="19"/>
      <c r="AT420" s="19"/>
    </row>
    <row r="421" spans="1:46" ht="12.5" x14ac:dyDescent="0.25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30"/>
      <c r="AM421" s="19"/>
      <c r="AN421" s="19"/>
      <c r="AO421" s="19"/>
      <c r="AP421" s="130"/>
      <c r="AQ421" s="130"/>
      <c r="AR421" s="19"/>
      <c r="AS421" s="19"/>
      <c r="AT421" s="19"/>
    </row>
    <row r="422" spans="1:46" ht="12.5" x14ac:dyDescent="0.25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30"/>
      <c r="AM422" s="19"/>
      <c r="AN422" s="19"/>
      <c r="AO422" s="19"/>
      <c r="AP422" s="130"/>
      <c r="AQ422" s="130"/>
      <c r="AR422" s="19"/>
      <c r="AS422" s="19"/>
      <c r="AT422" s="19"/>
    </row>
    <row r="423" spans="1:46" ht="12.5" x14ac:dyDescent="0.25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30"/>
      <c r="AM423" s="19"/>
      <c r="AN423" s="19"/>
      <c r="AO423" s="19"/>
      <c r="AP423" s="130"/>
      <c r="AQ423" s="130"/>
      <c r="AR423" s="19"/>
      <c r="AS423" s="19"/>
      <c r="AT423" s="19"/>
    </row>
    <row r="424" spans="1:46" ht="12.5" x14ac:dyDescent="0.25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30"/>
      <c r="AM424" s="19"/>
      <c r="AN424" s="19"/>
      <c r="AO424" s="19"/>
      <c r="AP424" s="130"/>
      <c r="AQ424" s="130"/>
      <c r="AR424" s="19"/>
      <c r="AS424" s="19"/>
      <c r="AT424" s="19"/>
    </row>
    <row r="425" spans="1:46" ht="12.5" x14ac:dyDescent="0.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30"/>
      <c r="AM425" s="19"/>
      <c r="AN425" s="19"/>
      <c r="AO425" s="19"/>
      <c r="AP425" s="130"/>
      <c r="AQ425" s="130"/>
      <c r="AR425" s="19"/>
      <c r="AS425" s="19"/>
      <c r="AT425" s="19"/>
    </row>
    <row r="426" spans="1:46" ht="12.5" x14ac:dyDescent="0.2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30"/>
      <c r="AM426" s="19"/>
      <c r="AN426" s="19"/>
      <c r="AO426" s="19"/>
      <c r="AP426" s="130"/>
      <c r="AQ426" s="130"/>
      <c r="AR426" s="19"/>
      <c r="AS426" s="19"/>
      <c r="AT426" s="19"/>
    </row>
    <row r="427" spans="1:46" ht="12.5" x14ac:dyDescent="0.25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30"/>
      <c r="AM427" s="19"/>
      <c r="AN427" s="19"/>
      <c r="AO427" s="19"/>
      <c r="AP427" s="130"/>
      <c r="AQ427" s="130"/>
      <c r="AR427" s="19"/>
      <c r="AS427" s="19"/>
      <c r="AT427" s="19"/>
    </row>
    <row r="428" spans="1:46" ht="12.5" x14ac:dyDescent="0.25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30"/>
      <c r="AM428" s="19"/>
      <c r="AN428" s="19"/>
      <c r="AO428" s="19"/>
      <c r="AP428" s="130"/>
      <c r="AQ428" s="130"/>
      <c r="AR428" s="19"/>
      <c r="AS428" s="19"/>
      <c r="AT428" s="19"/>
    </row>
    <row r="429" spans="1:46" ht="12.5" x14ac:dyDescent="0.25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30"/>
      <c r="AM429" s="19"/>
      <c r="AN429" s="19"/>
      <c r="AO429" s="19"/>
      <c r="AP429" s="130"/>
      <c r="AQ429" s="130"/>
      <c r="AR429" s="19"/>
      <c r="AS429" s="19"/>
      <c r="AT429" s="19"/>
    </row>
    <row r="430" spans="1:46" ht="12.5" x14ac:dyDescent="0.25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30"/>
      <c r="AM430" s="19"/>
      <c r="AN430" s="19"/>
      <c r="AO430" s="19"/>
      <c r="AP430" s="130"/>
      <c r="AQ430" s="130"/>
      <c r="AR430" s="19"/>
      <c r="AS430" s="19"/>
      <c r="AT430" s="19"/>
    </row>
    <row r="431" spans="1:46" ht="12.5" x14ac:dyDescent="0.25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30"/>
      <c r="AM431" s="19"/>
      <c r="AN431" s="19"/>
      <c r="AO431" s="19"/>
      <c r="AP431" s="130"/>
      <c r="AQ431" s="130"/>
      <c r="AR431" s="19"/>
      <c r="AS431" s="19"/>
      <c r="AT431" s="19"/>
    </row>
    <row r="432" spans="1:46" ht="12.5" x14ac:dyDescent="0.25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30"/>
      <c r="AM432" s="19"/>
      <c r="AN432" s="19"/>
      <c r="AO432" s="19"/>
      <c r="AP432" s="130"/>
      <c r="AQ432" s="130"/>
      <c r="AR432" s="19"/>
      <c r="AS432" s="19"/>
      <c r="AT432" s="19"/>
    </row>
    <row r="433" spans="1:46" ht="12.5" x14ac:dyDescent="0.25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30"/>
      <c r="AM433" s="19"/>
      <c r="AN433" s="19"/>
      <c r="AO433" s="19"/>
      <c r="AP433" s="130"/>
      <c r="AQ433" s="130"/>
      <c r="AR433" s="19"/>
      <c r="AS433" s="19"/>
      <c r="AT433" s="19"/>
    </row>
    <row r="434" spans="1:46" ht="12.5" x14ac:dyDescent="0.25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30"/>
      <c r="AM434" s="19"/>
      <c r="AN434" s="19"/>
      <c r="AO434" s="19"/>
      <c r="AP434" s="130"/>
      <c r="AQ434" s="130"/>
      <c r="AR434" s="19"/>
      <c r="AS434" s="19"/>
      <c r="AT434" s="19"/>
    </row>
    <row r="435" spans="1:46" ht="12.5" x14ac:dyDescent="0.2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30"/>
      <c r="AM435" s="19"/>
      <c r="AN435" s="19"/>
      <c r="AO435" s="19"/>
      <c r="AP435" s="130"/>
      <c r="AQ435" s="130"/>
      <c r="AR435" s="19"/>
      <c r="AS435" s="19"/>
      <c r="AT435" s="19"/>
    </row>
    <row r="436" spans="1:46" ht="12.5" x14ac:dyDescent="0.25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30"/>
      <c r="AM436" s="19"/>
      <c r="AN436" s="19"/>
      <c r="AO436" s="19"/>
      <c r="AP436" s="130"/>
      <c r="AQ436" s="130"/>
      <c r="AR436" s="19"/>
      <c r="AS436" s="19"/>
      <c r="AT436" s="19"/>
    </row>
    <row r="437" spans="1:46" ht="12.5" x14ac:dyDescent="0.25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30"/>
      <c r="AM437" s="19"/>
      <c r="AN437" s="19"/>
      <c r="AO437" s="19"/>
      <c r="AP437" s="130"/>
      <c r="AQ437" s="130"/>
      <c r="AR437" s="19"/>
      <c r="AS437" s="19"/>
      <c r="AT437" s="19"/>
    </row>
    <row r="438" spans="1:46" ht="12.5" x14ac:dyDescent="0.25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30"/>
      <c r="AM438" s="19"/>
      <c r="AN438" s="19"/>
      <c r="AO438" s="19"/>
      <c r="AP438" s="130"/>
      <c r="AQ438" s="130"/>
      <c r="AR438" s="19"/>
      <c r="AS438" s="19"/>
      <c r="AT438" s="19"/>
    </row>
    <row r="439" spans="1:46" ht="12.5" x14ac:dyDescent="0.25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30"/>
      <c r="AM439" s="19"/>
      <c r="AN439" s="19"/>
      <c r="AO439" s="19"/>
      <c r="AP439" s="130"/>
      <c r="AQ439" s="130"/>
      <c r="AR439" s="19"/>
      <c r="AS439" s="19"/>
      <c r="AT439" s="19"/>
    </row>
    <row r="440" spans="1:46" ht="12.5" x14ac:dyDescent="0.2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30"/>
      <c r="AM440" s="19"/>
      <c r="AN440" s="19"/>
      <c r="AO440" s="19"/>
      <c r="AP440" s="130"/>
      <c r="AQ440" s="130"/>
      <c r="AR440" s="19"/>
      <c r="AS440" s="19"/>
      <c r="AT440" s="19"/>
    </row>
    <row r="441" spans="1:46" ht="12.5" x14ac:dyDescent="0.25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30"/>
      <c r="AM441" s="19"/>
      <c r="AN441" s="19"/>
      <c r="AO441" s="19"/>
      <c r="AP441" s="130"/>
      <c r="AQ441" s="130"/>
      <c r="AR441" s="19"/>
      <c r="AS441" s="19"/>
      <c r="AT441" s="19"/>
    </row>
    <row r="442" spans="1:46" ht="12.5" x14ac:dyDescent="0.25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30"/>
      <c r="AM442" s="19"/>
      <c r="AN442" s="19"/>
      <c r="AO442" s="19"/>
      <c r="AP442" s="130"/>
      <c r="AQ442" s="130"/>
      <c r="AR442" s="19"/>
      <c r="AS442" s="19"/>
      <c r="AT442" s="19"/>
    </row>
    <row r="443" spans="1:46" ht="12.5" x14ac:dyDescent="0.2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30"/>
      <c r="AM443" s="19"/>
      <c r="AN443" s="19"/>
      <c r="AO443" s="19"/>
      <c r="AP443" s="130"/>
      <c r="AQ443" s="130"/>
      <c r="AR443" s="19"/>
      <c r="AS443" s="19"/>
      <c r="AT443" s="19"/>
    </row>
    <row r="444" spans="1:46" ht="12.5" x14ac:dyDescent="0.25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30"/>
      <c r="AM444" s="19"/>
      <c r="AN444" s="19"/>
      <c r="AO444" s="19"/>
      <c r="AP444" s="130"/>
      <c r="AQ444" s="130"/>
      <c r="AR444" s="19"/>
      <c r="AS444" s="19"/>
      <c r="AT444" s="19"/>
    </row>
    <row r="445" spans="1:46" ht="12.5" x14ac:dyDescent="0.2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30"/>
      <c r="AM445" s="19"/>
      <c r="AN445" s="19"/>
      <c r="AO445" s="19"/>
      <c r="AP445" s="130"/>
      <c r="AQ445" s="130"/>
      <c r="AR445" s="19"/>
      <c r="AS445" s="19"/>
      <c r="AT445" s="19"/>
    </row>
    <row r="446" spans="1:46" ht="12.5" x14ac:dyDescent="0.25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30"/>
      <c r="AM446" s="19"/>
      <c r="AN446" s="19"/>
      <c r="AO446" s="19"/>
      <c r="AP446" s="130"/>
      <c r="AQ446" s="130"/>
      <c r="AR446" s="19"/>
      <c r="AS446" s="19"/>
      <c r="AT446" s="19"/>
    </row>
    <row r="447" spans="1:46" ht="12.5" x14ac:dyDescent="0.25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30"/>
      <c r="AM447" s="19"/>
      <c r="AN447" s="19"/>
      <c r="AO447" s="19"/>
      <c r="AP447" s="130"/>
      <c r="AQ447" s="130"/>
      <c r="AR447" s="19"/>
      <c r="AS447" s="19"/>
      <c r="AT447" s="19"/>
    </row>
    <row r="448" spans="1:46" ht="12.5" x14ac:dyDescent="0.25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30"/>
      <c r="AM448" s="19"/>
      <c r="AN448" s="19"/>
      <c r="AO448" s="19"/>
      <c r="AP448" s="130"/>
      <c r="AQ448" s="130"/>
      <c r="AR448" s="19"/>
      <c r="AS448" s="19"/>
      <c r="AT448" s="19"/>
    </row>
    <row r="449" spans="1:46" ht="12.5" x14ac:dyDescent="0.25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30"/>
      <c r="AM449" s="19"/>
      <c r="AN449" s="19"/>
      <c r="AO449" s="19"/>
      <c r="AP449" s="130"/>
      <c r="AQ449" s="130"/>
      <c r="AR449" s="19"/>
      <c r="AS449" s="19"/>
      <c r="AT449" s="19"/>
    </row>
    <row r="450" spans="1:46" ht="12.5" x14ac:dyDescent="0.25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30"/>
      <c r="AM450" s="19"/>
      <c r="AN450" s="19"/>
      <c r="AO450" s="19"/>
      <c r="AP450" s="130"/>
      <c r="AQ450" s="130"/>
      <c r="AR450" s="19"/>
      <c r="AS450" s="19"/>
      <c r="AT450" s="19"/>
    </row>
    <row r="451" spans="1:46" ht="12.5" x14ac:dyDescent="0.25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30"/>
      <c r="AM451" s="19"/>
      <c r="AN451" s="19"/>
      <c r="AO451" s="19"/>
      <c r="AP451" s="130"/>
      <c r="AQ451" s="130"/>
      <c r="AR451" s="19"/>
      <c r="AS451" s="19"/>
      <c r="AT451" s="19"/>
    </row>
    <row r="452" spans="1:46" ht="12.5" x14ac:dyDescent="0.25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30"/>
      <c r="AM452" s="19"/>
      <c r="AN452" s="19"/>
      <c r="AO452" s="19"/>
      <c r="AP452" s="130"/>
      <c r="AQ452" s="130"/>
      <c r="AR452" s="19"/>
      <c r="AS452" s="19"/>
      <c r="AT452" s="19"/>
    </row>
    <row r="453" spans="1:46" ht="12.5" x14ac:dyDescent="0.25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30"/>
      <c r="AM453" s="19"/>
      <c r="AN453" s="19"/>
      <c r="AO453" s="19"/>
      <c r="AP453" s="130"/>
      <c r="AQ453" s="130"/>
      <c r="AR453" s="19"/>
      <c r="AS453" s="19"/>
      <c r="AT453" s="19"/>
    </row>
    <row r="454" spans="1:46" ht="12.5" x14ac:dyDescent="0.25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30"/>
      <c r="AM454" s="19"/>
      <c r="AN454" s="19"/>
      <c r="AO454" s="19"/>
      <c r="AP454" s="130"/>
      <c r="AQ454" s="130"/>
      <c r="AR454" s="19"/>
      <c r="AS454" s="19"/>
      <c r="AT454" s="19"/>
    </row>
    <row r="455" spans="1:46" ht="12.5" x14ac:dyDescent="0.2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30"/>
      <c r="AM455" s="19"/>
      <c r="AN455" s="19"/>
      <c r="AO455" s="19"/>
      <c r="AP455" s="130"/>
      <c r="AQ455" s="130"/>
      <c r="AR455" s="19"/>
      <c r="AS455" s="19"/>
      <c r="AT455" s="19"/>
    </row>
    <row r="456" spans="1:46" ht="12.5" x14ac:dyDescent="0.25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30"/>
      <c r="AM456" s="19"/>
      <c r="AN456" s="19"/>
      <c r="AO456" s="19"/>
      <c r="AP456" s="130"/>
      <c r="AQ456" s="130"/>
      <c r="AR456" s="19"/>
      <c r="AS456" s="19"/>
      <c r="AT456" s="19"/>
    </row>
    <row r="457" spans="1:46" ht="12.5" x14ac:dyDescent="0.2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30"/>
      <c r="AM457" s="19"/>
      <c r="AN457" s="19"/>
      <c r="AO457" s="19"/>
      <c r="AP457" s="130"/>
      <c r="AQ457" s="130"/>
      <c r="AR457" s="19"/>
      <c r="AS457" s="19"/>
      <c r="AT457" s="19"/>
    </row>
    <row r="458" spans="1:46" ht="12.5" x14ac:dyDescent="0.25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30"/>
      <c r="AM458" s="19"/>
      <c r="AN458" s="19"/>
      <c r="AO458" s="19"/>
      <c r="AP458" s="130"/>
      <c r="AQ458" s="130"/>
      <c r="AR458" s="19"/>
      <c r="AS458" s="19"/>
      <c r="AT458" s="19"/>
    </row>
    <row r="459" spans="1:46" ht="12.5" x14ac:dyDescent="0.25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30"/>
      <c r="AM459" s="19"/>
      <c r="AN459" s="19"/>
      <c r="AO459" s="19"/>
      <c r="AP459" s="130"/>
      <c r="AQ459" s="130"/>
      <c r="AR459" s="19"/>
      <c r="AS459" s="19"/>
      <c r="AT459" s="19"/>
    </row>
    <row r="460" spans="1:46" ht="12.5" x14ac:dyDescent="0.25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30"/>
      <c r="AM460" s="19"/>
      <c r="AN460" s="19"/>
      <c r="AO460" s="19"/>
      <c r="AP460" s="130"/>
      <c r="AQ460" s="130"/>
      <c r="AR460" s="19"/>
      <c r="AS460" s="19"/>
      <c r="AT460" s="19"/>
    </row>
    <row r="461" spans="1:46" ht="12.5" x14ac:dyDescent="0.25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30"/>
      <c r="AM461" s="19"/>
      <c r="AN461" s="19"/>
      <c r="AO461" s="19"/>
      <c r="AP461" s="130"/>
      <c r="AQ461" s="130"/>
      <c r="AR461" s="19"/>
      <c r="AS461" s="19"/>
      <c r="AT461" s="19"/>
    </row>
    <row r="462" spans="1:46" ht="12.5" x14ac:dyDescent="0.25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30"/>
      <c r="AM462" s="19"/>
      <c r="AN462" s="19"/>
      <c r="AO462" s="19"/>
      <c r="AP462" s="130"/>
      <c r="AQ462" s="130"/>
      <c r="AR462" s="19"/>
      <c r="AS462" s="19"/>
      <c r="AT462" s="19"/>
    </row>
    <row r="463" spans="1:46" ht="12.5" x14ac:dyDescent="0.25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30"/>
      <c r="AM463" s="19"/>
      <c r="AN463" s="19"/>
      <c r="AO463" s="19"/>
      <c r="AP463" s="130"/>
      <c r="AQ463" s="130"/>
      <c r="AR463" s="19"/>
      <c r="AS463" s="19"/>
      <c r="AT463" s="19"/>
    </row>
    <row r="464" spans="1:46" ht="12.5" x14ac:dyDescent="0.25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30"/>
      <c r="AM464" s="19"/>
      <c r="AN464" s="19"/>
      <c r="AO464" s="19"/>
      <c r="AP464" s="130"/>
      <c r="AQ464" s="130"/>
      <c r="AR464" s="19"/>
      <c r="AS464" s="19"/>
      <c r="AT464" s="19"/>
    </row>
    <row r="465" spans="1:46" ht="12.5" x14ac:dyDescent="0.2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30"/>
      <c r="AM465" s="19"/>
      <c r="AN465" s="19"/>
      <c r="AO465" s="19"/>
      <c r="AP465" s="130"/>
      <c r="AQ465" s="130"/>
      <c r="AR465" s="19"/>
      <c r="AS465" s="19"/>
      <c r="AT465" s="19"/>
    </row>
    <row r="466" spans="1:46" ht="12.5" x14ac:dyDescent="0.25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30"/>
      <c r="AM466" s="19"/>
      <c r="AN466" s="19"/>
      <c r="AO466" s="19"/>
      <c r="AP466" s="130"/>
      <c r="AQ466" s="130"/>
      <c r="AR466" s="19"/>
      <c r="AS466" s="19"/>
      <c r="AT466" s="19"/>
    </row>
    <row r="467" spans="1:46" ht="12.5" x14ac:dyDescent="0.25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30"/>
      <c r="AM467" s="19"/>
      <c r="AN467" s="19"/>
      <c r="AO467" s="19"/>
      <c r="AP467" s="130"/>
      <c r="AQ467" s="130"/>
      <c r="AR467" s="19"/>
      <c r="AS467" s="19"/>
      <c r="AT467" s="19"/>
    </row>
    <row r="468" spans="1:46" ht="12.5" x14ac:dyDescent="0.25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30"/>
      <c r="AM468" s="19"/>
      <c r="AN468" s="19"/>
      <c r="AO468" s="19"/>
      <c r="AP468" s="130"/>
      <c r="AQ468" s="130"/>
      <c r="AR468" s="19"/>
      <c r="AS468" s="19"/>
      <c r="AT468" s="19"/>
    </row>
    <row r="469" spans="1:46" ht="12.5" x14ac:dyDescent="0.25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30"/>
      <c r="AM469" s="19"/>
      <c r="AN469" s="19"/>
      <c r="AO469" s="19"/>
      <c r="AP469" s="130"/>
      <c r="AQ469" s="130"/>
      <c r="AR469" s="19"/>
      <c r="AS469" s="19"/>
      <c r="AT469" s="19"/>
    </row>
    <row r="470" spans="1:46" ht="12.5" x14ac:dyDescent="0.25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30"/>
      <c r="AM470" s="19"/>
      <c r="AN470" s="19"/>
      <c r="AO470" s="19"/>
      <c r="AP470" s="130"/>
      <c r="AQ470" s="130"/>
      <c r="AR470" s="19"/>
      <c r="AS470" s="19"/>
      <c r="AT470" s="19"/>
    </row>
    <row r="471" spans="1:46" ht="12.5" x14ac:dyDescent="0.25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30"/>
      <c r="AM471" s="19"/>
      <c r="AN471" s="19"/>
      <c r="AO471" s="19"/>
      <c r="AP471" s="130"/>
      <c r="AQ471" s="130"/>
      <c r="AR471" s="19"/>
      <c r="AS471" s="19"/>
      <c r="AT471" s="19"/>
    </row>
    <row r="472" spans="1:46" ht="12.5" x14ac:dyDescent="0.25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30"/>
      <c r="AM472" s="19"/>
      <c r="AN472" s="19"/>
      <c r="AO472" s="19"/>
      <c r="AP472" s="130"/>
      <c r="AQ472" s="130"/>
      <c r="AR472" s="19"/>
      <c r="AS472" s="19"/>
      <c r="AT472" s="19"/>
    </row>
    <row r="473" spans="1:46" ht="12.5" x14ac:dyDescent="0.25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30"/>
      <c r="AM473" s="19"/>
      <c r="AN473" s="19"/>
      <c r="AO473" s="19"/>
      <c r="AP473" s="130"/>
      <c r="AQ473" s="130"/>
      <c r="AR473" s="19"/>
      <c r="AS473" s="19"/>
      <c r="AT473" s="19"/>
    </row>
    <row r="474" spans="1:46" ht="12.5" x14ac:dyDescent="0.25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30"/>
      <c r="AM474" s="19"/>
      <c r="AN474" s="19"/>
      <c r="AO474" s="19"/>
      <c r="AP474" s="130"/>
      <c r="AQ474" s="130"/>
      <c r="AR474" s="19"/>
      <c r="AS474" s="19"/>
      <c r="AT474" s="19"/>
    </row>
    <row r="475" spans="1:46" ht="12.5" x14ac:dyDescent="0.2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30"/>
      <c r="AM475" s="19"/>
      <c r="AN475" s="19"/>
      <c r="AO475" s="19"/>
      <c r="AP475" s="130"/>
      <c r="AQ475" s="130"/>
      <c r="AR475" s="19"/>
      <c r="AS475" s="19"/>
      <c r="AT475" s="19"/>
    </row>
    <row r="476" spans="1:46" ht="12.5" x14ac:dyDescent="0.25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30"/>
      <c r="AM476" s="19"/>
      <c r="AN476" s="19"/>
      <c r="AO476" s="19"/>
      <c r="AP476" s="130"/>
      <c r="AQ476" s="130"/>
      <c r="AR476" s="19"/>
      <c r="AS476" s="19"/>
      <c r="AT476" s="19"/>
    </row>
    <row r="477" spans="1:46" ht="12.5" x14ac:dyDescent="0.25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30"/>
      <c r="AM477" s="19"/>
      <c r="AN477" s="19"/>
      <c r="AO477" s="19"/>
      <c r="AP477" s="130"/>
      <c r="AQ477" s="130"/>
      <c r="AR477" s="19"/>
      <c r="AS477" s="19"/>
      <c r="AT477" s="19"/>
    </row>
    <row r="478" spans="1:46" ht="12.5" x14ac:dyDescent="0.25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30"/>
      <c r="AM478" s="19"/>
      <c r="AN478" s="19"/>
      <c r="AO478" s="19"/>
      <c r="AP478" s="130"/>
      <c r="AQ478" s="130"/>
      <c r="AR478" s="19"/>
      <c r="AS478" s="19"/>
      <c r="AT478" s="19"/>
    </row>
    <row r="479" spans="1:46" ht="12.5" x14ac:dyDescent="0.25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30"/>
      <c r="AM479" s="19"/>
      <c r="AN479" s="19"/>
      <c r="AO479" s="19"/>
      <c r="AP479" s="130"/>
      <c r="AQ479" s="130"/>
      <c r="AR479" s="19"/>
      <c r="AS479" s="19"/>
      <c r="AT479" s="19"/>
    </row>
    <row r="480" spans="1:46" ht="12.5" x14ac:dyDescent="0.25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30"/>
      <c r="AM480" s="19"/>
      <c r="AN480" s="19"/>
      <c r="AO480" s="19"/>
      <c r="AP480" s="130"/>
      <c r="AQ480" s="130"/>
      <c r="AR480" s="19"/>
      <c r="AS480" s="19"/>
      <c r="AT480" s="19"/>
    </row>
    <row r="481" spans="1:46" ht="12.5" x14ac:dyDescent="0.25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30"/>
      <c r="AM481" s="19"/>
      <c r="AN481" s="19"/>
      <c r="AO481" s="19"/>
      <c r="AP481" s="130"/>
      <c r="AQ481" s="130"/>
      <c r="AR481" s="19"/>
      <c r="AS481" s="19"/>
      <c r="AT481" s="19"/>
    </row>
    <row r="482" spans="1:46" ht="12.5" x14ac:dyDescent="0.25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30"/>
      <c r="AM482" s="19"/>
      <c r="AN482" s="19"/>
      <c r="AO482" s="19"/>
      <c r="AP482" s="130"/>
      <c r="AQ482" s="130"/>
      <c r="AR482" s="19"/>
      <c r="AS482" s="19"/>
      <c r="AT482" s="19"/>
    </row>
    <row r="483" spans="1:46" ht="12.5" x14ac:dyDescent="0.25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30"/>
      <c r="AM483" s="19"/>
      <c r="AN483" s="19"/>
      <c r="AO483" s="19"/>
      <c r="AP483" s="130"/>
      <c r="AQ483" s="130"/>
      <c r="AR483" s="19"/>
      <c r="AS483" s="19"/>
      <c r="AT483" s="19"/>
    </row>
    <row r="484" spans="1:46" ht="12.5" x14ac:dyDescent="0.25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30"/>
      <c r="AM484" s="19"/>
      <c r="AN484" s="19"/>
      <c r="AO484" s="19"/>
      <c r="AP484" s="130"/>
      <c r="AQ484" s="130"/>
      <c r="AR484" s="19"/>
      <c r="AS484" s="19"/>
      <c r="AT484" s="19"/>
    </row>
    <row r="485" spans="1:46" ht="12.5" x14ac:dyDescent="0.2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30"/>
      <c r="AM485" s="19"/>
      <c r="AN485" s="19"/>
      <c r="AO485" s="19"/>
      <c r="AP485" s="130"/>
      <c r="AQ485" s="130"/>
      <c r="AR485" s="19"/>
      <c r="AS485" s="19"/>
      <c r="AT485" s="19"/>
    </row>
    <row r="486" spans="1:46" ht="12.5" x14ac:dyDescent="0.25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30"/>
      <c r="AM486" s="19"/>
      <c r="AN486" s="19"/>
      <c r="AO486" s="19"/>
      <c r="AP486" s="130"/>
      <c r="AQ486" s="130"/>
      <c r="AR486" s="19"/>
      <c r="AS486" s="19"/>
      <c r="AT486" s="19"/>
    </row>
    <row r="487" spans="1:46" ht="12.5" x14ac:dyDescent="0.25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30"/>
      <c r="AM487" s="19"/>
      <c r="AN487" s="19"/>
      <c r="AO487" s="19"/>
      <c r="AP487" s="130"/>
      <c r="AQ487" s="130"/>
      <c r="AR487" s="19"/>
      <c r="AS487" s="19"/>
      <c r="AT487" s="19"/>
    </row>
    <row r="488" spans="1:46" ht="12.5" x14ac:dyDescent="0.25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30"/>
      <c r="AM488" s="19"/>
      <c r="AN488" s="19"/>
      <c r="AO488" s="19"/>
      <c r="AP488" s="130"/>
      <c r="AQ488" s="130"/>
      <c r="AR488" s="19"/>
      <c r="AS488" s="19"/>
      <c r="AT488" s="19"/>
    </row>
    <row r="489" spans="1:46" ht="12.5" x14ac:dyDescent="0.25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30"/>
      <c r="AM489" s="19"/>
      <c r="AN489" s="19"/>
      <c r="AO489" s="19"/>
      <c r="AP489" s="130"/>
      <c r="AQ489" s="130"/>
      <c r="AR489" s="19"/>
      <c r="AS489" s="19"/>
      <c r="AT489" s="19"/>
    </row>
    <row r="490" spans="1:46" ht="12.5" x14ac:dyDescent="0.25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30"/>
      <c r="AM490" s="19"/>
      <c r="AN490" s="19"/>
      <c r="AO490" s="19"/>
      <c r="AP490" s="130"/>
      <c r="AQ490" s="130"/>
      <c r="AR490" s="19"/>
      <c r="AS490" s="19"/>
      <c r="AT490" s="19"/>
    </row>
    <row r="491" spans="1:46" ht="12.5" x14ac:dyDescent="0.25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30"/>
      <c r="AM491" s="19"/>
      <c r="AN491" s="19"/>
      <c r="AO491" s="19"/>
      <c r="AP491" s="130"/>
      <c r="AQ491" s="130"/>
      <c r="AR491" s="19"/>
      <c r="AS491" s="19"/>
      <c r="AT491" s="19"/>
    </row>
    <row r="492" spans="1:46" ht="12.5" x14ac:dyDescent="0.25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30"/>
      <c r="AM492" s="19"/>
      <c r="AN492" s="19"/>
      <c r="AO492" s="19"/>
      <c r="AP492" s="130"/>
      <c r="AQ492" s="130"/>
      <c r="AR492" s="19"/>
      <c r="AS492" s="19"/>
      <c r="AT492" s="19"/>
    </row>
    <row r="493" spans="1:46" ht="12.5" x14ac:dyDescent="0.25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30"/>
      <c r="AM493" s="19"/>
      <c r="AN493" s="19"/>
      <c r="AO493" s="19"/>
      <c r="AP493" s="130"/>
      <c r="AQ493" s="130"/>
      <c r="AR493" s="19"/>
      <c r="AS493" s="19"/>
      <c r="AT493" s="19"/>
    </row>
    <row r="494" spans="1:46" ht="12.5" x14ac:dyDescent="0.25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30"/>
      <c r="AM494" s="19"/>
      <c r="AN494" s="19"/>
      <c r="AO494" s="19"/>
      <c r="AP494" s="130"/>
      <c r="AQ494" s="130"/>
      <c r="AR494" s="19"/>
      <c r="AS494" s="19"/>
      <c r="AT494" s="19"/>
    </row>
    <row r="495" spans="1:46" ht="12.5" x14ac:dyDescent="0.2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30"/>
      <c r="AM495" s="19"/>
      <c r="AN495" s="19"/>
      <c r="AO495" s="19"/>
      <c r="AP495" s="130"/>
      <c r="AQ495" s="130"/>
      <c r="AR495" s="19"/>
      <c r="AS495" s="19"/>
      <c r="AT495" s="19"/>
    </row>
    <row r="496" spans="1:46" ht="12.5" x14ac:dyDescent="0.25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30"/>
      <c r="AM496" s="19"/>
      <c r="AN496" s="19"/>
      <c r="AO496" s="19"/>
      <c r="AP496" s="130"/>
      <c r="AQ496" s="130"/>
      <c r="AR496" s="19"/>
      <c r="AS496" s="19"/>
      <c r="AT496" s="19"/>
    </row>
    <row r="497" spans="1:46" ht="12.5" x14ac:dyDescent="0.25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30"/>
      <c r="AM497" s="19"/>
      <c r="AN497" s="19"/>
      <c r="AO497" s="19"/>
      <c r="AP497" s="130"/>
      <c r="AQ497" s="130"/>
      <c r="AR497" s="19"/>
      <c r="AS497" s="19"/>
      <c r="AT497" s="19"/>
    </row>
    <row r="498" spans="1:46" ht="12.5" x14ac:dyDescent="0.25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30"/>
      <c r="AM498" s="19"/>
      <c r="AN498" s="19"/>
      <c r="AO498" s="19"/>
      <c r="AP498" s="130"/>
      <c r="AQ498" s="130"/>
      <c r="AR498" s="19"/>
      <c r="AS498" s="19"/>
      <c r="AT498" s="19"/>
    </row>
    <row r="499" spans="1:46" ht="12.5" x14ac:dyDescent="0.25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30"/>
      <c r="AM499" s="19"/>
      <c r="AN499" s="19"/>
      <c r="AO499" s="19"/>
      <c r="AP499" s="130"/>
      <c r="AQ499" s="130"/>
      <c r="AR499" s="19"/>
      <c r="AS499" s="19"/>
      <c r="AT499" s="19"/>
    </row>
    <row r="500" spans="1:46" ht="12.5" x14ac:dyDescent="0.25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30"/>
      <c r="AM500" s="19"/>
      <c r="AN500" s="19"/>
      <c r="AO500" s="19"/>
      <c r="AP500" s="130"/>
      <c r="AQ500" s="130"/>
      <c r="AR500" s="19"/>
      <c r="AS500" s="19"/>
      <c r="AT500" s="19"/>
    </row>
    <row r="501" spans="1:46" ht="12.5" x14ac:dyDescent="0.2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30"/>
      <c r="AM501" s="19"/>
      <c r="AN501" s="19"/>
      <c r="AO501" s="19"/>
      <c r="AP501" s="130"/>
      <c r="AQ501" s="130"/>
      <c r="AR501" s="19"/>
      <c r="AS501" s="19"/>
      <c r="AT501" s="19"/>
    </row>
    <row r="502" spans="1:46" ht="12.5" x14ac:dyDescent="0.25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30"/>
      <c r="AM502" s="19"/>
      <c r="AN502" s="19"/>
      <c r="AO502" s="19"/>
      <c r="AP502" s="130"/>
      <c r="AQ502" s="130"/>
      <c r="AR502" s="19"/>
      <c r="AS502" s="19"/>
      <c r="AT502" s="19"/>
    </row>
    <row r="503" spans="1:46" ht="12.5" x14ac:dyDescent="0.25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30"/>
      <c r="AM503" s="19"/>
      <c r="AN503" s="19"/>
      <c r="AO503" s="19"/>
      <c r="AP503" s="130"/>
      <c r="AQ503" s="130"/>
      <c r="AR503" s="19"/>
      <c r="AS503" s="19"/>
      <c r="AT503" s="19"/>
    </row>
    <row r="504" spans="1:46" ht="12.5" x14ac:dyDescent="0.25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30"/>
      <c r="AM504" s="19"/>
      <c r="AN504" s="19"/>
      <c r="AO504" s="19"/>
      <c r="AP504" s="130"/>
      <c r="AQ504" s="130"/>
      <c r="AR504" s="19"/>
      <c r="AS504" s="19"/>
      <c r="AT504" s="19"/>
    </row>
    <row r="505" spans="1:46" ht="12.5" x14ac:dyDescent="0.2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30"/>
      <c r="AM505" s="19"/>
      <c r="AN505" s="19"/>
      <c r="AO505" s="19"/>
      <c r="AP505" s="130"/>
      <c r="AQ505" s="130"/>
      <c r="AR505" s="19"/>
      <c r="AS505" s="19"/>
      <c r="AT505" s="19"/>
    </row>
    <row r="506" spans="1:46" ht="12.5" x14ac:dyDescent="0.25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30"/>
      <c r="AM506" s="19"/>
      <c r="AN506" s="19"/>
      <c r="AO506" s="19"/>
      <c r="AP506" s="130"/>
      <c r="AQ506" s="130"/>
      <c r="AR506" s="19"/>
      <c r="AS506" s="19"/>
      <c r="AT506" s="19"/>
    </row>
    <row r="507" spans="1:46" ht="12.5" x14ac:dyDescent="0.25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30"/>
      <c r="AM507" s="19"/>
      <c r="AN507" s="19"/>
      <c r="AO507" s="19"/>
      <c r="AP507" s="130"/>
      <c r="AQ507" s="130"/>
      <c r="AR507" s="19"/>
      <c r="AS507" s="19"/>
      <c r="AT507" s="19"/>
    </row>
    <row r="508" spans="1:46" ht="12.5" x14ac:dyDescent="0.25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30"/>
      <c r="AM508" s="19"/>
      <c r="AN508" s="19"/>
      <c r="AO508" s="19"/>
      <c r="AP508" s="130"/>
      <c r="AQ508" s="130"/>
      <c r="AR508" s="19"/>
      <c r="AS508" s="19"/>
      <c r="AT508" s="19"/>
    </row>
    <row r="509" spans="1:46" ht="12.5" x14ac:dyDescent="0.25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30"/>
      <c r="AM509" s="19"/>
      <c r="AN509" s="19"/>
      <c r="AO509" s="19"/>
      <c r="AP509" s="130"/>
      <c r="AQ509" s="130"/>
      <c r="AR509" s="19"/>
      <c r="AS509" s="19"/>
      <c r="AT509" s="19"/>
    </row>
    <row r="510" spans="1:46" ht="12.5" x14ac:dyDescent="0.25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30"/>
      <c r="AM510" s="19"/>
      <c r="AN510" s="19"/>
      <c r="AO510" s="19"/>
      <c r="AP510" s="130"/>
      <c r="AQ510" s="130"/>
      <c r="AR510" s="19"/>
      <c r="AS510" s="19"/>
      <c r="AT510" s="19"/>
    </row>
    <row r="511" spans="1:46" ht="12.5" x14ac:dyDescent="0.25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30"/>
      <c r="AM511" s="19"/>
      <c r="AN511" s="19"/>
      <c r="AO511" s="19"/>
      <c r="AP511" s="130"/>
      <c r="AQ511" s="130"/>
      <c r="AR511" s="19"/>
      <c r="AS511" s="19"/>
      <c r="AT511" s="19"/>
    </row>
    <row r="512" spans="1:46" ht="12.5" x14ac:dyDescent="0.25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30"/>
      <c r="AM512" s="19"/>
      <c r="AN512" s="19"/>
      <c r="AO512" s="19"/>
      <c r="AP512" s="130"/>
      <c r="AQ512" s="130"/>
      <c r="AR512" s="19"/>
      <c r="AS512" s="19"/>
      <c r="AT512" s="19"/>
    </row>
    <row r="513" spans="1:46" ht="12.5" x14ac:dyDescent="0.25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30"/>
      <c r="AM513" s="19"/>
      <c r="AN513" s="19"/>
      <c r="AO513" s="19"/>
      <c r="AP513" s="130"/>
      <c r="AQ513" s="130"/>
      <c r="AR513" s="19"/>
      <c r="AS513" s="19"/>
      <c r="AT513" s="19"/>
    </row>
    <row r="514" spans="1:46" ht="12.5" x14ac:dyDescent="0.25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30"/>
      <c r="AM514" s="19"/>
      <c r="AN514" s="19"/>
      <c r="AO514" s="19"/>
      <c r="AP514" s="130"/>
      <c r="AQ514" s="130"/>
      <c r="AR514" s="19"/>
      <c r="AS514" s="19"/>
      <c r="AT514" s="19"/>
    </row>
    <row r="515" spans="1:46" ht="12.5" x14ac:dyDescent="0.2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30"/>
      <c r="AM515" s="19"/>
      <c r="AN515" s="19"/>
      <c r="AO515" s="19"/>
      <c r="AP515" s="130"/>
      <c r="AQ515" s="130"/>
      <c r="AR515" s="19"/>
      <c r="AS515" s="19"/>
      <c r="AT515" s="19"/>
    </row>
    <row r="516" spans="1:46" ht="12.5" x14ac:dyDescent="0.25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30"/>
      <c r="AM516" s="19"/>
      <c r="AN516" s="19"/>
      <c r="AO516" s="19"/>
      <c r="AP516" s="130"/>
      <c r="AQ516" s="130"/>
      <c r="AR516" s="19"/>
      <c r="AS516" s="19"/>
      <c r="AT516" s="19"/>
    </row>
    <row r="517" spans="1:46" ht="12.5" x14ac:dyDescent="0.25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30"/>
      <c r="AM517" s="19"/>
      <c r="AN517" s="19"/>
      <c r="AO517" s="19"/>
      <c r="AP517" s="130"/>
      <c r="AQ517" s="130"/>
      <c r="AR517" s="19"/>
      <c r="AS517" s="19"/>
      <c r="AT517" s="19"/>
    </row>
    <row r="518" spans="1:46" ht="12.5" x14ac:dyDescent="0.25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30"/>
      <c r="AM518" s="19"/>
      <c r="AN518" s="19"/>
      <c r="AO518" s="19"/>
      <c r="AP518" s="130"/>
      <c r="AQ518" s="130"/>
      <c r="AR518" s="19"/>
      <c r="AS518" s="19"/>
      <c r="AT518" s="19"/>
    </row>
    <row r="519" spans="1:46" ht="12.5" x14ac:dyDescent="0.25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30"/>
      <c r="AM519" s="19"/>
      <c r="AN519" s="19"/>
      <c r="AO519" s="19"/>
      <c r="AP519" s="130"/>
      <c r="AQ519" s="130"/>
      <c r="AR519" s="19"/>
      <c r="AS519" s="19"/>
      <c r="AT519" s="19"/>
    </row>
    <row r="520" spans="1:46" ht="12.5" x14ac:dyDescent="0.25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30"/>
      <c r="AM520" s="19"/>
      <c r="AN520" s="19"/>
      <c r="AO520" s="19"/>
      <c r="AP520" s="130"/>
      <c r="AQ520" s="130"/>
      <c r="AR520" s="19"/>
      <c r="AS520" s="19"/>
      <c r="AT520" s="19"/>
    </row>
    <row r="521" spans="1:46" ht="12.5" x14ac:dyDescent="0.25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30"/>
      <c r="AM521" s="19"/>
      <c r="AN521" s="19"/>
      <c r="AO521" s="19"/>
      <c r="AP521" s="130"/>
      <c r="AQ521" s="130"/>
      <c r="AR521" s="19"/>
      <c r="AS521" s="19"/>
      <c r="AT521" s="19"/>
    </row>
    <row r="522" spans="1:46" ht="12.5" x14ac:dyDescent="0.25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30"/>
      <c r="AM522" s="19"/>
      <c r="AN522" s="19"/>
      <c r="AO522" s="19"/>
      <c r="AP522" s="130"/>
      <c r="AQ522" s="130"/>
      <c r="AR522" s="19"/>
      <c r="AS522" s="19"/>
      <c r="AT522" s="19"/>
    </row>
    <row r="523" spans="1:46" ht="12.5" x14ac:dyDescent="0.25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30"/>
      <c r="AM523" s="19"/>
      <c r="AN523" s="19"/>
      <c r="AO523" s="19"/>
      <c r="AP523" s="130"/>
      <c r="AQ523" s="130"/>
      <c r="AR523" s="19"/>
      <c r="AS523" s="19"/>
      <c r="AT523" s="19"/>
    </row>
    <row r="524" spans="1:46" ht="12.5" x14ac:dyDescent="0.25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30"/>
      <c r="AM524" s="19"/>
      <c r="AN524" s="19"/>
      <c r="AO524" s="19"/>
      <c r="AP524" s="130"/>
      <c r="AQ524" s="130"/>
      <c r="AR524" s="19"/>
      <c r="AS524" s="19"/>
      <c r="AT524" s="19"/>
    </row>
    <row r="525" spans="1:46" ht="12.5" x14ac:dyDescent="0.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30"/>
      <c r="AM525" s="19"/>
      <c r="AN525" s="19"/>
      <c r="AO525" s="19"/>
      <c r="AP525" s="130"/>
      <c r="AQ525" s="130"/>
      <c r="AR525" s="19"/>
      <c r="AS525" s="19"/>
      <c r="AT525" s="19"/>
    </row>
    <row r="526" spans="1:46" ht="12.5" x14ac:dyDescent="0.25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30"/>
      <c r="AM526" s="19"/>
      <c r="AN526" s="19"/>
      <c r="AO526" s="19"/>
      <c r="AP526" s="130"/>
      <c r="AQ526" s="130"/>
      <c r="AR526" s="19"/>
      <c r="AS526" s="19"/>
      <c r="AT526" s="19"/>
    </row>
    <row r="527" spans="1:46" ht="12.5" x14ac:dyDescent="0.25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30"/>
      <c r="AM527" s="19"/>
      <c r="AN527" s="19"/>
      <c r="AO527" s="19"/>
      <c r="AP527" s="130"/>
      <c r="AQ527" s="130"/>
      <c r="AR527" s="19"/>
      <c r="AS527" s="19"/>
      <c r="AT527" s="19"/>
    </row>
    <row r="528" spans="1:46" ht="12.5" x14ac:dyDescent="0.25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30"/>
      <c r="AM528" s="19"/>
      <c r="AN528" s="19"/>
      <c r="AO528" s="19"/>
      <c r="AP528" s="130"/>
      <c r="AQ528" s="130"/>
      <c r="AR528" s="19"/>
      <c r="AS528" s="19"/>
      <c r="AT528" s="19"/>
    </row>
    <row r="529" spans="1:46" ht="12.5" x14ac:dyDescent="0.25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30"/>
      <c r="AM529" s="19"/>
      <c r="AN529" s="19"/>
      <c r="AO529" s="19"/>
      <c r="AP529" s="130"/>
      <c r="AQ529" s="130"/>
      <c r="AR529" s="19"/>
      <c r="AS529" s="19"/>
      <c r="AT529" s="19"/>
    </row>
    <row r="530" spans="1:46" ht="12.5" x14ac:dyDescent="0.25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30"/>
      <c r="AM530" s="19"/>
      <c r="AN530" s="19"/>
      <c r="AO530" s="19"/>
      <c r="AP530" s="130"/>
      <c r="AQ530" s="130"/>
      <c r="AR530" s="19"/>
      <c r="AS530" s="19"/>
      <c r="AT530" s="19"/>
    </row>
    <row r="531" spans="1:46" ht="12.5" x14ac:dyDescent="0.25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30"/>
      <c r="AM531" s="19"/>
      <c r="AN531" s="19"/>
      <c r="AO531" s="19"/>
      <c r="AP531" s="130"/>
      <c r="AQ531" s="130"/>
      <c r="AR531" s="19"/>
      <c r="AS531" s="19"/>
      <c r="AT531" s="19"/>
    </row>
    <row r="532" spans="1:46" ht="12.5" x14ac:dyDescent="0.25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30"/>
      <c r="AM532" s="19"/>
      <c r="AN532" s="19"/>
      <c r="AO532" s="19"/>
      <c r="AP532" s="130"/>
      <c r="AQ532" s="130"/>
      <c r="AR532" s="19"/>
      <c r="AS532" s="19"/>
      <c r="AT532" s="19"/>
    </row>
    <row r="533" spans="1:46" ht="12.5" x14ac:dyDescent="0.25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30"/>
      <c r="AM533" s="19"/>
      <c r="AN533" s="19"/>
      <c r="AO533" s="19"/>
      <c r="AP533" s="130"/>
      <c r="AQ533" s="130"/>
      <c r="AR533" s="19"/>
      <c r="AS533" s="19"/>
      <c r="AT533" s="19"/>
    </row>
    <row r="534" spans="1:46" ht="12.5" x14ac:dyDescent="0.25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30"/>
      <c r="AM534" s="19"/>
      <c r="AN534" s="19"/>
      <c r="AO534" s="19"/>
      <c r="AP534" s="130"/>
      <c r="AQ534" s="130"/>
      <c r="AR534" s="19"/>
      <c r="AS534" s="19"/>
      <c r="AT534" s="19"/>
    </row>
    <row r="535" spans="1:46" ht="12.5" x14ac:dyDescent="0.2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30"/>
      <c r="AM535" s="19"/>
      <c r="AN535" s="19"/>
      <c r="AO535" s="19"/>
      <c r="AP535" s="130"/>
      <c r="AQ535" s="130"/>
      <c r="AR535" s="19"/>
      <c r="AS535" s="19"/>
      <c r="AT535" s="19"/>
    </row>
    <row r="536" spans="1:46" ht="12.5" x14ac:dyDescent="0.25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30"/>
      <c r="AM536" s="19"/>
      <c r="AN536" s="19"/>
      <c r="AO536" s="19"/>
      <c r="AP536" s="130"/>
      <c r="AQ536" s="130"/>
      <c r="AR536" s="19"/>
      <c r="AS536" s="19"/>
      <c r="AT536" s="19"/>
    </row>
    <row r="537" spans="1:46" ht="12.5" x14ac:dyDescent="0.25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30"/>
      <c r="AM537" s="19"/>
      <c r="AN537" s="19"/>
      <c r="AO537" s="19"/>
      <c r="AP537" s="130"/>
      <c r="AQ537" s="130"/>
      <c r="AR537" s="19"/>
      <c r="AS537" s="19"/>
      <c r="AT537" s="19"/>
    </row>
    <row r="538" spans="1:46" ht="12.5" x14ac:dyDescent="0.25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30"/>
      <c r="AM538" s="19"/>
      <c r="AN538" s="19"/>
      <c r="AO538" s="19"/>
      <c r="AP538" s="130"/>
      <c r="AQ538" s="130"/>
      <c r="AR538" s="19"/>
      <c r="AS538" s="19"/>
      <c r="AT538" s="19"/>
    </row>
    <row r="539" spans="1:46" ht="12.5" x14ac:dyDescent="0.25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30"/>
      <c r="AM539" s="19"/>
      <c r="AN539" s="19"/>
      <c r="AO539" s="19"/>
      <c r="AP539" s="130"/>
      <c r="AQ539" s="130"/>
      <c r="AR539" s="19"/>
      <c r="AS539" s="19"/>
      <c r="AT539" s="19"/>
    </row>
    <row r="540" spans="1:46" ht="12.5" x14ac:dyDescent="0.25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30"/>
      <c r="AM540" s="19"/>
      <c r="AN540" s="19"/>
      <c r="AO540" s="19"/>
      <c r="AP540" s="130"/>
      <c r="AQ540" s="130"/>
      <c r="AR540" s="19"/>
      <c r="AS540" s="19"/>
      <c r="AT540" s="19"/>
    </row>
    <row r="541" spans="1:46" ht="12.5" x14ac:dyDescent="0.25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30"/>
      <c r="AM541" s="19"/>
      <c r="AN541" s="19"/>
      <c r="AO541" s="19"/>
      <c r="AP541" s="130"/>
      <c r="AQ541" s="130"/>
      <c r="AR541" s="19"/>
      <c r="AS541" s="19"/>
      <c r="AT541" s="19"/>
    </row>
    <row r="542" spans="1:46" ht="12.5" x14ac:dyDescent="0.25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30"/>
      <c r="AM542" s="19"/>
      <c r="AN542" s="19"/>
      <c r="AO542" s="19"/>
      <c r="AP542" s="130"/>
      <c r="AQ542" s="130"/>
      <c r="AR542" s="19"/>
      <c r="AS542" s="19"/>
      <c r="AT542" s="19"/>
    </row>
    <row r="543" spans="1:46" ht="12.5" x14ac:dyDescent="0.25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30"/>
      <c r="AM543" s="19"/>
      <c r="AN543" s="19"/>
      <c r="AO543" s="19"/>
      <c r="AP543" s="130"/>
      <c r="AQ543" s="130"/>
      <c r="AR543" s="19"/>
      <c r="AS543" s="19"/>
      <c r="AT543" s="19"/>
    </row>
    <row r="544" spans="1:46" ht="12.5" x14ac:dyDescent="0.25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30"/>
      <c r="AM544" s="19"/>
      <c r="AN544" s="19"/>
      <c r="AO544" s="19"/>
      <c r="AP544" s="130"/>
      <c r="AQ544" s="130"/>
      <c r="AR544" s="19"/>
      <c r="AS544" s="19"/>
      <c r="AT544" s="19"/>
    </row>
    <row r="545" spans="1:46" ht="12.5" x14ac:dyDescent="0.2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30"/>
      <c r="AM545" s="19"/>
      <c r="AN545" s="19"/>
      <c r="AO545" s="19"/>
      <c r="AP545" s="130"/>
      <c r="AQ545" s="130"/>
      <c r="AR545" s="19"/>
      <c r="AS545" s="19"/>
      <c r="AT545" s="19"/>
    </row>
    <row r="546" spans="1:46" ht="12.5" x14ac:dyDescent="0.25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30"/>
      <c r="AM546" s="19"/>
      <c r="AN546" s="19"/>
      <c r="AO546" s="19"/>
      <c r="AP546" s="130"/>
      <c r="AQ546" s="130"/>
      <c r="AR546" s="19"/>
      <c r="AS546" s="19"/>
      <c r="AT546" s="19"/>
    </row>
    <row r="547" spans="1:46" ht="12.5" x14ac:dyDescent="0.25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30"/>
      <c r="AM547" s="19"/>
      <c r="AN547" s="19"/>
      <c r="AO547" s="19"/>
      <c r="AP547" s="130"/>
      <c r="AQ547" s="130"/>
      <c r="AR547" s="19"/>
      <c r="AS547" s="19"/>
      <c r="AT547" s="19"/>
    </row>
    <row r="548" spans="1:46" ht="12.5" x14ac:dyDescent="0.25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30"/>
      <c r="AM548" s="19"/>
      <c r="AN548" s="19"/>
      <c r="AO548" s="19"/>
      <c r="AP548" s="130"/>
      <c r="AQ548" s="130"/>
      <c r="AR548" s="19"/>
      <c r="AS548" s="19"/>
      <c r="AT548" s="19"/>
    </row>
    <row r="549" spans="1:46" ht="12.5" x14ac:dyDescent="0.25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30"/>
      <c r="AM549" s="19"/>
      <c r="AN549" s="19"/>
      <c r="AO549" s="19"/>
      <c r="AP549" s="130"/>
      <c r="AQ549" s="130"/>
      <c r="AR549" s="19"/>
      <c r="AS549" s="19"/>
      <c r="AT549" s="19"/>
    </row>
    <row r="550" spans="1:46" ht="12.5" x14ac:dyDescent="0.25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30"/>
      <c r="AM550" s="19"/>
      <c r="AN550" s="19"/>
      <c r="AO550" s="19"/>
      <c r="AP550" s="130"/>
      <c r="AQ550" s="130"/>
      <c r="AR550" s="19"/>
      <c r="AS550" s="19"/>
      <c r="AT550" s="19"/>
    </row>
    <row r="551" spans="1:46" ht="12.5" x14ac:dyDescent="0.25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30"/>
      <c r="AM551" s="19"/>
      <c r="AN551" s="19"/>
      <c r="AO551" s="19"/>
      <c r="AP551" s="130"/>
      <c r="AQ551" s="130"/>
      <c r="AR551" s="19"/>
      <c r="AS551" s="19"/>
      <c r="AT551" s="19"/>
    </row>
    <row r="552" spans="1:46" ht="12.5" x14ac:dyDescent="0.25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30"/>
      <c r="AM552" s="19"/>
      <c r="AN552" s="19"/>
      <c r="AO552" s="19"/>
      <c r="AP552" s="130"/>
      <c r="AQ552" s="130"/>
      <c r="AR552" s="19"/>
      <c r="AS552" s="19"/>
      <c r="AT552" s="19"/>
    </row>
    <row r="553" spans="1:46" ht="12.5" x14ac:dyDescent="0.25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30"/>
      <c r="AM553" s="19"/>
      <c r="AN553" s="19"/>
      <c r="AO553" s="19"/>
      <c r="AP553" s="130"/>
      <c r="AQ553" s="130"/>
      <c r="AR553" s="19"/>
      <c r="AS553" s="19"/>
      <c r="AT553" s="19"/>
    </row>
    <row r="554" spans="1:46" ht="12.5" x14ac:dyDescent="0.25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30"/>
      <c r="AM554" s="19"/>
      <c r="AN554" s="19"/>
      <c r="AO554" s="19"/>
      <c r="AP554" s="130"/>
      <c r="AQ554" s="130"/>
      <c r="AR554" s="19"/>
      <c r="AS554" s="19"/>
      <c r="AT554" s="19"/>
    </row>
    <row r="555" spans="1:46" ht="12.5" x14ac:dyDescent="0.2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30"/>
      <c r="AM555" s="19"/>
      <c r="AN555" s="19"/>
      <c r="AO555" s="19"/>
      <c r="AP555" s="130"/>
      <c r="AQ555" s="130"/>
      <c r="AR555" s="19"/>
      <c r="AS555" s="19"/>
      <c r="AT555" s="19"/>
    </row>
    <row r="556" spans="1:46" ht="12.5" x14ac:dyDescent="0.25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30"/>
      <c r="AM556" s="19"/>
      <c r="AN556" s="19"/>
      <c r="AO556" s="19"/>
      <c r="AP556" s="130"/>
      <c r="AQ556" s="130"/>
      <c r="AR556" s="19"/>
      <c r="AS556" s="19"/>
      <c r="AT556" s="19"/>
    </row>
    <row r="557" spans="1:46" ht="12.5" x14ac:dyDescent="0.25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30"/>
      <c r="AM557" s="19"/>
      <c r="AN557" s="19"/>
      <c r="AO557" s="19"/>
      <c r="AP557" s="130"/>
      <c r="AQ557" s="130"/>
      <c r="AR557" s="19"/>
      <c r="AS557" s="19"/>
      <c r="AT557" s="19"/>
    </row>
    <row r="558" spans="1:46" ht="12.5" x14ac:dyDescent="0.25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30"/>
      <c r="AM558" s="19"/>
      <c r="AN558" s="19"/>
      <c r="AO558" s="19"/>
      <c r="AP558" s="130"/>
      <c r="AQ558" s="130"/>
      <c r="AR558" s="19"/>
      <c r="AS558" s="19"/>
      <c r="AT558" s="19"/>
    </row>
    <row r="559" spans="1:46" ht="12.5" x14ac:dyDescent="0.25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30"/>
      <c r="AM559" s="19"/>
      <c r="AN559" s="19"/>
      <c r="AO559" s="19"/>
      <c r="AP559" s="130"/>
      <c r="AQ559" s="130"/>
      <c r="AR559" s="19"/>
      <c r="AS559" s="19"/>
      <c r="AT559" s="19"/>
    </row>
    <row r="560" spans="1:46" ht="12.5" x14ac:dyDescent="0.25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30"/>
      <c r="AM560" s="19"/>
      <c r="AN560" s="19"/>
      <c r="AO560" s="19"/>
      <c r="AP560" s="130"/>
      <c r="AQ560" s="130"/>
      <c r="AR560" s="19"/>
      <c r="AS560" s="19"/>
      <c r="AT560" s="19"/>
    </row>
    <row r="561" spans="1:46" ht="12.5" x14ac:dyDescent="0.25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30"/>
      <c r="AM561" s="19"/>
      <c r="AN561" s="19"/>
      <c r="AO561" s="19"/>
      <c r="AP561" s="130"/>
      <c r="AQ561" s="130"/>
      <c r="AR561" s="19"/>
      <c r="AS561" s="19"/>
      <c r="AT561" s="19"/>
    </row>
    <row r="562" spans="1:46" ht="12.5" x14ac:dyDescent="0.25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30"/>
      <c r="AM562" s="19"/>
      <c r="AN562" s="19"/>
      <c r="AO562" s="19"/>
      <c r="AP562" s="130"/>
      <c r="AQ562" s="130"/>
      <c r="AR562" s="19"/>
      <c r="AS562" s="19"/>
      <c r="AT562" s="19"/>
    </row>
    <row r="563" spans="1:46" ht="12.5" x14ac:dyDescent="0.25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30"/>
      <c r="AM563" s="19"/>
      <c r="AN563" s="19"/>
      <c r="AO563" s="19"/>
      <c r="AP563" s="130"/>
      <c r="AQ563" s="130"/>
      <c r="AR563" s="19"/>
      <c r="AS563" s="19"/>
      <c r="AT563" s="19"/>
    </row>
    <row r="564" spans="1:46" ht="12.5" x14ac:dyDescent="0.25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30"/>
      <c r="AM564" s="19"/>
      <c r="AN564" s="19"/>
      <c r="AO564" s="19"/>
      <c r="AP564" s="130"/>
      <c r="AQ564" s="130"/>
      <c r="AR564" s="19"/>
      <c r="AS564" s="19"/>
      <c r="AT564" s="19"/>
    </row>
    <row r="565" spans="1:46" ht="12.5" x14ac:dyDescent="0.2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30"/>
      <c r="AM565" s="19"/>
      <c r="AN565" s="19"/>
      <c r="AO565" s="19"/>
      <c r="AP565" s="130"/>
      <c r="AQ565" s="130"/>
      <c r="AR565" s="19"/>
      <c r="AS565" s="19"/>
      <c r="AT565" s="19"/>
    </row>
    <row r="566" spans="1:46" ht="12.5" x14ac:dyDescent="0.25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30"/>
      <c r="AM566" s="19"/>
      <c r="AN566" s="19"/>
      <c r="AO566" s="19"/>
      <c r="AP566" s="130"/>
      <c r="AQ566" s="130"/>
      <c r="AR566" s="19"/>
      <c r="AS566" s="19"/>
      <c r="AT566" s="19"/>
    </row>
    <row r="567" spans="1:46" ht="12.5" x14ac:dyDescent="0.25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30"/>
      <c r="AM567" s="19"/>
      <c r="AN567" s="19"/>
      <c r="AO567" s="19"/>
      <c r="AP567" s="130"/>
      <c r="AQ567" s="130"/>
      <c r="AR567" s="19"/>
      <c r="AS567" s="19"/>
      <c r="AT567" s="19"/>
    </row>
    <row r="568" spans="1:46" ht="12.5" x14ac:dyDescent="0.25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30"/>
      <c r="AM568" s="19"/>
      <c r="AN568" s="19"/>
      <c r="AO568" s="19"/>
      <c r="AP568" s="130"/>
      <c r="AQ568" s="130"/>
      <c r="AR568" s="19"/>
      <c r="AS568" s="19"/>
      <c r="AT568" s="19"/>
    </row>
    <row r="569" spans="1:46" ht="12.5" x14ac:dyDescent="0.25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30"/>
      <c r="AM569" s="19"/>
      <c r="AN569" s="19"/>
      <c r="AO569" s="19"/>
      <c r="AP569" s="130"/>
      <c r="AQ569" s="130"/>
      <c r="AR569" s="19"/>
      <c r="AS569" s="19"/>
      <c r="AT569" s="19"/>
    </row>
    <row r="570" spans="1:46" ht="12.5" x14ac:dyDescent="0.25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30"/>
      <c r="AM570" s="19"/>
      <c r="AN570" s="19"/>
      <c r="AO570" s="19"/>
      <c r="AP570" s="130"/>
      <c r="AQ570" s="130"/>
      <c r="AR570" s="19"/>
      <c r="AS570" s="19"/>
      <c r="AT570" s="19"/>
    </row>
    <row r="571" spans="1:46" ht="12.5" x14ac:dyDescent="0.25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30"/>
      <c r="AM571" s="19"/>
      <c r="AN571" s="19"/>
      <c r="AO571" s="19"/>
      <c r="AP571" s="130"/>
      <c r="AQ571" s="130"/>
      <c r="AR571" s="19"/>
      <c r="AS571" s="19"/>
      <c r="AT571" s="19"/>
    </row>
    <row r="572" spans="1:46" ht="12.5" x14ac:dyDescent="0.25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30"/>
      <c r="AM572" s="19"/>
      <c r="AN572" s="19"/>
      <c r="AO572" s="19"/>
      <c r="AP572" s="130"/>
      <c r="AQ572" s="130"/>
      <c r="AR572" s="19"/>
      <c r="AS572" s="19"/>
      <c r="AT572" s="19"/>
    </row>
    <row r="573" spans="1:46" ht="12.5" x14ac:dyDescent="0.25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30"/>
      <c r="AM573" s="19"/>
      <c r="AN573" s="19"/>
      <c r="AO573" s="19"/>
      <c r="AP573" s="130"/>
      <c r="AQ573" s="130"/>
      <c r="AR573" s="19"/>
      <c r="AS573" s="19"/>
      <c r="AT573" s="19"/>
    </row>
    <row r="574" spans="1:46" ht="12.5" x14ac:dyDescent="0.25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30"/>
      <c r="AM574" s="19"/>
      <c r="AN574" s="19"/>
      <c r="AO574" s="19"/>
      <c r="AP574" s="130"/>
      <c r="AQ574" s="130"/>
      <c r="AR574" s="19"/>
      <c r="AS574" s="19"/>
      <c r="AT574" s="19"/>
    </row>
    <row r="575" spans="1:46" ht="12.5" x14ac:dyDescent="0.2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30"/>
      <c r="AM575" s="19"/>
      <c r="AN575" s="19"/>
      <c r="AO575" s="19"/>
      <c r="AP575" s="130"/>
      <c r="AQ575" s="130"/>
      <c r="AR575" s="19"/>
      <c r="AS575" s="19"/>
      <c r="AT575" s="19"/>
    </row>
    <row r="576" spans="1:46" ht="12.5" x14ac:dyDescent="0.25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30"/>
      <c r="AM576" s="19"/>
      <c r="AN576" s="19"/>
      <c r="AO576" s="19"/>
      <c r="AP576" s="130"/>
      <c r="AQ576" s="130"/>
      <c r="AR576" s="19"/>
      <c r="AS576" s="19"/>
      <c r="AT576" s="19"/>
    </row>
    <row r="577" spans="1:46" ht="12.5" x14ac:dyDescent="0.25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30"/>
      <c r="AM577" s="19"/>
      <c r="AN577" s="19"/>
      <c r="AO577" s="19"/>
      <c r="AP577" s="130"/>
      <c r="AQ577" s="130"/>
      <c r="AR577" s="19"/>
      <c r="AS577" s="19"/>
      <c r="AT577" s="19"/>
    </row>
    <row r="578" spans="1:46" ht="12.5" x14ac:dyDescent="0.25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30"/>
      <c r="AM578" s="19"/>
      <c r="AN578" s="19"/>
      <c r="AO578" s="19"/>
      <c r="AP578" s="130"/>
      <c r="AQ578" s="130"/>
      <c r="AR578" s="19"/>
      <c r="AS578" s="19"/>
      <c r="AT578" s="19"/>
    </row>
    <row r="579" spans="1:46" ht="12.5" x14ac:dyDescent="0.25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30"/>
      <c r="AM579" s="19"/>
      <c r="AN579" s="19"/>
      <c r="AO579" s="19"/>
      <c r="AP579" s="130"/>
      <c r="AQ579" s="130"/>
      <c r="AR579" s="19"/>
      <c r="AS579" s="19"/>
      <c r="AT579" s="19"/>
    </row>
    <row r="580" spans="1:46" ht="12.5" x14ac:dyDescent="0.25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30"/>
      <c r="AM580" s="19"/>
      <c r="AN580" s="19"/>
      <c r="AO580" s="19"/>
      <c r="AP580" s="130"/>
      <c r="AQ580" s="130"/>
      <c r="AR580" s="19"/>
      <c r="AS580" s="19"/>
      <c r="AT580" s="19"/>
    </row>
    <row r="581" spans="1:46" ht="12.5" x14ac:dyDescent="0.25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30"/>
      <c r="AM581" s="19"/>
      <c r="AN581" s="19"/>
      <c r="AO581" s="19"/>
      <c r="AP581" s="130"/>
      <c r="AQ581" s="130"/>
      <c r="AR581" s="19"/>
      <c r="AS581" s="19"/>
      <c r="AT581" s="19"/>
    </row>
    <row r="582" spans="1:46" ht="12.5" x14ac:dyDescent="0.25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30"/>
      <c r="AM582" s="19"/>
      <c r="AN582" s="19"/>
      <c r="AO582" s="19"/>
      <c r="AP582" s="130"/>
      <c r="AQ582" s="130"/>
      <c r="AR582" s="19"/>
      <c r="AS582" s="19"/>
      <c r="AT582" s="19"/>
    </row>
    <row r="583" spans="1:46" ht="12.5" x14ac:dyDescent="0.25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30"/>
      <c r="AM583" s="19"/>
      <c r="AN583" s="19"/>
      <c r="AO583" s="19"/>
      <c r="AP583" s="130"/>
      <c r="AQ583" s="130"/>
      <c r="AR583" s="19"/>
      <c r="AS583" s="19"/>
      <c r="AT583" s="19"/>
    </row>
    <row r="584" spans="1:46" ht="12.5" x14ac:dyDescent="0.25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30"/>
      <c r="AM584" s="19"/>
      <c r="AN584" s="19"/>
      <c r="AO584" s="19"/>
      <c r="AP584" s="130"/>
      <c r="AQ584" s="130"/>
      <c r="AR584" s="19"/>
      <c r="AS584" s="19"/>
      <c r="AT584" s="19"/>
    </row>
    <row r="585" spans="1:46" ht="12.5" x14ac:dyDescent="0.2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30"/>
      <c r="AM585" s="19"/>
      <c r="AN585" s="19"/>
      <c r="AO585" s="19"/>
      <c r="AP585" s="130"/>
      <c r="AQ585" s="130"/>
      <c r="AR585" s="19"/>
      <c r="AS585" s="19"/>
      <c r="AT585" s="19"/>
    </row>
    <row r="586" spans="1:46" ht="12.5" x14ac:dyDescent="0.25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30"/>
      <c r="AM586" s="19"/>
      <c r="AN586" s="19"/>
      <c r="AO586" s="19"/>
      <c r="AP586" s="130"/>
      <c r="AQ586" s="130"/>
      <c r="AR586" s="19"/>
      <c r="AS586" s="19"/>
      <c r="AT586" s="19"/>
    </row>
    <row r="587" spans="1:46" ht="12.5" x14ac:dyDescent="0.25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30"/>
      <c r="AM587" s="19"/>
      <c r="AN587" s="19"/>
      <c r="AO587" s="19"/>
      <c r="AP587" s="130"/>
      <c r="AQ587" s="130"/>
      <c r="AR587" s="19"/>
      <c r="AS587" s="19"/>
      <c r="AT587" s="19"/>
    </row>
    <row r="588" spans="1:46" ht="12.5" x14ac:dyDescent="0.25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30"/>
      <c r="AM588" s="19"/>
      <c r="AN588" s="19"/>
      <c r="AO588" s="19"/>
      <c r="AP588" s="130"/>
      <c r="AQ588" s="130"/>
      <c r="AR588" s="19"/>
      <c r="AS588" s="19"/>
      <c r="AT588" s="19"/>
    </row>
    <row r="589" spans="1:46" ht="12.5" x14ac:dyDescent="0.25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30"/>
      <c r="AM589" s="19"/>
      <c r="AN589" s="19"/>
      <c r="AO589" s="19"/>
      <c r="AP589" s="130"/>
      <c r="AQ589" s="130"/>
      <c r="AR589" s="19"/>
      <c r="AS589" s="19"/>
      <c r="AT589" s="19"/>
    </row>
    <row r="590" spans="1:46" ht="12.5" x14ac:dyDescent="0.25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30"/>
      <c r="AM590" s="19"/>
      <c r="AN590" s="19"/>
      <c r="AO590" s="19"/>
      <c r="AP590" s="130"/>
      <c r="AQ590" s="130"/>
      <c r="AR590" s="19"/>
      <c r="AS590" s="19"/>
      <c r="AT590" s="19"/>
    </row>
    <row r="591" spans="1:46" ht="12.5" x14ac:dyDescent="0.25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30"/>
      <c r="AM591" s="19"/>
      <c r="AN591" s="19"/>
      <c r="AO591" s="19"/>
      <c r="AP591" s="130"/>
      <c r="AQ591" s="130"/>
      <c r="AR591" s="19"/>
      <c r="AS591" s="19"/>
      <c r="AT591" s="19"/>
    </row>
    <row r="592" spans="1:46" ht="12.5" x14ac:dyDescent="0.2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30"/>
      <c r="AM592" s="19"/>
      <c r="AN592" s="19"/>
      <c r="AO592" s="19"/>
      <c r="AP592" s="130"/>
      <c r="AQ592" s="130"/>
      <c r="AR592" s="19"/>
      <c r="AS592" s="19"/>
      <c r="AT592" s="19"/>
    </row>
    <row r="593" spans="1:46" ht="12.5" x14ac:dyDescent="0.25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30"/>
      <c r="AM593" s="19"/>
      <c r="AN593" s="19"/>
      <c r="AO593" s="19"/>
      <c r="AP593" s="130"/>
      <c r="AQ593" s="130"/>
      <c r="AR593" s="19"/>
      <c r="AS593" s="19"/>
      <c r="AT593" s="19"/>
    </row>
    <row r="594" spans="1:46" ht="12.5" x14ac:dyDescent="0.25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30"/>
      <c r="AM594" s="19"/>
      <c r="AN594" s="19"/>
      <c r="AO594" s="19"/>
      <c r="AP594" s="130"/>
      <c r="AQ594" s="130"/>
      <c r="AR594" s="19"/>
      <c r="AS594" s="19"/>
      <c r="AT594" s="19"/>
    </row>
    <row r="595" spans="1:46" ht="12.5" x14ac:dyDescent="0.2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30"/>
      <c r="AM595" s="19"/>
      <c r="AN595" s="19"/>
      <c r="AO595" s="19"/>
      <c r="AP595" s="130"/>
      <c r="AQ595" s="130"/>
      <c r="AR595" s="19"/>
      <c r="AS595" s="19"/>
      <c r="AT595" s="19"/>
    </row>
    <row r="596" spans="1:46" ht="12.5" x14ac:dyDescent="0.25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30"/>
      <c r="AM596" s="19"/>
      <c r="AN596" s="19"/>
      <c r="AO596" s="19"/>
      <c r="AP596" s="130"/>
      <c r="AQ596" s="130"/>
      <c r="AR596" s="19"/>
      <c r="AS596" s="19"/>
      <c r="AT596" s="19"/>
    </row>
    <row r="597" spans="1:46" ht="12.5" x14ac:dyDescent="0.25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30"/>
      <c r="AM597" s="19"/>
      <c r="AN597" s="19"/>
      <c r="AO597" s="19"/>
      <c r="AP597" s="130"/>
      <c r="AQ597" s="130"/>
      <c r="AR597" s="19"/>
      <c r="AS597" s="19"/>
      <c r="AT597" s="19"/>
    </row>
    <row r="598" spans="1:46" ht="12.5" x14ac:dyDescent="0.25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30"/>
      <c r="AM598" s="19"/>
      <c r="AN598" s="19"/>
      <c r="AO598" s="19"/>
      <c r="AP598" s="130"/>
      <c r="AQ598" s="130"/>
      <c r="AR598" s="19"/>
      <c r="AS598" s="19"/>
      <c r="AT598" s="19"/>
    </row>
    <row r="599" spans="1:46" ht="12.5" x14ac:dyDescent="0.25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30"/>
      <c r="AM599" s="19"/>
      <c r="AN599" s="19"/>
      <c r="AO599" s="19"/>
      <c r="AP599" s="130"/>
      <c r="AQ599" s="130"/>
      <c r="AR599" s="19"/>
      <c r="AS599" s="19"/>
      <c r="AT599" s="19"/>
    </row>
    <row r="600" spans="1:46" ht="12.5" x14ac:dyDescent="0.25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30"/>
      <c r="AM600" s="19"/>
      <c r="AN600" s="19"/>
      <c r="AO600" s="19"/>
      <c r="AP600" s="130"/>
      <c r="AQ600" s="130"/>
      <c r="AR600" s="19"/>
      <c r="AS600" s="19"/>
      <c r="AT600" s="19"/>
    </row>
    <row r="601" spans="1:46" ht="12.5" x14ac:dyDescent="0.25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30"/>
      <c r="AM601" s="19"/>
      <c r="AN601" s="19"/>
      <c r="AO601" s="19"/>
      <c r="AP601" s="130"/>
      <c r="AQ601" s="130"/>
      <c r="AR601" s="19"/>
      <c r="AS601" s="19"/>
      <c r="AT601" s="19"/>
    </row>
    <row r="602" spans="1:46" ht="12.5" x14ac:dyDescent="0.25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30"/>
      <c r="AM602" s="19"/>
      <c r="AN602" s="19"/>
      <c r="AO602" s="19"/>
      <c r="AP602" s="130"/>
      <c r="AQ602" s="130"/>
      <c r="AR602" s="19"/>
      <c r="AS602" s="19"/>
      <c r="AT602" s="19"/>
    </row>
    <row r="603" spans="1:46" ht="12.5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30"/>
      <c r="AM603" s="19"/>
      <c r="AN603" s="19"/>
      <c r="AO603" s="19"/>
      <c r="AP603" s="130"/>
      <c r="AQ603" s="130"/>
      <c r="AR603" s="19"/>
      <c r="AS603" s="19"/>
      <c r="AT603" s="19"/>
    </row>
    <row r="604" spans="1:46" ht="12.5" x14ac:dyDescent="0.25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30"/>
      <c r="AM604" s="19"/>
      <c r="AN604" s="19"/>
      <c r="AO604" s="19"/>
      <c r="AP604" s="130"/>
      <c r="AQ604" s="130"/>
      <c r="AR604" s="19"/>
      <c r="AS604" s="19"/>
      <c r="AT604" s="19"/>
    </row>
    <row r="605" spans="1:46" ht="12.5" x14ac:dyDescent="0.2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30"/>
      <c r="AM605" s="19"/>
      <c r="AN605" s="19"/>
      <c r="AO605" s="19"/>
      <c r="AP605" s="130"/>
      <c r="AQ605" s="130"/>
      <c r="AR605" s="19"/>
      <c r="AS605" s="19"/>
      <c r="AT605" s="19"/>
    </row>
    <row r="606" spans="1:46" ht="12.5" x14ac:dyDescent="0.25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30"/>
      <c r="AM606" s="19"/>
      <c r="AN606" s="19"/>
      <c r="AO606" s="19"/>
      <c r="AP606" s="130"/>
      <c r="AQ606" s="130"/>
      <c r="AR606" s="19"/>
      <c r="AS606" s="19"/>
      <c r="AT606" s="19"/>
    </row>
    <row r="607" spans="1:46" ht="12.5" x14ac:dyDescent="0.25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30"/>
      <c r="AM607" s="19"/>
      <c r="AN607" s="19"/>
      <c r="AO607" s="19"/>
      <c r="AP607" s="130"/>
      <c r="AQ607" s="130"/>
      <c r="AR607" s="19"/>
      <c r="AS607" s="19"/>
      <c r="AT607" s="19"/>
    </row>
    <row r="608" spans="1:46" ht="12.5" x14ac:dyDescent="0.25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30"/>
      <c r="AM608" s="19"/>
      <c r="AN608" s="19"/>
      <c r="AO608" s="19"/>
      <c r="AP608" s="130"/>
      <c r="AQ608" s="130"/>
      <c r="AR608" s="19"/>
      <c r="AS608" s="19"/>
      <c r="AT608" s="19"/>
    </row>
    <row r="609" spans="1:46" ht="12.5" x14ac:dyDescent="0.25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30"/>
      <c r="AM609" s="19"/>
      <c r="AN609" s="19"/>
      <c r="AO609" s="19"/>
      <c r="AP609" s="130"/>
      <c r="AQ609" s="130"/>
      <c r="AR609" s="19"/>
      <c r="AS609" s="19"/>
      <c r="AT609" s="19"/>
    </row>
    <row r="610" spans="1:46" ht="12.5" x14ac:dyDescent="0.25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30"/>
      <c r="AM610" s="19"/>
      <c r="AN610" s="19"/>
      <c r="AO610" s="19"/>
      <c r="AP610" s="130"/>
      <c r="AQ610" s="130"/>
      <c r="AR610" s="19"/>
      <c r="AS610" s="19"/>
      <c r="AT610" s="19"/>
    </row>
    <row r="611" spans="1:46" ht="12.5" x14ac:dyDescent="0.25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30"/>
      <c r="AM611" s="19"/>
      <c r="AN611" s="19"/>
      <c r="AO611" s="19"/>
      <c r="AP611" s="130"/>
      <c r="AQ611" s="130"/>
      <c r="AR611" s="19"/>
      <c r="AS611" s="19"/>
      <c r="AT611" s="19"/>
    </row>
    <row r="612" spans="1:46" ht="12.5" x14ac:dyDescent="0.2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30"/>
      <c r="AM612" s="19"/>
      <c r="AN612" s="19"/>
      <c r="AO612" s="19"/>
      <c r="AP612" s="130"/>
      <c r="AQ612" s="130"/>
      <c r="AR612" s="19"/>
      <c r="AS612" s="19"/>
      <c r="AT612" s="19"/>
    </row>
    <row r="613" spans="1:46" ht="12.5" x14ac:dyDescent="0.25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30"/>
      <c r="AM613" s="19"/>
      <c r="AN613" s="19"/>
      <c r="AO613" s="19"/>
      <c r="AP613" s="130"/>
      <c r="AQ613" s="130"/>
      <c r="AR613" s="19"/>
      <c r="AS613" s="19"/>
      <c r="AT613" s="19"/>
    </row>
    <row r="614" spans="1:46" ht="12.5" x14ac:dyDescent="0.25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30"/>
      <c r="AM614" s="19"/>
      <c r="AN614" s="19"/>
      <c r="AO614" s="19"/>
      <c r="AP614" s="130"/>
      <c r="AQ614" s="130"/>
      <c r="AR614" s="19"/>
      <c r="AS614" s="19"/>
      <c r="AT614" s="19"/>
    </row>
    <row r="615" spans="1:46" ht="12.5" x14ac:dyDescent="0.2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30"/>
      <c r="AM615" s="19"/>
      <c r="AN615" s="19"/>
      <c r="AO615" s="19"/>
      <c r="AP615" s="130"/>
      <c r="AQ615" s="130"/>
      <c r="AR615" s="19"/>
      <c r="AS615" s="19"/>
      <c r="AT615" s="19"/>
    </row>
    <row r="616" spans="1:46" ht="12.5" x14ac:dyDescent="0.25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30"/>
      <c r="AM616" s="19"/>
      <c r="AN616" s="19"/>
      <c r="AO616" s="19"/>
      <c r="AP616" s="130"/>
      <c r="AQ616" s="130"/>
      <c r="AR616" s="19"/>
      <c r="AS616" s="19"/>
      <c r="AT616" s="19"/>
    </row>
    <row r="617" spans="1:46" ht="12.5" x14ac:dyDescent="0.25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30"/>
      <c r="AM617" s="19"/>
      <c r="AN617" s="19"/>
      <c r="AO617" s="19"/>
      <c r="AP617" s="130"/>
      <c r="AQ617" s="130"/>
      <c r="AR617" s="19"/>
      <c r="AS617" s="19"/>
      <c r="AT617" s="19"/>
    </row>
    <row r="618" spans="1:46" ht="12.5" x14ac:dyDescent="0.25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30"/>
      <c r="AM618" s="19"/>
      <c r="AN618" s="19"/>
      <c r="AO618" s="19"/>
      <c r="AP618" s="130"/>
      <c r="AQ618" s="130"/>
      <c r="AR618" s="19"/>
      <c r="AS618" s="19"/>
      <c r="AT618" s="19"/>
    </row>
    <row r="619" spans="1:46" ht="12.5" x14ac:dyDescent="0.25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30"/>
      <c r="AM619" s="19"/>
      <c r="AN619" s="19"/>
      <c r="AO619" s="19"/>
      <c r="AP619" s="130"/>
      <c r="AQ619" s="130"/>
      <c r="AR619" s="19"/>
      <c r="AS619" s="19"/>
      <c r="AT619" s="19"/>
    </row>
    <row r="620" spans="1:46" ht="12.5" x14ac:dyDescent="0.25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30"/>
      <c r="AM620" s="19"/>
      <c r="AN620" s="19"/>
      <c r="AO620" s="19"/>
      <c r="AP620" s="130"/>
      <c r="AQ620" s="130"/>
      <c r="AR620" s="19"/>
      <c r="AS620" s="19"/>
      <c r="AT620" s="19"/>
    </row>
    <row r="621" spans="1:46" ht="12.5" x14ac:dyDescent="0.25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30"/>
      <c r="AM621" s="19"/>
      <c r="AN621" s="19"/>
      <c r="AO621" s="19"/>
      <c r="AP621" s="130"/>
      <c r="AQ621" s="130"/>
      <c r="AR621" s="19"/>
      <c r="AS621" s="19"/>
      <c r="AT621" s="19"/>
    </row>
    <row r="622" spans="1:46" ht="12.5" x14ac:dyDescent="0.25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30"/>
      <c r="AM622" s="19"/>
      <c r="AN622" s="19"/>
      <c r="AO622" s="19"/>
      <c r="AP622" s="130"/>
      <c r="AQ622" s="130"/>
      <c r="AR622" s="19"/>
      <c r="AS622" s="19"/>
      <c r="AT622" s="19"/>
    </row>
    <row r="623" spans="1:46" ht="12.5" x14ac:dyDescent="0.25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30"/>
      <c r="AM623" s="19"/>
      <c r="AN623" s="19"/>
      <c r="AO623" s="19"/>
      <c r="AP623" s="130"/>
      <c r="AQ623" s="130"/>
      <c r="AR623" s="19"/>
      <c r="AS623" s="19"/>
      <c r="AT623" s="19"/>
    </row>
    <row r="624" spans="1:46" ht="12.5" x14ac:dyDescent="0.25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30"/>
      <c r="AM624" s="19"/>
      <c r="AN624" s="19"/>
      <c r="AO624" s="19"/>
      <c r="AP624" s="130"/>
      <c r="AQ624" s="130"/>
      <c r="AR624" s="19"/>
      <c r="AS624" s="19"/>
      <c r="AT624" s="19"/>
    </row>
    <row r="625" spans="1:46" ht="12.5" x14ac:dyDescent="0.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30"/>
      <c r="AM625" s="19"/>
      <c r="AN625" s="19"/>
      <c r="AO625" s="19"/>
      <c r="AP625" s="130"/>
      <c r="AQ625" s="130"/>
      <c r="AR625" s="19"/>
      <c r="AS625" s="19"/>
      <c r="AT625" s="19"/>
    </row>
    <row r="626" spans="1:46" ht="12.5" x14ac:dyDescent="0.25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30"/>
      <c r="AM626" s="19"/>
      <c r="AN626" s="19"/>
      <c r="AO626" s="19"/>
      <c r="AP626" s="130"/>
      <c r="AQ626" s="130"/>
      <c r="AR626" s="19"/>
      <c r="AS626" s="19"/>
      <c r="AT626" s="19"/>
    </row>
    <row r="627" spans="1:46" ht="12.5" x14ac:dyDescent="0.25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30"/>
      <c r="AM627" s="19"/>
      <c r="AN627" s="19"/>
      <c r="AO627" s="19"/>
      <c r="AP627" s="130"/>
      <c r="AQ627" s="130"/>
      <c r="AR627" s="19"/>
      <c r="AS627" s="19"/>
      <c r="AT627" s="19"/>
    </row>
    <row r="628" spans="1:46" ht="12.5" x14ac:dyDescent="0.25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30"/>
      <c r="AM628" s="19"/>
      <c r="AN628" s="19"/>
      <c r="AO628" s="19"/>
      <c r="AP628" s="130"/>
      <c r="AQ628" s="130"/>
      <c r="AR628" s="19"/>
      <c r="AS628" s="19"/>
      <c r="AT628" s="19"/>
    </row>
    <row r="629" spans="1:46" ht="12.5" x14ac:dyDescent="0.25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30"/>
      <c r="AM629" s="19"/>
      <c r="AN629" s="19"/>
      <c r="AO629" s="19"/>
      <c r="AP629" s="130"/>
      <c r="AQ629" s="130"/>
      <c r="AR629" s="19"/>
      <c r="AS629" s="19"/>
      <c r="AT629" s="19"/>
    </row>
    <row r="630" spans="1:46" ht="12.5" x14ac:dyDescent="0.25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30"/>
      <c r="AM630" s="19"/>
      <c r="AN630" s="19"/>
      <c r="AO630" s="19"/>
      <c r="AP630" s="130"/>
      <c r="AQ630" s="130"/>
      <c r="AR630" s="19"/>
      <c r="AS630" s="19"/>
      <c r="AT630" s="19"/>
    </row>
    <row r="631" spans="1:46" ht="12.5" x14ac:dyDescent="0.25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30"/>
      <c r="AM631" s="19"/>
      <c r="AN631" s="19"/>
      <c r="AO631" s="19"/>
      <c r="AP631" s="130"/>
      <c r="AQ631" s="130"/>
      <c r="AR631" s="19"/>
      <c r="AS631" s="19"/>
      <c r="AT631" s="19"/>
    </row>
    <row r="632" spans="1:46" ht="12.5" x14ac:dyDescent="0.25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30"/>
      <c r="AM632" s="19"/>
      <c r="AN632" s="19"/>
      <c r="AO632" s="19"/>
      <c r="AP632" s="130"/>
      <c r="AQ632" s="130"/>
      <c r="AR632" s="19"/>
      <c r="AS632" s="19"/>
      <c r="AT632" s="19"/>
    </row>
    <row r="633" spans="1:46" ht="12.5" x14ac:dyDescent="0.25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30"/>
      <c r="AM633" s="19"/>
      <c r="AN633" s="19"/>
      <c r="AO633" s="19"/>
      <c r="AP633" s="130"/>
      <c r="AQ633" s="130"/>
      <c r="AR633" s="19"/>
      <c r="AS633" s="19"/>
      <c r="AT633" s="19"/>
    </row>
    <row r="634" spans="1:46" ht="12.5" x14ac:dyDescent="0.25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30"/>
      <c r="AM634" s="19"/>
      <c r="AN634" s="19"/>
      <c r="AO634" s="19"/>
      <c r="AP634" s="130"/>
      <c r="AQ634" s="130"/>
      <c r="AR634" s="19"/>
      <c r="AS634" s="19"/>
      <c r="AT634" s="19"/>
    </row>
    <row r="635" spans="1:46" ht="12.5" x14ac:dyDescent="0.2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30"/>
      <c r="AM635" s="19"/>
      <c r="AN635" s="19"/>
      <c r="AO635" s="19"/>
      <c r="AP635" s="130"/>
      <c r="AQ635" s="130"/>
      <c r="AR635" s="19"/>
      <c r="AS635" s="19"/>
      <c r="AT635" s="19"/>
    </row>
    <row r="636" spans="1:46" ht="12.5" x14ac:dyDescent="0.2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30"/>
      <c r="AM636" s="19"/>
      <c r="AN636" s="19"/>
      <c r="AO636" s="19"/>
      <c r="AP636" s="130"/>
      <c r="AQ636" s="130"/>
      <c r="AR636" s="19"/>
      <c r="AS636" s="19"/>
      <c r="AT636" s="19"/>
    </row>
    <row r="637" spans="1:46" ht="12.5" x14ac:dyDescent="0.25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30"/>
      <c r="AM637" s="19"/>
      <c r="AN637" s="19"/>
      <c r="AO637" s="19"/>
      <c r="AP637" s="130"/>
      <c r="AQ637" s="130"/>
      <c r="AR637" s="19"/>
      <c r="AS637" s="19"/>
      <c r="AT637" s="19"/>
    </row>
    <row r="638" spans="1:46" ht="12.5" x14ac:dyDescent="0.25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30"/>
      <c r="AM638" s="19"/>
      <c r="AN638" s="19"/>
      <c r="AO638" s="19"/>
      <c r="AP638" s="130"/>
      <c r="AQ638" s="130"/>
      <c r="AR638" s="19"/>
      <c r="AS638" s="19"/>
      <c r="AT638" s="19"/>
    </row>
    <row r="639" spans="1:46" ht="12.5" x14ac:dyDescent="0.25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30"/>
      <c r="AM639" s="19"/>
      <c r="AN639" s="19"/>
      <c r="AO639" s="19"/>
      <c r="AP639" s="130"/>
      <c r="AQ639" s="130"/>
      <c r="AR639" s="19"/>
      <c r="AS639" s="19"/>
      <c r="AT639" s="19"/>
    </row>
    <row r="640" spans="1:46" ht="12.5" x14ac:dyDescent="0.25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30"/>
      <c r="AM640" s="19"/>
      <c r="AN640" s="19"/>
      <c r="AO640" s="19"/>
      <c r="AP640" s="130"/>
      <c r="AQ640" s="130"/>
      <c r="AR640" s="19"/>
      <c r="AS640" s="19"/>
      <c r="AT640" s="19"/>
    </row>
    <row r="641" spans="1:46" ht="12.5" x14ac:dyDescent="0.25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30"/>
      <c r="AM641" s="19"/>
      <c r="AN641" s="19"/>
      <c r="AO641" s="19"/>
      <c r="AP641" s="130"/>
      <c r="AQ641" s="130"/>
      <c r="AR641" s="19"/>
      <c r="AS641" s="19"/>
      <c r="AT641" s="19"/>
    </row>
    <row r="642" spans="1:46" ht="12.5" x14ac:dyDescent="0.25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30"/>
      <c r="AM642" s="19"/>
      <c r="AN642" s="19"/>
      <c r="AO642" s="19"/>
      <c r="AP642" s="130"/>
      <c r="AQ642" s="130"/>
      <c r="AR642" s="19"/>
      <c r="AS642" s="19"/>
      <c r="AT642" s="19"/>
    </row>
    <row r="643" spans="1:46" ht="12.5" x14ac:dyDescent="0.25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30"/>
      <c r="AM643" s="19"/>
      <c r="AN643" s="19"/>
      <c r="AO643" s="19"/>
      <c r="AP643" s="130"/>
      <c r="AQ643" s="130"/>
      <c r="AR643" s="19"/>
      <c r="AS643" s="19"/>
      <c r="AT643" s="19"/>
    </row>
    <row r="644" spans="1:46" ht="12.5" x14ac:dyDescent="0.25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30"/>
      <c r="AM644" s="19"/>
      <c r="AN644" s="19"/>
      <c r="AO644" s="19"/>
      <c r="AP644" s="130"/>
      <c r="AQ644" s="130"/>
      <c r="AR644" s="19"/>
      <c r="AS644" s="19"/>
      <c r="AT644" s="19"/>
    </row>
    <row r="645" spans="1:46" ht="12.5" x14ac:dyDescent="0.2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30"/>
      <c r="AM645" s="19"/>
      <c r="AN645" s="19"/>
      <c r="AO645" s="19"/>
      <c r="AP645" s="130"/>
      <c r="AQ645" s="130"/>
      <c r="AR645" s="19"/>
      <c r="AS645" s="19"/>
      <c r="AT645" s="19"/>
    </row>
    <row r="646" spans="1:46" ht="12.5" x14ac:dyDescent="0.25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30"/>
      <c r="AM646" s="19"/>
      <c r="AN646" s="19"/>
      <c r="AO646" s="19"/>
      <c r="AP646" s="130"/>
      <c r="AQ646" s="130"/>
      <c r="AR646" s="19"/>
      <c r="AS646" s="19"/>
      <c r="AT646" s="19"/>
    </row>
    <row r="647" spans="1:46" ht="12.5" x14ac:dyDescent="0.25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30"/>
      <c r="AM647" s="19"/>
      <c r="AN647" s="19"/>
      <c r="AO647" s="19"/>
      <c r="AP647" s="130"/>
      <c r="AQ647" s="130"/>
      <c r="AR647" s="19"/>
      <c r="AS647" s="19"/>
      <c r="AT647" s="19"/>
    </row>
    <row r="648" spans="1:46" ht="12.5" x14ac:dyDescent="0.25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30"/>
      <c r="AM648" s="19"/>
      <c r="AN648" s="19"/>
      <c r="AO648" s="19"/>
      <c r="AP648" s="130"/>
      <c r="AQ648" s="130"/>
      <c r="AR648" s="19"/>
      <c r="AS648" s="19"/>
      <c r="AT648" s="19"/>
    </row>
    <row r="649" spans="1:46" ht="12.5" x14ac:dyDescent="0.25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30"/>
      <c r="AM649" s="19"/>
      <c r="AN649" s="19"/>
      <c r="AO649" s="19"/>
      <c r="AP649" s="130"/>
      <c r="AQ649" s="130"/>
      <c r="AR649" s="19"/>
      <c r="AS649" s="19"/>
      <c r="AT649" s="19"/>
    </row>
    <row r="650" spans="1:46" ht="12.5" x14ac:dyDescent="0.25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30"/>
      <c r="AM650" s="19"/>
      <c r="AN650" s="19"/>
      <c r="AO650" s="19"/>
      <c r="AP650" s="130"/>
      <c r="AQ650" s="130"/>
      <c r="AR650" s="19"/>
      <c r="AS650" s="19"/>
      <c r="AT650" s="19"/>
    </row>
    <row r="651" spans="1:46" ht="12.5" x14ac:dyDescent="0.25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30"/>
      <c r="AM651" s="19"/>
      <c r="AN651" s="19"/>
      <c r="AO651" s="19"/>
      <c r="AP651" s="130"/>
      <c r="AQ651" s="130"/>
      <c r="AR651" s="19"/>
      <c r="AS651" s="19"/>
      <c r="AT651" s="19"/>
    </row>
    <row r="652" spans="1:46" ht="12.5" x14ac:dyDescent="0.25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30"/>
      <c r="AM652" s="19"/>
      <c r="AN652" s="19"/>
      <c r="AO652" s="19"/>
      <c r="AP652" s="130"/>
      <c r="AQ652" s="130"/>
      <c r="AR652" s="19"/>
      <c r="AS652" s="19"/>
      <c r="AT652" s="19"/>
    </row>
    <row r="653" spans="1:46" ht="12.5" x14ac:dyDescent="0.25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30"/>
      <c r="AM653" s="19"/>
      <c r="AN653" s="19"/>
      <c r="AO653" s="19"/>
      <c r="AP653" s="130"/>
      <c r="AQ653" s="130"/>
      <c r="AR653" s="19"/>
      <c r="AS653" s="19"/>
      <c r="AT653" s="19"/>
    </row>
    <row r="654" spans="1:46" ht="12.5" x14ac:dyDescent="0.25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30"/>
      <c r="AM654" s="19"/>
      <c r="AN654" s="19"/>
      <c r="AO654" s="19"/>
      <c r="AP654" s="130"/>
      <c r="AQ654" s="130"/>
      <c r="AR654" s="19"/>
      <c r="AS654" s="19"/>
      <c r="AT654" s="19"/>
    </row>
    <row r="655" spans="1:46" ht="12.5" x14ac:dyDescent="0.2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30"/>
      <c r="AM655" s="19"/>
      <c r="AN655" s="19"/>
      <c r="AO655" s="19"/>
      <c r="AP655" s="130"/>
      <c r="AQ655" s="130"/>
      <c r="AR655" s="19"/>
      <c r="AS655" s="19"/>
      <c r="AT655" s="19"/>
    </row>
    <row r="656" spans="1:46" ht="12.5" x14ac:dyDescent="0.25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30"/>
      <c r="AM656" s="19"/>
      <c r="AN656" s="19"/>
      <c r="AO656" s="19"/>
      <c r="AP656" s="130"/>
      <c r="AQ656" s="130"/>
      <c r="AR656" s="19"/>
      <c r="AS656" s="19"/>
      <c r="AT656" s="19"/>
    </row>
    <row r="657" spans="1:46" ht="12.5" x14ac:dyDescent="0.25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30"/>
      <c r="AM657" s="19"/>
      <c r="AN657" s="19"/>
      <c r="AO657" s="19"/>
      <c r="AP657" s="130"/>
      <c r="AQ657" s="130"/>
      <c r="AR657" s="19"/>
      <c r="AS657" s="19"/>
      <c r="AT657" s="19"/>
    </row>
    <row r="658" spans="1:46" ht="12.5" x14ac:dyDescent="0.25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30"/>
      <c r="AM658" s="19"/>
      <c r="AN658" s="19"/>
      <c r="AO658" s="19"/>
      <c r="AP658" s="130"/>
      <c r="AQ658" s="130"/>
      <c r="AR658" s="19"/>
      <c r="AS658" s="19"/>
      <c r="AT658" s="19"/>
    </row>
    <row r="659" spans="1:46" ht="12.5" x14ac:dyDescent="0.25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30"/>
      <c r="AM659" s="19"/>
      <c r="AN659" s="19"/>
      <c r="AO659" s="19"/>
      <c r="AP659" s="130"/>
      <c r="AQ659" s="130"/>
      <c r="AR659" s="19"/>
      <c r="AS659" s="19"/>
      <c r="AT659" s="19"/>
    </row>
    <row r="660" spans="1:46" ht="12.5" x14ac:dyDescent="0.25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30"/>
      <c r="AM660" s="19"/>
      <c r="AN660" s="19"/>
      <c r="AO660" s="19"/>
      <c r="AP660" s="130"/>
      <c r="AQ660" s="130"/>
      <c r="AR660" s="19"/>
      <c r="AS660" s="19"/>
      <c r="AT660" s="19"/>
    </row>
    <row r="661" spans="1:46" ht="12.5" x14ac:dyDescent="0.25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30"/>
      <c r="AM661" s="19"/>
      <c r="AN661" s="19"/>
      <c r="AO661" s="19"/>
      <c r="AP661" s="130"/>
      <c r="AQ661" s="130"/>
      <c r="AR661" s="19"/>
      <c r="AS661" s="19"/>
      <c r="AT661" s="19"/>
    </row>
    <row r="662" spans="1:46" ht="12.5" x14ac:dyDescent="0.25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30"/>
      <c r="AM662" s="19"/>
      <c r="AN662" s="19"/>
      <c r="AO662" s="19"/>
      <c r="AP662" s="130"/>
      <c r="AQ662" s="130"/>
      <c r="AR662" s="19"/>
      <c r="AS662" s="19"/>
      <c r="AT662" s="19"/>
    </row>
    <row r="663" spans="1:46" ht="12.5" x14ac:dyDescent="0.25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30"/>
      <c r="AM663" s="19"/>
      <c r="AN663" s="19"/>
      <c r="AO663" s="19"/>
      <c r="AP663" s="130"/>
      <c r="AQ663" s="130"/>
      <c r="AR663" s="19"/>
      <c r="AS663" s="19"/>
      <c r="AT663" s="19"/>
    </row>
    <row r="664" spans="1:46" ht="12.5" x14ac:dyDescent="0.25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30"/>
      <c r="AM664" s="19"/>
      <c r="AN664" s="19"/>
      <c r="AO664" s="19"/>
      <c r="AP664" s="130"/>
      <c r="AQ664" s="130"/>
      <c r="AR664" s="19"/>
      <c r="AS664" s="19"/>
      <c r="AT664" s="19"/>
    </row>
    <row r="665" spans="1:46" ht="12.5" x14ac:dyDescent="0.2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30"/>
      <c r="AM665" s="19"/>
      <c r="AN665" s="19"/>
      <c r="AO665" s="19"/>
      <c r="AP665" s="130"/>
      <c r="AQ665" s="130"/>
      <c r="AR665" s="19"/>
      <c r="AS665" s="19"/>
      <c r="AT665" s="19"/>
    </row>
    <row r="666" spans="1:46" ht="12.5" x14ac:dyDescent="0.25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30"/>
      <c r="AM666" s="19"/>
      <c r="AN666" s="19"/>
      <c r="AO666" s="19"/>
      <c r="AP666" s="130"/>
      <c r="AQ666" s="130"/>
      <c r="AR666" s="19"/>
      <c r="AS666" s="19"/>
      <c r="AT666" s="19"/>
    </row>
    <row r="667" spans="1:46" ht="12.5" x14ac:dyDescent="0.25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30"/>
      <c r="AM667" s="19"/>
      <c r="AN667" s="19"/>
      <c r="AO667" s="19"/>
      <c r="AP667" s="130"/>
      <c r="AQ667" s="130"/>
      <c r="AR667" s="19"/>
      <c r="AS667" s="19"/>
      <c r="AT667" s="19"/>
    </row>
    <row r="668" spans="1:46" ht="12.5" x14ac:dyDescent="0.25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30"/>
      <c r="AM668" s="19"/>
      <c r="AN668" s="19"/>
      <c r="AO668" s="19"/>
      <c r="AP668" s="130"/>
      <c r="AQ668" s="130"/>
      <c r="AR668" s="19"/>
      <c r="AS668" s="19"/>
      <c r="AT668" s="19"/>
    </row>
    <row r="669" spans="1:46" ht="12.5" x14ac:dyDescent="0.25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30"/>
      <c r="AM669" s="19"/>
      <c r="AN669" s="19"/>
      <c r="AO669" s="19"/>
      <c r="AP669" s="130"/>
      <c r="AQ669" s="130"/>
      <c r="AR669" s="19"/>
      <c r="AS669" s="19"/>
      <c r="AT669" s="19"/>
    </row>
    <row r="670" spans="1:46" ht="12.5" x14ac:dyDescent="0.25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30"/>
      <c r="AM670" s="19"/>
      <c r="AN670" s="19"/>
      <c r="AO670" s="19"/>
      <c r="AP670" s="130"/>
      <c r="AQ670" s="130"/>
      <c r="AR670" s="19"/>
      <c r="AS670" s="19"/>
      <c r="AT670" s="19"/>
    </row>
    <row r="671" spans="1:46" ht="12.5" x14ac:dyDescent="0.25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30"/>
      <c r="AM671" s="19"/>
      <c r="AN671" s="19"/>
      <c r="AO671" s="19"/>
      <c r="AP671" s="130"/>
      <c r="AQ671" s="130"/>
      <c r="AR671" s="19"/>
      <c r="AS671" s="19"/>
      <c r="AT671" s="19"/>
    </row>
    <row r="672" spans="1:46" ht="12.5" x14ac:dyDescent="0.25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30"/>
      <c r="AM672" s="19"/>
      <c r="AN672" s="19"/>
      <c r="AO672" s="19"/>
      <c r="AP672" s="130"/>
      <c r="AQ672" s="130"/>
      <c r="AR672" s="19"/>
      <c r="AS672" s="19"/>
      <c r="AT672" s="19"/>
    </row>
    <row r="673" spans="1:46" ht="12.5" x14ac:dyDescent="0.25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30"/>
      <c r="AM673" s="19"/>
      <c r="AN673" s="19"/>
      <c r="AO673" s="19"/>
      <c r="AP673" s="130"/>
      <c r="AQ673" s="130"/>
      <c r="AR673" s="19"/>
      <c r="AS673" s="19"/>
      <c r="AT673" s="19"/>
    </row>
    <row r="674" spans="1:46" ht="12.5" x14ac:dyDescent="0.25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30"/>
      <c r="AM674" s="19"/>
      <c r="AN674" s="19"/>
      <c r="AO674" s="19"/>
      <c r="AP674" s="130"/>
      <c r="AQ674" s="130"/>
      <c r="AR674" s="19"/>
      <c r="AS674" s="19"/>
      <c r="AT674" s="19"/>
    </row>
    <row r="675" spans="1:46" ht="12.5" x14ac:dyDescent="0.2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30"/>
      <c r="AM675" s="19"/>
      <c r="AN675" s="19"/>
      <c r="AO675" s="19"/>
      <c r="AP675" s="130"/>
      <c r="AQ675" s="130"/>
      <c r="AR675" s="19"/>
      <c r="AS675" s="19"/>
      <c r="AT675" s="19"/>
    </row>
    <row r="676" spans="1:46" ht="12.5" x14ac:dyDescent="0.25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30"/>
      <c r="AM676" s="19"/>
      <c r="AN676" s="19"/>
      <c r="AO676" s="19"/>
      <c r="AP676" s="130"/>
      <c r="AQ676" s="130"/>
      <c r="AR676" s="19"/>
      <c r="AS676" s="19"/>
      <c r="AT676" s="19"/>
    </row>
    <row r="677" spans="1:46" ht="12.5" x14ac:dyDescent="0.25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30"/>
      <c r="AM677" s="19"/>
      <c r="AN677" s="19"/>
      <c r="AO677" s="19"/>
      <c r="AP677" s="130"/>
      <c r="AQ677" s="130"/>
      <c r="AR677" s="19"/>
      <c r="AS677" s="19"/>
      <c r="AT677" s="19"/>
    </row>
    <row r="678" spans="1:46" ht="12.5" x14ac:dyDescent="0.25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30"/>
      <c r="AM678" s="19"/>
      <c r="AN678" s="19"/>
      <c r="AO678" s="19"/>
      <c r="AP678" s="130"/>
      <c r="AQ678" s="130"/>
      <c r="AR678" s="19"/>
      <c r="AS678" s="19"/>
      <c r="AT678" s="19"/>
    </row>
    <row r="679" spans="1:46" ht="12.5" x14ac:dyDescent="0.25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30"/>
      <c r="AM679" s="19"/>
      <c r="AN679" s="19"/>
      <c r="AO679" s="19"/>
      <c r="AP679" s="130"/>
      <c r="AQ679" s="130"/>
      <c r="AR679" s="19"/>
      <c r="AS679" s="19"/>
      <c r="AT679" s="19"/>
    </row>
    <row r="680" spans="1:46" ht="12.5" x14ac:dyDescent="0.25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30"/>
      <c r="AM680" s="19"/>
      <c r="AN680" s="19"/>
      <c r="AO680" s="19"/>
      <c r="AP680" s="130"/>
      <c r="AQ680" s="130"/>
      <c r="AR680" s="19"/>
      <c r="AS680" s="19"/>
      <c r="AT680" s="19"/>
    </row>
    <row r="681" spans="1:46" ht="12.5" x14ac:dyDescent="0.25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30"/>
      <c r="AM681" s="19"/>
      <c r="AN681" s="19"/>
      <c r="AO681" s="19"/>
      <c r="AP681" s="130"/>
      <c r="AQ681" s="130"/>
      <c r="AR681" s="19"/>
      <c r="AS681" s="19"/>
      <c r="AT681" s="19"/>
    </row>
    <row r="682" spans="1:46" ht="12.5" x14ac:dyDescent="0.25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30"/>
      <c r="AM682" s="19"/>
      <c r="AN682" s="19"/>
      <c r="AO682" s="19"/>
      <c r="AP682" s="130"/>
      <c r="AQ682" s="130"/>
      <c r="AR682" s="19"/>
      <c r="AS682" s="19"/>
      <c r="AT682" s="19"/>
    </row>
    <row r="683" spans="1:46" ht="12.5" x14ac:dyDescent="0.25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30"/>
      <c r="AM683" s="19"/>
      <c r="AN683" s="19"/>
      <c r="AO683" s="19"/>
      <c r="AP683" s="130"/>
      <c r="AQ683" s="130"/>
      <c r="AR683" s="19"/>
      <c r="AS683" s="19"/>
      <c r="AT683" s="19"/>
    </row>
    <row r="684" spans="1:46" ht="12.5" x14ac:dyDescent="0.25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30"/>
      <c r="AM684" s="19"/>
      <c r="AN684" s="19"/>
      <c r="AO684" s="19"/>
      <c r="AP684" s="130"/>
      <c r="AQ684" s="130"/>
      <c r="AR684" s="19"/>
      <c r="AS684" s="19"/>
      <c r="AT684" s="19"/>
    </row>
    <row r="685" spans="1:46" ht="12.5" x14ac:dyDescent="0.2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30"/>
      <c r="AM685" s="19"/>
      <c r="AN685" s="19"/>
      <c r="AO685" s="19"/>
      <c r="AP685" s="130"/>
      <c r="AQ685" s="130"/>
      <c r="AR685" s="19"/>
      <c r="AS685" s="19"/>
      <c r="AT685" s="19"/>
    </row>
    <row r="686" spans="1:46" ht="12.5" x14ac:dyDescent="0.25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30"/>
      <c r="AM686" s="19"/>
      <c r="AN686" s="19"/>
      <c r="AO686" s="19"/>
      <c r="AP686" s="130"/>
      <c r="AQ686" s="130"/>
      <c r="AR686" s="19"/>
      <c r="AS686" s="19"/>
      <c r="AT686" s="19"/>
    </row>
    <row r="687" spans="1:46" ht="12.5" x14ac:dyDescent="0.25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30"/>
      <c r="AM687" s="19"/>
      <c r="AN687" s="19"/>
      <c r="AO687" s="19"/>
      <c r="AP687" s="130"/>
      <c r="AQ687" s="130"/>
      <c r="AR687" s="19"/>
      <c r="AS687" s="19"/>
      <c r="AT687" s="19"/>
    </row>
    <row r="688" spans="1:46" ht="12.5" x14ac:dyDescent="0.25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30"/>
      <c r="AM688" s="19"/>
      <c r="AN688" s="19"/>
      <c r="AO688" s="19"/>
      <c r="AP688" s="130"/>
      <c r="AQ688" s="130"/>
      <c r="AR688" s="19"/>
      <c r="AS688" s="19"/>
      <c r="AT688" s="19"/>
    </row>
    <row r="689" spans="1:46" ht="12.5" x14ac:dyDescent="0.25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30"/>
      <c r="AM689" s="19"/>
      <c r="AN689" s="19"/>
      <c r="AO689" s="19"/>
      <c r="AP689" s="130"/>
      <c r="AQ689" s="130"/>
      <c r="AR689" s="19"/>
      <c r="AS689" s="19"/>
      <c r="AT689" s="19"/>
    </row>
    <row r="690" spans="1:46" ht="12.5" x14ac:dyDescent="0.25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30"/>
      <c r="AM690" s="19"/>
      <c r="AN690" s="19"/>
      <c r="AO690" s="19"/>
      <c r="AP690" s="130"/>
      <c r="AQ690" s="130"/>
      <c r="AR690" s="19"/>
      <c r="AS690" s="19"/>
      <c r="AT690" s="19"/>
    </row>
    <row r="691" spans="1:46" ht="12.5" x14ac:dyDescent="0.25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30"/>
      <c r="AM691" s="19"/>
      <c r="AN691" s="19"/>
      <c r="AO691" s="19"/>
      <c r="AP691" s="130"/>
      <c r="AQ691" s="130"/>
      <c r="AR691" s="19"/>
      <c r="AS691" s="19"/>
      <c r="AT691" s="19"/>
    </row>
    <row r="692" spans="1:46" ht="12.5" x14ac:dyDescent="0.25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30"/>
      <c r="AM692" s="19"/>
      <c r="AN692" s="19"/>
      <c r="AO692" s="19"/>
      <c r="AP692" s="130"/>
      <c r="AQ692" s="130"/>
      <c r="AR692" s="19"/>
      <c r="AS692" s="19"/>
      <c r="AT692" s="19"/>
    </row>
    <row r="693" spans="1:46" ht="12.5" x14ac:dyDescent="0.25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30"/>
      <c r="AM693" s="19"/>
      <c r="AN693" s="19"/>
      <c r="AO693" s="19"/>
      <c r="AP693" s="130"/>
      <c r="AQ693" s="130"/>
      <c r="AR693" s="19"/>
      <c r="AS693" s="19"/>
      <c r="AT693" s="19"/>
    </row>
    <row r="694" spans="1:46" ht="12.5" x14ac:dyDescent="0.25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30"/>
      <c r="AM694" s="19"/>
      <c r="AN694" s="19"/>
      <c r="AO694" s="19"/>
      <c r="AP694" s="130"/>
      <c r="AQ694" s="130"/>
      <c r="AR694" s="19"/>
      <c r="AS694" s="19"/>
      <c r="AT694" s="19"/>
    </row>
    <row r="695" spans="1:46" ht="12.5" x14ac:dyDescent="0.2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30"/>
      <c r="AM695" s="19"/>
      <c r="AN695" s="19"/>
      <c r="AO695" s="19"/>
      <c r="AP695" s="130"/>
      <c r="AQ695" s="130"/>
      <c r="AR695" s="19"/>
      <c r="AS695" s="19"/>
      <c r="AT695" s="19"/>
    </row>
    <row r="696" spans="1:46" ht="12.5" x14ac:dyDescent="0.25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30"/>
      <c r="AM696" s="19"/>
      <c r="AN696" s="19"/>
      <c r="AO696" s="19"/>
      <c r="AP696" s="130"/>
      <c r="AQ696" s="130"/>
      <c r="AR696" s="19"/>
      <c r="AS696" s="19"/>
      <c r="AT696" s="19"/>
    </row>
    <row r="697" spans="1:46" ht="12.5" x14ac:dyDescent="0.25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30"/>
      <c r="AM697" s="19"/>
      <c r="AN697" s="19"/>
      <c r="AO697" s="19"/>
      <c r="AP697" s="130"/>
      <c r="AQ697" s="130"/>
      <c r="AR697" s="19"/>
      <c r="AS697" s="19"/>
      <c r="AT697" s="19"/>
    </row>
    <row r="698" spans="1:46" ht="12.5" x14ac:dyDescent="0.25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30"/>
      <c r="AM698" s="19"/>
      <c r="AN698" s="19"/>
      <c r="AO698" s="19"/>
      <c r="AP698" s="130"/>
      <c r="AQ698" s="130"/>
      <c r="AR698" s="19"/>
      <c r="AS698" s="19"/>
      <c r="AT698" s="19"/>
    </row>
    <row r="699" spans="1:46" ht="12.5" x14ac:dyDescent="0.25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30"/>
      <c r="AM699" s="19"/>
      <c r="AN699" s="19"/>
      <c r="AO699" s="19"/>
      <c r="AP699" s="130"/>
      <c r="AQ699" s="130"/>
      <c r="AR699" s="19"/>
      <c r="AS699" s="19"/>
      <c r="AT699" s="19"/>
    </row>
    <row r="700" spans="1:46" ht="12.5" x14ac:dyDescent="0.25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30"/>
      <c r="AM700" s="19"/>
      <c r="AN700" s="19"/>
      <c r="AO700" s="19"/>
      <c r="AP700" s="130"/>
      <c r="AQ700" s="130"/>
      <c r="AR700" s="19"/>
      <c r="AS700" s="19"/>
      <c r="AT700" s="19"/>
    </row>
    <row r="701" spans="1:46" ht="12.5" x14ac:dyDescent="0.25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30"/>
      <c r="AM701" s="19"/>
      <c r="AN701" s="19"/>
      <c r="AO701" s="19"/>
      <c r="AP701" s="130"/>
      <c r="AQ701" s="130"/>
      <c r="AR701" s="19"/>
      <c r="AS701" s="19"/>
      <c r="AT701" s="19"/>
    </row>
    <row r="702" spans="1:46" ht="12.5" x14ac:dyDescent="0.25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30"/>
      <c r="AM702" s="19"/>
      <c r="AN702" s="19"/>
      <c r="AO702" s="19"/>
      <c r="AP702" s="130"/>
      <c r="AQ702" s="130"/>
      <c r="AR702" s="19"/>
      <c r="AS702" s="19"/>
      <c r="AT702" s="19"/>
    </row>
    <row r="703" spans="1:46" ht="12.5" x14ac:dyDescent="0.2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30"/>
      <c r="AM703" s="19"/>
      <c r="AN703" s="19"/>
      <c r="AO703" s="19"/>
      <c r="AP703" s="130"/>
      <c r="AQ703" s="130"/>
      <c r="AR703" s="19"/>
      <c r="AS703" s="19"/>
      <c r="AT703" s="19"/>
    </row>
    <row r="704" spans="1:46" ht="12.5" x14ac:dyDescent="0.25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30"/>
      <c r="AM704" s="19"/>
      <c r="AN704" s="19"/>
      <c r="AO704" s="19"/>
      <c r="AP704" s="130"/>
      <c r="AQ704" s="130"/>
      <c r="AR704" s="19"/>
      <c r="AS704" s="19"/>
      <c r="AT704" s="19"/>
    </row>
    <row r="705" spans="1:46" ht="12.5" x14ac:dyDescent="0.2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30"/>
      <c r="AM705" s="19"/>
      <c r="AN705" s="19"/>
      <c r="AO705" s="19"/>
      <c r="AP705" s="130"/>
      <c r="AQ705" s="130"/>
      <c r="AR705" s="19"/>
      <c r="AS705" s="19"/>
      <c r="AT705" s="19"/>
    </row>
    <row r="706" spans="1:46" ht="12.5" x14ac:dyDescent="0.25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30"/>
      <c r="AM706" s="19"/>
      <c r="AN706" s="19"/>
      <c r="AO706" s="19"/>
      <c r="AP706" s="130"/>
      <c r="AQ706" s="130"/>
      <c r="AR706" s="19"/>
      <c r="AS706" s="19"/>
      <c r="AT706" s="19"/>
    </row>
    <row r="707" spans="1:46" ht="12.5" x14ac:dyDescent="0.25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30"/>
      <c r="AM707" s="19"/>
      <c r="AN707" s="19"/>
      <c r="AO707" s="19"/>
      <c r="AP707" s="130"/>
      <c r="AQ707" s="130"/>
      <c r="AR707" s="19"/>
      <c r="AS707" s="19"/>
      <c r="AT707" s="19"/>
    </row>
    <row r="708" spans="1:46" ht="12.5" x14ac:dyDescent="0.25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30"/>
      <c r="AM708" s="19"/>
      <c r="AN708" s="19"/>
      <c r="AO708" s="19"/>
      <c r="AP708" s="130"/>
      <c r="AQ708" s="130"/>
      <c r="AR708" s="19"/>
      <c r="AS708" s="19"/>
      <c r="AT708" s="19"/>
    </row>
    <row r="709" spans="1:46" ht="12.5" x14ac:dyDescent="0.25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30"/>
      <c r="AM709" s="19"/>
      <c r="AN709" s="19"/>
      <c r="AO709" s="19"/>
      <c r="AP709" s="130"/>
      <c r="AQ709" s="130"/>
      <c r="AR709" s="19"/>
      <c r="AS709" s="19"/>
      <c r="AT709" s="19"/>
    </row>
    <row r="710" spans="1:46" ht="12.5" x14ac:dyDescent="0.25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30"/>
      <c r="AM710" s="19"/>
      <c r="AN710" s="19"/>
      <c r="AO710" s="19"/>
      <c r="AP710" s="130"/>
      <c r="AQ710" s="130"/>
      <c r="AR710" s="19"/>
      <c r="AS710" s="19"/>
      <c r="AT710" s="19"/>
    </row>
    <row r="711" spans="1:46" ht="12.5" x14ac:dyDescent="0.25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30"/>
      <c r="AM711" s="19"/>
      <c r="AN711" s="19"/>
      <c r="AO711" s="19"/>
      <c r="AP711" s="130"/>
      <c r="AQ711" s="130"/>
      <c r="AR711" s="19"/>
      <c r="AS711" s="19"/>
      <c r="AT711" s="19"/>
    </row>
    <row r="712" spans="1:46" ht="12.5" x14ac:dyDescent="0.25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30"/>
      <c r="AM712" s="19"/>
      <c r="AN712" s="19"/>
      <c r="AO712" s="19"/>
      <c r="AP712" s="130"/>
      <c r="AQ712" s="130"/>
      <c r="AR712" s="19"/>
      <c r="AS712" s="19"/>
      <c r="AT712" s="19"/>
    </row>
    <row r="713" spans="1:46" ht="12.5" x14ac:dyDescent="0.25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30"/>
      <c r="AM713" s="19"/>
      <c r="AN713" s="19"/>
      <c r="AO713" s="19"/>
      <c r="AP713" s="130"/>
      <c r="AQ713" s="130"/>
      <c r="AR713" s="19"/>
      <c r="AS713" s="19"/>
      <c r="AT713" s="19"/>
    </row>
    <row r="714" spans="1:46" ht="12.5" x14ac:dyDescent="0.25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30"/>
      <c r="AM714" s="19"/>
      <c r="AN714" s="19"/>
      <c r="AO714" s="19"/>
      <c r="AP714" s="130"/>
      <c r="AQ714" s="130"/>
      <c r="AR714" s="19"/>
      <c r="AS714" s="19"/>
      <c r="AT714" s="19"/>
    </row>
    <row r="715" spans="1:46" ht="12.5" x14ac:dyDescent="0.2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30"/>
      <c r="AM715" s="19"/>
      <c r="AN715" s="19"/>
      <c r="AO715" s="19"/>
      <c r="AP715" s="130"/>
      <c r="AQ715" s="130"/>
      <c r="AR715" s="19"/>
      <c r="AS715" s="19"/>
      <c r="AT715" s="19"/>
    </row>
    <row r="716" spans="1:46" ht="12.5" x14ac:dyDescent="0.25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30"/>
      <c r="AM716" s="19"/>
      <c r="AN716" s="19"/>
      <c r="AO716" s="19"/>
      <c r="AP716" s="130"/>
      <c r="AQ716" s="130"/>
      <c r="AR716" s="19"/>
      <c r="AS716" s="19"/>
      <c r="AT716" s="19"/>
    </row>
    <row r="717" spans="1:46" ht="12.5" x14ac:dyDescent="0.25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30"/>
      <c r="AM717" s="19"/>
      <c r="AN717" s="19"/>
      <c r="AO717" s="19"/>
      <c r="AP717" s="130"/>
      <c r="AQ717" s="130"/>
      <c r="AR717" s="19"/>
      <c r="AS717" s="19"/>
      <c r="AT717" s="19"/>
    </row>
    <row r="718" spans="1:46" ht="12.5" x14ac:dyDescent="0.25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30"/>
      <c r="AM718" s="19"/>
      <c r="AN718" s="19"/>
      <c r="AO718" s="19"/>
      <c r="AP718" s="130"/>
      <c r="AQ718" s="130"/>
      <c r="AR718" s="19"/>
      <c r="AS718" s="19"/>
      <c r="AT718" s="19"/>
    </row>
    <row r="719" spans="1:46" ht="12.5" x14ac:dyDescent="0.25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30"/>
      <c r="AM719" s="19"/>
      <c r="AN719" s="19"/>
      <c r="AO719" s="19"/>
      <c r="AP719" s="130"/>
      <c r="AQ719" s="130"/>
      <c r="AR719" s="19"/>
      <c r="AS719" s="19"/>
      <c r="AT719" s="19"/>
    </row>
    <row r="720" spans="1:46" ht="12.5" x14ac:dyDescent="0.25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30"/>
      <c r="AM720" s="19"/>
      <c r="AN720" s="19"/>
      <c r="AO720" s="19"/>
      <c r="AP720" s="130"/>
      <c r="AQ720" s="130"/>
      <c r="AR720" s="19"/>
      <c r="AS720" s="19"/>
      <c r="AT720" s="19"/>
    </row>
    <row r="721" spans="1:46" ht="12.5" x14ac:dyDescent="0.25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30"/>
      <c r="AM721" s="19"/>
      <c r="AN721" s="19"/>
      <c r="AO721" s="19"/>
      <c r="AP721" s="130"/>
      <c r="AQ721" s="130"/>
      <c r="AR721" s="19"/>
      <c r="AS721" s="19"/>
      <c r="AT721" s="19"/>
    </row>
    <row r="722" spans="1:46" ht="12.5" x14ac:dyDescent="0.25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30"/>
      <c r="AM722" s="19"/>
      <c r="AN722" s="19"/>
      <c r="AO722" s="19"/>
      <c r="AP722" s="130"/>
      <c r="AQ722" s="130"/>
      <c r="AR722" s="19"/>
      <c r="AS722" s="19"/>
      <c r="AT722" s="19"/>
    </row>
    <row r="723" spans="1:46" ht="12.5" x14ac:dyDescent="0.25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30"/>
      <c r="AM723" s="19"/>
      <c r="AN723" s="19"/>
      <c r="AO723" s="19"/>
      <c r="AP723" s="130"/>
      <c r="AQ723" s="130"/>
      <c r="AR723" s="19"/>
      <c r="AS723" s="19"/>
      <c r="AT723" s="19"/>
    </row>
    <row r="724" spans="1:46" ht="12.5" x14ac:dyDescent="0.25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30"/>
      <c r="AM724" s="19"/>
      <c r="AN724" s="19"/>
      <c r="AO724" s="19"/>
      <c r="AP724" s="130"/>
      <c r="AQ724" s="130"/>
      <c r="AR724" s="19"/>
      <c r="AS724" s="19"/>
      <c r="AT724" s="19"/>
    </row>
    <row r="725" spans="1:46" ht="12.5" x14ac:dyDescent="0.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30"/>
      <c r="AM725" s="19"/>
      <c r="AN725" s="19"/>
      <c r="AO725" s="19"/>
      <c r="AP725" s="130"/>
      <c r="AQ725" s="130"/>
      <c r="AR725" s="19"/>
      <c r="AS725" s="19"/>
      <c r="AT725" s="19"/>
    </row>
    <row r="726" spans="1:46" ht="12.5" x14ac:dyDescent="0.25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30"/>
      <c r="AM726" s="19"/>
      <c r="AN726" s="19"/>
      <c r="AO726" s="19"/>
      <c r="AP726" s="130"/>
      <c r="AQ726" s="130"/>
      <c r="AR726" s="19"/>
      <c r="AS726" s="19"/>
      <c r="AT726" s="19"/>
    </row>
    <row r="727" spans="1:46" ht="12.5" x14ac:dyDescent="0.25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30"/>
      <c r="AM727" s="19"/>
      <c r="AN727" s="19"/>
      <c r="AO727" s="19"/>
      <c r="AP727" s="130"/>
      <c r="AQ727" s="130"/>
      <c r="AR727" s="19"/>
      <c r="AS727" s="19"/>
      <c r="AT727" s="19"/>
    </row>
    <row r="728" spans="1:46" ht="12.5" x14ac:dyDescent="0.25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30"/>
      <c r="AM728" s="19"/>
      <c r="AN728" s="19"/>
      <c r="AO728" s="19"/>
      <c r="AP728" s="130"/>
      <c r="AQ728" s="130"/>
      <c r="AR728" s="19"/>
      <c r="AS728" s="19"/>
      <c r="AT728" s="19"/>
    </row>
    <row r="729" spans="1:46" ht="12.5" x14ac:dyDescent="0.25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30"/>
      <c r="AM729" s="19"/>
      <c r="AN729" s="19"/>
      <c r="AO729" s="19"/>
      <c r="AP729" s="130"/>
      <c r="AQ729" s="130"/>
      <c r="AR729" s="19"/>
      <c r="AS729" s="19"/>
      <c r="AT729" s="19"/>
    </row>
    <row r="730" spans="1:46" ht="12.5" x14ac:dyDescent="0.25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30"/>
      <c r="AM730" s="19"/>
      <c r="AN730" s="19"/>
      <c r="AO730" s="19"/>
      <c r="AP730" s="130"/>
      <c r="AQ730" s="130"/>
      <c r="AR730" s="19"/>
      <c r="AS730" s="19"/>
      <c r="AT730" s="19"/>
    </row>
    <row r="731" spans="1:46" ht="12.5" x14ac:dyDescent="0.25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30"/>
      <c r="AM731" s="19"/>
      <c r="AN731" s="19"/>
      <c r="AO731" s="19"/>
      <c r="AP731" s="130"/>
      <c r="AQ731" s="130"/>
      <c r="AR731" s="19"/>
      <c r="AS731" s="19"/>
      <c r="AT731" s="19"/>
    </row>
    <row r="732" spans="1:46" ht="12.5" x14ac:dyDescent="0.25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30"/>
      <c r="AM732" s="19"/>
      <c r="AN732" s="19"/>
      <c r="AO732" s="19"/>
      <c r="AP732" s="130"/>
      <c r="AQ732" s="130"/>
      <c r="AR732" s="19"/>
      <c r="AS732" s="19"/>
      <c r="AT732" s="19"/>
    </row>
    <row r="733" spans="1:46" ht="12.5" x14ac:dyDescent="0.25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30"/>
      <c r="AM733" s="19"/>
      <c r="AN733" s="19"/>
      <c r="AO733" s="19"/>
      <c r="AP733" s="130"/>
      <c r="AQ733" s="130"/>
      <c r="AR733" s="19"/>
      <c r="AS733" s="19"/>
      <c r="AT733" s="19"/>
    </row>
    <row r="734" spans="1:46" ht="12.5" x14ac:dyDescent="0.25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30"/>
      <c r="AM734" s="19"/>
      <c r="AN734" s="19"/>
      <c r="AO734" s="19"/>
      <c r="AP734" s="130"/>
      <c r="AQ734" s="130"/>
      <c r="AR734" s="19"/>
      <c r="AS734" s="19"/>
      <c r="AT734" s="19"/>
    </row>
    <row r="735" spans="1:46" ht="12.5" x14ac:dyDescent="0.2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30"/>
      <c r="AM735" s="19"/>
      <c r="AN735" s="19"/>
      <c r="AO735" s="19"/>
      <c r="AP735" s="130"/>
      <c r="AQ735" s="130"/>
      <c r="AR735" s="19"/>
      <c r="AS735" s="19"/>
      <c r="AT735" s="19"/>
    </row>
    <row r="736" spans="1:46" ht="12.5" x14ac:dyDescent="0.25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30"/>
      <c r="AM736" s="19"/>
      <c r="AN736" s="19"/>
      <c r="AO736" s="19"/>
      <c r="AP736" s="130"/>
      <c r="AQ736" s="130"/>
      <c r="AR736" s="19"/>
      <c r="AS736" s="19"/>
      <c r="AT736" s="19"/>
    </row>
    <row r="737" spans="1:46" ht="12.5" x14ac:dyDescent="0.25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30"/>
      <c r="AM737" s="19"/>
      <c r="AN737" s="19"/>
      <c r="AO737" s="19"/>
      <c r="AP737" s="130"/>
      <c r="AQ737" s="130"/>
      <c r="AR737" s="19"/>
      <c r="AS737" s="19"/>
      <c r="AT737" s="19"/>
    </row>
    <row r="738" spans="1:46" ht="12.5" x14ac:dyDescent="0.25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30"/>
      <c r="AM738" s="19"/>
      <c r="AN738" s="19"/>
      <c r="AO738" s="19"/>
      <c r="AP738" s="130"/>
      <c r="AQ738" s="130"/>
      <c r="AR738" s="19"/>
      <c r="AS738" s="19"/>
      <c r="AT738" s="19"/>
    </row>
    <row r="739" spans="1:46" ht="12.5" x14ac:dyDescent="0.25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30"/>
      <c r="AM739" s="19"/>
      <c r="AN739" s="19"/>
      <c r="AO739" s="19"/>
      <c r="AP739" s="130"/>
      <c r="AQ739" s="130"/>
      <c r="AR739" s="19"/>
      <c r="AS739" s="19"/>
      <c r="AT739" s="19"/>
    </row>
    <row r="740" spans="1:46" ht="12.5" x14ac:dyDescent="0.25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30"/>
      <c r="AM740" s="19"/>
      <c r="AN740" s="19"/>
      <c r="AO740" s="19"/>
      <c r="AP740" s="130"/>
      <c r="AQ740" s="130"/>
      <c r="AR740" s="19"/>
      <c r="AS740" s="19"/>
      <c r="AT740" s="19"/>
    </row>
    <row r="741" spans="1:46" ht="12.5" x14ac:dyDescent="0.25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30"/>
      <c r="AM741" s="19"/>
      <c r="AN741" s="19"/>
      <c r="AO741" s="19"/>
      <c r="AP741" s="130"/>
      <c r="AQ741" s="130"/>
      <c r="AR741" s="19"/>
      <c r="AS741" s="19"/>
      <c r="AT741" s="19"/>
    </row>
    <row r="742" spans="1:46" ht="12.5" x14ac:dyDescent="0.25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30"/>
      <c r="AM742" s="19"/>
      <c r="AN742" s="19"/>
      <c r="AO742" s="19"/>
      <c r="AP742" s="130"/>
      <c r="AQ742" s="130"/>
      <c r="AR742" s="19"/>
      <c r="AS742" s="19"/>
      <c r="AT742" s="19"/>
    </row>
    <row r="743" spans="1:46" ht="12.5" x14ac:dyDescent="0.25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30"/>
      <c r="AM743" s="19"/>
      <c r="AN743" s="19"/>
      <c r="AO743" s="19"/>
      <c r="AP743" s="130"/>
      <c r="AQ743" s="130"/>
      <c r="AR743" s="19"/>
      <c r="AS743" s="19"/>
      <c r="AT743" s="19"/>
    </row>
    <row r="744" spans="1:46" ht="12.5" x14ac:dyDescent="0.25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30"/>
      <c r="AM744" s="19"/>
      <c r="AN744" s="19"/>
      <c r="AO744" s="19"/>
      <c r="AP744" s="130"/>
      <c r="AQ744" s="130"/>
      <c r="AR744" s="19"/>
      <c r="AS744" s="19"/>
      <c r="AT744" s="19"/>
    </row>
    <row r="745" spans="1:46" ht="12.5" x14ac:dyDescent="0.2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30"/>
      <c r="AM745" s="19"/>
      <c r="AN745" s="19"/>
      <c r="AO745" s="19"/>
      <c r="AP745" s="130"/>
      <c r="AQ745" s="130"/>
      <c r="AR745" s="19"/>
      <c r="AS745" s="19"/>
      <c r="AT745" s="19"/>
    </row>
    <row r="746" spans="1:46" ht="12.5" x14ac:dyDescent="0.25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30"/>
      <c r="AM746" s="19"/>
      <c r="AN746" s="19"/>
      <c r="AO746" s="19"/>
      <c r="AP746" s="130"/>
      <c r="AQ746" s="130"/>
      <c r="AR746" s="19"/>
      <c r="AS746" s="19"/>
      <c r="AT746" s="19"/>
    </row>
    <row r="747" spans="1:46" ht="12.5" x14ac:dyDescent="0.25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30"/>
      <c r="AM747" s="19"/>
      <c r="AN747" s="19"/>
      <c r="AO747" s="19"/>
      <c r="AP747" s="130"/>
      <c r="AQ747" s="130"/>
      <c r="AR747" s="19"/>
      <c r="AS747" s="19"/>
      <c r="AT747" s="19"/>
    </row>
    <row r="748" spans="1:46" ht="12.5" x14ac:dyDescent="0.25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30"/>
      <c r="AM748" s="19"/>
      <c r="AN748" s="19"/>
      <c r="AO748" s="19"/>
      <c r="AP748" s="130"/>
      <c r="AQ748" s="130"/>
      <c r="AR748" s="19"/>
      <c r="AS748" s="19"/>
      <c r="AT748" s="19"/>
    </row>
    <row r="749" spans="1:46" ht="12.5" x14ac:dyDescent="0.25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30"/>
      <c r="AM749" s="19"/>
      <c r="AN749" s="19"/>
      <c r="AO749" s="19"/>
      <c r="AP749" s="130"/>
      <c r="AQ749" s="130"/>
      <c r="AR749" s="19"/>
      <c r="AS749" s="19"/>
      <c r="AT749" s="19"/>
    </row>
    <row r="750" spans="1:46" ht="12.5" x14ac:dyDescent="0.25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30"/>
      <c r="AM750" s="19"/>
      <c r="AN750" s="19"/>
      <c r="AO750" s="19"/>
      <c r="AP750" s="130"/>
      <c r="AQ750" s="130"/>
      <c r="AR750" s="19"/>
      <c r="AS750" s="19"/>
      <c r="AT750" s="19"/>
    </row>
    <row r="751" spans="1:46" ht="12.5" x14ac:dyDescent="0.25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30"/>
      <c r="AM751" s="19"/>
      <c r="AN751" s="19"/>
      <c r="AO751" s="19"/>
      <c r="AP751" s="130"/>
      <c r="AQ751" s="130"/>
      <c r="AR751" s="19"/>
      <c r="AS751" s="19"/>
      <c r="AT751" s="19"/>
    </row>
    <row r="752" spans="1:46" ht="12.5" x14ac:dyDescent="0.25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30"/>
      <c r="AM752" s="19"/>
      <c r="AN752" s="19"/>
      <c r="AO752" s="19"/>
      <c r="AP752" s="130"/>
      <c r="AQ752" s="130"/>
      <c r="AR752" s="19"/>
      <c r="AS752" s="19"/>
      <c r="AT752" s="19"/>
    </row>
    <row r="753" spans="1:46" ht="12.5" x14ac:dyDescent="0.25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30"/>
      <c r="AM753" s="19"/>
      <c r="AN753" s="19"/>
      <c r="AO753" s="19"/>
      <c r="AP753" s="130"/>
      <c r="AQ753" s="130"/>
      <c r="AR753" s="19"/>
      <c r="AS753" s="19"/>
      <c r="AT753" s="19"/>
    </row>
    <row r="754" spans="1:46" ht="12.5" x14ac:dyDescent="0.25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30"/>
      <c r="AM754" s="19"/>
      <c r="AN754" s="19"/>
      <c r="AO754" s="19"/>
      <c r="AP754" s="130"/>
      <c r="AQ754" s="130"/>
      <c r="AR754" s="19"/>
      <c r="AS754" s="19"/>
      <c r="AT754" s="19"/>
    </row>
    <row r="755" spans="1:46" ht="12.5" x14ac:dyDescent="0.2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30"/>
      <c r="AM755" s="19"/>
      <c r="AN755" s="19"/>
      <c r="AO755" s="19"/>
      <c r="AP755" s="130"/>
      <c r="AQ755" s="130"/>
      <c r="AR755" s="19"/>
      <c r="AS755" s="19"/>
      <c r="AT755" s="19"/>
    </row>
    <row r="756" spans="1:46" ht="12.5" x14ac:dyDescent="0.25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30"/>
      <c r="AM756" s="19"/>
      <c r="AN756" s="19"/>
      <c r="AO756" s="19"/>
      <c r="AP756" s="130"/>
      <c r="AQ756" s="130"/>
      <c r="AR756" s="19"/>
      <c r="AS756" s="19"/>
      <c r="AT756" s="19"/>
    </row>
    <row r="757" spans="1:46" ht="12.5" x14ac:dyDescent="0.25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30"/>
      <c r="AM757" s="19"/>
      <c r="AN757" s="19"/>
      <c r="AO757" s="19"/>
      <c r="AP757" s="130"/>
      <c r="AQ757" s="130"/>
      <c r="AR757" s="19"/>
      <c r="AS757" s="19"/>
      <c r="AT757" s="19"/>
    </row>
    <row r="758" spans="1:46" ht="12.5" x14ac:dyDescent="0.25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30"/>
      <c r="AM758" s="19"/>
      <c r="AN758" s="19"/>
      <c r="AO758" s="19"/>
      <c r="AP758" s="130"/>
      <c r="AQ758" s="130"/>
      <c r="AR758" s="19"/>
      <c r="AS758" s="19"/>
      <c r="AT758" s="19"/>
    </row>
    <row r="759" spans="1:46" ht="12.5" x14ac:dyDescent="0.25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30"/>
      <c r="AM759" s="19"/>
      <c r="AN759" s="19"/>
      <c r="AO759" s="19"/>
      <c r="AP759" s="130"/>
      <c r="AQ759" s="130"/>
      <c r="AR759" s="19"/>
      <c r="AS759" s="19"/>
      <c r="AT759" s="19"/>
    </row>
    <row r="760" spans="1:46" ht="12.5" x14ac:dyDescent="0.25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30"/>
      <c r="AM760" s="19"/>
      <c r="AN760" s="19"/>
      <c r="AO760" s="19"/>
      <c r="AP760" s="130"/>
      <c r="AQ760" s="130"/>
      <c r="AR760" s="19"/>
      <c r="AS760" s="19"/>
      <c r="AT760" s="19"/>
    </row>
    <row r="761" spans="1:46" ht="12.5" x14ac:dyDescent="0.25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30"/>
      <c r="AM761" s="19"/>
      <c r="AN761" s="19"/>
      <c r="AO761" s="19"/>
      <c r="AP761" s="130"/>
      <c r="AQ761" s="130"/>
      <c r="AR761" s="19"/>
      <c r="AS761" s="19"/>
      <c r="AT761" s="19"/>
    </row>
    <row r="762" spans="1:46" ht="12.5" x14ac:dyDescent="0.25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30"/>
      <c r="AM762" s="19"/>
      <c r="AN762" s="19"/>
      <c r="AO762" s="19"/>
      <c r="AP762" s="130"/>
      <c r="AQ762" s="130"/>
      <c r="AR762" s="19"/>
      <c r="AS762" s="19"/>
      <c r="AT762" s="19"/>
    </row>
    <row r="763" spans="1:46" ht="12.5" x14ac:dyDescent="0.25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30"/>
      <c r="AM763" s="19"/>
      <c r="AN763" s="19"/>
      <c r="AO763" s="19"/>
      <c r="AP763" s="130"/>
      <c r="AQ763" s="130"/>
      <c r="AR763" s="19"/>
      <c r="AS763" s="19"/>
      <c r="AT763" s="19"/>
    </row>
    <row r="764" spans="1:46" ht="12.5" x14ac:dyDescent="0.25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30"/>
      <c r="AM764" s="19"/>
      <c r="AN764" s="19"/>
      <c r="AO764" s="19"/>
      <c r="AP764" s="130"/>
      <c r="AQ764" s="130"/>
      <c r="AR764" s="19"/>
      <c r="AS764" s="19"/>
      <c r="AT764" s="19"/>
    </row>
    <row r="765" spans="1:46" ht="12.5" x14ac:dyDescent="0.2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30"/>
      <c r="AM765" s="19"/>
      <c r="AN765" s="19"/>
      <c r="AO765" s="19"/>
      <c r="AP765" s="130"/>
      <c r="AQ765" s="130"/>
      <c r="AR765" s="19"/>
      <c r="AS765" s="19"/>
      <c r="AT765" s="19"/>
    </row>
    <row r="766" spans="1:46" ht="12.5" x14ac:dyDescent="0.25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30"/>
      <c r="AM766" s="19"/>
      <c r="AN766" s="19"/>
      <c r="AO766" s="19"/>
      <c r="AP766" s="130"/>
      <c r="AQ766" s="130"/>
      <c r="AR766" s="19"/>
      <c r="AS766" s="19"/>
      <c r="AT766" s="19"/>
    </row>
    <row r="767" spans="1:46" ht="12.5" x14ac:dyDescent="0.25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30"/>
      <c r="AM767" s="19"/>
      <c r="AN767" s="19"/>
      <c r="AO767" s="19"/>
      <c r="AP767" s="130"/>
      <c r="AQ767" s="130"/>
      <c r="AR767" s="19"/>
      <c r="AS767" s="19"/>
      <c r="AT767" s="19"/>
    </row>
    <row r="768" spans="1:46" ht="12.5" x14ac:dyDescent="0.25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30"/>
      <c r="AM768" s="19"/>
      <c r="AN768" s="19"/>
      <c r="AO768" s="19"/>
      <c r="AP768" s="130"/>
      <c r="AQ768" s="130"/>
      <c r="AR768" s="19"/>
      <c r="AS768" s="19"/>
      <c r="AT768" s="19"/>
    </row>
    <row r="769" spans="1:46" ht="12.5" x14ac:dyDescent="0.25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30"/>
      <c r="AM769" s="19"/>
      <c r="AN769" s="19"/>
      <c r="AO769" s="19"/>
      <c r="AP769" s="130"/>
      <c r="AQ769" s="130"/>
      <c r="AR769" s="19"/>
      <c r="AS769" s="19"/>
      <c r="AT769" s="19"/>
    </row>
    <row r="770" spans="1:46" ht="12.5" x14ac:dyDescent="0.25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30"/>
      <c r="AM770" s="19"/>
      <c r="AN770" s="19"/>
      <c r="AO770" s="19"/>
      <c r="AP770" s="130"/>
      <c r="AQ770" s="130"/>
      <c r="AR770" s="19"/>
      <c r="AS770" s="19"/>
      <c r="AT770" s="19"/>
    </row>
    <row r="771" spans="1:46" ht="12.5" x14ac:dyDescent="0.25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30"/>
      <c r="AM771" s="19"/>
      <c r="AN771" s="19"/>
      <c r="AO771" s="19"/>
      <c r="AP771" s="130"/>
      <c r="AQ771" s="130"/>
      <c r="AR771" s="19"/>
      <c r="AS771" s="19"/>
      <c r="AT771" s="19"/>
    </row>
    <row r="772" spans="1:46" ht="12.5" x14ac:dyDescent="0.25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30"/>
      <c r="AM772" s="19"/>
      <c r="AN772" s="19"/>
      <c r="AO772" s="19"/>
      <c r="AP772" s="130"/>
      <c r="AQ772" s="130"/>
      <c r="AR772" s="19"/>
      <c r="AS772" s="19"/>
      <c r="AT772" s="19"/>
    </row>
    <row r="773" spans="1:46" ht="12.5" x14ac:dyDescent="0.25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30"/>
      <c r="AM773" s="19"/>
      <c r="AN773" s="19"/>
      <c r="AO773" s="19"/>
      <c r="AP773" s="130"/>
      <c r="AQ773" s="130"/>
      <c r="AR773" s="19"/>
      <c r="AS773" s="19"/>
      <c r="AT773" s="19"/>
    </row>
    <row r="774" spans="1:46" ht="12.5" x14ac:dyDescent="0.25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30"/>
      <c r="AM774" s="19"/>
      <c r="AN774" s="19"/>
      <c r="AO774" s="19"/>
      <c r="AP774" s="130"/>
      <c r="AQ774" s="130"/>
      <c r="AR774" s="19"/>
      <c r="AS774" s="19"/>
      <c r="AT774" s="19"/>
    </row>
    <row r="775" spans="1:46" ht="12.5" x14ac:dyDescent="0.2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30"/>
      <c r="AM775" s="19"/>
      <c r="AN775" s="19"/>
      <c r="AO775" s="19"/>
      <c r="AP775" s="130"/>
      <c r="AQ775" s="130"/>
      <c r="AR775" s="19"/>
      <c r="AS775" s="19"/>
      <c r="AT775" s="19"/>
    </row>
    <row r="776" spans="1:46" ht="12.5" x14ac:dyDescent="0.25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30"/>
      <c r="AM776" s="19"/>
      <c r="AN776" s="19"/>
      <c r="AO776" s="19"/>
      <c r="AP776" s="130"/>
      <c r="AQ776" s="130"/>
      <c r="AR776" s="19"/>
      <c r="AS776" s="19"/>
      <c r="AT776" s="19"/>
    </row>
    <row r="777" spans="1:46" ht="12.5" x14ac:dyDescent="0.25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30"/>
      <c r="AM777" s="19"/>
      <c r="AN777" s="19"/>
      <c r="AO777" s="19"/>
      <c r="AP777" s="130"/>
      <c r="AQ777" s="130"/>
      <c r="AR777" s="19"/>
      <c r="AS777" s="19"/>
      <c r="AT777" s="19"/>
    </row>
    <row r="778" spans="1:46" ht="12.5" x14ac:dyDescent="0.25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30"/>
      <c r="AM778" s="19"/>
      <c r="AN778" s="19"/>
      <c r="AO778" s="19"/>
      <c r="AP778" s="130"/>
      <c r="AQ778" s="130"/>
      <c r="AR778" s="19"/>
      <c r="AS778" s="19"/>
      <c r="AT778" s="19"/>
    </row>
    <row r="779" spans="1:46" ht="12.5" x14ac:dyDescent="0.25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30"/>
      <c r="AM779" s="19"/>
      <c r="AN779" s="19"/>
      <c r="AO779" s="19"/>
      <c r="AP779" s="130"/>
      <c r="AQ779" s="130"/>
      <c r="AR779" s="19"/>
      <c r="AS779" s="19"/>
      <c r="AT779" s="19"/>
    </row>
    <row r="780" spans="1:46" ht="12.5" x14ac:dyDescent="0.25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30"/>
      <c r="AM780" s="19"/>
      <c r="AN780" s="19"/>
      <c r="AO780" s="19"/>
      <c r="AP780" s="130"/>
      <c r="AQ780" s="130"/>
      <c r="AR780" s="19"/>
      <c r="AS780" s="19"/>
      <c r="AT780" s="19"/>
    </row>
    <row r="781" spans="1:46" ht="12.5" x14ac:dyDescent="0.25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30"/>
      <c r="AM781" s="19"/>
      <c r="AN781" s="19"/>
      <c r="AO781" s="19"/>
      <c r="AP781" s="130"/>
      <c r="AQ781" s="130"/>
      <c r="AR781" s="19"/>
      <c r="AS781" s="19"/>
      <c r="AT781" s="19"/>
    </row>
    <row r="782" spans="1:46" ht="12.5" x14ac:dyDescent="0.25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30"/>
      <c r="AM782" s="19"/>
      <c r="AN782" s="19"/>
      <c r="AO782" s="19"/>
      <c r="AP782" s="130"/>
      <c r="AQ782" s="130"/>
      <c r="AR782" s="19"/>
      <c r="AS782" s="19"/>
      <c r="AT782" s="19"/>
    </row>
    <row r="783" spans="1:46" ht="12.5" x14ac:dyDescent="0.25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30"/>
      <c r="AM783" s="19"/>
      <c r="AN783" s="19"/>
      <c r="AO783" s="19"/>
      <c r="AP783" s="130"/>
      <c r="AQ783" s="130"/>
      <c r="AR783" s="19"/>
      <c r="AS783" s="19"/>
      <c r="AT783" s="19"/>
    </row>
    <row r="784" spans="1:46" ht="12.5" x14ac:dyDescent="0.25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30"/>
      <c r="AM784" s="19"/>
      <c r="AN784" s="19"/>
      <c r="AO784" s="19"/>
      <c r="AP784" s="130"/>
      <c r="AQ784" s="130"/>
      <c r="AR784" s="19"/>
      <c r="AS784" s="19"/>
      <c r="AT784" s="19"/>
    </row>
    <row r="785" spans="1:46" ht="12.5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30"/>
      <c r="AM785" s="19"/>
      <c r="AN785" s="19"/>
      <c r="AO785" s="19"/>
      <c r="AP785" s="130"/>
      <c r="AQ785" s="130"/>
      <c r="AR785" s="19"/>
      <c r="AS785" s="19"/>
      <c r="AT785" s="19"/>
    </row>
    <row r="786" spans="1:46" ht="12.5" x14ac:dyDescent="0.25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30"/>
      <c r="AM786" s="19"/>
      <c r="AN786" s="19"/>
      <c r="AO786" s="19"/>
      <c r="AP786" s="130"/>
      <c r="AQ786" s="130"/>
      <c r="AR786" s="19"/>
      <c r="AS786" s="19"/>
      <c r="AT786" s="19"/>
    </row>
    <row r="787" spans="1:46" ht="12.5" x14ac:dyDescent="0.25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30"/>
      <c r="AM787" s="19"/>
      <c r="AN787" s="19"/>
      <c r="AO787" s="19"/>
      <c r="AP787" s="130"/>
      <c r="AQ787" s="130"/>
      <c r="AR787" s="19"/>
      <c r="AS787" s="19"/>
      <c r="AT787" s="19"/>
    </row>
    <row r="788" spans="1:46" ht="12.5" x14ac:dyDescent="0.25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30"/>
      <c r="AM788" s="19"/>
      <c r="AN788" s="19"/>
      <c r="AO788" s="19"/>
      <c r="AP788" s="130"/>
      <c r="AQ788" s="130"/>
      <c r="AR788" s="19"/>
      <c r="AS788" s="19"/>
      <c r="AT788" s="19"/>
    </row>
    <row r="789" spans="1:46" ht="12.5" x14ac:dyDescent="0.25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30"/>
      <c r="AM789" s="19"/>
      <c r="AN789" s="19"/>
      <c r="AO789" s="19"/>
      <c r="AP789" s="130"/>
      <c r="AQ789" s="130"/>
      <c r="AR789" s="19"/>
      <c r="AS789" s="19"/>
      <c r="AT789" s="19"/>
    </row>
    <row r="790" spans="1:46" ht="12.5" x14ac:dyDescent="0.25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30"/>
      <c r="AM790" s="19"/>
      <c r="AN790" s="19"/>
      <c r="AO790" s="19"/>
      <c r="AP790" s="130"/>
      <c r="AQ790" s="130"/>
      <c r="AR790" s="19"/>
      <c r="AS790" s="19"/>
      <c r="AT790" s="19"/>
    </row>
    <row r="791" spans="1:46" ht="12.5" x14ac:dyDescent="0.25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30"/>
      <c r="AM791" s="19"/>
      <c r="AN791" s="19"/>
      <c r="AO791" s="19"/>
      <c r="AP791" s="130"/>
      <c r="AQ791" s="130"/>
      <c r="AR791" s="19"/>
      <c r="AS791" s="19"/>
      <c r="AT791" s="19"/>
    </row>
    <row r="792" spans="1:46" ht="12.5" x14ac:dyDescent="0.25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30"/>
      <c r="AM792" s="19"/>
      <c r="AN792" s="19"/>
      <c r="AO792" s="19"/>
      <c r="AP792" s="130"/>
      <c r="AQ792" s="130"/>
      <c r="AR792" s="19"/>
      <c r="AS792" s="19"/>
      <c r="AT792" s="19"/>
    </row>
    <row r="793" spans="1:46" ht="12.5" x14ac:dyDescent="0.25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30"/>
      <c r="AM793" s="19"/>
      <c r="AN793" s="19"/>
      <c r="AO793" s="19"/>
      <c r="AP793" s="130"/>
      <c r="AQ793" s="130"/>
      <c r="AR793" s="19"/>
      <c r="AS793" s="19"/>
      <c r="AT793" s="19"/>
    </row>
    <row r="794" spans="1:46" ht="12.5" x14ac:dyDescent="0.25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30"/>
      <c r="AM794" s="19"/>
      <c r="AN794" s="19"/>
      <c r="AO794" s="19"/>
      <c r="AP794" s="130"/>
      <c r="AQ794" s="130"/>
      <c r="AR794" s="19"/>
      <c r="AS794" s="19"/>
      <c r="AT794" s="19"/>
    </row>
    <row r="795" spans="1:46" ht="12.5" x14ac:dyDescent="0.2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30"/>
      <c r="AM795" s="19"/>
      <c r="AN795" s="19"/>
      <c r="AO795" s="19"/>
      <c r="AP795" s="130"/>
      <c r="AQ795" s="130"/>
      <c r="AR795" s="19"/>
      <c r="AS795" s="19"/>
      <c r="AT795" s="19"/>
    </row>
    <row r="796" spans="1:46" ht="12.5" x14ac:dyDescent="0.25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30"/>
      <c r="AM796" s="19"/>
      <c r="AN796" s="19"/>
      <c r="AO796" s="19"/>
      <c r="AP796" s="130"/>
      <c r="AQ796" s="130"/>
      <c r="AR796" s="19"/>
      <c r="AS796" s="19"/>
      <c r="AT796" s="19"/>
    </row>
    <row r="797" spans="1:46" ht="12.5" x14ac:dyDescent="0.25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30"/>
      <c r="AM797" s="19"/>
      <c r="AN797" s="19"/>
      <c r="AO797" s="19"/>
      <c r="AP797" s="130"/>
      <c r="AQ797" s="130"/>
      <c r="AR797" s="19"/>
      <c r="AS797" s="19"/>
      <c r="AT797" s="19"/>
    </row>
    <row r="798" spans="1:46" ht="12.5" x14ac:dyDescent="0.25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30"/>
      <c r="AM798" s="19"/>
      <c r="AN798" s="19"/>
      <c r="AO798" s="19"/>
      <c r="AP798" s="130"/>
      <c r="AQ798" s="130"/>
      <c r="AR798" s="19"/>
      <c r="AS798" s="19"/>
      <c r="AT798" s="19"/>
    </row>
    <row r="799" spans="1:46" ht="12.5" x14ac:dyDescent="0.25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30"/>
      <c r="AM799" s="19"/>
      <c r="AN799" s="19"/>
      <c r="AO799" s="19"/>
      <c r="AP799" s="130"/>
      <c r="AQ799" s="130"/>
      <c r="AR799" s="19"/>
      <c r="AS799" s="19"/>
      <c r="AT799" s="19"/>
    </row>
    <row r="800" spans="1:46" ht="12.5" x14ac:dyDescent="0.2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30"/>
      <c r="AM800" s="19"/>
      <c r="AN800" s="19"/>
      <c r="AO800" s="19"/>
      <c r="AP800" s="130"/>
      <c r="AQ800" s="130"/>
      <c r="AR800" s="19"/>
      <c r="AS800" s="19"/>
      <c r="AT800" s="19"/>
    </row>
    <row r="801" spans="1:46" ht="12.5" x14ac:dyDescent="0.25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30"/>
      <c r="AM801" s="19"/>
      <c r="AN801" s="19"/>
      <c r="AO801" s="19"/>
      <c r="AP801" s="130"/>
      <c r="AQ801" s="130"/>
      <c r="AR801" s="19"/>
      <c r="AS801" s="19"/>
      <c r="AT801" s="19"/>
    </row>
    <row r="802" spans="1:46" ht="12.5" x14ac:dyDescent="0.25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30"/>
      <c r="AM802" s="19"/>
      <c r="AN802" s="19"/>
      <c r="AO802" s="19"/>
      <c r="AP802" s="130"/>
      <c r="AQ802" s="130"/>
      <c r="AR802" s="19"/>
      <c r="AS802" s="19"/>
      <c r="AT802" s="19"/>
    </row>
    <row r="803" spans="1:46" ht="12.5" x14ac:dyDescent="0.25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30"/>
      <c r="AM803" s="19"/>
      <c r="AN803" s="19"/>
      <c r="AO803" s="19"/>
      <c r="AP803" s="130"/>
      <c r="AQ803" s="130"/>
      <c r="AR803" s="19"/>
      <c r="AS803" s="19"/>
      <c r="AT803" s="19"/>
    </row>
    <row r="804" spans="1:46" ht="12.5" x14ac:dyDescent="0.25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30"/>
      <c r="AM804" s="19"/>
      <c r="AN804" s="19"/>
      <c r="AO804" s="19"/>
      <c r="AP804" s="130"/>
      <c r="AQ804" s="130"/>
      <c r="AR804" s="19"/>
      <c r="AS804" s="19"/>
      <c r="AT804" s="19"/>
    </row>
    <row r="805" spans="1:46" ht="12.5" x14ac:dyDescent="0.2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30"/>
      <c r="AM805" s="19"/>
      <c r="AN805" s="19"/>
      <c r="AO805" s="19"/>
      <c r="AP805" s="130"/>
      <c r="AQ805" s="130"/>
      <c r="AR805" s="19"/>
      <c r="AS805" s="19"/>
      <c r="AT805" s="19"/>
    </row>
    <row r="806" spans="1:46" ht="12.5" x14ac:dyDescent="0.25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30"/>
      <c r="AM806" s="19"/>
      <c r="AN806" s="19"/>
      <c r="AO806" s="19"/>
      <c r="AP806" s="130"/>
      <c r="AQ806" s="130"/>
      <c r="AR806" s="19"/>
      <c r="AS806" s="19"/>
      <c r="AT806" s="19"/>
    </row>
    <row r="807" spans="1:46" ht="12.5" x14ac:dyDescent="0.2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30"/>
      <c r="AM807" s="19"/>
      <c r="AN807" s="19"/>
      <c r="AO807" s="19"/>
      <c r="AP807" s="130"/>
      <c r="AQ807" s="130"/>
      <c r="AR807" s="19"/>
      <c r="AS807" s="19"/>
      <c r="AT807" s="19"/>
    </row>
    <row r="808" spans="1:46" ht="12.5" x14ac:dyDescent="0.25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30"/>
      <c r="AM808" s="19"/>
      <c r="AN808" s="19"/>
      <c r="AO808" s="19"/>
      <c r="AP808" s="130"/>
      <c r="AQ808" s="130"/>
      <c r="AR808" s="19"/>
      <c r="AS808" s="19"/>
      <c r="AT808" s="19"/>
    </row>
    <row r="809" spans="1:46" ht="12.5" x14ac:dyDescent="0.25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30"/>
      <c r="AM809" s="19"/>
      <c r="AN809" s="19"/>
      <c r="AO809" s="19"/>
      <c r="AP809" s="130"/>
      <c r="AQ809" s="130"/>
      <c r="AR809" s="19"/>
      <c r="AS809" s="19"/>
      <c r="AT809" s="19"/>
    </row>
    <row r="810" spans="1:46" ht="12.5" x14ac:dyDescent="0.25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30"/>
      <c r="AM810" s="19"/>
      <c r="AN810" s="19"/>
      <c r="AO810" s="19"/>
      <c r="AP810" s="130"/>
      <c r="AQ810" s="130"/>
      <c r="AR810" s="19"/>
      <c r="AS810" s="19"/>
      <c r="AT810" s="19"/>
    </row>
    <row r="811" spans="1:46" ht="12.5" x14ac:dyDescent="0.2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30"/>
      <c r="AM811" s="19"/>
      <c r="AN811" s="19"/>
      <c r="AO811" s="19"/>
      <c r="AP811" s="130"/>
      <c r="AQ811" s="130"/>
      <c r="AR811" s="19"/>
      <c r="AS811" s="19"/>
      <c r="AT811" s="19"/>
    </row>
    <row r="812" spans="1:46" ht="12.5" x14ac:dyDescent="0.25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30"/>
      <c r="AM812" s="19"/>
      <c r="AN812" s="19"/>
      <c r="AO812" s="19"/>
      <c r="AP812" s="130"/>
      <c r="AQ812" s="130"/>
      <c r="AR812" s="19"/>
      <c r="AS812" s="19"/>
      <c r="AT812" s="19"/>
    </row>
    <row r="813" spans="1:46" ht="12.5" x14ac:dyDescent="0.25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30"/>
      <c r="AM813" s="19"/>
      <c r="AN813" s="19"/>
      <c r="AO813" s="19"/>
      <c r="AP813" s="130"/>
      <c r="AQ813" s="130"/>
      <c r="AR813" s="19"/>
      <c r="AS813" s="19"/>
      <c r="AT813" s="19"/>
    </row>
    <row r="814" spans="1:46" ht="12.5" x14ac:dyDescent="0.25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30"/>
      <c r="AM814" s="19"/>
      <c r="AN814" s="19"/>
      <c r="AO814" s="19"/>
      <c r="AP814" s="130"/>
      <c r="AQ814" s="130"/>
      <c r="AR814" s="19"/>
      <c r="AS814" s="19"/>
      <c r="AT814" s="19"/>
    </row>
    <row r="815" spans="1:46" ht="12.5" x14ac:dyDescent="0.2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30"/>
      <c r="AM815" s="19"/>
      <c r="AN815" s="19"/>
      <c r="AO815" s="19"/>
      <c r="AP815" s="130"/>
      <c r="AQ815" s="130"/>
      <c r="AR815" s="19"/>
      <c r="AS815" s="19"/>
      <c r="AT815" s="19"/>
    </row>
    <row r="816" spans="1:46" ht="12.5" x14ac:dyDescent="0.25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30"/>
      <c r="AM816" s="19"/>
      <c r="AN816" s="19"/>
      <c r="AO816" s="19"/>
      <c r="AP816" s="130"/>
      <c r="AQ816" s="130"/>
      <c r="AR816" s="19"/>
      <c r="AS816" s="19"/>
      <c r="AT816" s="19"/>
    </row>
    <row r="817" spans="1:46" ht="12.5" x14ac:dyDescent="0.25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30"/>
      <c r="AM817" s="19"/>
      <c r="AN817" s="19"/>
      <c r="AO817" s="19"/>
      <c r="AP817" s="130"/>
      <c r="AQ817" s="130"/>
      <c r="AR817" s="19"/>
      <c r="AS817" s="19"/>
      <c r="AT817" s="19"/>
    </row>
    <row r="818" spans="1:46" ht="12.5" x14ac:dyDescent="0.25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30"/>
      <c r="AM818" s="19"/>
      <c r="AN818" s="19"/>
      <c r="AO818" s="19"/>
      <c r="AP818" s="130"/>
      <c r="AQ818" s="130"/>
      <c r="AR818" s="19"/>
      <c r="AS818" s="19"/>
      <c r="AT818" s="19"/>
    </row>
    <row r="819" spans="1:46" ht="12.5" x14ac:dyDescent="0.25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30"/>
      <c r="AM819" s="19"/>
      <c r="AN819" s="19"/>
      <c r="AO819" s="19"/>
      <c r="AP819" s="130"/>
      <c r="AQ819" s="130"/>
      <c r="AR819" s="19"/>
      <c r="AS819" s="19"/>
      <c r="AT819" s="19"/>
    </row>
    <row r="820" spans="1:46" ht="12.5" x14ac:dyDescent="0.25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30"/>
      <c r="AM820" s="19"/>
      <c r="AN820" s="19"/>
      <c r="AO820" s="19"/>
      <c r="AP820" s="130"/>
      <c r="AQ820" s="130"/>
      <c r="AR820" s="19"/>
      <c r="AS820" s="19"/>
      <c r="AT820" s="19"/>
    </row>
    <row r="821" spans="1:46" ht="12.5" x14ac:dyDescent="0.25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30"/>
      <c r="AM821" s="19"/>
      <c r="AN821" s="19"/>
      <c r="AO821" s="19"/>
      <c r="AP821" s="130"/>
      <c r="AQ821" s="130"/>
      <c r="AR821" s="19"/>
      <c r="AS821" s="19"/>
      <c r="AT821" s="19"/>
    </row>
    <row r="822" spans="1:46" ht="12.5" x14ac:dyDescent="0.25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30"/>
      <c r="AM822" s="19"/>
      <c r="AN822" s="19"/>
      <c r="AO822" s="19"/>
      <c r="AP822" s="130"/>
      <c r="AQ822" s="130"/>
      <c r="AR822" s="19"/>
      <c r="AS822" s="19"/>
      <c r="AT822" s="19"/>
    </row>
    <row r="823" spans="1:46" ht="12.5" x14ac:dyDescent="0.25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30"/>
      <c r="AM823" s="19"/>
      <c r="AN823" s="19"/>
      <c r="AO823" s="19"/>
      <c r="AP823" s="130"/>
      <c r="AQ823" s="130"/>
      <c r="AR823" s="19"/>
      <c r="AS823" s="19"/>
      <c r="AT823" s="19"/>
    </row>
    <row r="824" spans="1:46" ht="12.5" x14ac:dyDescent="0.25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30"/>
      <c r="AM824" s="19"/>
      <c r="AN824" s="19"/>
      <c r="AO824" s="19"/>
      <c r="AP824" s="130"/>
      <c r="AQ824" s="130"/>
      <c r="AR824" s="19"/>
      <c r="AS824" s="19"/>
      <c r="AT824" s="19"/>
    </row>
    <row r="825" spans="1:46" ht="12.5" x14ac:dyDescent="0.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30"/>
      <c r="AM825" s="19"/>
      <c r="AN825" s="19"/>
      <c r="AO825" s="19"/>
      <c r="AP825" s="130"/>
      <c r="AQ825" s="130"/>
      <c r="AR825" s="19"/>
      <c r="AS825" s="19"/>
      <c r="AT825" s="19"/>
    </row>
    <row r="826" spans="1:46" ht="12.5" x14ac:dyDescent="0.25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30"/>
      <c r="AM826" s="19"/>
      <c r="AN826" s="19"/>
      <c r="AO826" s="19"/>
      <c r="AP826" s="130"/>
      <c r="AQ826" s="130"/>
      <c r="AR826" s="19"/>
      <c r="AS826" s="19"/>
      <c r="AT826" s="19"/>
    </row>
    <row r="827" spans="1:46" ht="12.5" x14ac:dyDescent="0.25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30"/>
      <c r="AM827" s="19"/>
      <c r="AN827" s="19"/>
      <c r="AO827" s="19"/>
      <c r="AP827" s="130"/>
      <c r="AQ827" s="130"/>
      <c r="AR827" s="19"/>
      <c r="AS827" s="19"/>
      <c r="AT827" s="19"/>
    </row>
    <row r="828" spans="1:46" ht="12.5" x14ac:dyDescent="0.25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30"/>
      <c r="AM828" s="19"/>
      <c r="AN828" s="19"/>
      <c r="AO828" s="19"/>
      <c r="AP828" s="130"/>
      <c r="AQ828" s="130"/>
      <c r="AR828" s="19"/>
      <c r="AS828" s="19"/>
      <c r="AT828" s="19"/>
    </row>
    <row r="829" spans="1:46" ht="12.5" x14ac:dyDescent="0.25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30"/>
      <c r="AM829" s="19"/>
      <c r="AN829" s="19"/>
      <c r="AO829" s="19"/>
      <c r="AP829" s="130"/>
      <c r="AQ829" s="130"/>
      <c r="AR829" s="19"/>
      <c r="AS829" s="19"/>
      <c r="AT829" s="19"/>
    </row>
    <row r="830" spans="1:46" ht="12.5" x14ac:dyDescent="0.25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30"/>
      <c r="AM830" s="19"/>
      <c r="AN830" s="19"/>
      <c r="AO830" s="19"/>
      <c r="AP830" s="130"/>
      <c r="AQ830" s="130"/>
      <c r="AR830" s="19"/>
      <c r="AS830" s="19"/>
      <c r="AT830" s="19"/>
    </row>
    <row r="831" spans="1:46" ht="12.5" x14ac:dyDescent="0.25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30"/>
      <c r="AM831" s="19"/>
      <c r="AN831" s="19"/>
      <c r="AO831" s="19"/>
      <c r="AP831" s="130"/>
      <c r="AQ831" s="130"/>
      <c r="AR831" s="19"/>
      <c r="AS831" s="19"/>
      <c r="AT831" s="19"/>
    </row>
    <row r="832" spans="1:46" ht="12.5" x14ac:dyDescent="0.25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30"/>
      <c r="AM832" s="19"/>
      <c r="AN832" s="19"/>
      <c r="AO832" s="19"/>
      <c r="AP832" s="130"/>
      <c r="AQ832" s="130"/>
      <c r="AR832" s="19"/>
      <c r="AS832" s="19"/>
      <c r="AT832" s="19"/>
    </row>
    <row r="833" spans="1:46" ht="12.5" x14ac:dyDescent="0.25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30"/>
      <c r="AM833" s="19"/>
      <c r="AN833" s="19"/>
      <c r="AO833" s="19"/>
      <c r="AP833" s="130"/>
      <c r="AQ833" s="130"/>
      <c r="AR833" s="19"/>
      <c r="AS833" s="19"/>
      <c r="AT833" s="19"/>
    </row>
    <row r="834" spans="1:46" ht="12.5" x14ac:dyDescent="0.25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30"/>
      <c r="AM834" s="19"/>
      <c r="AN834" s="19"/>
      <c r="AO834" s="19"/>
      <c r="AP834" s="130"/>
      <c r="AQ834" s="130"/>
      <c r="AR834" s="19"/>
      <c r="AS834" s="19"/>
      <c r="AT834" s="19"/>
    </row>
    <row r="835" spans="1:46" ht="12.5" x14ac:dyDescent="0.2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30"/>
      <c r="AM835" s="19"/>
      <c r="AN835" s="19"/>
      <c r="AO835" s="19"/>
      <c r="AP835" s="130"/>
      <c r="AQ835" s="130"/>
      <c r="AR835" s="19"/>
      <c r="AS835" s="19"/>
      <c r="AT835" s="19"/>
    </row>
    <row r="836" spans="1:46" ht="12.5" x14ac:dyDescent="0.25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30"/>
      <c r="AM836" s="19"/>
      <c r="AN836" s="19"/>
      <c r="AO836" s="19"/>
      <c r="AP836" s="130"/>
      <c r="AQ836" s="130"/>
      <c r="AR836" s="19"/>
      <c r="AS836" s="19"/>
      <c r="AT836" s="19"/>
    </row>
    <row r="837" spans="1:46" ht="12.5" x14ac:dyDescent="0.25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30"/>
      <c r="AM837" s="19"/>
      <c r="AN837" s="19"/>
      <c r="AO837" s="19"/>
      <c r="AP837" s="130"/>
      <c r="AQ837" s="130"/>
      <c r="AR837" s="19"/>
      <c r="AS837" s="19"/>
      <c r="AT837" s="19"/>
    </row>
    <row r="838" spans="1:46" ht="12.5" x14ac:dyDescent="0.25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30"/>
      <c r="AM838" s="19"/>
      <c r="AN838" s="19"/>
      <c r="AO838" s="19"/>
      <c r="AP838" s="130"/>
      <c r="AQ838" s="130"/>
      <c r="AR838" s="19"/>
      <c r="AS838" s="19"/>
      <c r="AT838" s="19"/>
    </row>
    <row r="839" spans="1:46" ht="12.5" x14ac:dyDescent="0.25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30"/>
      <c r="AM839" s="19"/>
      <c r="AN839" s="19"/>
      <c r="AO839" s="19"/>
      <c r="AP839" s="130"/>
      <c r="AQ839" s="130"/>
      <c r="AR839" s="19"/>
      <c r="AS839" s="19"/>
      <c r="AT839" s="19"/>
    </row>
    <row r="840" spans="1:46" ht="12.5" x14ac:dyDescent="0.25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30"/>
      <c r="AM840" s="19"/>
      <c r="AN840" s="19"/>
      <c r="AO840" s="19"/>
      <c r="AP840" s="130"/>
      <c r="AQ840" s="130"/>
      <c r="AR840" s="19"/>
      <c r="AS840" s="19"/>
      <c r="AT840" s="19"/>
    </row>
    <row r="841" spans="1:46" ht="12.5" x14ac:dyDescent="0.25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30"/>
      <c r="AM841" s="19"/>
      <c r="AN841" s="19"/>
      <c r="AO841" s="19"/>
      <c r="AP841" s="130"/>
      <c r="AQ841" s="130"/>
      <c r="AR841" s="19"/>
      <c r="AS841" s="19"/>
      <c r="AT841" s="19"/>
    </row>
    <row r="842" spans="1:46" ht="12.5" x14ac:dyDescent="0.25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30"/>
      <c r="AM842" s="19"/>
      <c r="AN842" s="19"/>
      <c r="AO842" s="19"/>
      <c r="AP842" s="130"/>
      <c r="AQ842" s="130"/>
      <c r="AR842" s="19"/>
      <c r="AS842" s="19"/>
      <c r="AT842" s="19"/>
    </row>
    <row r="843" spans="1:46" ht="12.5" x14ac:dyDescent="0.25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30"/>
      <c r="AM843" s="19"/>
      <c r="AN843" s="19"/>
      <c r="AO843" s="19"/>
      <c r="AP843" s="130"/>
      <c r="AQ843" s="130"/>
      <c r="AR843" s="19"/>
      <c r="AS843" s="19"/>
      <c r="AT843" s="19"/>
    </row>
    <row r="844" spans="1:46" ht="12.5" x14ac:dyDescent="0.25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30"/>
      <c r="AM844" s="19"/>
      <c r="AN844" s="19"/>
      <c r="AO844" s="19"/>
      <c r="AP844" s="130"/>
      <c r="AQ844" s="130"/>
      <c r="AR844" s="19"/>
      <c r="AS844" s="19"/>
      <c r="AT844" s="19"/>
    </row>
    <row r="845" spans="1:46" ht="12.5" x14ac:dyDescent="0.2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30"/>
      <c r="AM845" s="19"/>
      <c r="AN845" s="19"/>
      <c r="AO845" s="19"/>
      <c r="AP845" s="130"/>
      <c r="AQ845" s="130"/>
      <c r="AR845" s="19"/>
      <c r="AS845" s="19"/>
      <c r="AT845" s="19"/>
    </row>
    <row r="846" spans="1:46" ht="12.5" x14ac:dyDescent="0.25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30"/>
      <c r="AM846" s="19"/>
      <c r="AN846" s="19"/>
      <c r="AO846" s="19"/>
      <c r="AP846" s="130"/>
      <c r="AQ846" s="130"/>
      <c r="AR846" s="19"/>
      <c r="AS846" s="19"/>
      <c r="AT846" s="19"/>
    </row>
    <row r="847" spans="1:46" ht="12.5" x14ac:dyDescent="0.25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30"/>
      <c r="AM847" s="19"/>
      <c r="AN847" s="19"/>
      <c r="AO847" s="19"/>
      <c r="AP847" s="130"/>
      <c r="AQ847" s="130"/>
      <c r="AR847" s="19"/>
      <c r="AS847" s="19"/>
      <c r="AT847" s="19"/>
    </row>
    <row r="848" spans="1:46" ht="12.5" x14ac:dyDescent="0.25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30"/>
      <c r="AM848" s="19"/>
      <c r="AN848" s="19"/>
      <c r="AO848" s="19"/>
      <c r="AP848" s="130"/>
      <c r="AQ848" s="130"/>
      <c r="AR848" s="19"/>
      <c r="AS848" s="19"/>
      <c r="AT848" s="19"/>
    </row>
    <row r="849" spans="1:46" ht="12.5" x14ac:dyDescent="0.25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30"/>
      <c r="AM849" s="19"/>
      <c r="AN849" s="19"/>
      <c r="AO849" s="19"/>
      <c r="AP849" s="130"/>
      <c r="AQ849" s="130"/>
      <c r="AR849" s="19"/>
      <c r="AS849" s="19"/>
      <c r="AT849" s="19"/>
    </row>
    <row r="850" spans="1:46" ht="12.5" x14ac:dyDescent="0.25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30"/>
      <c r="AM850" s="19"/>
      <c r="AN850" s="19"/>
      <c r="AO850" s="19"/>
      <c r="AP850" s="130"/>
      <c r="AQ850" s="130"/>
      <c r="AR850" s="19"/>
      <c r="AS850" s="19"/>
      <c r="AT850" s="19"/>
    </row>
    <row r="851" spans="1:46" ht="12.5" x14ac:dyDescent="0.25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30"/>
      <c r="AM851" s="19"/>
      <c r="AN851" s="19"/>
      <c r="AO851" s="19"/>
      <c r="AP851" s="130"/>
      <c r="AQ851" s="130"/>
      <c r="AR851" s="19"/>
      <c r="AS851" s="19"/>
      <c r="AT851" s="19"/>
    </row>
    <row r="852" spans="1:46" ht="12.5" x14ac:dyDescent="0.25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30"/>
      <c r="AM852" s="19"/>
      <c r="AN852" s="19"/>
      <c r="AO852" s="19"/>
      <c r="AP852" s="130"/>
      <c r="AQ852" s="130"/>
      <c r="AR852" s="19"/>
      <c r="AS852" s="19"/>
      <c r="AT852" s="19"/>
    </row>
    <row r="853" spans="1:46" ht="12.5" x14ac:dyDescent="0.25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30"/>
      <c r="AM853" s="19"/>
      <c r="AN853" s="19"/>
      <c r="AO853" s="19"/>
      <c r="AP853" s="130"/>
      <c r="AQ853" s="130"/>
      <c r="AR853" s="19"/>
      <c r="AS853" s="19"/>
      <c r="AT853" s="19"/>
    </row>
    <row r="854" spans="1:46" ht="12.5" x14ac:dyDescent="0.25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30"/>
      <c r="AM854" s="19"/>
      <c r="AN854" s="19"/>
      <c r="AO854" s="19"/>
      <c r="AP854" s="130"/>
      <c r="AQ854" s="130"/>
      <c r="AR854" s="19"/>
      <c r="AS854" s="19"/>
      <c r="AT854" s="19"/>
    </row>
    <row r="855" spans="1:46" ht="12.5" x14ac:dyDescent="0.2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30"/>
      <c r="AM855" s="19"/>
      <c r="AN855" s="19"/>
      <c r="AO855" s="19"/>
      <c r="AP855" s="130"/>
      <c r="AQ855" s="130"/>
      <c r="AR855" s="19"/>
      <c r="AS855" s="19"/>
      <c r="AT855" s="19"/>
    </row>
    <row r="856" spans="1:46" ht="12.5" x14ac:dyDescent="0.25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30"/>
      <c r="AM856" s="19"/>
      <c r="AN856" s="19"/>
      <c r="AO856" s="19"/>
      <c r="AP856" s="130"/>
      <c r="AQ856" s="130"/>
      <c r="AR856" s="19"/>
      <c r="AS856" s="19"/>
      <c r="AT856" s="19"/>
    </row>
    <row r="857" spans="1:46" ht="12.5" x14ac:dyDescent="0.25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30"/>
      <c r="AM857" s="19"/>
      <c r="AN857" s="19"/>
      <c r="AO857" s="19"/>
      <c r="AP857" s="130"/>
      <c r="AQ857" s="130"/>
      <c r="AR857" s="19"/>
      <c r="AS857" s="19"/>
      <c r="AT857" s="19"/>
    </row>
    <row r="858" spans="1:46" ht="12.5" x14ac:dyDescent="0.25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30"/>
      <c r="AM858" s="19"/>
      <c r="AN858" s="19"/>
      <c r="AO858" s="19"/>
      <c r="AP858" s="130"/>
      <c r="AQ858" s="130"/>
      <c r="AR858" s="19"/>
      <c r="AS858" s="19"/>
      <c r="AT858" s="19"/>
    </row>
    <row r="859" spans="1:46" ht="12.5" x14ac:dyDescent="0.25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30"/>
      <c r="AM859" s="19"/>
      <c r="AN859" s="19"/>
      <c r="AO859" s="19"/>
      <c r="AP859" s="130"/>
      <c r="AQ859" s="130"/>
      <c r="AR859" s="19"/>
      <c r="AS859" s="19"/>
      <c r="AT859" s="19"/>
    </row>
    <row r="860" spans="1:46" ht="12.5" x14ac:dyDescent="0.25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30"/>
      <c r="AM860" s="19"/>
      <c r="AN860" s="19"/>
      <c r="AO860" s="19"/>
      <c r="AP860" s="130"/>
      <c r="AQ860" s="130"/>
      <c r="AR860" s="19"/>
      <c r="AS860" s="19"/>
      <c r="AT860" s="19"/>
    </row>
    <row r="861" spans="1:46" ht="12.5" x14ac:dyDescent="0.25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30"/>
      <c r="AM861" s="19"/>
      <c r="AN861" s="19"/>
      <c r="AO861" s="19"/>
      <c r="AP861" s="130"/>
      <c r="AQ861" s="130"/>
      <c r="AR861" s="19"/>
      <c r="AS861" s="19"/>
      <c r="AT861" s="19"/>
    </row>
    <row r="862" spans="1:46" ht="12.5" x14ac:dyDescent="0.25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30"/>
      <c r="AM862" s="19"/>
      <c r="AN862" s="19"/>
      <c r="AO862" s="19"/>
      <c r="AP862" s="130"/>
      <c r="AQ862" s="130"/>
      <c r="AR862" s="19"/>
      <c r="AS862" s="19"/>
      <c r="AT862" s="19"/>
    </row>
    <row r="863" spans="1:46" ht="12.5" x14ac:dyDescent="0.25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30"/>
      <c r="AM863" s="19"/>
      <c r="AN863" s="19"/>
      <c r="AO863" s="19"/>
      <c r="AP863" s="130"/>
      <c r="AQ863" s="130"/>
      <c r="AR863" s="19"/>
      <c r="AS863" s="19"/>
      <c r="AT863" s="19"/>
    </row>
    <row r="864" spans="1:46" ht="12.5" x14ac:dyDescent="0.25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30"/>
      <c r="AM864" s="19"/>
      <c r="AN864" s="19"/>
      <c r="AO864" s="19"/>
      <c r="AP864" s="130"/>
      <c r="AQ864" s="130"/>
      <c r="AR864" s="19"/>
      <c r="AS864" s="19"/>
      <c r="AT864" s="19"/>
    </row>
    <row r="865" spans="1:46" ht="12.5" x14ac:dyDescent="0.2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30"/>
      <c r="AM865" s="19"/>
      <c r="AN865" s="19"/>
      <c r="AO865" s="19"/>
      <c r="AP865" s="130"/>
      <c r="AQ865" s="130"/>
      <c r="AR865" s="19"/>
      <c r="AS865" s="19"/>
      <c r="AT865" s="19"/>
    </row>
    <row r="866" spans="1:46" ht="12.5" x14ac:dyDescent="0.25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30"/>
      <c r="AM866" s="19"/>
      <c r="AN866" s="19"/>
      <c r="AO866" s="19"/>
      <c r="AP866" s="130"/>
      <c r="AQ866" s="130"/>
      <c r="AR866" s="19"/>
      <c r="AS866" s="19"/>
      <c r="AT866" s="19"/>
    </row>
    <row r="867" spans="1:46" ht="12.5" x14ac:dyDescent="0.25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30"/>
      <c r="AM867" s="19"/>
      <c r="AN867" s="19"/>
      <c r="AO867" s="19"/>
      <c r="AP867" s="130"/>
      <c r="AQ867" s="130"/>
      <c r="AR867" s="19"/>
      <c r="AS867" s="19"/>
      <c r="AT867" s="19"/>
    </row>
    <row r="868" spans="1:46" ht="12.5" x14ac:dyDescent="0.25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30"/>
      <c r="AM868" s="19"/>
      <c r="AN868" s="19"/>
      <c r="AO868" s="19"/>
      <c r="AP868" s="130"/>
      <c r="AQ868" s="130"/>
      <c r="AR868" s="19"/>
      <c r="AS868" s="19"/>
      <c r="AT868" s="19"/>
    </row>
    <row r="869" spans="1:46" ht="12.5" x14ac:dyDescent="0.25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30"/>
      <c r="AM869" s="19"/>
      <c r="AN869" s="19"/>
      <c r="AO869" s="19"/>
      <c r="AP869" s="130"/>
      <c r="AQ869" s="130"/>
      <c r="AR869" s="19"/>
      <c r="AS869" s="19"/>
      <c r="AT869" s="19"/>
    </row>
    <row r="870" spans="1:46" ht="12.5" x14ac:dyDescent="0.25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30"/>
      <c r="AM870" s="19"/>
      <c r="AN870" s="19"/>
      <c r="AO870" s="19"/>
      <c r="AP870" s="130"/>
      <c r="AQ870" s="130"/>
      <c r="AR870" s="19"/>
      <c r="AS870" s="19"/>
      <c r="AT870" s="19"/>
    </row>
    <row r="871" spans="1:46" ht="12.5" x14ac:dyDescent="0.25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30"/>
      <c r="AM871" s="19"/>
      <c r="AN871" s="19"/>
      <c r="AO871" s="19"/>
      <c r="AP871" s="130"/>
      <c r="AQ871" s="130"/>
      <c r="AR871" s="19"/>
      <c r="AS871" s="19"/>
      <c r="AT871" s="19"/>
    </row>
    <row r="872" spans="1:46" ht="12.5" x14ac:dyDescent="0.25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30"/>
      <c r="AM872" s="19"/>
      <c r="AN872" s="19"/>
      <c r="AO872" s="19"/>
      <c r="AP872" s="130"/>
      <c r="AQ872" s="130"/>
      <c r="AR872" s="19"/>
      <c r="AS872" s="19"/>
      <c r="AT872" s="19"/>
    </row>
    <row r="873" spans="1:46" ht="12.5" x14ac:dyDescent="0.25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30"/>
      <c r="AM873" s="19"/>
      <c r="AN873" s="19"/>
      <c r="AO873" s="19"/>
      <c r="AP873" s="130"/>
      <c r="AQ873" s="130"/>
      <c r="AR873" s="19"/>
      <c r="AS873" s="19"/>
      <c r="AT873" s="19"/>
    </row>
    <row r="874" spans="1:46" ht="12.5" x14ac:dyDescent="0.25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30"/>
      <c r="AM874" s="19"/>
      <c r="AN874" s="19"/>
      <c r="AO874" s="19"/>
      <c r="AP874" s="130"/>
      <c r="AQ874" s="130"/>
      <c r="AR874" s="19"/>
      <c r="AS874" s="19"/>
      <c r="AT874" s="19"/>
    </row>
    <row r="875" spans="1:46" ht="12.5" x14ac:dyDescent="0.2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30"/>
      <c r="AM875" s="19"/>
      <c r="AN875" s="19"/>
      <c r="AO875" s="19"/>
      <c r="AP875" s="130"/>
      <c r="AQ875" s="130"/>
      <c r="AR875" s="19"/>
      <c r="AS875" s="19"/>
      <c r="AT875" s="19"/>
    </row>
    <row r="876" spans="1:46" ht="12.5" x14ac:dyDescent="0.25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30"/>
      <c r="AM876" s="19"/>
      <c r="AN876" s="19"/>
      <c r="AO876" s="19"/>
      <c r="AP876" s="130"/>
      <c r="AQ876" s="130"/>
      <c r="AR876" s="19"/>
      <c r="AS876" s="19"/>
      <c r="AT876" s="19"/>
    </row>
    <row r="877" spans="1:46" ht="12.5" x14ac:dyDescent="0.25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30"/>
      <c r="AM877" s="19"/>
      <c r="AN877" s="19"/>
      <c r="AO877" s="19"/>
      <c r="AP877" s="130"/>
      <c r="AQ877" s="130"/>
      <c r="AR877" s="19"/>
      <c r="AS877" s="19"/>
      <c r="AT877" s="19"/>
    </row>
    <row r="878" spans="1:46" ht="12.5" x14ac:dyDescent="0.25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30"/>
      <c r="AM878" s="19"/>
      <c r="AN878" s="19"/>
      <c r="AO878" s="19"/>
      <c r="AP878" s="130"/>
      <c r="AQ878" s="130"/>
      <c r="AR878" s="19"/>
      <c r="AS878" s="19"/>
      <c r="AT878" s="19"/>
    </row>
    <row r="879" spans="1:46" ht="12.5" x14ac:dyDescent="0.25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30"/>
      <c r="AM879" s="19"/>
      <c r="AN879" s="19"/>
      <c r="AO879" s="19"/>
      <c r="AP879" s="130"/>
      <c r="AQ879" s="130"/>
      <c r="AR879" s="19"/>
      <c r="AS879" s="19"/>
      <c r="AT879" s="19"/>
    </row>
    <row r="880" spans="1:46" ht="12.5" x14ac:dyDescent="0.25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30"/>
      <c r="AM880" s="19"/>
      <c r="AN880" s="19"/>
      <c r="AO880" s="19"/>
      <c r="AP880" s="130"/>
      <c r="AQ880" s="130"/>
      <c r="AR880" s="19"/>
      <c r="AS880" s="19"/>
      <c r="AT880" s="19"/>
    </row>
    <row r="881" spans="1:46" ht="12.5" x14ac:dyDescent="0.25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30"/>
      <c r="AM881" s="19"/>
      <c r="AN881" s="19"/>
      <c r="AO881" s="19"/>
      <c r="AP881" s="130"/>
      <c r="AQ881" s="130"/>
      <c r="AR881" s="19"/>
      <c r="AS881" s="19"/>
      <c r="AT881" s="19"/>
    </row>
    <row r="882" spans="1:46" ht="12.5" x14ac:dyDescent="0.25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30"/>
      <c r="AM882" s="19"/>
      <c r="AN882" s="19"/>
      <c r="AO882" s="19"/>
      <c r="AP882" s="130"/>
      <c r="AQ882" s="130"/>
      <c r="AR882" s="19"/>
      <c r="AS882" s="19"/>
      <c r="AT882" s="19"/>
    </row>
    <row r="883" spans="1:46" ht="12.5" x14ac:dyDescent="0.25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30"/>
      <c r="AM883" s="19"/>
      <c r="AN883" s="19"/>
      <c r="AO883" s="19"/>
      <c r="AP883" s="130"/>
      <c r="AQ883" s="130"/>
      <c r="AR883" s="19"/>
      <c r="AS883" s="19"/>
      <c r="AT883" s="19"/>
    </row>
    <row r="884" spans="1:46" ht="12.5" x14ac:dyDescent="0.25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30"/>
      <c r="AM884" s="19"/>
      <c r="AN884" s="19"/>
      <c r="AO884" s="19"/>
      <c r="AP884" s="130"/>
      <c r="AQ884" s="130"/>
      <c r="AR884" s="19"/>
      <c r="AS884" s="19"/>
      <c r="AT884" s="19"/>
    </row>
    <row r="885" spans="1:46" ht="12.5" x14ac:dyDescent="0.2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30"/>
      <c r="AM885" s="19"/>
      <c r="AN885" s="19"/>
      <c r="AO885" s="19"/>
      <c r="AP885" s="130"/>
      <c r="AQ885" s="130"/>
      <c r="AR885" s="19"/>
      <c r="AS885" s="19"/>
      <c r="AT885" s="19"/>
    </row>
    <row r="886" spans="1:46" ht="12.5" x14ac:dyDescent="0.25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30"/>
      <c r="AM886" s="19"/>
      <c r="AN886" s="19"/>
      <c r="AO886" s="19"/>
      <c r="AP886" s="130"/>
      <c r="AQ886" s="130"/>
      <c r="AR886" s="19"/>
      <c r="AS886" s="19"/>
      <c r="AT886" s="19"/>
    </row>
    <row r="887" spans="1:46" ht="12.5" x14ac:dyDescent="0.25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30"/>
      <c r="AM887" s="19"/>
      <c r="AN887" s="19"/>
      <c r="AO887" s="19"/>
      <c r="AP887" s="130"/>
      <c r="AQ887" s="130"/>
      <c r="AR887" s="19"/>
      <c r="AS887" s="19"/>
      <c r="AT887" s="19"/>
    </row>
    <row r="888" spans="1:46" ht="12.5" x14ac:dyDescent="0.25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30"/>
      <c r="AM888" s="19"/>
      <c r="AN888" s="19"/>
      <c r="AO888" s="19"/>
      <c r="AP888" s="130"/>
      <c r="AQ888" s="130"/>
      <c r="AR888" s="19"/>
      <c r="AS888" s="19"/>
      <c r="AT888" s="19"/>
    </row>
    <row r="889" spans="1:46" ht="12.5" x14ac:dyDescent="0.25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30"/>
      <c r="AM889" s="19"/>
      <c r="AN889" s="19"/>
      <c r="AO889" s="19"/>
      <c r="AP889" s="130"/>
      <c r="AQ889" s="130"/>
      <c r="AR889" s="19"/>
      <c r="AS889" s="19"/>
      <c r="AT889" s="19"/>
    </row>
    <row r="890" spans="1:46" ht="12.5" x14ac:dyDescent="0.25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30"/>
      <c r="AM890" s="19"/>
      <c r="AN890" s="19"/>
      <c r="AO890" s="19"/>
      <c r="AP890" s="130"/>
      <c r="AQ890" s="130"/>
      <c r="AR890" s="19"/>
      <c r="AS890" s="19"/>
      <c r="AT890" s="19"/>
    </row>
    <row r="891" spans="1:46" ht="12.5" x14ac:dyDescent="0.25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30"/>
      <c r="AM891" s="19"/>
      <c r="AN891" s="19"/>
      <c r="AO891" s="19"/>
      <c r="AP891" s="130"/>
      <c r="AQ891" s="130"/>
      <c r="AR891" s="19"/>
      <c r="AS891" s="19"/>
      <c r="AT891" s="19"/>
    </row>
    <row r="892" spans="1:46" ht="12.5" x14ac:dyDescent="0.25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30"/>
      <c r="AM892" s="19"/>
      <c r="AN892" s="19"/>
      <c r="AO892" s="19"/>
      <c r="AP892" s="130"/>
      <c r="AQ892" s="130"/>
      <c r="AR892" s="19"/>
      <c r="AS892" s="19"/>
      <c r="AT892" s="19"/>
    </row>
    <row r="893" spans="1:46" ht="12.5" x14ac:dyDescent="0.25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30"/>
      <c r="AM893" s="19"/>
      <c r="AN893" s="19"/>
      <c r="AO893" s="19"/>
      <c r="AP893" s="130"/>
      <c r="AQ893" s="130"/>
      <c r="AR893" s="19"/>
      <c r="AS893" s="19"/>
      <c r="AT893" s="19"/>
    </row>
    <row r="894" spans="1:46" ht="12.5" x14ac:dyDescent="0.25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30"/>
      <c r="AM894" s="19"/>
      <c r="AN894" s="19"/>
      <c r="AO894" s="19"/>
      <c r="AP894" s="130"/>
      <c r="AQ894" s="130"/>
      <c r="AR894" s="19"/>
      <c r="AS894" s="19"/>
      <c r="AT894" s="19"/>
    </row>
    <row r="895" spans="1:46" ht="12.5" x14ac:dyDescent="0.2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30"/>
      <c r="AM895" s="19"/>
      <c r="AN895" s="19"/>
      <c r="AO895" s="19"/>
      <c r="AP895" s="130"/>
      <c r="AQ895" s="130"/>
      <c r="AR895" s="19"/>
      <c r="AS895" s="19"/>
      <c r="AT895" s="19"/>
    </row>
    <row r="896" spans="1:46" ht="12.5" x14ac:dyDescent="0.25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30"/>
      <c r="AM896" s="19"/>
      <c r="AN896" s="19"/>
      <c r="AO896" s="19"/>
      <c r="AP896" s="130"/>
      <c r="AQ896" s="130"/>
      <c r="AR896" s="19"/>
      <c r="AS896" s="19"/>
      <c r="AT896" s="19"/>
    </row>
    <row r="897" spans="1:46" ht="12.5" x14ac:dyDescent="0.25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30"/>
      <c r="AM897" s="19"/>
      <c r="AN897" s="19"/>
      <c r="AO897" s="19"/>
      <c r="AP897" s="130"/>
      <c r="AQ897" s="130"/>
      <c r="AR897" s="19"/>
      <c r="AS897" s="19"/>
      <c r="AT897" s="19"/>
    </row>
    <row r="898" spans="1:46" ht="12.5" x14ac:dyDescent="0.25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30"/>
      <c r="AM898" s="19"/>
      <c r="AN898" s="19"/>
      <c r="AO898" s="19"/>
      <c r="AP898" s="130"/>
      <c r="AQ898" s="130"/>
      <c r="AR898" s="19"/>
      <c r="AS898" s="19"/>
      <c r="AT898" s="19"/>
    </row>
    <row r="899" spans="1:46" ht="12.5" x14ac:dyDescent="0.25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30"/>
      <c r="AM899" s="19"/>
      <c r="AN899" s="19"/>
      <c r="AO899" s="19"/>
      <c r="AP899" s="130"/>
      <c r="AQ899" s="130"/>
      <c r="AR899" s="19"/>
      <c r="AS899" s="19"/>
      <c r="AT899" s="19"/>
    </row>
    <row r="900" spans="1:46" ht="12.5" x14ac:dyDescent="0.25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30"/>
      <c r="AM900" s="19"/>
      <c r="AN900" s="19"/>
      <c r="AO900" s="19"/>
      <c r="AP900" s="130"/>
      <c r="AQ900" s="130"/>
      <c r="AR900" s="19"/>
      <c r="AS900" s="19"/>
      <c r="AT900" s="19"/>
    </row>
    <row r="901" spans="1:46" ht="12.5" x14ac:dyDescent="0.25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30"/>
      <c r="AM901" s="19"/>
      <c r="AN901" s="19"/>
      <c r="AO901" s="19"/>
      <c r="AP901" s="130"/>
      <c r="AQ901" s="130"/>
      <c r="AR901" s="19"/>
      <c r="AS901" s="19"/>
      <c r="AT901" s="19"/>
    </row>
    <row r="902" spans="1:46" ht="12.5" x14ac:dyDescent="0.25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30"/>
      <c r="AM902" s="19"/>
      <c r="AN902" s="19"/>
      <c r="AO902" s="19"/>
      <c r="AP902" s="130"/>
      <c r="AQ902" s="130"/>
      <c r="AR902" s="19"/>
      <c r="AS902" s="19"/>
      <c r="AT902" s="19"/>
    </row>
    <row r="903" spans="1:46" ht="12.5" x14ac:dyDescent="0.25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30"/>
      <c r="AM903" s="19"/>
      <c r="AN903" s="19"/>
      <c r="AO903" s="19"/>
      <c r="AP903" s="130"/>
      <c r="AQ903" s="130"/>
      <c r="AR903" s="19"/>
      <c r="AS903" s="19"/>
      <c r="AT903" s="19"/>
    </row>
    <row r="904" spans="1:46" ht="12.5" x14ac:dyDescent="0.25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30"/>
      <c r="AM904" s="19"/>
      <c r="AN904" s="19"/>
      <c r="AO904" s="19"/>
      <c r="AP904" s="130"/>
      <c r="AQ904" s="130"/>
      <c r="AR904" s="19"/>
      <c r="AS904" s="19"/>
      <c r="AT904" s="19"/>
    </row>
    <row r="905" spans="1:46" ht="12.5" x14ac:dyDescent="0.2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30"/>
      <c r="AM905" s="19"/>
      <c r="AN905" s="19"/>
      <c r="AO905" s="19"/>
      <c r="AP905" s="130"/>
      <c r="AQ905" s="130"/>
      <c r="AR905" s="19"/>
      <c r="AS905" s="19"/>
      <c r="AT905" s="19"/>
    </row>
    <row r="906" spans="1:46" ht="12.5" x14ac:dyDescent="0.25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30"/>
      <c r="AM906" s="19"/>
      <c r="AN906" s="19"/>
      <c r="AO906" s="19"/>
      <c r="AP906" s="130"/>
      <c r="AQ906" s="130"/>
      <c r="AR906" s="19"/>
      <c r="AS906" s="19"/>
      <c r="AT906" s="19"/>
    </row>
    <row r="907" spans="1:46" ht="12.5" x14ac:dyDescent="0.25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30"/>
      <c r="AM907" s="19"/>
      <c r="AN907" s="19"/>
      <c r="AO907" s="19"/>
      <c r="AP907" s="130"/>
      <c r="AQ907" s="130"/>
      <c r="AR907" s="19"/>
      <c r="AS907" s="19"/>
      <c r="AT907" s="19"/>
    </row>
    <row r="908" spans="1:46" ht="12.5" x14ac:dyDescent="0.25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30"/>
      <c r="AM908" s="19"/>
      <c r="AN908" s="19"/>
      <c r="AO908" s="19"/>
      <c r="AP908" s="130"/>
      <c r="AQ908" s="130"/>
      <c r="AR908" s="19"/>
      <c r="AS908" s="19"/>
      <c r="AT908" s="19"/>
    </row>
    <row r="909" spans="1:46" ht="12.5" x14ac:dyDescent="0.25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30"/>
      <c r="AM909" s="19"/>
      <c r="AN909" s="19"/>
      <c r="AO909" s="19"/>
      <c r="AP909" s="130"/>
      <c r="AQ909" s="130"/>
      <c r="AR909" s="19"/>
      <c r="AS909" s="19"/>
      <c r="AT909" s="19"/>
    </row>
    <row r="910" spans="1:46" ht="12.5" x14ac:dyDescent="0.25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30"/>
      <c r="AM910" s="19"/>
      <c r="AN910" s="19"/>
      <c r="AO910" s="19"/>
      <c r="AP910" s="130"/>
      <c r="AQ910" s="130"/>
      <c r="AR910" s="19"/>
      <c r="AS910" s="19"/>
      <c r="AT910" s="19"/>
    </row>
    <row r="911" spans="1:46" ht="12.5" x14ac:dyDescent="0.25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30"/>
      <c r="AM911" s="19"/>
      <c r="AN911" s="19"/>
      <c r="AO911" s="19"/>
      <c r="AP911" s="130"/>
      <c r="AQ911" s="130"/>
      <c r="AR911" s="19"/>
      <c r="AS911" s="19"/>
      <c r="AT911" s="19"/>
    </row>
    <row r="912" spans="1:46" ht="12.5" x14ac:dyDescent="0.25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30"/>
      <c r="AM912" s="19"/>
      <c r="AN912" s="19"/>
      <c r="AO912" s="19"/>
      <c r="AP912" s="130"/>
      <c r="AQ912" s="130"/>
      <c r="AR912" s="19"/>
      <c r="AS912" s="19"/>
      <c r="AT912" s="19"/>
    </row>
    <row r="913" spans="1:46" ht="12.5" x14ac:dyDescent="0.25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30"/>
      <c r="AM913" s="19"/>
      <c r="AN913" s="19"/>
      <c r="AO913" s="19"/>
      <c r="AP913" s="130"/>
      <c r="AQ913" s="130"/>
      <c r="AR913" s="19"/>
      <c r="AS913" s="19"/>
      <c r="AT913" s="19"/>
    </row>
    <row r="914" spans="1:46" ht="12.5" x14ac:dyDescent="0.25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30"/>
      <c r="AM914" s="19"/>
      <c r="AN914" s="19"/>
      <c r="AO914" s="19"/>
      <c r="AP914" s="130"/>
      <c r="AQ914" s="130"/>
      <c r="AR914" s="19"/>
      <c r="AS914" s="19"/>
      <c r="AT914" s="19"/>
    </row>
    <row r="915" spans="1:46" ht="12.5" x14ac:dyDescent="0.2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30"/>
      <c r="AM915" s="19"/>
      <c r="AN915" s="19"/>
      <c r="AO915" s="19"/>
      <c r="AP915" s="130"/>
      <c r="AQ915" s="130"/>
      <c r="AR915" s="19"/>
      <c r="AS915" s="19"/>
      <c r="AT915" s="19"/>
    </row>
    <row r="916" spans="1:46" ht="12.5" x14ac:dyDescent="0.25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30"/>
      <c r="AM916" s="19"/>
      <c r="AN916" s="19"/>
      <c r="AO916" s="19"/>
      <c r="AP916" s="130"/>
      <c r="AQ916" s="130"/>
      <c r="AR916" s="19"/>
      <c r="AS916" s="19"/>
      <c r="AT916" s="19"/>
    </row>
    <row r="917" spans="1:46" ht="12.5" x14ac:dyDescent="0.25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30"/>
      <c r="AM917" s="19"/>
      <c r="AN917" s="19"/>
      <c r="AO917" s="19"/>
      <c r="AP917" s="130"/>
      <c r="AQ917" s="130"/>
      <c r="AR917" s="19"/>
      <c r="AS917" s="19"/>
      <c r="AT917" s="19"/>
    </row>
    <row r="918" spans="1:46" ht="12.5" x14ac:dyDescent="0.25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30"/>
      <c r="AM918" s="19"/>
      <c r="AN918" s="19"/>
      <c r="AO918" s="19"/>
      <c r="AP918" s="130"/>
      <c r="AQ918" s="130"/>
      <c r="AR918" s="19"/>
      <c r="AS918" s="19"/>
      <c r="AT918" s="19"/>
    </row>
    <row r="919" spans="1:46" ht="12.5" x14ac:dyDescent="0.25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30"/>
      <c r="AM919" s="19"/>
      <c r="AN919" s="19"/>
      <c r="AO919" s="19"/>
      <c r="AP919" s="130"/>
      <c r="AQ919" s="130"/>
      <c r="AR919" s="19"/>
      <c r="AS919" s="19"/>
      <c r="AT919" s="19"/>
    </row>
    <row r="920" spans="1:46" ht="12.5" x14ac:dyDescent="0.25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30"/>
      <c r="AM920" s="19"/>
      <c r="AN920" s="19"/>
      <c r="AO920" s="19"/>
      <c r="AP920" s="130"/>
      <c r="AQ920" s="130"/>
      <c r="AR920" s="19"/>
      <c r="AS920" s="19"/>
      <c r="AT920" s="19"/>
    </row>
    <row r="921" spans="1:46" ht="12.5" x14ac:dyDescent="0.25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30"/>
      <c r="AM921" s="19"/>
      <c r="AN921" s="19"/>
      <c r="AO921" s="19"/>
      <c r="AP921" s="130"/>
      <c r="AQ921" s="130"/>
      <c r="AR921" s="19"/>
      <c r="AS921" s="19"/>
      <c r="AT921" s="19"/>
    </row>
    <row r="922" spans="1:46" ht="12.5" x14ac:dyDescent="0.25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30"/>
      <c r="AM922" s="19"/>
      <c r="AN922" s="19"/>
      <c r="AO922" s="19"/>
      <c r="AP922" s="130"/>
      <c r="AQ922" s="130"/>
      <c r="AR922" s="19"/>
      <c r="AS922" s="19"/>
      <c r="AT922" s="19"/>
    </row>
    <row r="923" spans="1:46" ht="12.5" x14ac:dyDescent="0.25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30"/>
      <c r="AM923" s="19"/>
      <c r="AN923" s="19"/>
      <c r="AO923" s="19"/>
      <c r="AP923" s="130"/>
      <c r="AQ923" s="130"/>
      <c r="AR923" s="19"/>
      <c r="AS923" s="19"/>
      <c r="AT923" s="19"/>
    </row>
    <row r="924" spans="1:46" ht="12.5" x14ac:dyDescent="0.25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30"/>
      <c r="AM924" s="19"/>
      <c r="AN924" s="19"/>
      <c r="AO924" s="19"/>
      <c r="AP924" s="130"/>
      <c r="AQ924" s="130"/>
      <c r="AR924" s="19"/>
      <c r="AS924" s="19"/>
      <c r="AT924" s="19"/>
    </row>
    <row r="925" spans="1:46" ht="12.5" x14ac:dyDescent="0.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30"/>
      <c r="AM925" s="19"/>
      <c r="AN925" s="19"/>
      <c r="AO925" s="19"/>
      <c r="AP925" s="130"/>
      <c r="AQ925" s="130"/>
      <c r="AR925" s="19"/>
      <c r="AS925" s="19"/>
      <c r="AT925" s="19"/>
    </row>
    <row r="926" spans="1:46" ht="12.5" x14ac:dyDescent="0.25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30"/>
      <c r="AM926" s="19"/>
      <c r="AN926" s="19"/>
      <c r="AO926" s="19"/>
      <c r="AP926" s="130"/>
      <c r="AQ926" s="130"/>
      <c r="AR926" s="19"/>
      <c r="AS926" s="19"/>
      <c r="AT926" s="19"/>
    </row>
    <row r="927" spans="1:46" ht="12.5" x14ac:dyDescent="0.25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30"/>
      <c r="AM927" s="19"/>
      <c r="AN927" s="19"/>
      <c r="AO927" s="19"/>
      <c r="AP927" s="130"/>
      <c r="AQ927" s="130"/>
      <c r="AR927" s="19"/>
      <c r="AS927" s="19"/>
      <c r="AT927" s="19"/>
    </row>
    <row r="928" spans="1:46" ht="12.5" x14ac:dyDescent="0.25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30"/>
      <c r="AM928" s="19"/>
      <c r="AN928" s="19"/>
      <c r="AO928" s="19"/>
      <c r="AP928" s="130"/>
      <c r="AQ928" s="130"/>
      <c r="AR928" s="19"/>
      <c r="AS928" s="19"/>
      <c r="AT928" s="19"/>
    </row>
    <row r="929" spans="1:46" ht="12.5" x14ac:dyDescent="0.25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30"/>
      <c r="AM929" s="19"/>
      <c r="AN929" s="19"/>
      <c r="AO929" s="19"/>
      <c r="AP929" s="130"/>
      <c r="AQ929" s="130"/>
      <c r="AR929" s="19"/>
      <c r="AS929" s="19"/>
      <c r="AT929" s="19"/>
    </row>
    <row r="930" spans="1:46" ht="12.5" x14ac:dyDescent="0.25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30"/>
      <c r="AM930" s="19"/>
      <c r="AN930" s="19"/>
      <c r="AO930" s="19"/>
      <c r="AP930" s="130"/>
      <c r="AQ930" s="130"/>
      <c r="AR930" s="19"/>
      <c r="AS930" s="19"/>
      <c r="AT930" s="19"/>
    </row>
    <row r="931" spans="1:46" ht="12.5" x14ac:dyDescent="0.25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30"/>
      <c r="AM931" s="19"/>
      <c r="AN931" s="19"/>
      <c r="AO931" s="19"/>
      <c r="AP931" s="130"/>
      <c r="AQ931" s="130"/>
      <c r="AR931" s="19"/>
      <c r="AS931" s="19"/>
      <c r="AT931" s="19"/>
    </row>
    <row r="932" spans="1:46" ht="12.5" x14ac:dyDescent="0.25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30"/>
      <c r="AM932" s="19"/>
      <c r="AN932" s="19"/>
      <c r="AO932" s="19"/>
      <c r="AP932" s="130"/>
      <c r="AQ932" s="130"/>
      <c r="AR932" s="19"/>
      <c r="AS932" s="19"/>
      <c r="AT932" s="19"/>
    </row>
    <row r="933" spans="1:46" ht="12.5" x14ac:dyDescent="0.25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30"/>
      <c r="AM933" s="19"/>
      <c r="AN933" s="19"/>
      <c r="AO933" s="19"/>
      <c r="AP933" s="130"/>
      <c r="AQ933" s="130"/>
      <c r="AR933" s="19"/>
      <c r="AS933" s="19"/>
      <c r="AT933" s="19"/>
    </row>
    <row r="934" spans="1:46" ht="12.5" x14ac:dyDescent="0.25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30"/>
      <c r="AM934" s="19"/>
      <c r="AN934" s="19"/>
      <c r="AO934" s="19"/>
      <c r="AP934" s="130"/>
      <c r="AQ934" s="130"/>
      <c r="AR934" s="19"/>
      <c r="AS934" s="19"/>
      <c r="AT934" s="19"/>
    </row>
    <row r="935" spans="1:46" ht="12.5" x14ac:dyDescent="0.2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30"/>
      <c r="AM935" s="19"/>
      <c r="AN935" s="19"/>
      <c r="AO935" s="19"/>
      <c r="AP935" s="130"/>
      <c r="AQ935" s="130"/>
      <c r="AR935" s="19"/>
      <c r="AS935" s="19"/>
      <c r="AT935" s="19"/>
    </row>
    <row r="936" spans="1:46" ht="12.5" x14ac:dyDescent="0.25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30"/>
      <c r="AM936" s="19"/>
      <c r="AN936" s="19"/>
      <c r="AO936" s="19"/>
      <c r="AP936" s="130"/>
      <c r="AQ936" s="130"/>
      <c r="AR936" s="19"/>
      <c r="AS936" s="19"/>
      <c r="AT936" s="19"/>
    </row>
    <row r="937" spans="1:46" ht="12.5" x14ac:dyDescent="0.25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30"/>
      <c r="AM937" s="19"/>
      <c r="AN937" s="19"/>
      <c r="AO937" s="19"/>
      <c r="AP937" s="130"/>
      <c r="AQ937" s="130"/>
      <c r="AR937" s="19"/>
      <c r="AS937" s="19"/>
      <c r="AT937" s="19"/>
    </row>
    <row r="938" spans="1:46" ht="12.5" x14ac:dyDescent="0.25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30"/>
      <c r="AM938" s="19"/>
      <c r="AN938" s="19"/>
      <c r="AO938" s="19"/>
      <c r="AP938" s="130"/>
      <c r="AQ938" s="130"/>
      <c r="AR938" s="19"/>
      <c r="AS938" s="19"/>
      <c r="AT938" s="19"/>
    </row>
    <row r="939" spans="1:46" ht="12.5" x14ac:dyDescent="0.25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30"/>
      <c r="AM939" s="19"/>
      <c r="AN939" s="19"/>
      <c r="AO939" s="19"/>
      <c r="AP939" s="130"/>
      <c r="AQ939" s="130"/>
      <c r="AR939" s="19"/>
      <c r="AS939" s="19"/>
      <c r="AT939" s="19"/>
    </row>
    <row r="940" spans="1:46" ht="12.5" x14ac:dyDescent="0.25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30"/>
      <c r="AM940" s="19"/>
      <c r="AN940" s="19"/>
      <c r="AO940" s="19"/>
      <c r="AP940" s="130"/>
      <c r="AQ940" s="130"/>
      <c r="AR940" s="19"/>
      <c r="AS940" s="19"/>
      <c r="AT940" s="19"/>
    </row>
    <row r="941" spans="1:46" ht="12.5" x14ac:dyDescent="0.25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30"/>
      <c r="AM941" s="19"/>
      <c r="AN941" s="19"/>
      <c r="AO941" s="19"/>
      <c r="AP941" s="130"/>
      <c r="AQ941" s="130"/>
      <c r="AR941" s="19"/>
      <c r="AS941" s="19"/>
      <c r="AT941" s="19"/>
    </row>
    <row r="942" spans="1:46" ht="12.5" x14ac:dyDescent="0.25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30"/>
      <c r="AM942" s="19"/>
      <c r="AN942" s="19"/>
      <c r="AO942" s="19"/>
      <c r="AP942" s="130"/>
      <c r="AQ942" s="130"/>
      <c r="AR942" s="19"/>
      <c r="AS942" s="19"/>
      <c r="AT942" s="19"/>
    </row>
    <row r="943" spans="1:46" ht="12.5" x14ac:dyDescent="0.25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30"/>
      <c r="AM943" s="19"/>
      <c r="AN943" s="19"/>
      <c r="AO943" s="19"/>
      <c r="AP943" s="130"/>
      <c r="AQ943" s="130"/>
      <c r="AR943" s="19"/>
      <c r="AS943" s="19"/>
      <c r="AT943" s="19"/>
    </row>
    <row r="944" spans="1:46" ht="12.5" x14ac:dyDescent="0.25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30"/>
      <c r="AM944" s="19"/>
      <c r="AN944" s="19"/>
      <c r="AO944" s="19"/>
      <c r="AP944" s="130"/>
      <c r="AQ944" s="130"/>
      <c r="AR944" s="19"/>
      <c r="AS944" s="19"/>
      <c r="AT944" s="19"/>
    </row>
    <row r="945" spans="1:46" ht="12.5" x14ac:dyDescent="0.2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30"/>
      <c r="AM945" s="19"/>
      <c r="AN945" s="19"/>
      <c r="AO945" s="19"/>
      <c r="AP945" s="130"/>
      <c r="AQ945" s="130"/>
      <c r="AR945" s="19"/>
      <c r="AS945" s="19"/>
      <c r="AT945" s="19"/>
    </row>
    <row r="946" spans="1:46" ht="12.5" x14ac:dyDescent="0.25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30"/>
      <c r="AM946" s="19"/>
      <c r="AN946" s="19"/>
      <c r="AO946" s="19"/>
      <c r="AP946" s="130"/>
      <c r="AQ946" s="130"/>
      <c r="AR946" s="19"/>
      <c r="AS946" s="19"/>
      <c r="AT946" s="19"/>
    </row>
    <row r="947" spans="1:46" ht="12.5" x14ac:dyDescent="0.25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30"/>
      <c r="AM947" s="19"/>
      <c r="AN947" s="19"/>
      <c r="AO947" s="19"/>
      <c r="AP947" s="130"/>
      <c r="AQ947" s="130"/>
      <c r="AR947" s="19"/>
      <c r="AS947" s="19"/>
      <c r="AT947" s="19"/>
    </row>
    <row r="948" spans="1:46" ht="12.5" x14ac:dyDescent="0.25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30"/>
      <c r="AM948" s="19"/>
      <c r="AN948" s="19"/>
      <c r="AO948" s="19"/>
      <c r="AP948" s="130"/>
      <c r="AQ948" s="130"/>
      <c r="AR948" s="19"/>
      <c r="AS948" s="19"/>
      <c r="AT948" s="19"/>
    </row>
    <row r="949" spans="1:46" ht="12.5" x14ac:dyDescent="0.25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30"/>
      <c r="AM949" s="19"/>
      <c r="AN949" s="19"/>
      <c r="AO949" s="19"/>
      <c r="AP949" s="130"/>
      <c r="AQ949" s="130"/>
      <c r="AR949" s="19"/>
      <c r="AS949" s="19"/>
      <c r="AT949" s="19"/>
    </row>
    <row r="950" spans="1:46" ht="12.5" x14ac:dyDescent="0.25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30"/>
      <c r="AM950" s="19"/>
      <c r="AN950" s="19"/>
      <c r="AO950" s="19"/>
      <c r="AP950" s="130"/>
      <c r="AQ950" s="130"/>
      <c r="AR950" s="19"/>
      <c r="AS950" s="19"/>
      <c r="AT950" s="19"/>
    </row>
    <row r="951" spans="1:46" ht="12.5" x14ac:dyDescent="0.25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30"/>
      <c r="AM951" s="19"/>
      <c r="AN951" s="19"/>
      <c r="AO951" s="19"/>
      <c r="AP951" s="130"/>
      <c r="AQ951" s="130"/>
      <c r="AR951" s="19"/>
      <c r="AS951" s="19"/>
      <c r="AT951" s="19"/>
    </row>
    <row r="952" spans="1:46" ht="12.5" x14ac:dyDescent="0.25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30"/>
      <c r="AM952" s="19"/>
      <c r="AN952" s="19"/>
      <c r="AO952" s="19"/>
      <c r="AP952" s="130"/>
      <c r="AQ952" s="130"/>
      <c r="AR952" s="19"/>
      <c r="AS952" s="19"/>
      <c r="AT952" s="19"/>
    </row>
    <row r="953" spans="1:46" ht="12.5" x14ac:dyDescent="0.25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30"/>
      <c r="AM953" s="19"/>
      <c r="AN953" s="19"/>
      <c r="AO953" s="19"/>
      <c r="AP953" s="130"/>
      <c r="AQ953" s="130"/>
      <c r="AR953" s="19"/>
      <c r="AS953" s="19"/>
      <c r="AT953" s="19"/>
    </row>
    <row r="954" spans="1:46" ht="12.5" x14ac:dyDescent="0.25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30"/>
      <c r="AM954" s="19"/>
      <c r="AN954" s="19"/>
      <c r="AO954" s="19"/>
      <c r="AP954" s="130"/>
      <c r="AQ954" s="130"/>
      <c r="AR954" s="19"/>
      <c r="AS954" s="19"/>
      <c r="AT954" s="19"/>
    </row>
    <row r="955" spans="1:46" ht="12.5" x14ac:dyDescent="0.2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30"/>
      <c r="AM955" s="19"/>
      <c r="AN955" s="19"/>
      <c r="AO955" s="19"/>
      <c r="AP955" s="130"/>
      <c r="AQ955" s="130"/>
      <c r="AR955" s="19"/>
      <c r="AS955" s="19"/>
      <c r="AT955" s="19"/>
    </row>
    <row r="956" spans="1:46" ht="12.5" x14ac:dyDescent="0.25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30"/>
      <c r="AM956" s="19"/>
      <c r="AN956" s="19"/>
      <c r="AO956" s="19"/>
      <c r="AP956" s="130"/>
      <c r="AQ956" s="130"/>
      <c r="AR956" s="19"/>
      <c r="AS956" s="19"/>
      <c r="AT956" s="19"/>
    </row>
    <row r="957" spans="1:46" ht="12.5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30"/>
      <c r="AM957" s="19"/>
      <c r="AN957" s="19"/>
      <c r="AO957" s="19"/>
      <c r="AP957" s="130"/>
      <c r="AQ957" s="130"/>
      <c r="AR957" s="19"/>
      <c r="AS957" s="19"/>
      <c r="AT957" s="19"/>
    </row>
    <row r="958" spans="1:46" ht="12.5" x14ac:dyDescent="0.25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30"/>
      <c r="AM958" s="19"/>
      <c r="AN958" s="19"/>
      <c r="AO958" s="19"/>
      <c r="AP958" s="130"/>
      <c r="AQ958" s="130"/>
      <c r="AR958" s="19"/>
      <c r="AS958" s="19"/>
      <c r="AT958" s="19"/>
    </row>
    <row r="959" spans="1:46" ht="12.5" x14ac:dyDescent="0.25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30"/>
      <c r="AM959" s="19"/>
      <c r="AN959" s="19"/>
      <c r="AO959" s="19"/>
      <c r="AP959" s="130"/>
      <c r="AQ959" s="130"/>
      <c r="AR959" s="19"/>
      <c r="AS959" s="19"/>
      <c r="AT959" s="19"/>
    </row>
    <row r="960" spans="1:46" ht="12.5" x14ac:dyDescent="0.25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30"/>
      <c r="AM960" s="19"/>
      <c r="AN960" s="19"/>
      <c r="AO960" s="19"/>
      <c r="AP960" s="130"/>
      <c r="AQ960" s="130"/>
      <c r="AR960" s="19"/>
      <c r="AS960" s="19"/>
      <c r="AT960" s="19"/>
    </row>
    <row r="961" spans="1:46" ht="12.5" x14ac:dyDescent="0.25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30"/>
      <c r="AM961" s="19"/>
      <c r="AN961" s="19"/>
      <c r="AO961" s="19"/>
      <c r="AP961" s="130"/>
      <c r="AQ961" s="130"/>
      <c r="AR961" s="19"/>
      <c r="AS961" s="19"/>
      <c r="AT961" s="19"/>
    </row>
    <row r="962" spans="1:46" ht="12.5" x14ac:dyDescent="0.25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30"/>
      <c r="AM962" s="19"/>
      <c r="AN962" s="19"/>
      <c r="AO962" s="19"/>
      <c r="AP962" s="130"/>
      <c r="AQ962" s="130"/>
      <c r="AR962" s="19"/>
      <c r="AS962" s="19"/>
      <c r="AT962" s="19"/>
    </row>
    <row r="963" spans="1:46" ht="12.5" x14ac:dyDescent="0.25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30"/>
      <c r="AM963" s="19"/>
      <c r="AN963" s="19"/>
      <c r="AO963" s="19"/>
      <c r="AP963" s="130"/>
      <c r="AQ963" s="130"/>
      <c r="AR963" s="19"/>
      <c r="AS963" s="19"/>
      <c r="AT963" s="19"/>
    </row>
    <row r="964" spans="1:46" ht="12.5" x14ac:dyDescent="0.25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30"/>
      <c r="AM964" s="19"/>
      <c r="AN964" s="19"/>
      <c r="AO964" s="19"/>
      <c r="AP964" s="130"/>
      <c r="AQ964" s="130"/>
      <c r="AR964" s="19"/>
      <c r="AS964" s="19"/>
      <c r="AT964" s="19"/>
    </row>
    <row r="965" spans="1:46" ht="12.5" x14ac:dyDescent="0.2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30"/>
      <c r="AM965" s="19"/>
      <c r="AN965" s="19"/>
      <c r="AO965" s="19"/>
      <c r="AP965" s="130"/>
      <c r="AQ965" s="130"/>
      <c r="AR965" s="19"/>
      <c r="AS965" s="19"/>
      <c r="AT965" s="19"/>
    </row>
    <row r="966" spans="1:46" ht="12.5" x14ac:dyDescent="0.25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30"/>
      <c r="AM966" s="19"/>
      <c r="AN966" s="19"/>
      <c r="AO966" s="19"/>
      <c r="AP966" s="130"/>
      <c r="AQ966" s="130"/>
      <c r="AR966" s="19"/>
      <c r="AS966" s="19"/>
      <c r="AT966" s="19"/>
    </row>
    <row r="967" spans="1:46" ht="12.5" x14ac:dyDescent="0.25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30"/>
      <c r="AM967" s="19"/>
      <c r="AN967" s="19"/>
      <c r="AO967" s="19"/>
      <c r="AP967" s="130"/>
      <c r="AQ967" s="130"/>
      <c r="AR967" s="19"/>
      <c r="AS967" s="19"/>
      <c r="AT967" s="19"/>
    </row>
    <row r="968" spans="1:46" ht="12.5" x14ac:dyDescent="0.25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30"/>
      <c r="AM968" s="19"/>
      <c r="AN968" s="19"/>
      <c r="AO968" s="19"/>
      <c r="AP968" s="130"/>
      <c r="AQ968" s="130"/>
      <c r="AR968" s="19"/>
      <c r="AS968" s="19"/>
      <c r="AT968" s="19"/>
    </row>
    <row r="969" spans="1:46" ht="12.5" x14ac:dyDescent="0.25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30"/>
      <c r="AM969" s="19"/>
      <c r="AN969" s="19"/>
      <c r="AO969" s="19"/>
      <c r="AP969" s="130"/>
      <c r="AQ969" s="130"/>
      <c r="AR969" s="19"/>
      <c r="AS969" s="19"/>
      <c r="AT969" s="19"/>
    </row>
    <row r="970" spans="1:46" ht="12.5" x14ac:dyDescent="0.25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30"/>
      <c r="AM970" s="19"/>
      <c r="AN970" s="19"/>
      <c r="AO970" s="19"/>
      <c r="AP970" s="130"/>
      <c r="AQ970" s="130"/>
      <c r="AR970" s="19"/>
      <c r="AS970" s="19"/>
      <c r="AT970" s="19"/>
    </row>
    <row r="971" spans="1:46" ht="12.5" x14ac:dyDescent="0.25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30"/>
      <c r="AM971" s="19"/>
      <c r="AN971" s="19"/>
      <c r="AO971" s="19"/>
      <c r="AP971" s="130"/>
      <c r="AQ971" s="130"/>
      <c r="AR971" s="19"/>
      <c r="AS971" s="19"/>
      <c r="AT971" s="19"/>
    </row>
    <row r="972" spans="1:46" ht="12.5" x14ac:dyDescent="0.25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30"/>
      <c r="AM972" s="19"/>
      <c r="AN972" s="19"/>
      <c r="AO972" s="19"/>
      <c r="AP972" s="130"/>
      <c r="AQ972" s="130"/>
      <c r="AR972" s="19"/>
      <c r="AS972" s="19"/>
      <c r="AT972" s="19"/>
    </row>
    <row r="973" spans="1:46" ht="12.5" x14ac:dyDescent="0.25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30"/>
      <c r="AM973" s="19"/>
      <c r="AN973" s="19"/>
      <c r="AO973" s="19"/>
      <c r="AP973" s="130"/>
      <c r="AQ973" s="130"/>
      <c r="AR973" s="19"/>
      <c r="AS973" s="19"/>
      <c r="AT973" s="19"/>
    </row>
    <row r="974" spans="1:46" ht="12.5" x14ac:dyDescent="0.25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30"/>
      <c r="AM974" s="19"/>
      <c r="AN974" s="19"/>
      <c r="AO974" s="19"/>
      <c r="AP974" s="130"/>
      <c r="AQ974" s="130"/>
      <c r="AR974" s="19"/>
      <c r="AS974" s="19"/>
      <c r="AT974" s="19"/>
    </row>
    <row r="975" spans="1:46" ht="12.5" x14ac:dyDescent="0.2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30"/>
      <c r="AM975" s="19"/>
      <c r="AN975" s="19"/>
      <c r="AO975" s="19"/>
      <c r="AP975" s="130"/>
      <c r="AQ975" s="130"/>
      <c r="AR975" s="19"/>
      <c r="AS975" s="19"/>
      <c r="AT975" s="19"/>
    </row>
    <row r="976" spans="1:46" ht="12.5" x14ac:dyDescent="0.25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30"/>
      <c r="AM976" s="19"/>
      <c r="AN976" s="19"/>
      <c r="AO976" s="19"/>
      <c r="AP976" s="130"/>
      <c r="AQ976" s="130"/>
      <c r="AR976" s="19"/>
      <c r="AS976" s="19"/>
      <c r="AT976" s="19"/>
    </row>
    <row r="977" spans="1:46" ht="12.5" x14ac:dyDescent="0.25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30"/>
      <c r="AM977" s="19"/>
      <c r="AN977" s="19"/>
      <c r="AO977" s="19"/>
      <c r="AP977" s="130"/>
      <c r="AQ977" s="130"/>
      <c r="AR977" s="19"/>
      <c r="AS977" s="19"/>
      <c r="AT977" s="19"/>
    </row>
    <row r="978" spans="1:46" ht="12.5" x14ac:dyDescent="0.25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30"/>
      <c r="AM978" s="19"/>
      <c r="AN978" s="19"/>
      <c r="AO978" s="19"/>
      <c r="AP978" s="130"/>
      <c r="AQ978" s="130"/>
      <c r="AR978" s="19"/>
      <c r="AS978" s="19"/>
      <c r="AT978" s="19"/>
    </row>
    <row r="979" spans="1:46" ht="12.5" x14ac:dyDescent="0.25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30"/>
      <c r="AM979" s="19"/>
      <c r="AN979" s="19"/>
      <c r="AO979" s="19"/>
      <c r="AP979" s="130"/>
      <c r="AQ979" s="130"/>
      <c r="AR979" s="19"/>
      <c r="AS979" s="19"/>
      <c r="AT979" s="19"/>
    </row>
    <row r="980" spans="1:46" ht="12.5" x14ac:dyDescent="0.25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30"/>
      <c r="AM980" s="19"/>
      <c r="AN980" s="19"/>
      <c r="AO980" s="19"/>
      <c r="AP980" s="130"/>
      <c r="AQ980" s="130"/>
      <c r="AR980" s="19"/>
      <c r="AS980" s="19"/>
      <c r="AT980" s="19"/>
    </row>
    <row r="981" spans="1:46" ht="12.5" x14ac:dyDescent="0.25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30"/>
      <c r="AM981" s="19"/>
      <c r="AN981" s="19"/>
      <c r="AO981" s="19"/>
      <c r="AP981" s="130"/>
      <c r="AQ981" s="130"/>
      <c r="AR981" s="19"/>
      <c r="AS981" s="19"/>
      <c r="AT981" s="19"/>
    </row>
    <row r="982" spans="1:46" ht="12.5" x14ac:dyDescent="0.25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30"/>
      <c r="AM982" s="19"/>
      <c r="AN982" s="19"/>
      <c r="AO982" s="19"/>
      <c r="AP982" s="130"/>
      <c r="AQ982" s="130"/>
      <c r="AR982" s="19"/>
      <c r="AS982" s="19"/>
      <c r="AT982" s="19"/>
    </row>
    <row r="983" spans="1:46" ht="12.5" x14ac:dyDescent="0.25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30"/>
      <c r="AM983" s="19"/>
      <c r="AN983" s="19"/>
      <c r="AO983" s="19"/>
      <c r="AP983" s="130"/>
      <c r="AQ983" s="130"/>
      <c r="AR983" s="19"/>
      <c r="AS983" s="19"/>
      <c r="AT983" s="19"/>
    </row>
    <row r="984" spans="1:46" ht="12.5" x14ac:dyDescent="0.25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30"/>
      <c r="AM984" s="19"/>
      <c r="AN984" s="19"/>
      <c r="AO984" s="19"/>
      <c r="AP984" s="130"/>
      <c r="AQ984" s="130"/>
      <c r="AR984" s="19"/>
      <c r="AS984" s="19"/>
      <c r="AT984" s="19"/>
    </row>
    <row r="985" spans="1:46" ht="12.5" x14ac:dyDescent="0.2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30"/>
      <c r="AM985" s="19"/>
      <c r="AN985" s="19"/>
      <c r="AO985" s="19"/>
      <c r="AP985" s="130"/>
      <c r="AQ985" s="130"/>
      <c r="AR985" s="19"/>
      <c r="AS985" s="19"/>
      <c r="AT985" s="19"/>
    </row>
    <row r="986" spans="1:46" ht="12.5" x14ac:dyDescent="0.2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30"/>
      <c r="AM986" s="19"/>
      <c r="AN986" s="19"/>
      <c r="AO986" s="19"/>
      <c r="AP986" s="130"/>
      <c r="AQ986" s="130"/>
      <c r="AR986" s="19"/>
      <c r="AS986" s="19"/>
      <c r="AT986" s="19"/>
    </row>
    <row r="987" spans="1:46" ht="12.5" x14ac:dyDescent="0.25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30"/>
      <c r="AM987" s="19"/>
      <c r="AN987" s="19"/>
      <c r="AO987" s="19"/>
      <c r="AP987" s="130"/>
      <c r="AQ987" s="130"/>
      <c r="AR987" s="19"/>
      <c r="AS987" s="19"/>
      <c r="AT987" s="19"/>
    </row>
    <row r="988" spans="1:46" ht="12.5" x14ac:dyDescent="0.25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30"/>
      <c r="AM988" s="19"/>
      <c r="AN988" s="19"/>
      <c r="AO988" s="19"/>
      <c r="AP988" s="130"/>
      <c r="AQ988" s="130"/>
      <c r="AR988" s="19"/>
      <c r="AS988" s="19"/>
      <c r="AT988" s="19"/>
    </row>
    <row r="989" spans="1:46" ht="12.5" x14ac:dyDescent="0.25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</row>
    <row r="990" spans="1:46" ht="12.5" x14ac:dyDescent="0.25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</row>
    <row r="991" spans="1:46" ht="12.5" x14ac:dyDescent="0.25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</row>
    <row r="992" spans="1:46" ht="12.5" x14ac:dyDescent="0.25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19"/>
      <c r="AT992" s="19"/>
    </row>
  </sheetData>
  <mergeCells count="5">
    <mergeCell ref="C6:N6"/>
    <mergeCell ref="O6:U6"/>
    <mergeCell ref="V6:AB6"/>
    <mergeCell ref="AC6:AK6"/>
    <mergeCell ref="AN6:AS6"/>
  </mergeCells>
  <conditionalFormatting sqref="C8:C15">
    <cfRule type="cellIs" dxfId="52" priority="1" operator="greaterThan">
      <formula>4809.8</formula>
    </cfRule>
    <cfRule type="cellIs" dxfId="51" priority="2" operator="lessThan">
      <formula>10.5</formula>
    </cfRule>
  </conditionalFormatting>
  <conditionalFormatting sqref="D8:D15">
    <cfRule type="cellIs" dxfId="50" priority="3" operator="greaterThan">
      <formula>5182.9</formula>
    </cfRule>
    <cfRule type="cellIs" dxfId="49" priority="4" operator="lessThan">
      <formula>10.1</formula>
    </cfRule>
  </conditionalFormatting>
  <conditionalFormatting sqref="E8:E15">
    <cfRule type="cellIs" dxfId="48" priority="5" operator="greaterThan">
      <formula>5324591</formula>
    </cfRule>
    <cfRule type="cellIs" dxfId="47" priority="6" operator="lessThan">
      <formula>11936.35</formula>
    </cfRule>
  </conditionalFormatting>
  <conditionalFormatting sqref="F8:F15">
    <cfRule type="cellIs" dxfId="46" priority="7" operator="greaterThan">
      <formula>393654.23</formula>
    </cfRule>
    <cfRule type="cellIs" dxfId="45" priority="8" operator="lessThan">
      <formula>5234.58</formula>
    </cfRule>
  </conditionalFormatting>
  <conditionalFormatting sqref="G8:G15">
    <cfRule type="cellIs" dxfId="44" priority="9" operator="greaterThan">
      <formula>13102234.65</formula>
    </cfRule>
    <cfRule type="cellIs" dxfId="43" priority="10" operator="lessThan">
      <formula>31301.34</formula>
    </cfRule>
  </conditionalFormatting>
  <conditionalFormatting sqref="H8:H15">
    <cfRule type="cellIs" dxfId="42" priority="11" operator="greaterThan">
      <formula>525618.19</formula>
    </cfRule>
    <cfRule type="cellIs" dxfId="41" priority="12" operator="lessThan">
      <formula>5687.34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H95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328125" defaultRowHeight="15.75" customHeight="1" x14ac:dyDescent="0.25"/>
  <cols>
    <col min="1" max="1" width="14.7265625" customWidth="1"/>
    <col min="2" max="2" width="22.90625" customWidth="1"/>
    <col min="4" max="4" width="14" customWidth="1"/>
    <col min="10" max="11" width="18.6328125" customWidth="1"/>
    <col min="13" max="13" width="13.453125" customWidth="1"/>
    <col min="14" max="14" width="16.26953125" customWidth="1"/>
    <col min="15" max="15" width="24.08984375" customWidth="1"/>
    <col min="16" max="16" width="16.6328125" customWidth="1"/>
    <col min="17" max="17" width="19.7265625" customWidth="1"/>
    <col min="18" max="18" width="19.26953125" customWidth="1"/>
    <col min="19" max="19" width="19.6328125" customWidth="1"/>
    <col min="20" max="22" width="21.6328125" customWidth="1"/>
    <col min="23" max="23" width="19.7265625" customWidth="1"/>
    <col min="25" max="25" width="34" customWidth="1"/>
  </cols>
  <sheetData>
    <row r="1" spans="1:34" ht="15.75" customHeight="1" x14ac:dyDescent="0.35">
      <c r="A1" s="1" t="s">
        <v>162</v>
      </c>
      <c r="B1" s="1" t="s">
        <v>0</v>
      </c>
      <c r="C1" s="41" t="s">
        <v>163</v>
      </c>
      <c r="D1" s="41" t="s">
        <v>164</v>
      </c>
      <c r="E1" s="41" t="s">
        <v>165</v>
      </c>
      <c r="F1" s="42" t="s">
        <v>166</v>
      </c>
      <c r="G1" s="41" t="s">
        <v>167</v>
      </c>
      <c r="H1" s="43" t="s">
        <v>168</v>
      </c>
      <c r="I1" s="43" t="s">
        <v>169</v>
      </c>
      <c r="J1" s="41" t="s">
        <v>170</v>
      </c>
      <c r="K1" s="41" t="s">
        <v>171</v>
      </c>
      <c r="L1" s="41" t="s">
        <v>172</v>
      </c>
      <c r="M1" s="44" t="s">
        <v>173</v>
      </c>
      <c r="N1" s="41" t="s">
        <v>174</v>
      </c>
      <c r="O1" s="45" t="s">
        <v>175</v>
      </c>
      <c r="P1" s="45" t="s">
        <v>326</v>
      </c>
      <c r="Q1" s="45" t="s">
        <v>177</v>
      </c>
      <c r="R1" s="45" t="s">
        <v>178</v>
      </c>
      <c r="S1" s="45" t="s">
        <v>179</v>
      </c>
      <c r="T1" s="45" t="s">
        <v>180</v>
      </c>
      <c r="U1" s="1" t="s">
        <v>327</v>
      </c>
      <c r="V1" s="45" t="s">
        <v>182</v>
      </c>
      <c r="W1" s="45" t="s">
        <v>183</v>
      </c>
      <c r="X1" s="1" t="s">
        <v>184</v>
      </c>
      <c r="Y1" s="41" t="s">
        <v>185</v>
      </c>
      <c r="Z1" s="1" t="s">
        <v>186</v>
      </c>
      <c r="AA1" s="7"/>
      <c r="AB1" s="7"/>
      <c r="AC1" s="7"/>
      <c r="AD1" s="7"/>
      <c r="AE1" s="7"/>
      <c r="AF1" s="7"/>
      <c r="AG1" s="7"/>
      <c r="AH1" s="7"/>
    </row>
    <row r="2" spans="1:34" ht="15.75" customHeight="1" x14ac:dyDescent="0.35">
      <c r="A2" s="46" t="s">
        <v>133</v>
      </c>
      <c r="B2" s="46" t="s">
        <v>150</v>
      </c>
      <c r="C2" s="48">
        <v>44978</v>
      </c>
      <c r="D2" s="48">
        <v>44988</v>
      </c>
      <c r="E2" s="49">
        <f t="shared" ref="E2:E3" si="0">SUM(25,1000,200,770,530,990)</f>
        <v>3515</v>
      </c>
      <c r="F2" s="50">
        <v>0.71140000000000003</v>
      </c>
      <c r="G2" s="51">
        <f t="shared" ref="G2:G19" si="1">F2*83.333</f>
        <v>59.283096200000003</v>
      </c>
      <c r="H2" s="52">
        <v>10.7011</v>
      </c>
      <c r="I2" s="52">
        <v>17.973199999999999</v>
      </c>
      <c r="J2" s="172">
        <f t="shared" ref="J2:J19" si="2">(I2-H2)/$B$31</f>
        <v>9.1819444444444418</v>
      </c>
      <c r="K2" s="51">
        <v>11</v>
      </c>
      <c r="L2" s="51">
        <f t="shared" ref="L2:L19" si="3">E2*G2/J2*$B$30</f>
        <v>4538.9096918154601</v>
      </c>
      <c r="M2" s="54">
        <f t="shared" ref="M2:M19" si="4">L2/1000</f>
        <v>4.5389096918154603</v>
      </c>
      <c r="N2" s="54">
        <f t="shared" ref="N2:N19" si="5">M2*12</f>
        <v>54.466916301785524</v>
      </c>
      <c r="O2" s="173">
        <v>0.2</v>
      </c>
      <c r="P2" s="174">
        <f t="shared" ref="P2:P19" si="6">O2/1000/12*1000*1000/L2*1000</f>
        <v>3.6719537947009435</v>
      </c>
      <c r="Q2" s="52">
        <v>2.5</v>
      </c>
      <c r="R2" s="52">
        <v>2.2000000000000002</v>
      </c>
      <c r="S2" s="52"/>
      <c r="T2" s="49"/>
      <c r="U2" s="49"/>
      <c r="V2" s="60">
        <f t="shared" ref="V2:V19" si="7">SUM(Q2:U2)</f>
        <v>4.7</v>
      </c>
      <c r="W2" s="60">
        <f t="shared" ref="W2:W19" si="8">N2*V2/1000</f>
        <v>0.25599450661839196</v>
      </c>
      <c r="X2" s="49">
        <v>100</v>
      </c>
      <c r="Y2" s="175">
        <f t="shared" ref="Y2:Y19" si="9">L2*V2/X2</f>
        <v>213.32875551532663</v>
      </c>
      <c r="Z2" s="1" t="s">
        <v>187</v>
      </c>
      <c r="AA2" s="7"/>
      <c r="AB2" s="7"/>
      <c r="AC2" s="7"/>
      <c r="AD2" s="7"/>
      <c r="AE2" s="7"/>
      <c r="AF2" s="7"/>
      <c r="AG2" s="7"/>
      <c r="AH2" s="7"/>
    </row>
    <row r="3" spans="1:34" ht="15.75" customHeight="1" x14ac:dyDescent="0.35">
      <c r="A3" s="46" t="s">
        <v>133</v>
      </c>
      <c r="B3" s="46" t="s">
        <v>151</v>
      </c>
      <c r="C3" s="48">
        <v>44978</v>
      </c>
      <c r="D3" s="48">
        <v>44988</v>
      </c>
      <c r="E3" s="49">
        <f t="shared" si="0"/>
        <v>3515</v>
      </c>
      <c r="F3" s="50">
        <v>0.71140000000000003</v>
      </c>
      <c r="G3" s="51">
        <f t="shared" si="1"/>
        <v>59.283096200000003</v>
      </c>
      <c r="H3" s="52">
        <v>10.7011</v>
      </c>
      <c r="I3" s="52">
        <v>17.973199999999999</v>
      </c>
      <c r="J3" s="172">
        <f t="shared" si="2"/>
        <v>9.1819444444444418</v>
      </c>
      <c r="K3" s="51">
        <v>11</v>
      </c>
      <c r="L3" s="51">
        <f t="shared" si="3"/>
        <v>4538.9096918154601</v>
      </c>
      <c r="M3" s="54">
        <f t="shared" si="4"/>
        <v>4.5389096918154603</v>
      </c>
      <c r="N3" s="54">
        <f t="shared" si="5"/>
        <v>54.466916301785524</v>
      </c>
      <c r="O3" s="173">
        <v>0.2</v>
      </c>
      <c r="P3" s="174">
        <f t="shared" si="6"/>
        <v>3.6719537947009435</v>
      </c>
      <c r="Q3" s="52">
        <v>2.5</v>
      </c>
      <c r="R3" s="52">
        <v>2</v>
      </c>
      <c r="S3" s="52"/>
      <c r="T3" s="49"/>
      <c r="U3" s="49"/>
      <c r="V3" s="60">
        <f t="shared" si="7"/>
        <v>4.5</v>
      </c>
      <c r="W3" s="60">
        <f t="shared" si="8"/>
        <v>0.24510112335803486</v>
      </c>
      <c r="X3" s="49">
        <v>100</v>
      </c>
      <c r="Y3" s="175">
        <f t="shared" si="9"/>
        <v>204.25093613169571</v>
      </c>
      <c r="Z3" s="1"/>
      <c r="AA3" s="7"/>
      <c r="AB3" s="7"/>
      <c r="AC3" s="7"/>
      <c r="AD3" s="7"/>
      <c r="AE3" s="7"/>
      <c r="AF3" s="7"/>
      <c r="AG3" s="7"/>
      <c r="AH3" s="7"/>
    </row>
    <row r="4" spans="1:34" ht="15.75" customHeight="1" x14ac:dyDescent="0.35">
      <c r="A4" s="46" t="s">
        <v>116</v>
      </c>
      <c r="B4" s="47" t="s">
        <v>152</v>
      </c>
      <c r="C4" s="48">
        <v>45279</v>
      </c>
      <c r="D4" s="48">
        <v>44939</v>
      </c>
      <c r="E4" s="49">
        <f t="shared" ref="E4:E5" si="10">SUM(1000,460,25,100,230,970,69,880,1000,1000)</f>
        <v>5734</v>
      </c>
      <c r="F4" s="50">
        <v>0.46999999999999992</v>
      </c>
      <c r="G4" s="51">
        <f t="shared" si="1"/>
        <v>39.166509999999995</v>
      </c>
      <c r="H4" s="52">
        <v>10.749499999999999</v>
      </c>
      <c r="I4" s="52">
        <v>18.026199999999999</v>
      </c>
      <c r="J4" s="172">
        <f t="shared" si="2"/>
        <v>9.1877525252525256</v>
      </c>
      <c r="K4" s="51">
        <v>11</v>
      </c>
      <c r="L4" s="51">
        <f t="shared" si="3"/>
        <v>4888.6986827897263</v>
      </c>
      <c r="M4" s="54">
        <f t="shared" si="4"/>
        <v>4.8886986827897259</v>
      </c>
      <c r="N4" s="54">
        <f t="shared" si="5"/>
        <v>58.664384193476707</v>
      </c>
      <c r="O4" s="173">
        <v>0.2</v>
      </c>
      <c r="P4" s="174">
        <f t="shared" si="6"/>
        <v>3.4092235476365804</v>
      </c>
      <c r="Q4" s="52">
        <v>2.5</v>
      </c>
      <c r="R4" s="49">
        <v>2.1</v>
      </c>
      <c r="S4" s="49"/>
      <c r="T4" s="49"/>
      <c r="U4" s="49"/>
      <c r="V4" s="60">
        <f t="shared" si="7"/>
        <v>4.5999999999999996</v>
      </c>
      <c r="W4" s="60">
        <f t="shared" si="8"/>
        <v>0.26985616728999279</v>
      </c>
      <c r="X4" s="49">
        <v>100</v>
      </c>
      <c r="Y4" s="175">
        <f t="shared" si="9"/>
        <v>224.88013940832738</v>
      </c>
      <c r="Z4" s="7" t="s">
        <v>328</v>
      </c>
      <c r="AA4" s="7"/>
      <c r="AB4" s="7"/>
      <c r="AC4" s="7"/>
      <c r="AD4" s="7"/>
      <c r="AE4" s="7"/>
      <c r="AF4" s="7"/>
      <c r="AG4" s="7"/>
      <c r="AH4" s="7"/>
    </row>
    <row r="5" spans="1:34" ht="15.75" customHeight="1" x14ac:dyDescent="0.35">
      <c r="A5" s="46" t="s">
        <v>116</v>
      </c>
      <c r="B5" s="47" t="s">
        <v>153</v>
      </c>
      <c r="C5" s="48">
        <v>45279</v>
      </c>
      <c r="D5" s="48">
        <v>44939</v>
      </c>
      <c r="E5" s="49">
        <f t="shared" si="10"/>
        <v>5734</v>
      </c>
      <c r="F5" s="50">
        <v>0.46999999999999992</v>
      </c>
      <c r="G5" s="51">
        <f t="shared" si="1"/>
        <v>39.166509999999995</v>
      </c>
      <c r="H5" s="52">
        <v>10.749499999999999</v>
      </c>
      <c r="I5" s="52">
        <v>18.026199999999999</v>
      </c>
      <c r="J5" s="172">
        <f t="shared" si="2"/>
        <v>9.1877525252525256</v>
      </c>
      <c r="K5" s="51">
        <v>11</v>
      </c>
      <c r="L5" s="51">
        <f t="shared" si="3"/>
        <v>4888.6986827897263</v>
      </c>
      <c r="M5" s="54">
        <f t="shared" si="4"/>
        <v>4.8886986827897259</v>
      </c>
      <c r="N5" s="54">
        <f t="shared" si="5"/>
        <v>58.664384193476707</v>
      </c>
      <c r="O5" s="173">
        <v>0.2</v>
      </c>
      <c r="P5" s="174">
        <f t="shared" si="6"/>
        <v>3.4092235476365804</v>
      </c>
      <c r="Q5" s="52">
        <v>2.5</v>
      </c>
      <c r="R5" s="49">
        <v>2.1</v>
      </c>
      <c r="S5" s="49"/>
      <c r="T5" s="49"/>
      <c r="U5" s="49"/>
      <c r="V5" s="60">
        <f t="shared" si="7"/>
        <v>4.5999999999999996</v>
      </c>
      <c r="W5" s="60">
        <f t="shared" si="8"/>
        <v>0.26985616728999279</v>
      </c>
      <c r="X5" s="49">
        <v>100</v>
      </c>
      <c r="Y5" s="175">
        <f t="shared" si="9"/>
        <v>224.88013940832738</v>
      </c>
      <c r="Z5" s="7" t="s">
        <v>328</v>
      </c>
      <c r="AA5" s="7"/>
      <c r="AB5" s="7"/>
      <c r="AC5" s="7"/>
      <c r="AD5" s="7"/>
      <c r="AE5" s="7"/>
      <c r="AF5" s="7"/>
      <c r="AG5" s="7"/>
      <c r="AH5" s="7"/>
    </row>
    <row r="6" spans="1:34" ht="15.75" customHeight="1" x14ac:dyDescent="0.35">
      <c r="A6" s="46" t="s">
        <v>113</v>
      </c>
      <c r="B6" s="47" t="s">
        <v>112</v>
      </c>
      <c r="C6" s="48">
        <v>44935</v>
      </c>
      <c r="D6" s="48">
        <v>45044</v>
      </c>
      <c r="E6" s="49">
        <f>SUM(25,880,170,670,990,550)</f>
        <v>3285</v>
      </c>
      <c r="F6" s="50">
        <v>0.43499999999999994</v>
      </c>
      <c r="G6" s="51">
        <f t="shared" si="1"/>
        <v>36.249854999999997</v>
      </c>
      <c r="H6" s="52">
        <v>10.7997</v>
      </c>
      <c r="I6" s="52">
        <v>18.0093</v>
      </c>
      <c r="J6" s="172">
        <f t="shared" si="2"/>
        <v>9.1030303030303035</v>
      </c>
      <c r="K6" s="51">
        <v>11</v>
      </c>
      <c r="L6" s="51">
        <f t="shared" si="3"/>
        <v>2616.288636001997</v>
      </c>
      <c r="M6" s="54">
        <f t="shared" si="4"/>
        <v>2.6162886360019972</v>
      </c>
      <c r="N6" s="54">
        <f t="shared" si="5"/>
        <v>31.395463632023969</v>
      </c>
      <c r="O6" s="173">
        <v>0.2</v>
      </c>
      <c r="P6" s="174">
        <f t="shared" si="6"/>
        <v>6.370347077658578</v>
      </c>
      <c r="Q6" s="52">
        <v>2.5</v>
      </c>
      <c r="R6" s="49">
        <v>2.5</v>
      </c>
      <c r="S6" s="49">
        <v>2</v>
      </c>
      <c r="T6" s="49">
        <v>1.5</v>
      </c>
      <c r="U6" s="49">
        <v>0.625</v>
      </c>
      <c r="V6" s="60">
        <f t="shared" si="7"/>
        <v>9.125</v>
      </c>
      <c r="W6" s="60">
        <f t="shared" si="8"/>
        <v>0.2864836056422187</v>
      </c>
      <c r="X6" s="49">
        <v>100</v>
      </c>
      <c r="Y6" s="175">
        <f t="shared" si="9"/>
        <v>238.73633803518223</v>
      </c>
      <c r="Z6" s="7" t="s">
        <v>329</v>
      </c>
      <c r="AA6" s="7"/>
      <c r="AB6" s="7"/>
      <c r="AC6" s="7"/>
      <c r="AD6" s="7"/>
      <c r="AE6" s="7"/>
      <c r="AF6" s="7"/>
      <c r="AG6" s="7"/>
      <c r="AH6" s="7"/>
    </row>
    <row r="7" spans="1:34" ht="15.75" customHeight="1" x14ac:dyDescent="0.35">
      <c r="A7" s="46" t="s">
        <v>84</v>
      </c>
      <c r="B7" s="47" t="s">
        <v>83</v>
      </c>
      <c r="C7" s="48">
        <v>45279</v>
      </c>
      <c r="D7" s="48">
        <v>45283</v>
      </c>
      <c r="E7" s="49">
        <f>SUM(780,25,640,180,885,467)</f>
        <v>2977</v>
      </c>
      <c r="F7" s="50">
        <v>0.35952499999999998</v>
      </c>
      <c r="G7" s="51">
        <f t="shared" si="1"/>
        <v>29.960296824999997</v>
      </c>
      <c r="H7" s="52">
        <v>10.709199999999999</v>
      </c>
      <c r="I7" s="52">
        <v>17.939499999999999</v>
      </c>
      <c r="J7" s="172">
        <f t="shared" si="2"/>
        <v>9.1291666666666664</v>
      </c>
      <c r="K7" s="51">
        <v>11</v>
      </c>
      <c r="L7" s="51">
        <f t="shared" si="3"/>
        <v>1953.9966111844817</v>
      </c>
      <c r="M7" s="54">
        <f t="shared" si="4"/>
        <v>1.9539966111844818</v>
      </c>
      <c r="N7" s="54">
        <f t="shared" si="5"/>
        <v>23.447959334213781</v>
      </c>
      <c r="O7" s="173">
        <v>0.2</v>
      </c>
      <c r="P7" s="174">
        <f t="shared" si="6"/>
        <v>8.5295269046365441</v>
      </c>
      <c r="Q7" s="52">
        <v>2.5</v>
      </c>
      <c r="R7" s="49">
        <v>2.5</v>
      </c>
      <c r="S7" s="49">
        <v>1.5</v>
      </c>
      <c r="T7" s="49">
        <v>2</v>
      </c>
      <c r="U7" s="49">
        <v>0.75</v>
      </c>
      <c r="V7" s="60">
        <f t="shared" si="7"/>
        <v>9.25</v>
      </c>
      <c r="W7" s="60">
        <f t="shared" si="8"/>
        <v>0.21689362384147748</v>
      </c>
      <c r="X7" s="49">
        <v>100</v>
      </c>
      <c r="Y7" s="175">
        <f t="shared" si="9"/>
        <v>180.74468653456458</v>
      </c>
      <c r="Z7" s="7"/>
      <c r="AA7" s="7"/>
      <c r="AB7" s="7"/>
      <c r="AC7" s="7"/>
      <c r="AD7" s="7"/>
      <c r="AE7" s="7"/>
      <c r="AF7" s="7"/>
      <c r="AG7" s="7"/>
      <c r="AH7" s="7"/>
    </row>
    <row r="8" spans="1:34" ht="15.75" customHeight="1" x14ac:dyDescent="0.35">
      <c r="A8" s="46" t="s">
        <v>133</v>
      </c>
      <c r="B8" s="47" t="s">
        <v>135</v>
      </c>
      <c r="C8" s="48">
        <v>44943</v>
      </c>
      <c r="D8" s="48">
        <v>44953</v>
      </c>
      <c r="E8" s="49">
        <f>SUM(280,390,25,990,740,1000,1000,750)</f>
        <v>5175</v>
      </c>
      <c r="F8" s="50">
        <v>0.3075</v>
      </c>
      <c r="G8" s="51">
        <f t="shared" si="1"/>
        <v>25.624897499999999</v>
      </c>
      <c r="H8" s="52">
        <v>10.7117</v>
      </c>
      <c r="I8" s="52">
        <v>17.812100000000001</v>
      </c>
      <c r="J8" s="172">
        <f t="shared" si="2"/>
        <v>8.9651515151515149</v>
      </c>
      <c r="K8" s="51">
        <v>11</v>
      </c>
      <c r="L8" s="51">
        <f t="shared" si="3"/>
        <v>2958.3179790856852</v>
      </c>
      <c r="M8" s="54">
        <f t="shared" si="4"/>
        <v>2.9583179790856851</v>
      </c>
      <c r="N8" s="54">
        <f t="shared" si="5"/>
        <v>35.499815749028222</v>
      </c>
      <c r="O8" s="173">
        <v>0.2</v>
      </c>
      <c r="P8" s="174">
        <f t="shared" si="6"/>
        <v>5.6338320574375054</v>
      </c>
      <c r="Q8" s="52">
        <v>2.5</v>
      </c>
      <c r="R8" s="49">
        <v>2</v>
      </c>
      <c r="S8" s="49">
        <v>2</v>
      </c>
      <c r="T8" s="49">
        <v>2</v>
      </c>
      <c r="U8" s="49">
        <v>0.52500000000000002</v>
      </c>
      <c r="V8" s="60">
        <f t="shared" si="7"/>
        <v>9.0250000000000004</v>
      </c>
      <c r="W8" s="60">
        <f t="shared" si="8"/>
        <v>0.32038583713497976</v>
      </c>
      <c r="X8" s="49">
        <v>100</v>
      </c>
      <c r="Y8" s="175">
        <f t="shared" si="9"/>
        <v>266.98819761248308</v>
      </c>
      <c r="Z8" s="7"/>
      <c r="AA8" s="7"/>
      <c r="AB8" s="7"/>
      <c r="AC8" s="7"/>
      <c r="AD8" s="7"/>
      <c r="AE8" s="7"/>
      <c r="AF8" s="7"/>
      <c r="AG8" s="7"/>
      <c r="AH8" s="7"/>
    </row>
    <row r="9" spans="1:34" ht="15.75" customHeight="1" x14ac:dyDescent="0.35">
      <c r="A9" s="46" t="s">
        <v>116</v>
      </c>
      <c r="B9" s="46" t="s">
        <v>118</v>
      </c>
      <c r="C9" s="48">
        <v>44929</v>
      </c>
      <c r="D9" s="48">
        <v>44939</v>
      </c>
      <c r="E9" s="49">
        <f>SUM(25,640,600,210,880)</f>
        <v>2355</v>
      </c>
      <c r="F9" s="50">
        <v>0.17430000000000001</v>
      </c>
      <c r="G9" s="51">
        <f t="shared" si="1"/>
        <v>14.5249419</v>
      </c>
      <c r="H9" s="52">
        <v>10.6975</v>
      </c>
      <c r="I9" s="52">
        <v>17.8307</v>
      </c>
      <c r="J9" s="172">
        <f t="shared" si="2"/>
        <v>9.0065656565656571</v>
      </c>
      <c r="K9" s="51">
        <v>11</v>
      </c>
      <c r="L9" s="51">
        <f t="shared" si="3"/>
        <v>759.5844959962991</v>
      </c>
      <c r="M9" s="54">
        <f t="shared" si="4"/>
        <v>0.75958449599629907</v>
      </c>
      <c r="N9" s="54">
        <f t="shared" si="5"/>
        <v>9.1150139519555893</v>
      </c>
      <c r="O9" s="173">
        <v>0.2</v>
      </c>
      <c r="P9" s="55">
        <f t="shared" si="6"/>
        <v>21.941820501228179</v>
      </c>
      <c r="Q9" s="52">
        <v>2.5</v>
      </c>
      <c r="R9" s="49">
        <v>2.5</v>
      </c>
      <c r="S9" s="49">
        <v>2</v>
      </c>
      <c r="T9" s="49">
        <v>2.0750000000000002</v>
      </c>
      <c r="U9" s="49"/>
      <c r="V9" s="60">
        <f t="shared" si="7"/>
        <v>9.0749999999999993</v>
      </c>
      <c r="W9" s="176">
        <f t="shared" si="8"/>
        <v>8.2718751613996971E-2</v>
      </c>
      <c r="X9" s="49">
        <v>100</v>
      </c>
      <c r="Y9" s="58">
        <f t="shared" si="9"/>
        <v>68.932293011664143</v>
      </c>
      <c r="Z9" s="7" t="s">
        <v>330</v>
      </c>
      <c r="AA9" s="7"/>
      <c r="AB9" s="7"/>
      <c r="AC9" s="7"/>
      <c r="AD9" s="7"/>
      <c r="AE9" s="7"/>
      <c r="AF9" s="7"/>
      <c r="AG9" s="7"/>
      <c r="AH9" s="7"/>
    </row>
    <row r="10" spans="1:34" ht="15.75" customHeight="1" x14ac:dyDescent="0.35">
      <c r="A10" s="46" t="s">
        <v>116</v>
      </c>
      <c r="B10" s="46" t="s">
        <v>125</v>
      </c>
      <c r="C10" s="48">
        <v>44929</v>
      </c>
      <c r="D10" s="48">
        <v>44932</v>
      </c>
      <c r="E10" s="49">
        <f>SUM(840,25,500,150,310,980,980,190)</f>
        <v>3975</v>
      </c>
      <c r="F10" s="50">
        <v>0.28106666666666669</v>
      </c>
      <c r="G10" s="51">
        <f t="shared" si="1"/>
        <v>23.422128533333336</v>
      </c>
      <c r="H10" s="52">
        <v>10.678699999999999</v>
      </c>
      <c r="I10" s="52">
        <v>17.867799999999999</v>
      </c>
      <c r="J10" s="172">
        <f t="shared" si="2"/>
        <v>9.0771464646464644</v>
      </c>
      <c r="K10" s="51">
        <v>11</v>
      </c>
      <c r="L10" s="51">
        <f t="shared" si="3"/>
        <v>2051.3706875308458</v>
      </c>
      <c r="M10" s="54">
        <f t="shared" si="4"/>
        <v>2.0513706875308459</v>
      </c>
      <c r="N10" s="54">
        <f t="shared" si="5"/>
        <v>24.616448250370151</v>
      </c>
      <c r="O10" s="173">
        <v>0.2</v>
      </c>
      <c r="P10" s="174">
        <f t="shared" si="6"/>
        <v>8.1246489325279772</v>
      </c>
      <c r="Q10" s="52">
        <v>2.5</v>
      </c>
      <c r="R10" s="49">
        <v>2</v>
      </c>
      <c r="S10" s="49">
        <v>2</v>
      </c>
      <c r="T10" s="49">
        <v>2.5750000000000002</v>
      </c>
      <c r="U10" s="49"/>
      <c r="V10" s="60">
        <f t="shared" si="7"/>
        <v>9.0749999999999993</v>
      </c>
      <c r="W10" s="60">
        <f t="shared" si="8"/>
        <v>0.22339426787210911</v>
      </c>
      <c r="X10" s="49">
        <v>100</v>
      </c>
      <c r="Y10" s="175">
        <f t="shared" si="9"/>
        <v>186.16188989342425</v>
      </c>
      <c r="Z10" s="7"/>
      <c r="AA10" s="7"/>
      <c r="AB10" s="7"/>
      <c r="AC10" s="7"/>
      <c r="AD10" s="7"/>
      <c r="AE10" s="7"/>
      <c r="AF10" s="7"/>
      <c r="AG10" s="7"/>
      <c r="AH10" s="7"/>
    </row>
    <row r="11" spans="1:34" ht="15.75" customHeight="1" x14ac:dyDescent="0.35">
      <c r="A11" s="46" t="s">
        <v>116</v>
      </c>
      <c r="B11" s="46" t="s">
        <v>131</v>
      </c>
      <c r="C11" s="48">
        <v>44935</v>
      </c>
      <c r="D11" s="48">
        <v>44946</v>
      </c>
      <c r="E11" s="49">
        <f>SUM(25,980,360,730,480,300,1000)</f>
        <v>3875</v>
      </c>
      <c r="F11" s="50">
        <v>0.29333333333333339</v>
      </c>
      <c r="G11" s="51">
        <f t="shared" si="1"/>
        <v>24.444346666666672</v>
      </c>
      <c r="H11" s="52">
        <v>10.745799999999999</v>
      </c>
      <c r="I11" s="52">
        <v>17.667999999999999</v>
      </c>
      <c r="J11" s="172">
        <f t="shared" si="2"/>
        <v>8.7401515151515152</v>
      </c>
      <c r="K11" s="51">
        <v>11</v>
      </c>
      <c r="L11" s="51">
        <f t="shared" si="3"/>
        <v>2167.5103267747249</v>
      </c>
      <c r="M11" s="54">
        <f t="shared" si="4"/>
        <v>2.1675103267747251</v>
      </c>
      <c r="N11" s="54">
        <f t="shared" si="5"/>
        <v>26.010123921296703</v>
      </c>
      <c r="O11" s="173">
        <v>0.2</v>
      </c>
      <c r="P11" s="174">
        <f t="shared" si="6"/>
        <v>7.68931361515902</v>
      </c>
      <c r="Q11" s="52">
        <v>2.5</v>
      </c>
      <c r="R11" s="49">
        <v>2</v>
      </c>
      <c r="S11" s="49">
        <v>1.5</v>
      </c>
      <c r="T11" s="49">
        <v>2</v>
      </c>
      <c r="U11" s="49">
        <v>0.7</v>
      </c>
      <c r="V11" s="60">
        <f t="shared" si="7"/>
        <v>8.6999999999999993</v>
      </c>
      <c r="W11" s="60">
        <f t="shared" si="8"/>
        <v>0.22628807811528132</v>
      </c>
      <c r="X11" s="49">
        <v>100</v>
      </c>
      <c r="Y11" s="175">
        <f t="shared" si="9"/>
        <v>188.57339842940107</v>
      </c>
      <c r="Z11" s="7"/>
      <c r="AA11" s="7"/>
      <c r="AB11" s="7"/>
      <c r="AC11" s="7"/>
      <c r="AD11" s="7"/>
      <c r="AE11" s="7"/>
      <c r="AF11" s="7"/>
      <c r="AG11" s="7"/>
      <c r="AH11" s="7"/>
    </row>
    <row r="12" spans="1:34" ht="15.75" customHeight="1" x14ac:dyDescent="0.35">
      <c r="A12" s="46" t="s">
        <v>60</v>
      </c>
      <c r="B12" s="46" t="s">
        <v>72</v>
      </c>
      <c r="C12" s="48">
        <v>44978</v>
      </c>
      <c r="D12" s="48">
        <v>44981</v>
      </c>
      <c r="E12" s="49">
        <f>SUM(560,25)</f>
        <v>585</v>
      </c>
      <c r="F12" s="50">
        <f>AVERAGE(0.7409,0.6334,0.8957)</f>
        <v>0.75666666666666671</v>
      </c>
      <c r="G12" s="51">
        <f t="shared" si="1"/>
        <v>63.055303333333335</v>
      </c>
      <c r="H12" s="52">
        <v>10.7098</v>
      </c>
      <c r="I12" s="52">
        <v>17.970700000000001</v>
      </c>
      <c r="J12" s="172">
        <f t="shared" si="2"/>
        <v>9.1678030303030322</v>
      </c>
      <c r="K12" s="51">
        <v>11</v>
      </c>
      <c r="L12" s="51">
        <f t="shared" si="3"/>
        <v>804.71520446225668</v>
      </c>
      <c r="M12" s="54">
        <f t="shared" si="4"/>
        <v>0.80471520446225664</v>
      </c>
      <c r="N12" s="54">
        <f t="shared" si="5"/>
        <v>9.6565824535470792</v>
      </c>
      <c r="O12" s="173">
        <v>0.2</v>
      </c>
      <c r="P12" s="55">
        <f t="shared" si="6"/>
        <v>20.711261045209167</v>
      </c>
      <c r="Q12" s="52">
        <v>2.5</v>
      </c>
      <c r="R12" s="49">
        <v>2</v>
      </c>
      <c r="S12" s="49">
        <v>1.5</v>
      </c>
      <c r="T12" s="49">
        <v>2</v>
      </c>
      <c r="U12" s="49">
        <v>1.2</v>
      </c>
      <c r="V12" s="60">
        <f t="shared" si="7"/>
        <v>9.1999999999999993</v>
      </c>
      <c r="W12" s="176">
        <f t="shared" si="8"/>
        <v>8.8840558572633122E-2</v>
      </c>
      <c r="X12" s="49">
        <v>100</v>
      </c>
      <c r="Y12" s="58">
        <f t="shared" si="9"/>
        <v>74.0337988105276</v>
      </c>
      <c r="Z12" s="7" t="s">
        <v>331</v>
      </c>
      <c r="AA12" s="7"/>
      <c r="AB12" s="7"/>
      <c r="AC12" s="7"/>
      <c r="AD12" s="7"/>
      <c r="AE12" s="7"/>
      <c r="AF12" s="7"/>
      <c r="AG12" s="7"/>
      <c r="AH12" s="7"/>
    </row>
    <row r="13" spans="1:34" ht="15.75" customHeight="1" x14ac:dyDescent="0.35">
      <c r="A13" s="46" t="s">
        <v>60</v>
      </c>
      <c r="B13" s="46" t="s">
        <v>154</v>
      </c>
      <c r="C13" s="48">
        <v>44978</v>
      </c>
      <c r="D13" s="48">
        <v>44981</v>
      </c>
      <c r="E13" s="49">
        <f t="shared" ref="E13:E15" si="11">SUM(25,990,650,170)</f>
        <v>1835</v>
      </c>
      <c r="F13" s="50">
        <f t="shared" ref="F13:F15" si="12">AVERAGE(2.15,1.318,2.18)</f>
        <v>1.8826666666666665</v>
      </c>
      <c r="G13" s="51">
        <f t="shared" si="1"/>
        <v>156.8882613333333</v>
      </c>
      <c r="H13" s="52">
        <v>10.687900000000001</v>
      </c>
      <c r="I13" s="52">
        <v>18.0855</v>
      </c>
      <c r="J13" s="172">
        <f t="shared" si="2"/>
        <v>9.3404040404040387</v>
      </c>
      <c r="K13" s="51">
        <v>11</v>
      </c>
      <c r="L13" s="51">
        <f t="shared" si="3"/>
        <v>6164.4005612890669</v>
      </c>
      <c r="M13" s="54">
        <f t="shared" si="4"/>
        <v>6.1644005612890673</v>
      </c>
      <c r="N13" s="54">
        <f t="shared" si="5"/>
        <v>73.972806735468808</v>
      </c>
      <c r="O13" s="173">
        <v>0.2</v>
      </c>
      <c r="P13" s="174">
        <f t="shared" si="6"/>
        <v>2.7036962476658752</v>
      </c>
      <c r="Q13" s="52">
        <v>2.5</v>
      </c>
      <c r="R13" s="49">
        <v>0.6</v>
      </c>
      <c r="S13" s="49"/>
      <c r="T13" s="49"/>
      <c r="U13" s="49"/>
      <c r="V13" s="60">
        <f t="shared" si="7"/>
        <v>3.1</v>
      </c>
      <c r="W13" s="60">
        <f t="shared" si="8"/>
        <v>0.22931570087995332</v>
      </c>
      <c r="X13" s="49">
        <v>100</v>
      </c>
      <c r="Y13" s="175">
        <f t="shared" si="9"/>
        <v>191.09641739996107</v>
      </c>
      <c r="Z13" s="7" t="s">
        <v>332</v>
      </c>
      <c r="AA13" s="7"/>
      <c r="AB13" s="7"/>
      <c r="AC13" s="7"/>
      <c r="AD13" s="7"/>
      <c r="AE13" s="7"/>
      <c r="AF13" s="7"/>
      <c r="AG13" s="7"/>
      <c r="AH13" s="7"/>
    </row>
    <row r="14" spans="1:34" ht="15.75" customHeight="1" x14ac:dyDescent="0.35">
      <c r="A14" s="46" t="s">
        <v>60</v>
      </c>
      <c r="B14" s="46" t="s">
        <v>155</v>
      </c>
      <c r="C14" s="48">
        <v>44978</v>
      </c>
      <c r="D14" s="48">
        <v>44981</v>
      </c>
      <c r="E14" s="49">
        <f t="shared" si="11"/>
        <v>1835</v>
      </c>
      <c r="F14" s="50">
        <f t="shared" si="12"/>
        <v>1.8826666666666665</v>
      </c>
      <c r="G14" s="51">
        <f t="shared" si="1"/>
        <v>156.8882613333333</v>
      </c>
      <c r="H14" s="52">
        <v>10.687900000000001</v>
      </c>
      <c r="I14" s="52">
        <v>18.0855</v>
      </c>
      <c r="J14" s="172">
        <f t="shared" si="2"/>
        <v>9.3404040404040387</v>
      </c>
      <c r="K14" s="51">
        <v>11</v>
      </c>
      <c r="L14" s="51">
        <f t="shared" si="3"/>
        <v>6164.4005612890669</v>
      </c>
      <c r="M14" s="54">
        <f t="shared" si="4"/>
        <v>6.1644005612890673</v>
      </c>
      <c r="N14" s="54">
        <f t="shared" si="5"/>
        <v>73.972806735468808</v>
      </c>
      <c r="O14" s="173">
        <v>0.2</v>
      </c>
      <c r="P14" s="174">
        <f t="shared" si="6"/>
        <v>2.7036962476658752</v>
      </c>
      <c r="Q14" s="52">
        <v>2.5</v>
      </c>
      <c r="R14" s="49">
        <v>0.6</v>
      </c>
      <c r="S14" s="49"/>
      <c r="T14" s="49"/>
      <c r="U14" s="49"/>
      <c r="V14" s="60">
        <f t="shared" si="7"/>
        <v>3.1</v>
      </c>
      <c r="W14" s="60">
        <f t="shared" si="8"/>
        <v>0.22931570087995332</v>
      </c>
      <c r="X14" s="49">
        <v>100</v>
      </c>
      <c r="Y14" s="175">
        <f t="shared" si="9"/>
        <v>191.09641739996107</v>
      </c>
      <c r="Z14" s="7" t="s">
        <v>332</v>
      </c>
      <c r="AA14" s="7"/>
      <c r="AB14" s="7"/>
      <c r="AC14" s="7"/>
      <c r="AD14" s="7"/>
      <c r="AE14" s="7"/>
      <c r="AF14" s="7"/>
      <c r="AG14" s="7"/>
      <c r="AH14" s="7"/>
    </row>
    <row r="15" spans="1:34" ht="15.75" customHeight="1" x14ac:dyDescent="0.35">
      <c r="A15" s="46" t="s">
        <v>60</v>
      </c>
      <c r="B15" s="46" t="s">
        <v>156</v>
      </c>
      <c r="C15" s="48">
        <v>44978</v>
      </c>
      <c r="D15" s="48">
        <v>44981</v>
      </c>
      <c r="E15" s="49">
        <f t="shared" si="11"/>
        <v>1835</v>
      </c>
      <c r="F15" s="50">
        <f t="shared" si="12"/>
        <v>1.8826666666666665</v>
      </c>
      <c r="G15" s="51">
        <f t="shared" si="1"/>
        <v>156.8882613333333</v>
      </c>
      <c r="H15" s="52">
        <v>10.687900000000001</v>
      </c>
      <c r="I15" s="52">
        <v>18.0855</v>
      </c>
      <c r="J15" s="172">
        <f t="shared" si="2"/>
        <v>9.3404040404040387</v>
      </c>
      <c r="K15" s="51">
        <v>11</v>
      </c>
      <c r="L15" s="51">
        <f t="shared" si="3"/>
        <v>6164.4005612890669</v>
      </c>
      <c r="M15" s="54">
        <f t="shared" si="4"/>
        <v>6.1644005612890673</v>
      </c>
      <c r="N15" s="54">
        <f t="shared" si="5"/>
        <v>73.972806735468808</v>
      </c>
      <c r="O15" s="173">
        <v>0.2</v>
      </c>
      <c r="P15" s="174">
        <f t="shared" si="6"/>
        <v>2.7036962476658752</v>
      </c>
      <c r="Q15" s="52">
        <v>2.5</v>
      </c>
      <c r="R15" s="49">
        <v>0.6</v>
      </c>
      <c r="S15" s="49"/>
      <c r="T15" s="49"/>
      <c r="U15" s="49"/>
      <c r="V15" s="60">
        <f t="shared" si="7"/>
        <v>3.1</v>
      </c>
      <c r="W15" s="60">
        <f t="shared" si="8"/>
        <v>0.22931570087995332</v>
      </c>
      <c r="X15" s="49">
        <v>100</v>
      </c>
      <c r="Y15" s="175">
        <f t="shared" si="9"/>
        <v>191.09641739996107</v>
      </c>
      <c r="Z15" s="7" t="s">
        <v>332</v>
      </c>
      <c r="AA15" s="7"/>
      <c r="AB15" s="7"/>
      <c r="AC15" s="7"/>
      <c r="AD15" s="7"/>
      <c r="AE15" s="7"/>
      <c r="AF15" s="7"/>
      <c r="AG15" s="7"/>
      <c r="AH15" s="7"/>
    </row>
    <row r="16" spans="1:34" ht="15.75" customHeight="1" x14ac:dyDescent="0.35">
      <c r="A16" s="46" t="s">
        <v>60</v>
      </c>
      <c r="B16" s="46" t="s">
        <v>157</v>
      </c>
      <c r="C16" s="48">
        <v>44984</v>
      </c>
      <c r="D16" s="48">
        <v>44988</v>
      </c>
      <c r="E16" s="49">
        <f t="shared" ref="E16:E18" si="13">SUM(900,24)</f>
        <v>924</v>
      </c>
      <c r="F16" s="173">
        <f t="shared" ref="F16:F18" si="14">AVERAGE(4.5,3.62,4.21)</f>
        <v>4.1100000000000003</v>
      </c>
      <c r="G16" s="51">
        <f t="shared" si="1"/>
        <v>342.49863000000005</v>
      </c>
      <c r="H16" s="52">
        <v>10.772</v>
      </c>
      <c r="I16" s="52">
        <v>18.177800000000001</v>
      </c>
      <c r="J16" s="172">
        <f t="shared" si="2"/>
        <v>9.3507575757575765</v>
      </c>
      <c r="K16" s="51">
        <v>11</v>
      </c>
      <c r="L16" s="51">
        <f t="shared" si="3"/>
        <v>6768.8362478878717</v>
      </c>
      <c r="M16" s="54">
        <f t="shared" si="4"/>
        <v>6.7688362478878714</v>
      </c>
      <c r="N16" s="54">
        <f t="shared" si="5"/>
        <v>81.226034974654453</v>
      </c>
      <c r="O16" s="173">
        <v>0.2</v>
      </c>
      <c r="P16" s="174">
        <f t="shared" si="6"/>
        <v>2.4622647167550089</v>
      </c>
      <c r="Q16" s="52">
        <v>2.5</v>
      </c>
      <c r="R16" s="49">
        <v>0.6</v>
      </c>
      <c r="S16" s="49"/>
      <c r="T16" s="49"/>
      <c r="U16" s="49"/>
      <c r="V16" s="60">
        <f t="shared" si="7"/>
        <v>3.1</v>
      </c>
      <c r="W16" s="60">
        <f t="shared" si="8"/>
        <v>0.25180070842142882</v>
      </c>
      <c r="X16" s="49">
        <v>100</v>
      </c>
      <c r="Y16" s="175">
        <f t="shared" si="9"/>
        <v>209.83392368452402</v>
      </c>
      <c r="Z16" s="7" t="s">
        <v>333</v>
      </c>
      <c r="AA16" s="7"/>
      <c r="AB16" s="7"/>
      <c r="AC16" s="7"/>
      <c r="AD16" s="7"/>
      <c r="AE16" s="7"/>
      <c r="AF16" s="7"/>
      <c r="AG16" s="7"/>
      <c r="AH16" s="7"/>
    </row>
    <row r="17" spans="1:34" ht="15.75" customHeight="1" x14ac:dyDescent="0.35">
      <c r="A17" s="46" t="s">
        <v>60</v>
      </c>
      <c r="B17" s="46" t="s">
        <v>158</v>
      </c>
      <c r="C17" s="48">
        <v>44984</v>
      </c>
      <c r="D17" s="48">
        <v>44988</v>
      </c>
      <c r="E17" s="49">
        <f t="shared" si="13"/>
        <v>924</v>
      </c>
      <c r="F17" s="173">
        <f t="shared" si="14"/>
        <v>4.1100000000000003</v>
      </c>
      <c r="G17" s="51">
        <f t="shared" si="1"/>
        <v>342.49863000000005</v>
      </c>
      <c r="H17" s="52">
        <v>10.772</v>
      </c>
      <c r="I17" s="52">
        <v>18.177800000000001</v>
      </c>
      <c r="J17" s="172">
        <f t="shared" si="2"/>
        <v>9.3507575757575765</v>
      </c>
      <c r="K17" s="51">
        <v>11</v>
      </c>
      <c r="L17" s="51">
        <f t="shared" si="3"/>
        <v>6768.8362478878717</v>
      </c>
      <c r="M17" s="54">
        <f t="shared" si="4"/>
        <v>6.7688362478878714</v>
      </c>
      <c r="N17" s="54">
        <f t="shared" si="5"/>
        <v>81.226034974654453</v>
      </c>
      <c r="O17" s="173">
        <v>0.2</v>
      </c>
      <c r="P17" s="174">
        <f t="shared" si="6"/>
        <v>2.4622647167550089</v>
      </c>
      <c r="Q17" s="52">
        <v>2.5</v>
      </c>
      <c r="R17" s="49">
        <v>0.6</v>
      </c>
      <c r="S17" s="49"/>
      <c r="T17" s="49"/>
      <c r="U17" s="49"/>
      <c r="V17" s="60">
        <f t="shared" si="7"/>
        <v>3.1</v>
      </c>
      <c r="W17" s="60">
        <f t="shared" si="8"/>
        <v>0.25180070842142882</v>
      </c>
      <c r="X17" s="49">
        <v>100</v>
      </c>
      <c r="Y17" s="175">
        <f t="shared" si="9"/>
        <v>209.83392368452402</v>
      </c>
      <c r="Z17" s="7" t="s">
        <v>333</v>
      </c>
      <c r="AA17" s="7"/>
      <c r="AB17" s="7"/>
      <c r="AC17" s="7"/>
      <c r="AD17" s="7"/>
      <c r="AE17" s="7"/>
      <c r="AF17" s="7"/>
      <c r="AG17" s="7"/>
      <c r="AH17" s="7"/>
    </row>
    <row r="18" spans="1:34" ht="15.75" customHeight="1" x14ac:dyDescent="0.35">
      <c r="A18" s="46" t="s">
        <v>60</v>
      </c>
      <c r="B18" s="46" t="s">
        <v>159</v>
      </c>
      <c r="C18" s="48">
        <v>44984</v>
      </c>
      <c r="D18" s="48">
        <v>44988</v>
      </c>
      <c r="E18" s="49">
        <f t="shared" si="13"/>
        <v>924</v>
      </c>
      <c r="F18" s="173">
        <f t="shared" si="14"/>
        <v>4.1100000000000003</v>
      </c>
      <c r="G18" s="51">
        <f t="shared" si="1"/>
        <v>342.49863000000005</v>
      </c>
      <c r="H18" s="52">
        <v>10.772</v>
      </c>
      <c r="I18" s="52">
        <v>18.177800000000001</v>
      </c>
      <c r="J18" s="172">
        <f t="shared" si="2"/>
        <v>9.3507575757575765</v>
      </c>
      <c r="K18" s="51">
        <v>11</v>
      </c>
      <c r="L18" s="51">
        <f t="shared" si="3"/>
        <v>6768.8362478878717</v>
      </c>
      <c r="M18" s="54">
        <f t="shared" si="4"/>
        <v>6.7688362478878714</v>
      </c>
      <c r="N18" s="54">
        <f t="shared" si="5"/>
        <v>81.226034974654453</v>
      </c>
      <c r="O18" s="173">
        <v>0.2</v>
      </c>
      <c r="P18" s="174">
        <f t="shared" si="6"/>
        <v>2.4622647167550089</v>
      </c>
      <c r="Q18" s="52">
        <v>2.5</v>
      </c>
      <c r="R18" s="49">
        <v>0.6</v>
      </c>
      <c r="S18" s="49"/>
      <c r="T18" s="49"/>
      <c r="U18" s="49"/>
      <c r="V18" s="60">
        <f t="shared" si="7"/>
        <v>3.1</v>
      </c>
      <c r="W18" s="60">
        <f t="shared" si="8"/>
        <v>0.25180070842142882</v>
      </c>
      <c r="X18" s="49">
        <v>100</v>
      </c>
      <c r="Y18" s="175">
        <f t="shared" si="9"/>
        <v>209.83392368452402</v>
      </c>
      <c r="Z18" s="7" t="s">
        <v>333</v>
      </c>
      <c r="AA18" s="7"/>
      <c r="AB18" s="7"/>
      <c r="AC18" s="7"/>
      <c r="AD18" s="7"/>
      <c r="AE18" s="7"/>
      <c r="AF18" s="7"/>
      <c r="AG18" s="7"/>
      <c r="AH18" s="7"/>
    </row>
    <row r="19" spans="1:34" ht="15.75" customHeight="1" x14ac:dyDescent="0.35">
      <c r="A19" s="46" t="s">
        <v>109</v>
      </c>
      <c r="B19" s="46" t="s">
        <v>107</v>
      </c>
      <c r="C19" s="48">
        <v>45019</v>
      </c>
      <c r="D19" s="48">
        <v>45023</v>
      </c>
      <c r="E19" s="49">
        <f>SUM(950,25)</f>
        <v>975</v>
      </c>
      <c r="F19" s="50">
        <v>0.37209999999999999</v>
      </c>
      <c r="G19" s="51">
        <f t="shared" si="1"/>
        <v>31.008209299999997</v>
      </c>
      <c r="H19" s="52">
        <v>10.8119</v>
      </c>
      <c r="I19" s="52">
        <v>18.236699999999999</v>
      </c>
      <c r="J19" s="172">
        <f t="shared" si="2"/>
        <v>9.3747474747474744</v>
      </c>
      <c r="K19" s="51">
        <v>11</v>
      </c>
      <c r="L19" s="51">
        <f t="shared" si="3"/>
        <v>644.98812685755854</v>
      </c>
      <c r="M19" s="54">
        <f t="shared" si="4"/>
        <v>0.64498812685755857</v>
      </c>
      <c r="N19" s="54">
        <f t="shared" si="5"/>
        <v>7.7398575222907029</v>
      </c>
      <c r="O19" s="173">
        <v>0.2</v>
      </c>
      <c r="P19" s="55">
        <f t="shared" si="6"/>
        <v>25.840268948621116</v>
      </c>
      <c r="Q19" s="52">
        <v>2.5</v>
      </c>
      <c r="R19" s="49">
        <v>2</v>
      </c>
      <c r="S19" s="49">
        <v>2</v>
      </c>
      <c r="T19" s="49">
        <v>2</v>
      </c>
      <c r="U19" s="49">
        <v>0.9</v>
      </c>
      <c r="V19" s="60">
        <f t="shared" si="7"/>
        <v>9.4</v>
      </c>
      <c r="W19" s="176">
        <f t="shared" si="8"/>
        <v>7.2754660709532612E-2</v>
      </c>
      <c r="X19" s="49">
        <v>100</v>
      </c>
      <c r="Y19" s="58">
        <f t="shared" si="9"/>
        <v>60.628883924610506</v>
      </c>
      <c r="Z19" s="7"/>
      <c r="AA19" s="7"/>
      <c r="AB19" s="7"/>
      <c r="AC19" s="7"/>
      <c r="AD19" s="7"/>
      <c r="AE19" s="7"/>
      <c r="AF19" s="7"/>
      <c r="AG19" s="7"/>
      <c r="AH19" s="7"/>
    </row>
    <row r="20" spans="1:34" ht="15.75" customHeight="1" x14ac:dyDescent="0.35">
      <c r="A20" s="7"/>
      <c r="B20" s="7"/>
      <c r="C20" s="7"/>
      <c r="D20" s="7"/>
      <c r="E20" s="7"/>
      <c r="F20" s="31"/>
      <c r="G20" s="177"/>
      <c r="H20" s="177"/>
      <c r="I20" s="177"/>
      <c r="J20" s="178"/>
      <c r="K20" s="178"/>
      <c r="L20" s="178"/>
      <c r="M20" s="179"/>
      <c r="N20" s="178"/>
      <c r="O20" s="7"/>
      <c r="P20" s="177"/>
      <c r="Q20" s="177"/>
      <c r="R20" s="177"/>
      <c r="S20" s="177"/>
      <c r="T20" s="177"/>
      <c r="U20" s="177"/>
      <c r="V20" s="31"/>
      <c r="W20" s="17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</row>
    <row r="21" spans="1:34" ht="15.75" customHeight="1" x14ac:dyDescent="0.3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</row>
    <row r="22" spans="1:34" ht="15.75" customHeight="1" x14ac:dyDescent="0.35">
      <c r="A22" s="62" t="s">
        <v>0</v>
      </c>
      <c r="B22" s="63" t="s">
        <v>191</v>
      </c>
      <c r="C22" s="7"/>
      <c r="D22" s="7"/>
      <c r="E22" s="7"/>
      <c r="F22" s="31"/>
      <c r="G22" s="7"/>
      <c r="H22" s="7"/>
      <c r="I22" s="7"/>
      <c r="J22" s="178"/>
      <c r="K22" s="178"/>
      <c r="L22" s="7"/>
      <c r="M22" s="179"/>
      <c r="N22" s="179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</row>
    <row r="23" spans="1:34" ht="15.75" customHeight="1" x14ac:dyDescent="0.35">
      <c r="A23" s="64" t="s">
        <v>192</v>
      </c>
      <c r="B23" s="63" t="s">
        <v>193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</row>
    <row r="24" spans="1:34" ht="15.75" customHeight="1" x14ac:dyDescent="0.35">
      <c r="A24" s="41" t="s">
        <v>194</v>
      </c>
      <c r="B24" s="63" t="s">
        <v>195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</row>
    <row r="25" spans="1:34" ht="15.75" customHeight="1" x14ac:dyDescent="0.35">
      <c r="A25" s="64" t="s">
        <v>196</v>
      </c>
      <c r="B25" s="63" t="s">
        <v>197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</row>
    <row r="26" spans="1:34" ht="15.75" customHeight="1" x14ac:dyDescent="0.35">
      <c r="A26" s="43" t="s">
        <v>172</v>
      </c>
      <c r="B26" s="63" t="s">
        <v>198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</row>
    <row r="27" spans="1:34" ht="15.75" customHeight="1" x14ac:dyDescent="0.35">
      <c r="A27" s="64" t="s">
        <v>199</v>
      </c>
      <c r="B27" s="63" t="s">
        <v>200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</row>
    <row r="28" spans="1:34" ht="15.75" customHeight="1" x14ac:dyDescent="0.35">
      <c r="A28" s="64" t="s">
        <v>201</v>
      </c>
      <c r="B28" s="63" t="s">
        <v>202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</row>
    <row r="29" spans="1:34" ht="15.75" customHeight="1" x14ac:dyDescent="0.35">
      <c r="A29" s="43" t="s">
        <v>203</v>
      </c>
      <c r="B29" s="63" t="s">
        <v>204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</row>
    <row r="30" spans="1:34" ht="15.75" customHeight="1" x14ac:dyDescent="0.35">
      <c r="A30" s="1" t="s">
        <v>205</v>
      </c>
      <c r="B30" s="65">
        <v>0.2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</row>
    <row r="31" spans="1:34" ht="15.75" customHeight="1" x14ac:dyDescent="0.35">
      <c r="A31" s="66" t="s">
        <v>334</v>
      </c>
      <c r="B31" s="67">
        <v>0.79200000000000004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</row>
    <row r="32" spans="1:34" ht="15.75" customHeight="1" x14ac:dyDescent="0.35">
      <c r="A32" s="41" t="s">
        <v>185</v>
      </c>
      <c r="B32" s="63" t="s">
        <v>207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</row>
    <row r="33" spans="1:34" ht="15.75" customHeight="1" x14ac:dyDescent="0.35">
      <c r="A33" s="41" t="s">
        <v>185</v>
      </c>
      <c r="B33" s="63" t="s">
        <v>207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</row>
    <row r="34" spans="1:34" ht="15.75" customHeight="1" x14ac:dyDescent="0.35">
      <c r="A34" s="52"/>
      <c r="B34" s="68" t="s">
        <v>208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</row>
    <row r="35" spans="1:34" ht="15.75" customHeight="1" x14ac:dyDescent="0.35">
      <c r="A35" s="46"/>
      <c r="B35" s="69" t="s">
        <v>335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</row>
    <row r="36" spans="1:34" ht="15.75" customHeight="1" x14ac:dyDescent="0.3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</row>
    <row r="37" spans="1:34" ht="15.75" customHeight="1" x14ac:dyDescent="0.3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</row>
    <row r="38" spans="1:34" ht="15.75" customHeight="1" x14ac:dyDescent="0.3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</row>
    <row r="39" spans="1:34" ht="15.75" customHeight="1" x14ac:dyDescent="0.3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</row>
    <row r="40" spans="1:34" ht="15.75" customHeight="1" x14ac:dyDescent="0.3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</row>
    <row r="41" spans="1:34" ht="15.75" customHeight="1" x14ac:dyDescent="0.3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</row>
    <row r="42" spans="1:34" ht="15.75" customHeight="1" x14ac:dyDescent="0.3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</row>
    <row r="43" spans="1:34" ht="15.75" customHeight="1" x14ac:dyDescent="0.3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</row>
    <row r="44" spans="1:34" ht="15.75" customHeight="1" x14ac:dyDescent="0.3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</row>
    <row r="45" spans="1:34" ht="15.75" customHeight="1" x14ac:dyDescent="0.3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</row>
    <row r="46" spans="1:34" ht="15.75" customHeight="1" x14ac:dyDescent="0.3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</row>
    <row r="47" spans="1:34" ht="15.75" customHeight="1" x14ac:dyDescent="0.3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</row>
    <row r="48" spans="1:34" ht="15.75" customHeight="1" x14ac:dyDescent="0.3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</row>
    <row r="49" spans="1:34" ht="15.75" customHeight="1" x14ac:dyDescent="0.3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</row>
    <row r="50" spans="1:34" ht="15.75" customHeight="1" x14ac:dyDescent="0.3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</row>
    <row r="51" spans="1:34" ht="15.75" customHeight="1" x14ac:dyDescent="0.3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</row>
    <row r="52" spans="1:34" ht="15.75" customHeight="1" x14ac:dyDescent="0.3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</row>
    <row r="53" spans="1:34" ht="15.75" customHeight="1" x14ac:dyDescent="0.3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</row>
    <row r="54" spans="1:34" ht="15.75" customHeight="1" x14ac:dyDescent="0.3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</row>
    <row r="55" spans="1:34" ht="15.75" customHeight="1" x14ac:dyDescent="0.3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</row>
    <row r="56" spans="1:34" ht="15.75" customHeight="1" x14ac:dyDescent="0.3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</row>
    <row r="57" spans="1:34" ht="14.5" x14ac:dyDescent="0.3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</row>
    <row r="58" spans="1:34" ht="14.5" x14ac:dyDescent="0.3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</row>
    <row r="59" spans="1:34" ht="14.5" x14ac:dyDescent="0.3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</row>
    <row r="60" spans="1:34" ht="14.5" x14ac:dyDescent="0.3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</row>
    <row r="61" spans="1:34" ht="14.5" x14ac:dyDescent="0.3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</row>
    <row r="62" spans="1:34" ht="14.5" x14ac:dyDescent="0.3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</row>
    <row r="63" spans="1:34" ht="14.5" x14ac:dyDescent="0.3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</row>
    <row r="64" spans="1:34" ht="14.5" x14ac:dyDescent="0.3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</row>
    <row r="65" spans="1:34" ht="14.5" x14ac:dyDescent="0.3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</row>
    <row r="66" spans="1:34" ht="14.5" x14ac:dyDescent="0.3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</row>
    <row r="67" spans="1:34" ht="14.5" x14ac:dyDescent="0.3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</row>
    <row r="68" spans="1:34" ht="14.5" x14ac:dyDescent="0.3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</row>
    <row r="69" spans="1:34" ht="14.5" x14ac:dyDescent="0.3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</row>
    <row r="70" spans="1:34" ht="14.5" x14ac:dyDescent="0.3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</row>
    <row r="71" spans="1:34" ht="14.5" x14ac:dyDescent="0.3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</row>
    <row r="72" spans="1:34" ht="14.5" x14ac:dyDescent="0.3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</row>
    <row r="73" spans="1:34" ht="14.5" x14ac:dyDescent="0.3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</row>
    <row r="74" spans="1:34" ht="14.5" x14ac:dyDescent="0.3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</row>
    <row r="75" spans="1:34" ht="14.5" x14ac:dyDescent="0.3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</row>
    <row r="76" spans="1:34" ht="14.5" x14ac:dyDescent="0.3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</row>
    <row r="77" spans="1:34" ht="14.5" x14ac:dyDescent="0.3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</row>
    <row r="78" spans="1:34" ht="14.5" x14ac:dyDescent="0.3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</row>
    <row r="79" spans="1:34" ht="14.5" x14ac:dyDescent="0.3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</row>
    <row r="80" spans="1:34" ht="14.5" x14ac:dyDescent="0.3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</row>
    <row r="81" spans="1:34" ht="14.5" x14ac:dyDescent="0.3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</row>
    <row r="82" spans="1:34" ht="14.5" x14ac:dyDescent="0.3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</row>
    <row r="83" spans="1:34" ht="14.5" x14ac:dyDescent="0.3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</row>
    <row r="84" spans="1:34" ht="14.5" x14ac:dyDescent="0.3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</row>
    <row r="85" spans="1:34" ht="14.5" x14ac:dyDescent="0.3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</row>
    <row r="86" spans="1:34" ht="14.5" x14ac:dyDescent="0.3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</row>
    <row r="87" spans="1:34" ht="14.5" x14ac:dyDescent="0.3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</row>
    <row r="88" spans="1:34" ht="14.5" x14ac:dyDescent="0.3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</row>
    <row r="89" spans="1:34" ht="14.5" x14ac:dyDescent="0.3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</row>
    <row r="90" spans="1:34" ht="14.5" x14ac:dyDescent="0.3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</row>
    <row r="91" spans="1:34" ht="14.5" x14ac:dyDescent="0.3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</row>
    <row r="92" spans="1:34" ht="14.5" x14ac:dyDescent="0.3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</row>
    <row r="93" spans="1:34" ht="14.5" x14ac:dyDescent="0.3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</row>
    <row r="94" spans="1:34" ht="14.5" x14ac:dyDescent="0.3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</row>
    <row r="95" spans="1:34" ht="14.5" x14ac:dyDescent="0.3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</row>
    <row r="96" spans="1:34" ht="14.5" x14ac:dyDescent="0.3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</row>
    <row r="97" spans="1:34" ht="14.5" x14ac:dyDescent="0.3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</row>
    <row r="98" spans="1:34" ht="14.5" x14ac:dyDescent="0.3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</row>
    <row r="99" spans="1:34" ht="14.5" x14ac:dyDescent="0.3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</row>
    <row r="100" spans="1:34" ht="14.5" x14ac:dyDescent="0.3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</row>
    <row r="101" spans="1:34" ht="14.5" x14ac:dyDescent="0.3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</row>
    <row r="102" spans="1:34" ht="14.5" x14ac:dyDescent="0.3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</row>
    <row r="103" spans="1:34" ht="14.5" x14ac:dyDescent="0.3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</row>
    <row r="104" spans="1:34" ht="14.5" x14ac:dyDescent="0.3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</row>
    <row r="105" spans="1:34" ht="14.5" x14ac:dyDescent="0.3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</row>
    <row r="106" spans="1:34" ht="14.5" x14ac:dyDescent="0.3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</row>
    <row r="107" spans="1:34" ht="14.5" x14ac:dyDescent="0.3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</row>
    <row r="108" spans="1:34" ht="14.5" x14ac:dyDescent="0.3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</row>
    <row r="109" spans="1:34" ht="14.5" x14ac:dyDescent="0.3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</row>
    <row r="110" spans="1:34" ht="14.5" x14ac:dyDescent="0.3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</row>
    <row r="111" spans="1:34" ht="14.5" x14ac:dyDescent="0.3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</row>
    <row r="112" spans="1:34" ht="14.5" x14ac:dyDescent="0.3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</row>
    <row r="113" spans="1:34" ht="14.5" x14ac:dyDescent="0.3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</row>
    <row r="114" spans="1:34" ht="14.5" x14ac:dyDescent="0.3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</row>
    <row r="115" spans="1:34" ht="14.5" x14ac:dyDescent="0.3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</row>
    <row r="116" spans="1:34" ht="14.5" x14ac:dyDescent="0.3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</row>
    <row r="117" spans="1:34" ht="14.5" x14ac:dyDescent="0.3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</row>
    <row r="118" spans="1:34" ht="14.5" x14ac:dyDescent="0.3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</row>
    <row r="119" spans="1:34" ht="14.5" x14ac:dyDescent="0.3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</row>
    <row r="120" spans="1:34" ht="14.5" x14ac:dyDescent="0.3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</row>
    <row r="121" spans="1:34" ht="14.5" x14ac:dyDescent="0.3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</row>
    <row r="122" spans="1:34" ht="14.5" x14ac:dyDescent="0.3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</row>
    <row r="123" spans="1:34" ht="14.5" x14ac:dyDescent="0.3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</row>
    <row r="124" spans="1:34" ht="14.5" x14ac:dyDescent="0.3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</row>
    <row r="125" spans="1:34" ht="14.5" x14ac:dyDescent="0.3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</row>
    <row r="126" spans="1:34" ht="14.5" x14ac:dyDescent="0.3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</row>
    <row r="127" spans="1:34" ht="14.5" x14ac:dyDescent="0.3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</row>
    <row r="128" spans="1:34" ht="14.5" x14ac:dyDescent="0.3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</row>
    <row r="129" spans="1:34" ht="14.5" x14ac:dyDescent="0.3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</row>
    <row r="130" spans="1:34" ht="14.5" x14ac:dyDescent="0.3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</row>
    <row r="131" spans="1:34" ht="14.5" x14ac:dyDescent="0.3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</row>
    <row r="132" spans="1:34" ht="14.5" x14ac:dyDescent="0.3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</row>
    <row r="133" spans="1:34" ht="14.5" x14ac:dyDescent="0.3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</row>
    <row r="134" spans="1:34" ht="14.5" x14ac:dyDescent="0.3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</row>
    <row r="135" spans="1:34" ht="14.5" x14ac:dyDescent="0.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</row>
    <row r="136" spans="1:34" ht="14.5" x14ac:dyDescent="0.3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</row>
    <row r="137" spans="1:34" ht="14.5" x14ac:dyDescent="0.3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</row>
    <row r="138" spans="1:34" ht="14.5" x14ac:dyDescent="0.3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</row>
    <row r="139" spans="1:34" ht="14.5" x14ac:dyDescent="0.3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</row>
    <row r="140" spans="1:34" ht="14.5" x14ac:dyDescent="0.3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</row>
    <row r="141" spans="1:34" ht="14.5" x14ac:dyDescent="0.3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</row>
    <row r="142" spans="1:34" ht="14.5" x14ac:dyDescent="0.3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</row>
    <row r="143" spans="1:34" ht="14.5" x14ac:dyDescent="0.3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</row>
    <row r="144" spans="1:34" ht="14.5" x14ac:dyDescent="0.3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</row>
    <row r="145" spans="1:34" ht="14.5" x14ac:dyDescent="0.3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</row>
    <row r="146" spans="1:34" ht="14.5" x14ac:dyDescent="0.3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</row>
    <row r="147" spans="1:34" ht="14.5" x14ac:dyDescent="0.3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</row>
    <row r="148" spans="1:34" ht="14.5" x14ac:dyDescent="0.3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</row>
    <row r="149" spans="1:34" ht="14.5" x14ac:dyDescent="0.3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</row>
    <row r="150" spans="1:34" ht="14.5" x14ac:dyDescent="0.3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</row>
    <row r="151" spans="1:34" ht="14.5" x14ac:dyDescent="0.3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</row>
    <row r="152" spans="1:34" ht="14.5" x14ac:dyDescent="0.3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</row>
    <row r="153" spans="1:34" ht="14.5" x14ac:dyDescent="0.3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</row>
    <row r="154" spans="1:34" ht="14.5" x14ac:dyDescent="0.3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</row>
    <row r="155" spans="1:34" ht="14.5" x14ac:dyDescent="0.3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</row>
    <row r="156" spans="1:34" ht="14.5" x14ac:dyDescent="0.3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</row>
    <row r="157" spans="1:34" ht="14.5" x14ac:dyDescent="0.3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</row>
    <row r="158" spans="1:34" ht="14.5" x14ac:dyDescent="0.3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</row>
    <row r="159" spans="1:34" ht="14.5" x14ac:dyDescent="0.3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</row>
    <row r="160" spans="1:34" ht="14.5" x14ac:dyDescent="0.3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</row>
    <row r="161" spans="1:34" ht="14.5" x14ac:dyDescent="0.3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</row>
    <row r="162" spans="1:34" ht="14.5" x14ac:dyDescent="0.3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</row>
    <row r="163" spans="1:34" ht="14.5" x14ac:dyDescent="0.3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</row>
    <row r="164" spans="1:34" ht="14.5" x14ac:dyDescent="0.3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</row>
    <row r="165" spans="1:34" ht="14.5" x14ac:dyDescent="0.3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</row>
    <row r="166" spans="1:34" ht="14.5" x14ac:dyDescent="0.3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</row>
    <row r="167" spans="1:34" ht="14.5" x14ac:dyDescent="0.3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</row>
    <row r="168" spans="1:34" ht="14.5" x14ac:dyDescent="0.3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</row>
    <row r="169" spans="1:34" ht="14.5" x14ac:dyDescent="0.3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</row>
    <row r="170" spans="1:34" ht="14.5" x14ac:dyDescent="0.3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</row>
    <row r="171" spans="1:34" ht="14.5" x14ac:dyDescent="0.3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</row>
    <row r="172" spans="1:34" ht="14.5" x14ac:dyDescent="0.3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</row>
    <row r="173" spans="1:34" ht="14.5" x14ac:dyDescent="0.3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</row>
    <row r="174" spans="1:34" ht="14.5" x14ac:dyDescent="0.3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</row>
    <row r="175" spans="1:34" ht="14.5" x14ac:dyDescent="0.3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</row>
    <row r="176" spans="1:34" ht="14.5" x14ac:dyDescent="0.3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</row>
    <row r="177" spans="1:34" ht="14.5" x14ac:dyDescent="0.3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</row>
    <row r="178" spans="1:34" ht="14.5" x14ac:dyDescent="0.3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</row>
    <row r="179" spans="1:34" ht="14.5" x14ac:dyDescent="0.3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</row>
    <row r="180" spans="1:34" ht="14.5" x14ac:dyDescent="0.3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</row>
    <row r="181" spans="1:34" ht="14.5" x14ac:dyDescent="0.3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</row>
    <row r="182" spans="1:34" ht="14.5" x14ac:dyDescent="0.3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</row>
    <row r="183" spans="1:34" ht="14.5" x14ac:dyDescent="0.3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</row>
    <row r="184" spans="1:34" ht="14.5" x14ac:dyDescent="0.3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</row>
    <row r="185" spans="1:34" ht="14.5" x14ac:dyDescent="0.3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</row>
    <row r="186" spans="1:34" ht="14.5" x14ac:dyDescent="0.3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</row>
    <row r="187" spans="1:34" ht="14.5" x14ac:dyDescent="0.3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</row>
    <row r="188" spans="1:34" ht="14.5" x14ac:dyDescent="0.3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</row>
    <row r="189" spans="1:34" ht="14.5" x14ac:dyDescent="0.3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</row>
    <row r="190" spans="1:34" ht="14.5" x14ac:dyDescent="0.3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</row>
    <row r="191" spans="1:34" ht="14.5" x14ac:dyDescent="0.3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</row>
    <row r="192" spans="1:34" ht="14.5" x14ac:dyDescent="0.3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</row>
    <row r="193" spans="1:34" ht="14.5" x14ac:dyDescent="0.3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</row>
    <row r="194" spans="1:34" ht="14.5" x14ac:dyDescent="0.3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</row>
    <row r="195" spans="1:34" ht="14.5" x14ac:dyDescent="0.3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</row>
    <row r="196" spans="1:34" ht="14.5" x14ac:dyDescent="0.3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</row>
    <row r="197" spans="1:34" ht="14.5" x14ac:dyDescent="0.3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</row>
    <row r="198" spans="1:34" ht="14.5" x14ac:dyDescent="0.3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</row>
    <row r="199" spans="1:34" ht="14.5" x14ac:dyDescent="0.3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</row>
    <row r="200" spans="1:34" ht="14.5" x14ac:dyDescent="0.3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</row>
    <row r="201" spans="1:34" ht="14.5" x14ac:dyDescent="0.3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</row>
    <row r="202" spans="1:34" ht="14.5" x14ac:dyDescent="0.3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</row>
    <row r="203" spans="1:34" ht="14.5" x14ac:dyDescent="0.3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</row>
    <row r="204" spans="1:34" ht="14.5" x14ac:dyDescent="0.3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</row>
    <row r="205" spans="1:34" ht="14.5" x14ac:dyDescent="0.3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</row>
    <row r="206" spans="1:34" ht="14.5" x14ac:dyDescent="0.3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</row>
    <row r="207" spans="1:34" ht="14.5" x14ac:dyDescent="0.3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</row>
    <row r="208" spans="1:34" ht="14.5" x14ac:dyDescent="0.3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</row>
    <row r="209" spans="1:34" ht="14.5" x14ac:dyDescent="0.3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</row>
    <row r="210" spans="1:34" ht="14.5" x14ac:dyDescent="0.3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</row>
    <row r="211" spans="1:34" ht="14.5" x14ac:dyDescent="0.3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</row>
    <row r="212" spans="1:34" ht="14.5" x14ac:dyDescent="0.3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</row>
    <row r="213" spans="1:34" ht="14.5" x14ac:dyDescent="0.3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</row>
    <row r="214" spans="1:34" ht="14.5" x14ac:dyDescent="0.3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</row>
    <row r="215" spans="1:34" ht="14.5" x14ac:dyDescent="0.3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</row>
    <row r="216" spans="1:34" ht="14.5" x14ac:dyDescent="0.3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</row>
    <row r="217" spans="1:34" ht="14.5" x14ac:dyDescent="0.3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</row>
    <row r="218" spans="1:34" ht="14.5" x14ac:dyDescent="0.3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</row>
    <row r="219" spans="1:34" ht="14.5" x14ac:dyDescent="0.3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</row>
    <row r="220" spans="1:34" ht="14.5" x14ac:dyDescent="0.3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</row>
    <row r="221" spans="1:34" ht="14.5" x14ac:dyDescent="0.3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</row>
    <row r="222" spans="1:34" ht="14.5" x14ac:dyDescent="0.3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</row>
    <row r="223" spans="1:34" ht="14.5" x14ac:dyDescent="0.3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</row>
    <row r="224" spans="1:34" ht="14.5" x14ac:dyDescent="0.3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</row>
    <row r="225" spans="1:34" ht="14.5" x14ac:dyDescent="0.3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</row>
    <row r="226" spans="1:34" ht="14.5" x14ac:dyDescent="0.3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</row>
    <row r="227" spans="1:34" ht="14.5" x14ac:dyDescent="0.3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</row>
    <row r="228" spans="1:34" ht="14.5" x14ac:dyDescent="0.3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</row>
    <row r="229" spans="1:34" ht="14.5" x14ac:dyDescent="0.3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</row>
    <row r="230" spans="1:34" ht="14.5" x14ac:dyDescent="0.3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</row>
    <row r="231" spans="1:34" ht="14.5" x14ac:dyDescent="0.3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</row>
    <row r="232" spans="1:34" ht="14.5" x14ac:dyDescent="0.3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</row>
    <row r="233" spans="1:34" ht="14.5" x14ac:dyDescent="0.3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</row>
    <row r="234" spans="1:34" ht="14.5" x14ac:dyDescent="0.3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</row>
    <row r="235" spans="1:34" ht="14.5" x14ac:dyDescent="0.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</row>
    <row r="236" spans="1:34" ht="14.5" x14ac:dyDescent="0.3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</row>
    <row r="237" spans="1:34" ht="14.5" x14ac:dyDescent="0.3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</row>
    <row r="238" spans="1:34" ht="14.5" x14ac:dyDescent="0.3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</row>
    <row r="239" spans="1:34" ht="14.5" x14ac:dyDescent="0.3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</row>
    <row r="240" spans="1:34" ht="14.5" x14ac:dyDescent="0.3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</row>
    <row r="241" spans="1:34" ht="14.5" x14ac:dyDescent="0.3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</row>
    <row r="242" spans="1:34" ht="14.5" x14ac:dyDescent="0.3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</row>
    <row r="243" spans="1:34" ht="14.5" x14ac:dyDescent="0.3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</row>
    <row r="244" spans="1:34" ht="14.5" x14ac:dyDescent="0.3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</row>
    <row r="245" spans="1:34" ht="14.5" x14ac:dyDescent="0.3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</row>
    <row r="246" spans="1:34" ht="14.5" x14ac:dyDescent="0.3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</row>
    <row r="247" spans="1:34" ht="14.5" x14ac:dyDescent="0.3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</row>
    <row r="248" spans="1:34" ht="14.5" x14ac:dyDescent="0.3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</row>
    <row r="249" spans="1:34" ht="14.5" x14ac:dyDescent="0.3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</row>
    <row r="250" spans="1:34" ht="14.5" x14ac:dyDescent="0.3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</row>
    <row r="251" spans="1:34" ht="14.5" x14ac:dyDescent="0.3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</row>
    <row r="252" spans="1:34" ht="14.5" x14ac:dyDescent="0.3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</row>
    <row r="253" spans="1:34" ht="14.5" x14ac:dyDescent="0.3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</row>
    <row r="254" spans="1:34" ht="14.5" x14ac:dyDescent="0.3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</row>
    <row r="255" spans="1:34" ht="14.5" x14ac:dyDescent="0.3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</row>
    <row r="256" spans="1:34" ht="14.5" x14ac:dyDescent="0.3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</row>
    <row r="257" spans="1:34" ht="14.5" x14ac:dyDescent="0.3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</row>
    <row r="258" spans="1:34" ht="14.5" x14ac:dyDescent="0.3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</row>
    <row r="259" spans="1:34" ht="14.5" x14ac:dyDescent="0.3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</row>
    <row r="260" spans="1:34" ht="14.5" x14ac:dyDescent="0.3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</row>
    <row r="261" spans="1:34" ht="14.5" x14ac:dyDescent="0.3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</row>
    <row r="262" spans="1:34" ht="14.5" x14ac:dyDescent="0.3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</row>
    <row r="263" spans="1:34" ht="14.5" x14ac:dyDescent="0.3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</row>
    <row r="264" spans="1:34" ht="14.5" x14ac:dyDescent="0.3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</row>
    <row r="265" spans="1:34" ht="14.5" x14ac:dyDescent="0.3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</row>
    <row r="266" spans="1:34" ht="14.5" x14ac:dyDescent="0.3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</row>
    <row r="267" spans="1:34" ht="14.5" x14ac:dyDescent="0.3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</row>
    <row r="268" spans="1:34" ht="14.5" x14ac:dyDescent="0.3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</row>
    <row r="269" spans="1:34" ht="14.5" x14ac:dyDescent="0.3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</row>
    <row r="270" spans="1:34" ht="14.5" x14ac:dyDescent="0.3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</row>
    <row r="271" spans="1:34" ht="14.5" x14ac:dyDescent="0.3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</row>
    <row r="272" spans="1:34" ht="14.5" x14ac:dyDescent="0.3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</row>
    <row r="273" spans="1:34" ht="14.5" x14ac:dyDescent="0.3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</row>
    <row r="274" spans="1:34" ht="14.5" x14ac:dyDescent="0.3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</row>
    <row r="275" spans="1:34" ht="14.5" x14ac:dyDescent="0.3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</row>
    <row r="276" spans="1:34" ht="14.5" x14ac:dyDescent="0.3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</row>
    <row r="277" spans="1:34" ht="14.5" x14ac:dyDescent="0.3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</row>
    <row r="278" spans="1:34" ht="14.5" x14ac:dyDescent="0.3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</row>
    <row r="279" spans="1:34" ht="14.5" x14ac:dyDescent="0.3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</row>
    <row r="280" spans="1:34" ht="14.5" x14ac:dyDescent="0.3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</row>
    <row r="281" spans="1:34" ht="14.5" x14ac:dyDescent="0.3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</row>
    <row r="282" spans="1:34" ht="14.5" x14ac:dyDescent="0.3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</row>
    <row r="283" spans="1:34" ht="14.5" x14ac:dyDescent="0.3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</row>
    <row r="284" spans="1:34" ht="14.5" x14ac:dyDescent="0.3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</row>
    <row r="285" spans="1:34" ht="14.5" x14ac:dyDescent="0.3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</row>
    <row r="286" spans="1:34" ht="14.5" x14ac:dyDescent="0.3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</row>
    <row r="287" spans="1:34" ht="14.5" x14ac:dyDescent="0.3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</row>
    <row r="288" spans="1:34" ht="14.5" x14ac:dyDescent="0.3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</row>
    <row r="289" spans="1:34" ht="14.5" x14ac:dyDescent="0.3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</row>
    <row r="290" spans="1:34" ht="14.5" x14ac:dyDescent="0.3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</row>
    <row r="291" spans="1:34" ht="14.5" x14ac:dyDescent="0.3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</row>
    <row r="292" spans="1:34" ht="14.5" x14ac:dyDescent="0.3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</row>
    <row r="293" spans="1:34" ht="14.5" x14ac:dyDescent="0.3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</row>
    <row r="294" spans="1:34" ht="14.5" x14ac:dyDescent="0.3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</row>
    <row r="295" spans="1:34" ht="14.5" x14ac:dyDescent="0.3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</row>
    <row r="296" spans="1:34" ht="14.5" x14ac:dyDescent="0.3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</row>
    <row r="297" spans="1:34" ht="14.5" x14ac:dyDescent="0.3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</row>
    <row r="298" spans="1:34" ht="14.5" x14ac:dyDescent="0.3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</row>
    <row r="299" spans="1:34" ht="14.5" x14ac:dyDescent="0.3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</row>
    <row r="300" spans="1:34" ht="14.5" x14ac:dyDescent="0.3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</row>
    <row r="301" spans="1:34" ht="14.5" x14ac:dyDescent="0.3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</row>
    <row r="302" spans="1:34" ht="14.5" x14ac:dyDescent="0.3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</row>
    <row r="303" spans="1:34" ht="14.5" x14ac:dyDescent="0.3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</row>
    <row r="304" spans="1:34" ht="14.5" x14ac:dyDescent="0.3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</row>
    <row r="305" spans="1:34" ht="14.5" x14ac:dyDescent="0.3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</row>
    <row r="306" spans="1:34" ht="14.5" x14ac:dyDescent="0.3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</row>
    <row r="307" spans="1:34" ht="14.5" x14ac:dyDescent="0.3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</row>
    <row r="308" spans="1:34" ht="14.5" x14ac:dyDescent="0.3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</row>
    <row r="309" spans="1:34" ht="14.5" x14ac:dyDescent="0.3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</row>
    <row r="310" spans="1:34" ht="14.5" x14ac:dyDescent="0.3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</row>
    <row r="311" spans="1:34" ht="14.5" x14ac:dyDescent="0.3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</row>
    <row r="312" spans="1:34" ht="14.5" x14ac:dyDescent="0.3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</row>
    <row r="313" spans="1:34" ht="14.5" x14ac:dyDescent="0.3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</row>
    <row r="314" spans="1:34" ht="14.5" x14ac:dyDescent="0.3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</row>
    <row r="315" spans="1:34" ht="14.5" x14ac:dyDescent="0.3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</row>
    <row r="316" spans="1:34" ht="14.5" x14ac:dyDescent="0.3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</row>
    <row r="317" spans="1:34" ht="14.5" x14ac:dyDescent="0.3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</row>
    <row r="318" spans="1:34" ht="14.5" x14ac:dyDescent="0.3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</row>
    <row r="319" spans="1:34" ht="14.5" x14ac:dyDescent="0.3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</row>
    <row r="320" spans="1:34" ht="14.5" x14ac:dyDescent="0.3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</row>
    <row r="321" spans="1:34" ht="14.5" x14ac:dyDescent="0.3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</row>
    <row r="322" spans="1:34" ht="14.5" x14ac:dyDescent="0.3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</row>
    <row r="323" spans="1:34" ht="14.5" x14ac:dyDescent="0.3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</row>
    <row r="324" spans="1:34" ht="14.5" x14ac:dyDescent="0.3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</row>
    <row r="325" spans="1:34" ht="14.5" x14ac:dyDescent="0.3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</row>
    <row r="326" spans="1:34" ht="14.5" x14ac:dyDescent="0.3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</row>
    <row r="327" spans="1:34" ht="14.5" x14ac:dyDescent="0.3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</row>
    <row r="328" spans="1:34" ht="14.5" x14ac:dyDescent="0.3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</row>
    <row r="329" spans="1:34" ht="14.5" x14ac:dyDescent="0.3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</row>
    <row r="330" spans="1:34" ht="14.5" x14ac:dyDescent="0.3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</row>
    <row r="331" spans="1:34" ht="14.5" x14ac:dyDescent="0.3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</row>
    <row r="332" spans="1:34" ht="14.5" x14ac:dyDescent="0.3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</row>
    <row r="333" spans="1:34" ht="14.5" x14ac:dyDescent="0.3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</row>
    <row r="334" spans="1:34" ht="14.5" x14ac:dyDescent="0.3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</row>
    <row r="335" spans="1:34" ht="14.5" x14ac:dyDescent="0.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</row>
    <row r="336" spans="1:34" ht="14.5" x14ac:dyDescent="0.3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</row>
    <row r="337" spans="1:34" ht="14.5" x14ac:dyDescent="0.3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</row>
    <row r="338" spans="1:34" ht="14.5" x14ac:dyDescent="0.3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</row>
    <row r="339" spans="1:34" ht="14.5" x14ac:dyDescent="0.3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</row>
    <row r="340" spans="1:34" ht="14.5" x14ac:dyDescent="0.3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</row>
    <row r="341" spans="1:34" ht="14.5" x14ac:dyDescent="0.3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</row>
    <row r="342" spans="1:34" ht="14.5" x14ac:dyDescent="0.3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</row>
    <row r="343" spans="1:34" ht="14.5" x14ac:dyDescent="0.3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</row>
    <row r="344" spans="1:34" ht="14.5" x14ac:dyDescent="0.3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</row>
    <row r="345" spans="1:34" ht="14.5" x14ac:dyDescent="0.3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</row>
    <row r="346" spans="1:34" ht="14.5" x14ac:dyDescent="0.3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</row>
    <row r="347" spans="1:34" ht="14.5" x14ac:dyDescent="0.3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</row>
    <row r="348" spans="1:34" ht="14.5" x14ac:dyDescent="0.3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</row>
    <row r="349" spans="1:34" ht="14.5" x14ac:dyDescent="0.3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</row>
    <row r="350" spans="1:34" ht="14.5" x14ac:dyDescent="0.3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</row>
    <row r="351" spans="1:34" ht="14.5" x14ac:dyDescent="0.3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</row>
    <row r="352" spans="1:34" ht="14.5" x14ac:dyDescent="0.3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</row>
    <row r="353" spans="1:34" ht="14.5" x14ac:dyDescent="0.3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</row>
    <row r="354" spans="1:34" ht="14.5" x14ac:dyDescent="0.3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</row>
    <row r="355" spans="1:34" ht="14.5" x14ac:dyDescent="0.3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</row>
    <row r="356" spans="1:34" ht="14.5" x14ac:dyDescent="0.3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</row>
    <row r="357" spans="1:34" ht="14.5" x14ac:dyDescent="0.3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</row>
    <row r="358" spans="1:34" ht="14.5" x14ac:dyDescent="0.3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</row>
    <row r="359" spans="1:34" ht="14.5" x14ac:dyDescent="0.3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</row>
    <row r="360" spans="1:34" ht="14.5" x14ac:dyDescent="0.3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</row>
    <row r="361" spans="1:34" ht="14.5" x14ac:dyDescent="0.3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</row>
    <row r="362" spans="1:34" ht="14.5" x14ac:dyDescent="0.3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</row>
    <row r="363" spans="1:34" ht="14.5" x14ac:dyDescent="0.3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</row>
    <row r="364" spans="1:34" ht="14.5" x14ac:dyDescent="0.3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</row>
    <row r="365" spans="1:34" ht="14.5" x14ac:dyDescent="0.3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</row>
    <row r="366" spans="1:34" ht="14.5" x14ac:dyDescent="0.3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</row>
    <row r="367" spans="1:34" ht="14.5" x14ac:dyDescent="0.3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</row>
    <row r="368" spans="1:34" ht="14.5" x14ac:dyDescent="0.3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</row>
    <row r="369" spans="1:34" ht="14.5" x14ac:dyDescent="0.3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</row>
    <row r="370" spans="1:34" ht="14.5" x14ac:dyDescent="0.3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</row>
    <row r="371" spans="1:34" ht="14.5" x14ac:dyDescent="0.3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</row>
    <row r="372" spans="1:34" ht="14.5" x14ac:dyDescent="0.3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</row>
    <row r="373" spans="1:34" ht="14.5" x14ac:dyDescent="0.3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</row>
    <row r="374" spans="1:34" ht="14.5" x14ac:dyDescent="0.3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</row>
    <row r="375" spans="1:34" ht="14.5" x14ac:dyDescent="0.3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</row>
    <row r="376" spans="1:34" ht="14.5" x14ac:dyDescent="0.3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</row>
    <row r="377" spans="1:34" ht="14.5" x14ac:dyDescent="0.3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</row>
    <row r="378" spans="1:34" ht="14.5" x14ac:dyDescent="0.3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</row>
    <row r="379" spans="1:34" ht="14.5" x14ac:dyDescent="0.3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</row>
    <row r="380" spans="1:34" ht="14.5" x14ac:dyDescent="0.3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</row>
    <row r="381" spans="1:34" ht="14.5" x14ac:dyDescent="0.3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</row>
    <row r="382" spans="1:34" ht="14.5" x14ac:dyDescent="0.3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</row>
    <row r="383" spans="1:34" ht="14.5" x14ac:dyDescent="0.3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</row>
    <row r="384" spans="1:34" ht="14.5" x14ac:dyDescent="0.3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</row>
    <row r="385" spans="1:34" ht="14.5" x14ac:dyDescent="0.3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</row>
    <row r="386" spans="1:34" ht="14.5" x14ac:dyDescent="0.3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</row>
    <row r="387" spans="1:34" ht="14.5" x14ac:dyDescent="0.3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</row>
    <row r="388" spans="1:34" ht="14.5" x14ac:dyDescent="0.3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</row>
    <row r="389" spans="1:34" ht="14.5" x14ac:dyDescent="0.3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</row>
    <row r="390" spans="1:34" ht="14.5" x14ac:dyDescent="0.3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</row>
    <row r="391" spans="1:34" ht="14.5" x14ac:dyDescent="0.3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</row>
    <row r="392" spans="1:34" ht="14.5" x14ac:dyDescent="0.3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</row>
    <row r="393" spans="1:34" ht="14.5" x14ac:dyDescent="0.3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</row>
    <row r="394" spans="1:34" ht="14.5" x14ac:dyDescent="0.3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</row>
    <row r="395" spans="1:34" ht="14.5" x14ac:dyDescent="0.3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</row>
    <row r="396" spans="1:34" ht="14.5" x14ac:dyDescent="0.3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</row>
    <row r="397" spans="1:34" ht="14.5" x14ac:dyDescent="0.3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</row>
    <row r="398" spans="1:34" ht="14.5" x14ac:dyDescent="0.3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</row>
    <row r="399" spans="1:34" ht="14.5" x14ac:dyDescent="0.3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</row>
    <row r="400" spans="1:34" ht="14.5" x14ac:dyDescent="0.3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</row>
    <row r="401" spans="1:34" ht="14.5" x14ac:dyDescent="0.3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</row>
    <row r="402" spans="1:34" ht="14.5" x14ac:dyDescent="0.3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</row>
    <row r="403" spans="1:34" ht="14.5" x14ac:dyDescent="0.3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</row>
    <row r="404" spans="1:34" ht="14.5" x14ac:dyDescent="0.3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</row>
    <row r="405" spans="1:34" ht="14.5" x14ac:dyDescent="0.3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</row>
    <row r="406" spans="1:34" ht="14.5" x14ac:dyDescent="0.3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</row>
    <row r="407" spans="1:34" ht="14.5" x14ac:dyDescent="0.3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</row>
    <row r="408" spans="1:34" ht="14.5" x14ac:dyDescent="0.3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</row>
    <row r="409" spans="1:34" ht="14.5" x14ac:dyDescent="0.3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</row>
    <row r="410" spans="1:34" ht="14.5" x14ac:dyDescent="0.3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</row>
    <row r="411" spans="1:34" ht="14.5" x14ac:dyDescent="0.3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</row>
    <row r="412" spans="1:34" ht="14.5" x14ac:dyDescent="0.3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</row>
    <row r="413" spans="1:34" ht="14.5" x14ac:dyDescent="0.3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</row>
    <row r="414" spans="1:34" ht="14.5" x14ac:dyDescent="0.3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</row>
    <row r="415" spans="1:34" ht="14.5" x14ac:dyDescent="0.3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</row>
    <row r="416" spans="1:34" ht="14.5" x14ac:dyDescent="0.3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</row>
    <row r="417" spans="1:34" ht="14.5" x14ac:dyDescent="0.3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</row>
    <row r="418" spans="1:34" ht="14.5" x14ac:dyDescent="0.3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</row>
    <row r="419" spans="1:34" ht="14.5" x14ac:dyDescent="0.3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</row>
    <row r="420" spans="1:34" ht="14.5" x14ac:dyDescent="0.3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</row>
    <row r="421" spans="1:34" ht="14.5" x14ac:dyDescent="0.3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</row>
    <row r="422" spans="1:34" ht="14.5" x14ac:dyDescent="0.3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</row>
    <row r="423" spans="1:34" ht="14.5" x14ac:dyDescent="0.3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</row>
    <row r="424" spans="1:34" ht="14.5" x14ac:dyDescent="0.3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</row>
    <row r="425" spans="1:34" ht="14.5" x14ac:dyDescent="0.3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</row>
    <row r="426" spans="1:34" ht="14.5" x14ac:dyDescent="0.3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</row>
    <row r="427" spans="1:34" ht="14.5" x14ac:dyDescent="0.3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</row>
    <row r="428" spans="1:34" ht="14.5" x14ac:dyDescent="0.3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</row>
    <row r="429" spans="1:34" ht="14.5" x14ac:dyDescent="0.3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</row>
    <row r="430" spans="1:34" ht="14.5" x14ac:dyDescent="0.3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</row>
    <row r="431" spans="1:34" ht="14.5" x14ac:dyDescent="0.3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</row>
    <row r="432" spans="1:34" ht="14.5" x14ac:dyDescent="0.3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</row>
    <row r="433" spans="1:34" ht="14.5" x14ac:dyDescent="0.3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</row>
    <row r="434" spans="1:34" ht="14.5" x14ac:dyDescent="0.3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</row>
    <row r="435" spans="1:34" ht="14.5" x14ac:dyDescent="0.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</row>
    <row r="436" spans="1:34" ht="14.5" x14ac:dyDescent="0.3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</row>
    <row r="437" spans="1:34" ht="14.5" x14ac:dyDescent="0.3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</row>
    <row r="438" spans="1:34" ht="14.5" x14ac:dyDescent="0.3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</row>
    <row r="439" spans="1:34" ht="14.5" x14ac:dyDescent="0.3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</row>
    <row r="440" spans="1:34" ht="14.5" x14ac:dyDescent="0.3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</row>
    <row r="441" spans="1:34" ht="14.5" x14ac:dyDescent="0.3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</row>
    <row r="442" spans="1:34" ht="14.5" x14ac:dyDescent="0.3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</row>
    <row r="443" spans="1:34" ht="14.5" x14ac:dyDescent="0.3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</row>
    <row r="444" spans="1:34" ht="14.5" x14ac:dyDescent="0.3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</row>
    <row r="445" spans="1:34" ht="14.5" x14ac:dyDescent="0.3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</row>
    <row r="446" spans="1:34" ht="14.5" x14ac:dyDescent="0.3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</row>
    <row r="447" spans="1:34" ht="14.5" x14ac:dyDescent="0.3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</row>
    <row r="448" spans="1:34" ht="14.5" x14ac:dyDescent="0.3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</row>
    <row r="449" spans="1:34" ht="14.5" x14ac:dyDescent="0.3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</row>
    <row r="450" spans="1:34" ht="14.5" x14ac:dyDescent="0.3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</row>
    <row r="451" spans="1:34" ht="14.5" x14ac:dyDescent="0.3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</row>
    <row r="452" spans="1:34" ht="14.5" x14ac:dyDescent="0.3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</row>
    <row r="453" spans="1:34" ht="14.5" x14ac:dyDescent="0.3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</row>
    <row r="454" spans="1:34" ht="14.5" x14ac:dyDescent="0.3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</row>
    <row r="455" spans="1:34" ht="14.5" x14ac:dyDescent="0.3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</row>
    <row r="456" spans="1:34" ht="14.5" x14ac:dyDescent="0.3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</row>
    <row r="457" spans="1:34" ht="14.5" x14ac:dyDescent="0.3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</row>
    <row r="458" spans="1:34" ht="14.5" x14ac:dyDescent="0.3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</row>
    <row r="459" spans="1:34" ht="14.5" x14ac:dyDescent="0.3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</row>
    <row r="460" spans="1:34" ht="14.5" x14ac:dyDescent="0.3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</row>
    <row r="461" spans="1:34" ht="14.5" x14ac:dyDescent="0.3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</row>
    <row r="462" spans="1:34" ht="14.5" x14ac:dyDescent="0.3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</row>
    <row r="463" spans="1:34" ht="14.5" x14ac:dyDescent="0.3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</row>
    <row r="464" spans="1:34" ht="14.5" x14ac:dyDescent="0.3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</row>
    <row r="465" spans="1:34" ht="14.5" x14ac:dyDescent="0.3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</row>
    <row r="466" spans="1:34" ht="14.5" x14ac:dyDescent="0.3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</row>
    <row r="467" spans="1:34" ht="14.5" x14ac:dyDescent="0.3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</row>
    <row r="468" spans="1:34" ht="14.5" x14ac:dyDescent="0.3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</row>
    <row r="469" spans="1:34" ht="14.5" x14ac:dyDescent="0.3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</row>
    <row r="470" spans="1:34" ht="14.5" x14ac:dyDescent="0.3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</row>
    <row r="471" spans="1:34" ht="14.5" x14ac:dyDescent="0.3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</row>
    <row r="472" spans="1:34" ht="14.5" x14ac:dyDescent="0.3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</row>
    <row r="473" spans="1:34" ht="14.5" x14ac:dyDescent="0.3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</row>
    <row r="474" spans="1:34" ht="14.5" x14ac:dyDescent="0.3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</row>
    <row r="475" spans="1:34" ht="14.5" x14ac:dyDescent="0.3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</row>
    <row r="476" spans="1:34" ht="14.5" x14ac:dyDescent="0.3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</row>
    <row r="477" spans="1:34" ht="14.5" x14ac:dyDescent="0.3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</row>
    <row r="478" spans="1:34" ht="14.5" x14ac:dyDescent="0.3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</row>
    <row r="479" spans="1:34" ht="14.5" x14ac:dyDescent="0.3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</row>
    <row r="480" spans="1:34" ht="14.5" x14ac:dyDescent="0.3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</row>
    <row r="481" spans="1:34" ht="14.5" x14ac:dyDescent="0.3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</row>
    <row r="482" spans="1:34" ht="14.5" x14ac:dyDescent="0.3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</row>
    <row r="483" spans="1:34" ht="14.5" x14ac:dyDescent="0.3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</row>
    <row r="484" spans="1:34" ht="14.5" x14ac:dyDescent="0.3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</row>
    <row r="485" spans="1:34" ht="14.5" x14ac:dyDescent="0.3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</row>
    <row r="486" spans="1:34" ht="14.5" x14ac:dyDescent="0.3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</row>
    <row r="487" spans="1:34" ht="14.5" x14ac:dyDescent="0.3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</row>
    <row r="488" spans="1:34" ht="14.5" x14ac:dyDescent="0.3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</row>
    <row r="489" spans="1:34" ht="14.5" x14ac:dyDescent="0.3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</row>
    <row r="490" spans="1:34" ht="14.5" x14ac:dyDescent="0.3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</row>
    <row r="491" spans="1:34" ht="14.5" x14ac:dyDescent="0.3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</row>
    <row r="492" spans="1:34" ht="14.5" x14ac:dyDescent="0.3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</row>
    <row r="493" spans="1:34" ht="14.5" x14ac:dyDescent="0.3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</row>
    <row r="494" spans="1:34" ht="14.5" x14ac:dyDescent="0.3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</row>
    <row r="495" spans="1:34" ht="14.5" x14ac:dyDescent="0.3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</row>
    <row r="496" spans="1:34" ht="14.5" x14ac:dyDescent="0.3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</row>
    <row r="497" spans="1:34" ht="14.5" x14ac:dyDescent="0.3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</row>
    <row r="498" spans="1:34" ht="14.5" x14ac:dyDescent="0.3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</row>
    <row r="499" spans="1:34" ht="14.5" x14ac:dyDescent="0.3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</row>
    <row r="500" spans="1:34" ht="14.5" x14ac:dyDescent="0.3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</row>
    <row r="501" spans="1:34" ht="14.5" x14ac:dyDescent="0.3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</row>
    <row r="502" spans="1:34" ht="14.5" x14ac:dyDescent="0.3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</row>
    <row r="503" spans="1:34" ht="14.5" x14ac:dyDescent="0.3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</row>
    <row r="504" spans="1:34" ht="14.5" x14ac:dyDescent="0.3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</row>
    <row r="505" spans="1:34" ht="14.5" x14ac:dyDescent="0.3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</row>
    <row r="506" spans="1:34" ht="14.5" x14ac:dyDescent="0.3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</row>
    <row r="507" spans="1:34" ht="14.5" x14ac:dyDescent="0.3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</row>
    <row r="508" spans="1:34" ht="14.5" x14ac:dyDescent="0.3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</row>
    <row r="509" spans="1:34" ht="14.5" x14ac:dyDescent="0.3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</row>
    <row r="510" spans="1:34" ht="14.5" x14ac:dyDescent="0.3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</row>
    <row r="511" spans="1:34" ht="14.5" x14ac:dyDescent="0.3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</row>
    <row r="512" spans="1:34" ht="14.5" x14ac:dyDescent="0.3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</row>
    <row r="513" spans="1:34" ht="14.5" x14ac:dyDescent="0.3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</row>
    <row r="514" spans="1:34" ht="14.5" x14ac:dyDescent="0.3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</row>
    <row r="515" spans="1:34" ht="14.5" x14ac:dyDescent="0.3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</row>
    <row r="516" spans="1:34" ht="14.5" x14ac:dyDescent="0.3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</row>
    <row r="517" spans="1:34" ht="14.5" x14ac:dyDescent="0.3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</row>
    <row r="518" spans="1:34" ht="14.5" x14ac:dyDescent="0.3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</row>
    <row r="519" spans="1:34" ht="14.5" x14ac:dyDescent="0.3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</row>
    <row r="520" spans="1:34" ht="14.5" x14ac:dyDescent="0.3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</row>
    <row r="521" spans="1:34" ht="14.5" x14ac:dyDescent="0.3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</row>
    <row r="522" spans="1:34" ht="14.5" x14ac:dyDescent="0.3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</row>
    <row r="523" spans="1:34" ht="14.5" x14ac:dyDescent="0.3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</row>
    <row r="524" spans="1:34" ht="14.5" x14ac:dyDescent="0.3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</row>
    <row r="525" spans="1:34" ht="14.5" x14ac:dyDescent="0.3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</row>
    <row r="526" spans="1:34" ht="14.5" x14ac:dyDescent="0.3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</row>
    <row r="527" spans="1:34" ht="14.5" x14ac:dyDescent="0.3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</row>
    <row r="528" spans="1:34" ht="14.5" x14ac:dyDescent="0.3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</row>
    <row r="529" spans="1:34" ht="14.5" x14ac:dyDescent="0.3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</row>
    <row r="530" spans="1:34" ht="14.5" x14ac:dyDescent="0.3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</row>
    <row r="531" spans="1:34" ht="14.5" x14ac:dyDescent="0.3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</row>
    <row r="532" spans="1:34" ht="14.5" x14ac:dyDescent="0.3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</row>
    <row r="533" spans="1:34" ht="14.5" x14ac:dyDescent="0.3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</row>
    <row r="534" spans="1:34" ht="14.5" x14ac:dyDescent="0.3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</row>
    <row r="535" spans="1:34" ht="14.5" x14ac:dyDescent="0.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</row>
    <row r="536" spans="1:34" ht="14.5" x14ac:dyDescent="0.3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</row>
    <row r="537" spans="1:34" ht="14.5" x14ac:dyDescent="0.3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</row>
    <row r="538" spans="1:34" ht="14.5" x14ac:dyDescent="0.3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</row>
    <row r="539" spans="1:34" ht="14.5" x14ac:dyDescent="0.3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</row>
    <row r="540" spans="1:34" ht="14.5" x14ac:dyDescent="0.3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</row>
    <row r="541" spans="1:34" ht="14.5" x14ac:dyDescent="0.3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</row>
    <row r="542" spans="1:34" ht="14.5" x14ac:dyDescent="0.3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</row>
    <row r="543" spans="1:34" ht="14.5" x14ac:dyDescent="0.3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</row>
    <row r="544" spans="1:34" ht="14.5" x14ac:dyDescent="0.3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</row>
    <row r="545" spans="1:34" ht="14.5" x14ac:dyDescent="0.3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</row>
    <row r="546" spans="1:34" ht="14.5" x14ac:dyDescent="0.3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</row>
    <row r="547" spans="1:34" ht="14.5" x14ac:dyDescent="0.3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</row>
    <row r="548" spans="1:34" ht="14.5" x14ac:dyDescent="0.3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</row>
    <row r="549" spans="1:34" ht="14.5" x14ac:dyDescent="0.3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</row>
    <row r="550" spans="1:34" ht="14.5" x14ac:dyDescent="0.3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</row>
    <row r="551" spans="1:34" ht="14.5" x14ac:dyDescent="0.3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</row>
    <row r="552" spans="1:34" ht="14.5" x14ac:dyDescent="0.3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</row>
    <row r="553" spans="1:34" ht="14.5" x14ac:dyDescent="0.3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</row>
    <row r="554" spans="1:34" ht="14.5" x14ac:dyDescent="0.3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</row>
    <row r="555" spans="1:34" ht="14.5" x14ac:dyDescent="0.3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</row>
    <row r="556" spans="1:34" ht="14.5" x14ac:dyDescent="0.3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</row>
    <row r="557" spans="1:34" ht="14.5" x14ac:dyDescent="0.3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</row>
    <row r="558" spans="1:34" ht="14.5" x14ac:dyDescent="0.3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</row>
    <row r="559" spans="1:34" ht="14.5" x14ac:dyDescent="0.3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</row>
    <row r="560" spans="1:34" ht="14.5" x14ac:dyDescent="0.3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</row>
    <row r="561" spans="1:34" ht="14.5" x14ac:dyDescent="0.3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</row>
    <row r="562" spans="1:34" ht="14.5" x14ac:dyDescent="0.3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</row>
    <row r="563" spans="1:34" ht="14.5" x14ac:dyDescent="0.3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</row>
    <row r="564" spans="1:34" ht="14.5" x14ac:dyDescent="0.3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</row>
    <row r="565" spans="1:34" ht="14.5" x14ac:dyDescent="0.3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</row>
    <row r="566" spans="1:34" ht="14.5" x14ac:dyDescent="0.3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</row>
    <row r="567" spans="1:34" ht="14.5" x14ac:dyDescent="0.3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</row>
    <row r="568" spans="1:34" ht="14.5" x14ac:dyDescent="0.3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</row>
    <row r="569" spans="1:34" ht="14.5" x14ac:dyDescent="0.3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</row>
    <row r="570" spans="1:34" ht="14.5" x14ac:dyDescent="0.3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</row>
    <row r="571" spans="1:34" ht="14.5" x14ac:dyDescent="0.3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</row>
    <row r="572" spans="1:34" ht="14.5" x14ac:dyDescent="0.3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</row>
    <row r="573" spans="1:34" ht="14.5" x14ac:dyDescent="0.3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</row>
    <row r="574" spans="1:34" ht="14.5" x14ac:dyDescent="0.3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</row>
    <row r="575" spans="1:34" ht="14.5" x14ac:dyDescent="0.3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</row>
    <row r="576" spans="1:34" ht="14.5" x14ac:dyDescent="0.3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</row>
    <row r="577" spans="1:34" ht="14.5" x14ac:dyDescent="0.3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</row>
    <row r="578" spans="1:34" ht="14.5" x14ac:dyDescent="0.3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</row>
    <row r="579" spans="1:34" ht="14.5" x14ac:dyDescent="0.3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</row>
    <row r="580" spans="1:34" ht="14.5" x14ac:dyDescent="0.3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</row>
    <row r="581" spans="1:34" ht="14.5" x14ac:dyDescent="0.3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</row>
    <row r="582" spans="1:34" ht="14.5" x14ac:dyDescent="0.3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</row>
    <row r="583" spans="1:34" ht="14.5" x14ac:dyDescent="0.3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</row>
    <row r="584" spans="1:34" ht="14.5" x14ac:dyDescent="0.3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</row>
    <row r="585" spans="1:34" ht="14.5" x14ac:dyDescent="0.3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</row>
    <row r="586" spans="1:34" ht="14.5" x14ac:dyDescent="0.3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</row>
    <row r="587" spans="1:34" ht="14.5" x14ac:dyDescent="0.3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</row>
    <row r="588" spans="1:34" ht="14.5" x14ac:dyDescent="0.3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</row>
    <row r="589" spans="1:34" ht="14.5" x14ac:dyDescent="0.3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</row>
    <row r="590" spans="1:34" ht="14.5" x14ac:dyDescent="0.3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</row>
    <row r="591" spans="1:34" ht="14.5" x14ac:dyDescent="0.3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</row>
    <row r="592" spans="1:34" ht="14.5" x14ac:dyDescent="0.3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</row>
    <row r="593" spans="1:34" ht="14.5" x14ac:dyDescent="0.3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</row>
    <row r="594" spans="1:34" ht="14.5" x14ac:dyDescent="0.3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</row>
    <row r="595" spans="1:34" ht="14.5" x14ac:dyDescent="0.3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</row>
    <row r="596" spans="1:34" ht="14.5" x14ac:dyDescent="0.3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</row>
    <row r="597" spans="1:34" ht="14.5" x14ac:dyDescent="0.3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</row>
    <row r="598" spans="1:34" ht="14.5" x14ac:dyDescent="0.3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</row>
    <row r="599" spans="1:34" ht="14.5" x14ac:dyDescent="0.3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</row>
    <row r="600" spans="1:34" ht="14.5" x14ac:dyDescent="0.3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</row>
    <row r="601" spans="1:34" ht="14.5" x14ac:dyDescent="0.3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</row>
    <row r="602" spans="1:34" ht="14.5" x14ac:dyDescent="0.3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</row>
    <row r="603" spans="1:34" ht="14.5" x14ac:dyDescent="0.3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</row>
    <row r="604" spans="1:34" ht="14.5" x14ac:dyDescent="0.3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</row>
    <row r="605" spans="1:34" ht="14.5" x14ac:dyDescent="0.3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</row>
    <row r="606" spans="1:34" ht="14.5" x14ac:dyDescent="0.3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</row>
    <row r="607" spans="1:34" ht="14.5" x14ac:dyDescent="0.3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</row>
    <row r="608" spans="1:34" ht="14.5" x14ac:dyDescent="0.3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</row>
    <row r="609" spans="1:34" ht="14.5" x14ac:dyDescent="0.3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</row>
    <row r="610" spans="1:34" ht="14.5" x14ac:dyDescent="0.3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</row>
    <row r="611" spans="1:34" ht="14.5" x14ac:dyDescent="0.3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</row>
    <row r="612" spans="1:34" ht="14.5" x14ac:dyDescent="0.3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</row>
    <row r="613" spans="1:34" ht="14.5" x14ac:dyDescent="0.3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</row>
    <row r="614" spans="1:34" ht="14.5" x14ac:dyDescent="0.3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</row>
    <row r="615" spans="1:34" ht="14.5" x14ac:dyDescent="0.3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</row>
    <row r="616" spans="1:34" ht="14.5" x14ac:dyDescent="0.3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</row>
    <row r="617" spans="1:34" ht="14.5" x14ac:dyDescent="0.3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</row>
    <row r="618" spans="1:34" ht="14.5" x14ac:dyDescent="0.3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</row>
    <row r="619" spans="1:34" ht="14.5" x14ac:dyDescent="0.3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</row>
    <row r="620" spans="1:34" ht="14.5" x14ac:dyDescent="0.3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</row>
    <row r="621" spans="1:34" ht="14.5" x14ac:dyDescent="0.3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</row>
    <row r="622" spans="1:34" ht="14.5" x14ac:dyDescent="0.3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</row>
    <row r="623" spans="1:34" ht="14.5" x14ac:dyDescent="0.3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</row>
    <row r="624" spans="1:34" ht="14.5" x14ac:dyDescent="0.3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</row>
    <row r="625" spans="1:34" ht="14.5" x14ac:dyDescent="0.3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</row>
    <row r="626" spans="1:34" ht="14.5" x14ac:dyDescent="0.3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</row>
    <row r="627" spans="1:34" ht="14.5" x14ac:dyDescent="0.3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</row>
    <row r="628" spans="1:34" ht="14.5" x14ac:dyDescent="0.3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</row>
    <row r="629" spans="1:34" ht="14.5" x14ac:dyDescent="0.3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</row>
    <row r="630" spans="1:34" ht="14.5" x14ac:dyDescent="0.3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</row>
    <row r="631" spans="1:34" ht="14.5" x14ac:dyDescent="0.3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</row>
    <row r="632" spans="1:34" ht="14.5" x14ac:dyDescent="0.3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</row>
    <row r="633" spans="1:34" ht="14.5" x14ac:dyDescent="0.3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</row>
    <row r="634" spans="1:34" ht="14.5" x14ac:dyDescent="0.3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</row>
    <row r="635" spans="1:34" ht="14.5" x14ac:dyDescent="0.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</row>
    <row r="636" spans="1:34" ht="14.5" x14ac:dyDescent="0.3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</row>
    <row r="637" spans="1:34" ht="14.5" x14ac:dyDescent="0.3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</row>
    <row r="638" spans="1:34" ht="14.5" x14ac:dyDescent="0.3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</row>
    <row r="639" spans="1:34" ht="14.5" x14ac:dyDescent="0.3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</row>
    <row r="640" spans="1:34" ht="14.5" x14ac:dyDescent="0.3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</row>
    <row r="641" spans="1:34" ht="14.5" x14ac:dyDescent="0.3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</row>
    <row r="642" spans="1:34" ht="14.5" x14ac:dyDescent="0.3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</row>
    <row r="643" spans="1:34" ht="14.5" x14ac:dyDescent="0.3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</row>
    <row r="644" spans="1:34" ht="14.5" x14ac:dyDescent="0.3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</row>
    <row r="645" spans="1:34" ht="14.5" x14ac:dyDescent="0.3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</row>
    <row r="646" spans="1:34" ht="14.5" x14ac:dyDescent="0.3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</row>
    <row r="647" spans="1:34" ht="14.5" x14ac:dyDescent="0.3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</row>
    <row r="648" spans="1:34" ht="14.5" x14ac:dyDescent="0.3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</row>
    <row r="649" spans="1:34" ht="14.5" x14ac:dyDescent="0.3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</row>
    <row r="650" spans="1:34" ht="14.5" x14ac:dyDescent="0.3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</row>
    <row r="651" spans="1:34" ht="14.5" x14ac:dyDescent="0.3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</row>
    <row r="652" spans="1:34" ht="14.5" x14ac:dyDescent="0.3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</row>
    <row r="653" spans="1:34" ht="14.5" x14ac:dyDescent="0.3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</row>
    <row r="654" spans="1:34" ht="14.5" x14ac:dyDescent="0.3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</row>
    <row r="655" spans="1:34" ht="14.5" x14ac:dyDescent="0.3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</row>
    <row r="656" spans="1:34" ht="14.5" x14ac:dyDescent="0.3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</row>
    <row r="657" spans="1:34" ht="14.5" x14ac:dyDescent="0.3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</row>
    <row r="658" spans="1:34" ht="14.5" x14ac:dyDescent="0.3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</row>
    <row r="659" spans="1:34" ht="14.5" x14ac:dyDescent="0.3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</row>
    <row r="660" spans="1:34" ht="14.5" x14ac:dyDescent="0.3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</row>
    <row r="661" spans="1:34" ht="14.5" x14ac:dyDescent="0.3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</row>
    <row r="662" spans="1:34" ht="14.5" x14ac:dyDescent="0.3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</row>
    <row r="663" spans="1:34" ht="14.5" x14ac:dyDescent="0.3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</row>
    <row r="664" spans="1:34" ht="14.5" x14ac:dyDescent="0.3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</row>
    <row r="665" spans="1:34" ht="14.5" x14ac:dyDescent="0.3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</row>
    <row r="666" spans="1:34" ht="14.5" x14ac:dyDescent="0.3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</row>
    <row r="667" spans="1:34" ht="14.5" x14ac:dyDescent="0.3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</row>
    <row r="668" spans="1:34" ht="14.5" x14ac:dyDescent="0.3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</row>
    <row r="669" spans="1:34" ht="14.5" x14ac:dyDescent="0.3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</row>
    <row r="670" spans="1:34" ht="14.5" x14ac:dyDescent="0.3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</row>
    <row r="671" spans="1:34" ht="14.5" x14ac:dyDescent="0.3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</row>
    <row r="672" spans="1:34" ht="14.5" x14ac:dyDescent="0.3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</row>
    <row r="673" spans="1:34" ht="14.5" x14ac:dyDescent="0.3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</row>
    <row r="674" spans="1:34" ht="14.5" x14ac:dyDescent="0.3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</row>
    <row r="675" spans="1:34" ht="14.5" x14ac:dyDescent="0.3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</row>
    <row r="676" spans="1:34" ht="14.5" x14ac:dyDescent="0.3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</row>
    <row r="677" spans="1:34" ht="14.5" x14ac:dyDescent="0.3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</row>
    <row r="678" spans="1:34" ht="14.5" x14ac:dyDescent="0.3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</row>
    <row r="679" spans="1:34" ht="14.5" x14ac:dyDescent="0.3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</row>
    <row r="680" spans="1:34" ht="14.5" x14ac:dyDescent="0.3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</row>
    <row r="681" spans="1:34" ht="14.5" x14ac:dyDescent="0.3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</row>
    <row r="682" spans="1:34" ht="14.5" x14ac:dyDescent="0.3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</row>
    <row r="683" spans="1:34" ht="14.5" x14ac:dyDescent="0.3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</row>
    <row r="684" spans="1:34" ht="14.5" x14ac:dyDescent="0.3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</row>
    <row r="685" spans="1:34" ht="14.5" x14ac:dyDescent="0.3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</row>
    <row r="686" spans="1:34" ht="14.5" x14ac:dyDescent="0.3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</row>
    <row r="687" spans="1:34" ht="14.5" x14ac:dyDescent="0.3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</row>
    <row r="688" spans="1:34" ht="14.5" x14ac:dyDescent="0.3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</row>
    <row r="689" spans="1:34" ht="14.5" x14ac:dyDescent="0.3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</row>
    <row r="690" spans="1:34" ht="14.5" x14ac:dyDescent="0.3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</row>
    <row r="691" spans="1:34" ht="14.5" x14ac:dyDescent="0.3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</row>
    <row r="692" spans="1:34" ht="14.5" x14ac:dyDescent="0.3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</row>
    <row r="693" spans="1:34" ht="14.5" x14ac:dyDescent="0.3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</row>
    <row r="694" spans="1:34" ht="14.5" x14ac:dyDescent="0.3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</row>
    <row r="695" spans="1:34" ht="14.5" x14ac:dyDescent="0.3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</row>
    <row r="696" spans="1:34" ht="14.5" x14ac:dyDescent="0.3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</row>
    <row r="697" spans="1:34" ht="14.5" x14ac:dyDescent="0.3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</row>
    <row r="698" spans="1:34" ht="14.5" x14ac:dyDescent="0.3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</row>
    <row r="699" spans="1:34" ht="14.5" x14ac:dyDescent="0.3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</row>
    <row r="700" spans="1:34" ht="14.5" x14ac:dyDescent="0.3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</row>
    <row r="701" spans="1:34" ht="14.5" x14ac:dyDescent="0.3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</row>
    <row r="702" spans="1:34" ht="14.5" x14ac:dyDescent="0.3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</row>
    <row r="703" spans="1:34" ht="14.5" x14ac:dyDescent="0.3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</row>
    <row r="704" spans="1:34" ht="14.5" x14ac:dyDescent="0.3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</row>
    <row r="705" spans="1:34" ht="14.5" x14ac:dyDescent="0.3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</row>
    <row r="706" spans="1:34" ht="14.5" x14ac:dyDescent="0.3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</row>
    <row r="707" spans="1:34" ht="14.5" x14ac:dyDescent="0.3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</row>
    <row r="708" spans="1:34" ht="14.5" x14ac:dyDescent="0.3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</row>
    <row r="709" spans="1:34" ht="14.5" x14ac:dyDescent="0.3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</row>
    <row r="710" spans="1:34" ht="14.5" x14ac:dyDescent="0.3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</row>
    <row r="711" spans="1:34" ht="14.5" x14ac:dyDescent="0.3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</row>
    <row r="712" spans="1:34" ht="14.5" x14ac:dyDescent="0.3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</row>
    <row r="713" spans="1:34" ht="14.5" x14ac:dyDescent="0.3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</row>
    <row r="714" spans="1:34" ht="14.5" x14ac:dyDescent="0.3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</row>
    <row r="715" spans="1:34" ht="14.5" x14ac:dyDescent="0.3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</row>
    <row r="716" spans="1:34" ht="14.5" x14ac:dyDescent="0.3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</row>
    <row r="717" spans="1:34" ht="14.5" x14ac:dyDescent="0.3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</row>
    <row r="718" spans="1:34" ht="14.5" x14ac:dyDescent="0.3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</row>
    <row r="719" spans="1:34" ht="14.5" x14ac:dyDescent="0.3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</row>
    <row r="720" spans="1:34" ht="14.5" x14ac:dyDescent="0.3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</row>
    <row r="721" spans="1:34" ht="14.5" x14ac:dyDescent="0.3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</row>
    <row r="722" spans="1:34" ht="14.5" x14ac:dyDescent="0.3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</row>
    <row r="723" spans="1:34" ht="14.5" x14ac:dyDescent="0.3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</row>
    <row r="724" spans="1:34" ht="14.5" x14ac:dyDescent="0.3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</row>
    <row r="725" spans="1:34" ht="14.5" x14ac:dyDescent="0.3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</row>
    <row r="726" spans="1:34" ht="14.5" x14ac:dyDescent="0.3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</row>
    <row r="727" spans="1:34" ht="14.5" x14ac:dyDescent="0.3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</row>
    <row r="728" spans="1:34" ht="14.5" x14ac:dyDescent="0.3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</row>
    <row r="729" spans="1:34" ht="14.5" x14ac:dyDescent="0.3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</row>
    <row r="730" spans="1:34" ht="14.5" x14ac:dyDescent="0.3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</row>
    <row r="731" spans="1:34" ht="14.5" x14ac:dyDescent="0.3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</row>
    <row r="732" spans="1:34" ht="14.5" x14ac:dyDescent="0.3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</row>
    <row r="733" spans="1:34" ht="14.5" x14ac:dyDescent="0.3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</row>
    <row r="734" spans="1:34" ht="14.5" x14ac:dyDescent="0.3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</row>
    <row r="735" spans="1:34" ht="14.5" x14ac:dyDescent="0.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</row>
    <row r="736" spans="1:34" ht="14.5" x14ac:dyDescent="0.3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</row>
    <row r="737" spans="1:34" ht="14.5" x14ac:dyDescent="0.3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</row>
    <row r="738" spans="1:34" ht="14.5" x14ac:dyDescent="0.3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</row>
    <row r="739" spans="1:34" ht="14.5" x14ac:dyDescent="0.3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</row>
    <row r="740" spans="1:34" ht="14.5" x14ac:dyDescent="0.3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</row>
    <row r="741" spans="1:34" ht="14.5" x14ac:dyDescent="0.3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</row>
    <row r="742" spans="1:34" ht="14.5" x14ac:dyDescent="0.3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</row>
    <row r="743" spans="1:34" ht="14.5" x14ac:dyDescent="0.3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</row>
    <row r="744" spans="1:34" ht="14.5" x14ac:dyDescent="0.3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</row>
    <row r="745" spans="1:34" ht="14.5" x14ac:dyDescent="0.3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</row>
    <row r="746" spans="1:34" ht="14.5" x14ac:dyDescent="0.3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</row>
    <row r="747" spans="1:34" ht="14.5" x14ac:dyDescent="0.3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</row>
    <row r="748" spans="1:34" ht="14.5" x14ac:dyDescent="0.3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</row>
    <row r="749" spans="1:34" ht="14.5" x14ac:dyDescent="0.3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</row>
    <row r="750" spans="1:34" ht="14.5" x14ac:dyDescent="0.3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</row>
    <row r="751" spans="1:34" ht="14.5" x14ac:dyDescent="0.3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</row>
    <row r="752" spans="1:34" ht="14.5" x14ac:dyDescent="0.3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</row>
    <row r="753" spans="1:34" ht="14.5" x14ac:dyDescent="0.3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</row>
    <row r="754" spans="1:34" ht="14.5" x14ac:dyDescent="0.3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</row>
    <row r="755" spans="1:34" ht="14.5" x14ac:dyDescent="0.3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</row>
    <row r="756" spans="1:34" ht="14.5" x14ac:dyDescent="0.3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</row>
    <row r="757" spans="1:34" ht="14.5" x14ac:dyDescent="0.3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</row>
    <row r="758" spans="1:34" ht="14.5" x14ac:dyDescent="0.3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</row>
    <row r="759" spans="1:34" ht="14.5" x14ac:dyDescent="0.3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</row>
    <row r="760" spans="1:34" ht="14.5" x14ac:dyDescent="0.3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</row>
    <row r="761" spans="1:34" ht="14.5" x14ac:dyDescent="0.3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</row>
    <row r="762" spans="1:34" ht="14.5" x14ac:dyDescent="0.3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</row>
    <row r="763" spans="1:34" ht="14.5" x14ac:dyDescent="0.3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</row>
    <row r="764" spans="1:34" ht="14.5" x14ac:dyDescent="0.3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</row>
    <row r="765" spans="1:34" ht="14.5" x14ac:dyDescent="0.3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</row>
    <row r="766" spans="1:34" ht="14.5" x14ac:dyDescent="0.3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</row>
    <row r="767" spans="1:34" ht="14.5" x14ac:dyDescent="0.3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</row>
    <row r="768" spans="1:34" ht="14.5" x14ac:dyDescent="0.3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</row>
    <row r="769" spans="1:34" ht="14.5" x14ac:dyDescent="0.3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</row>
    <row r="770" spans="1:34" ht="14.5" x14ac:dyDescent="0.3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</row>
    <row r="771" spans="1:34" ht="14.5" x14ac:dyDescent="0.3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</row>
    <row r="772" spans="1:34" ht="14.5" x14ac:dyDescent="0.3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</row>
    <row r="773" spans="1:34" ht="14.5" x14ac:dyDescent="0.3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</row>
    <row r="774" spans="1:34" ht="14.5" x14ac:dyDescent="0.3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</row>
    <row r="775" spans="1:34" ht="14.5" x14ac:dyDescent="0.3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</row>
    <row r="776" spans="1:34" ht="14.5" x14ac:dyDescent="0.3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</row>
    <row r="777" spans="1:34" ht="14.5" x14ac:dyDescent="0.3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</row>
    <row r="778" spans="1:34" ht="14.5" x14ac:dyDescent="0.3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</row>
    <row r="779" spans="1:34" ht="14.5" x14ac:dyDescent="0.3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</row>
    <row r="780" spans="1:34" ht="14.5" x14ac:dyDescent="0.3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</row>
    <row r="781" spans="1:34" ht="14.5" x14ac:dyDescent="0.3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</row>
    <row r="782" spans="1:34" ht="14.5" x14ac:dyDescent="0.3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</row>
    <row r="783" spans="1:34" ht="14.5" x14ac:dyDescent="0.3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</row>
    <row r="784" spans="1:34" ht="14.5" x14ac:dyDescent="0.3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</row>
    <row r="785" spans="1:34" ht="14.5" x14ac:dyDescent="0.3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</row>
    <row r="786" spans="1:34" ht="14.5" x14ac:dyDescent="0.3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</row>
    <row r="787" spans="1:34" ht="14.5" x14ac:dyDescent="0.3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</row>
    <row r="788" spans="1:34" ht="14.5" x14ac:dyDescent="0.3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</row>
    <row r="789" spans="1:34" ht="14.5" x14ac:dyDescent="0.3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</row>
    <row r="790" spans="1:34" ht="14.5" x14ac:dyDescent="0.3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</row>
    <row r="791" spans="1:34" ht="14.5" x14ac:dyDescent="0.3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</row>
    <row r="792" spans="1:34" ht="14.5" x14ac:dyDescent="0.3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</row>
    <row r="793" spans="1:34" ht="14.5" x14ac:dyDescent="0.3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</row>
    <row r="794" spans="1:34" ht="14.5" x14ac:dyDescent="0.3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</row>
    <row r="795" spans="1:34" ht="14.5" x14ac:dyDescent="0.3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</row>
    <row r="796" spans="1:34" ht="14.5" x14ac:dyDescent="0.3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</row>
    <row r="797" spans="1:34" ht="14.5" x14ac:dyDescent="0.3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</row>
    <row r="798" spans="1:34" ht="14.5" x14ac:dyDescent="0.3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</row>
    <row r="799" spans="1:34" ht="14.5" x14ac:dyDescent="0.3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</row>
    <row r="800" spans="1:34" ht="14.5" x14ac:dyDescent="0.3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</row>
    <row r="801" spans="1:34" ht="14.5" x14ac:dyDescent="0.3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</row>
    <row r="802" spans="1:34" ht="14.5" x14ac:dyDescent="0.3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</row>
    <row r="803" spans="1:34" ht="14.5" x14ac:dyDescent="0.3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</row>
    <row r="804" spans="1:34" ht="14.5" x14ac:dyDescent="0.3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</row>
    <row r="805" spans="1:34" ht="14.5" x14ac:dyDescent="0.3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</row>
    <row r="806" spans="1:34" ht="14.5" x14ac:dyDescent="0.3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</row>
    <row r="807" spans="1:34" ht="14.5" x14ac:dyDescent="0.3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</row>
    <row r="808" spans="1:34" ht="14.5" x14ac:dyDescent="0.3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</row>
    <row r="809" spans="1:34" ht="14.5" x14ac:dyDescent="0.3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</row>
    <row r="810" spans="1:34" ht="14.5" x14ac:dyDescent="0.3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</row>
    <row r="811" spans="1:34" ht="14.5" x14ac:dyDescent="0.3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</row>
    <row r="812" spans="1:34" ht="14.5" x14ac:dyDescent="0.3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</row>
    <row r="813" spans="1:34" ht="14.5" x14ac:dyDescent="0.3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</row>
    <row r="814" spans="1:34" ht="14.5" x14ac:dyDescent="0.3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</row>
    <row r="815" spans="1:34" ht="14.5" x14ac:dyDescent="0.3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</row>
    <row r="816" spans="1:34" ht="14.5" x14ac:dyDescent="0.3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</row>
    <row r="817" spans="1:34" ht="14.5" x14ac:dyDescent="0.3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</row>
    <row r="818" spans="1:34" ht="14.5" x14ac:dyDescent="0.3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</row>
    <row r="819" spans="1:34" ht="14.5" x14ac:dyDescent="0.3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</row>
    <row r="820" spans="1:34" ht="14.5" x14ac:dyDescent="0.3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</row>
    <row r="821" spans="1:34" ht="14.5" x14ac:dyDescent="0.3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</row>
    <row r="822" spans="1:34" ht="14.5" x14ac:dyDescent="0.3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</row>
    <row r="823" spans="1:34" ht="14.5" x14ac:dyDescent="0.3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</row>
    <row r="824" spans="1:34" ht="14.5" x14ac:dyDescent="0.3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</row>
    <row r="825" spans="1:34" ht="14.5" x14ac:dyDescent="0.3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</row>
    <row r="826" spans="1:34" ht="14.5" x14ac:dyDescent="0.3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</row>
    <row r="827" spans="1:34" ht="14.5" x14ac:dyDescent="0.3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</row>
    <row r="828" spans="1:34" ht="14.5" x14ac:dyDescent="0.3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</row>
    <row r="829" spans="1:34" ht="14.5" x14ac:dyDescent="0.3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</row>
    <row r="830" spans="1:34" ht="14.5" x14ac:dyDescent="0.3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</row>
    <row r="831" spans="1:34" ht="14.5" x14ac:dyDescent="0.3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</row>
    <row r="832" spans="1:34" ht="14.5" x14ac:dyDescent="0.3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</row>
    <row r="833" spans="1:34" ht="14.5" x14ac:dyDescent="0.3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</row>
    <row r="834" spans="1:34" ht="14.5" x14ac:dyDescent="0.3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</row>
    <row r="835" spans="1:34" ht="14.5" x14ac:dyDescent="0.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</row>
    <row r="836" spans="1:34" ht="14.5" x14ac:dyDescent="0.3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</row>
    <row r="837" spans="1:34" ht="14.5" x14ac:dyDescent="0.3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</row>
    <row r="838" spans="1:34" ht="14.5" x14ac:dyDescent="0.3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</row>
    <row r="839" spans="1:34" ht="14.5" x14ac:dyDescent="0.3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</row>
    <row r="840" spans="1:34" ht="14.5" x14ac:dyDescent="0.3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</row>
    <row r="841" spans="1:34" ht="14.5" x14ac:dyDescent="0.3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</row>
    <row r="842" spans="1:34" ht="14.5" x14ac:dyDescent="0.3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</row>
    <row r="843" spans="1:34" ht="14.5" x14ac:dyDescent="0.3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</row>
    <row r="844" spans="1:34" ht="14.5" x14ac:dyDescent="0.3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</row>
    <row r="845" spans="1:34" ht="14.5" x14ac:dyDescent="0.3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</row>
    <row r="846" spans="1:34" ht="14.5" x14ac:dyDescent="0.3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</row>
    <row r="847" spans="1:34" ht="14.5" x14ac:dyDescent="0.3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</row>
    <row r="848" spans="1:34" ht="14.5" x14ac:dyDescent="0.3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</row>
    <row r="849" spans="1:34" ht="14.5" x14ac:dyDescent="0.3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</row>
    <row r="850" spans="1:34" ht="14.5" x14ac:dyDescent="0.3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</row>
    <row r="851" spans="1:34" ht="14.5" x14ac:dyDescent="0.3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</row>
    <row r="852" spans="1:34" ht="14.5" x14ac:dyDescent="0.3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</row>
    <row r="853" spans="1:34" ht="14.5" x14ac:dyDescent="0.3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</row>
    <row r="854" spans="1:34" ht="14.5" x14ac:dyDescent="0.3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</row>
    <row r="855" spans="1:34" ht="14.5" x14ac:dyDescent="0.3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</row>
    <row r="856" spans="1:34" ht="14.5" x14ac:dyDescent="0.3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</row>
    <row r="857" spans="1:34" ht="14.5" x14ac:dyDescent="0.3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</row>
    <row r="858" spans="1:34" ht="14.5" x14ac:dyDescent="0.3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</row>
    <row r="859" spans="1:34" ht="14.5" x14ac:dyDescent="0.3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</row>
    <row r="860" spans="1:34" ht="14.5" x14ac:dyDescent="0.3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</row>
    <row r="861" spans="1:34" ht="14.5" x14ac:dyDescent="0.3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</row>
    <row r="862" spans="1:34" ht="14.5" x14ac:dyDescent="0.3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</row>
    <row r="863" spans="1:34" ht="14.5" x14ac:dyDescent="0.3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</row>
    <row r="864" spans="1:34" ht="14.5" x14ac:dyDescent="0.3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</row>
    <row r="865" spans="1:34" ht="14.5" x14ac:dyDescent="0.3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</row>
    <row r="866" spans="1:34" ht="14.5" x14ac:dyDescent="0.3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</row>
    <row r="867" spans="1:34" ht="14.5" x14ac:dyDescent="0.3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</row>
    <row r="868" spans="1:34" ht="14.5" x14ac:dyDescent="0.3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</row>
    <row r="869" spans="1:34" ht="14.5" x14ac:dyDescent="0.3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</row>
    <row r="870" spans="1:34" ht="14.5" x14ac:dyDescent="0.3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</row>
    <row r="871" spans="1:34" ht="14.5" x14ac:dyDescent="0.3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</row>
    <row r="872" spans="1:34" ht="14.5" x14ac:dyDescent="0.3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</row>
    <row r="873" spans="1:34" ht="14.5" x14ac:dyDescent="0.3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</row>
    <row r="874" spans="1:34" ht="14.5" x14ac:dyDescent="0.3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</row>
    <row r="875" spans="1:34" ht="14.5" x14ac:dyDescent="0.3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</row>
    <row r="876" spans="1:34" ht="14.5" x14ac:dyDescent="0.3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</row>
    <row r="877" spans="1:34" ht="14.5" x14ac:dyDescent="0.3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</row>
    <row r="878" spans="1:34" ht="14.5" x14ac:dyDescent="0.3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</row>
    <row r="879" spans="1:34" ht="14.5" x14ac:dyDescent="0.3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</row>
    <row r="880" spans="1:34" ht="14.5" x14ac:dyDescent="0.3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</row>
    <row r="881" spans="1:34" ht="14.5" x14ac:dyDescent="0.3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</row>
    <row r="882" spans="1:34" ht="14.5" x14ac:dyDescent="0.3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</row>
    <row r="883" spans="1:34" ht="14.5" x14ac:dyDescent="0.3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</row>
    <row r="884" spans="1:34" ht="14.5" x14ac:dyDescent="0.3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</row>
    <row r="885" spans="1:34" ht="14.5" x14ac:dyDescent="0.3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</row>
    <row r="886" spans="1:34" ht="14.5" x14ac:dyDescent="0.3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</row>
    <row r="887" spans="1:34" ht="14.5" x14ac:dyDescent="0.3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</row>
    <row r="888" spans="1:34" ht="14.5" x14ac:dyDescent="0.3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</row>
    <row r="889" spans="1:34" ht="14.5" x14ac:dyDescent="0.3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</row>
    <row r="890" spans="1:34" ht="14.5" x14ac:dyDescent="0.3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</row>
    <row r="891" spans="1:34" ht="14.5" x14ac:dyDescent="0.3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</row>
    <row r="892" spans="1:34" ht="14.5" x14ac:dyDescent="0.3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</row>
    <row r="893" spans="1:34" ht="14.5" x14ac:dyDescent="0.3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</row>
    <row r="894" spans="1:34" ht="14.5" x14ac:dyDescent="0.3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</row>
    <row r="895" spans="1:34" ht="14.5" x14ac:dyDescent="0.3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</row>
    <row r="896" spans="1:34" ht="14.5" x14ac:dyDescent="0.3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</row>
    <row r="897" spans="1:34" ht="14.5" x14ac:dyDescent="0.3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</row>
    <row r="898" spans="1:34" ht="14.5" x14ac:dyDescent="0.3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</row>
    <row r="899" spans="1:34" ht="14.5" x14ac:dyDescent="0.3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</row>
    <row r="900" spans="1:34" ht="14.5" x14ac:dyDescent="0.3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</row>
    <row r="901" spans="1:34" ht="14.5" x14ac:dyDescent="0.3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</row>
    <row r="902" spans="1:34" ht="14.5" x14ac:dyDescent="0.3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</row>
    <row r="903" spans="1:34" ht="14.5" x14ac:dyDescent="0.3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</row>
    <row r="904" spans="1:34" ht="14.5" x14ac:dyDescent="0.3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</row>
    <row r="905" spans="1:34" ht="14.5" x14ac:dyDescent="0.3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</row>
    <row r="906" spans="1:34" ht="14.5" x14ac:dyDescent="0.3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</row>
    <row r="907" spans="1:34" ht="14.5" x14ac:dyDescent="0.3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</row>
    <row r="908" spans="1:34" ht="14.5" x14ac:dyDescent="0.3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</row>
    <row r="909" spans="1:34" ht="14.5" x14ac:dyDescent="0.3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</row>
    <row r="910" spans="1:34" ht="14.5" x14ac:dyDescent="0.3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</row>
    <row r="911" spans="1:34" ht="14.5" x14ac:dyDescent="0.3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</row>
    <row r="912" spans="1:34" ht="14.5" x14ac:dyDescent="0.3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</row>
    <row r="913" spans="1:34" ht="14.5" x14ac:dyDescent="0.3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</row>
    <row r="914" spans="1:34" ht="14.5" x14ac:dyDescent="0.3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</row>
    <row r="915" spans="1:34" ht="14.5" x14ac:dyDescent="0.3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</row>
    <row r="916" spans="1:34" ht="14.5" x14ac:dyDescent="0.3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</row>
    <row r="917" spans="1:34" ht="14.5" x14ac:dyDescent="0.3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</row>
    <row r="918" spans="1:34" ht="14.5" x14ac:dyDescent="0.3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</row>
    <row r="919" spans="1:34" ht="14.5" x14ac:dyDescent="0.3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</row>
    <row r="920" spans="1:34" ht="14.5" x14ac:dyDescent="0.3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</row>
    <row r="921" spans="1:34" ht="14.5" x14ac:dyDescent="0.3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</row>
    <row r="922" spans="1:34" ht="14.5" x14ac:dyDescent="0.3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</row>
    <row r="923" spans="1:34" ht="14.5" x14ac:dyDescent="0.3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</row>
    <row r="924" spans="1:34" ht="14.5" x14ac:dyDescent="0.3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</row>
    <row r="925" spans="1:34" ht="14.5" x14ac:dyDescent="0.3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</row>
    <row r="926" spans="1:34" ht="14.5" x14ac:dyDescent="0.3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</row>
    <row r="927" spans="1:34" ht="14.5" x14ac:dyDescent="0.3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</row>
    <row r="928" spans="1:34" ht="14.5" x14ac:dyDescent="0.3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</row>
    <row r="929" spans="1:34" ht="14.5" x14ac:dyDescent="0.3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</row>
    <row r="930" spans="1:34" ht="14.5" x14ac:dyDescent="0.3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</row>
    <row r="931" spans="1:34" ht="14.5" x14ac:dyDescent="0.3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</row>
    <row r="932" spans="1:34" ht="14.5" x14ac:dyDescent="0.3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</row>
    <row r="933" spans="1:34" ht="14.5" x14ac:dyDescent="0.3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</row>
    <row r="934" spans="1:34" ht="14.5" x14ac:dyDescent="0.3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</row>
    <row r="935" spans="1:34" ht="14.5" x14ac:dyDescent="0.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</row>
    <row r="936" spans="1:34" ht="14.5" x14ac:dyDescent="0.3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</row>
    <row r="937" spans="1:34" ht="14.5" x14ac:dyDescent="0.3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</row>
    <row r="938" spans="1:34" ht="14.5" x14ac:dyDescent="0.3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</row>
    <row r="939" spans="1:34" ht="14.5" x14ac:dyDescent="0.3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</row>
    <row r="940" spans="1:34" ht="14.5" x14ac:dyDescent="0.3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</row>
    <row r="941" spans="1:34" ht="14.5" x14ac:dyDescent="0.3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</row>
    <row r="942" spans="1:34" ht="14.5" x14ac:dyDescent="0.3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</row>
    <row r="943" spans="1:34" ht="14.5" x14ac:dyDescent="0.3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</row>
    <row r="944" spans="1:34" ht="14.5" x14ac:dyDescent="0.3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</row>
    <row r="945" spans="1:34" ht="14.5" x14ac:dyDescent="0.3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</row>
    <row r="946" spans="1:34" ht="14.5" x14ac:dyDescent="0.3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</row>
    <row r="947" spans="1:34" ht="14.5" x14ac:dyDescent="0.3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</row>
    <row r="948" spans="1:34" ht="14.5" x14ac:dyDescent="0.3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</row>
    <row r="949" spans="1:34" ht="14.5" x14ac:dyDescent="0.3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</row>
    <row r="950" spans="1:34" ht="14.5" x14ac:dyDescent="0.3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I1017"/>
  <sheetViews>
    <sheetView workbookViewId="0"/>
  </sheetViews>
  <sheetFormatPr defaultColWidth="12.6328125" defaultRowHeight="15.75" customHeight="1" x14ac:dyDescent="0.25"/>
  <cols>
    <col min="2" max="2" width="27.7265625" customWidth="1"/>
    <col min="3" max="3" width="16" customWidth="1"/>
    <col min="5" max="5" width="15.26953125" customWidth="1"/>
    <col min="6" max="7" width="15.7265625" customWidth="1"/>
    <col min="8" max="9" width="16.08984375" customWidth="1"/>
  </cols>
  <sheetData>
    <row r="1" spans="1:35" ht="15.75" customHeight="1" x14ac:dyDescent="0.35">
      <c r="A1" s="19"/>
      <c r="B1" s="70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7"/>
      <c r="AF1" s="7"/>
      <c r="AG1" s="7"/>
      <c r="AH1" s="7"/>
      <c r="AI1" s="7"/>
    </row>
    <row r="2" spans="1:35" ht="15.75" customHeight="1" x14ac:dyDescent="0.35">
      <c r="A2" s="71"/>
      <c r="B2" s="1" t="s">
        <v>336</v>
      </c>
      <c r="C2" s="224" t="s">
        <v>210</v>
      </c>
      <c r="D2" s="225"/>
      <c r="E2" s="225"/>
      <c r="F2" s="225"/>
      <c r="G2" s="225"/>
      <c r="H2" s="226"/>
      <c r="I2" s="224" t="s">
        <v>211</v>
      </c>
      <c r="J2" s="225"/>
      <c r="K2" s="225"/>
      <c r="L2" s="225"/>
      <c r="M2" s="225"/>
      <c r="N2" s="226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7"/>
      <c r="AF2" s="7"/>
      <c r="AG2" s="7"/>
      <c r="AH2" s="7"/>
      <c r="AI2" s="7"/>
    </row>
    <row r="3" spans="1:35" ht="15.75" customHeight="1" x14ac:dyDescent="0.35">
      <c r="A3" s="71"/>
      <c r="B3" s="1" t="s">
        <v>213</v>
      </c>
      <c r="C3" s="72" t="s">
        <v>214</v>
      </c>
      <c r="D3" s="1" t="s">
        <v>215</v>
      </c>
      <c r="E3" s="1" t="s">
        <v>216</v>
      </c>
      <c r="F3" s="1" t="s">
        <v>217</v>
      </c>
      <c r="G3" s="1" t="s">
        <v>218</v>
      </c>
      <c r="H3" s="73" t="s">
        <v>219</v>
      </c>
      <c r="I3" s="72" t="s">
        <v>220</v>
      </c>
      <c r="J3" s="1" t="s">
        <v>221</v>
      </c>
      <c r="K3" s="1" t="s">
        <v>222</v>
      </c>
      <c r="L3" s="1" t="s">
        <v>223</v>
      </c>
      <c r="M3" s="1" t="s">
        <v>224</v>
      </c>
      <c r="N3" s="73" t="s">
        <v>225</v>
      </c>
      <c r="O3" s="45"/>
      <c r="P3" s="45" t="s">
        <v>213</v>
      </c>
      <c r="Q3" s="7" t="s">
        <v>226</v>
      </c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7"/>
      <c r="AF3" s="7"/>
      <c r="AG3" s="7"/>
      <c r="AH3" s="7"/>
      <c r="AI3" s="7"/>
    </row>
    <row r="4" spans="1:35" ht="15.75" customHeight="1" x14ac:dyDescent="0.35">
      <c r="A4" s="71"/>
      <c r="B4" s="10">
        <v>5000</v>
      </c>
      <c r="C4" s="74">
        <v>4809.8</v>
      </c>
      <c r="D4" s="75">
        <v>5182.8999999999996</v>
      </c>
      <c r="E4" s="75"/>
      <c r="F4" s="75">
        <v>339440.36</v>
      </c>
      <c r="G4" s="75">
        <v>12813582.51</v>
      </c>
      <c r="H4" s="76"/>
      <c r="I4" s="74">
        <v>1.579</v>
      </c>
      <c r="J4" s="75">
        <v>3.0049999999999999</v>
      </c>
      <c r="K4" s="75">
        <v>0.82099999999999995</v>
      </c>
      <c r="L4" s="75">
        <v>2.3260000000000001</v>
      </c>
      <c r="M4" s="75">
        <v>1.5680000000000001</v>
      </c>
      <c r="N4" s="76">
        <v>2.7440000000000002</v>
      </c>
      <c r="O4" s="45"/>
      <c r="P4" s="45" t="s">
        <v>227</v>
      </c>
      <c r="Q4" s="7" t="s">
        <v>228</v>
      </c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7"/>
      <c r="AF4" s="7"/>
      <c r="AG4" s="7"/>
      <c r="AH4" s="7"/>
      <c r="AI4" s="7"/>
    </row>
    <row r="5" spans="1:35" ht="15.75" customHeight="1" x14ac:dyDescent="0.35">
      <c r="A5" s="71"/>
      <c r="B5" s="10">
        <v>5000</v>
      </c>
      <c r="C5" s="74">
        <v>4762.1000000000004</v>
      </c>
      <c r="D5" s="75">
        <v>5153.1000000000004</v>
      </c>
      <c r="E5" s="75">
        <v>5071883.4800000004</v>
      </c>
      <c r="F5" s="77">
        <v>245795.17</v>
      </c>
      <c r="G5" s="75"/>
      <c r="H5" s="78"/>
      <c r="I5" s="74">
        <v>1.5529999999999999</v>
      </c>
      <c r="J5" s="75">
        <v>2.9260000000000002</v>
      </c>
      <c r="K5" s="75">
        <v>0.81899999999999995</v>
      </c>
      <c r="L5" s="77">
        <v>2.3359999999999999</v>
      </c>
      <c r="M5" s="75">
        <v>1.577</v>
      </c>
      <c r="N5" s="78">
        <v>2.754</v>
      </c>
      <c r="O5" s="41"/>
      <c r="P5" s="41" t="s">
        <v>229</v>
      </c>
      <c r="Q5" s="7" t="s">
        <v>230</v>
      </c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7"/>
      <c r="AF5" s="7"/>
      <c r="AG5" s="7"/>
      <c r="AH5" s="7"/>
      <c r="AI5" s="7"/>
    </row>
    <row r="6" spans="1:35" ht="15.75" customHeight="1" x14ac:dyDescent="0.35">
      <c r="A6" s="71"/>
      <c r="B6" s="10">
        <v>2000</v>
      </c>
      <c r="C6" s="74">
        <v>1254.4000000000001</v>
      </c>
      <c r="D6" s="75">
        <v>1696.7</v>
      </c>
      <c r="E6" s="75"/>
      <c r="F6" s="75">
        <v>139168.93</v>
      </c>
      <c r="G6" s="75">
        <v>5252178.04</v>
      </c>
      <c r="H6" s="78">
        <v>499442.97</v>
      </c>
      <c r="I6" s="74">
        <v>1.585</v>
      </c>
      <c r="J6" s="79">
        <v>3.0529999999999999</v>
      </c>
      <c r="K6" s="75">
        <v>0.82599999999999996</v>
      </c>
      <c r="L6" s="75">
        <v>2.3420000000000001</v>
      </c>
      <c r="M6" s="75">
        <v>1.5960000000000001</v>
      </c>
      <c r="N6" s="78">
        <v>2.7610000000000001</v>
      </c>
      <c r="O6" s="45"/>
      <c r="P6" s="45" t="s">
        <v>231</v>
      </c>
      <c r="Q6" s="7" t="s">
        <v>232</v>
      </c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7"/>
      <c r="AF6" s="7"/>
      <c r="AG6" s="7"/>
      <c r="AH6" s="7"/>
      <c r="AI6" s="7"/>
    </row>
    <row r="7" spans="1:35" ht="15.75" customHeight="1" x14ac:dyDescent="0.35">
      <c r="A7" s="71"/>
      <c r="B7" s="10">
        <v>2000</v>
      </c>
      <c r="C7" s="74">
        <v>1254.9000000000001</v>
      </c>
      <c r="D7" s="75">
        <v>1682.1</v>
      </c>
      <c r="E7" s="75">
        <v>2028042.57</v>
      </c>
      <c r="F7" s="75">
        <v>96679.58</v>
      </c>
      <c r="G7" s="75">
        <v>5005107.75</v>
      </c>
      <c r="H7" s="78">
        <v>505590.63</v>
      </c>
      <c r="I7" s="74">
        <v>1.5649999999999999</v>
      </c>
      <c r="J7" s="75">
        <v>2.9710000000000001</v>
      </c>
      <c r="K7" s="75">
        <v>0.83799999999999997</v>
      </c>
      <c r="L7" s="75">
        <v>2.331</v>
      </c>
      <c r="M7" s="75">
        <v>1.5960000000000001</v>
      </c>
      <c r="N7" s="78">
        <v>2.7389999999999999</v>
      </c>
      <c r="O7" s="41"/>
      <c r="P7" s="41" t="s">
        <v>233</v>
      </c>
      <c r="Q7" s="7" t="s">
        <v>234</v>
      </c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7"/>
      <c r="AF7" s="7"/>
      <c r="AG7" s="7"/>
      <c r="AH7" s="7"/>
      <c r="AI7" s="7"/>
    </row>
    <row r="8" spans="1:35" ht="15.75" customHeight="1" x14ac:dyDescent="0.35">
      <c r="A8" s="71"/>
      <c r="B8" s="10">
        <v>1000</v>
      </c>
      <c r="C8" s="74">
        <v>456.4</v>
      </c>
      <c r="D8" s="75">
        <v>704.7</v>
      </c>
      <c r="E8" s="75">
        <v>490304.6</v>
      </c>
      <c r="F8" s="75">
        <v>66136.740000000005</v>
      </c>
      <c r="G8" s="75">
        <v>2499646.98</v>
      </c>
      <c r="H8" s="76">
        <v>182925.01</v>
      </c>
      <c r="I8" s="74">
        <v>1.591</v>
      </c>
      <c r="J8" s="75">
        <v>3.09</v>
      </c>
      <c r="K8" s="75">
        <v>0.83499999999999996</v>
      </c>
      <c r="L8" s="75">
        <v>2.3519999999999999</v>
      </c>
      <c r="M8" s="75">
        <v>1.605</v>
      </c>
      <c r="N8" s="76">
        <v>2.7589999999999999</v>
      </c>
      <c r="O8" s="41"/>
      <c r="P8" s="80">
        <v>100</v>
      </c>
      <c r="Q8" s="7" t="s">
        <v>235</v>
      </c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7"/>
      <c r="AF8" s="7"/>
      <c r="AG8" s="7"/>
      <c r="AH8" s="7"/>
      <c r="AI8" s="7"/>
    </row>
    <row r="9" spans="1:35" ht="15.75" customHeight="1" x14ac:dyDescent="0.35">
      <c r="A9" s="71"/>
      <c r="B9" s="10">
        <v>1000</v>
      </c>
      <c r="C9" s="74">
        <v>468.9</v>
      </c>
      <c r="D9" s="75">
        <v>724.7</v>
      </c>
      <c r="E9" s="75">
        <v>903595.59</v>
      </c>
      <c r="F9" s="75">
        <v>68043.850000000006</v>
      </c>
      <c r="G9" s="75">
        <v>2415002.2200000002</v>
      </c>
      <c r="H9" s="78">
        <v>176315.81</v>
      </c>
      <c r="I9" s="74">
        <v>1.56</v>
      </c>
      <c r="J9" s="79">
        <v>2.9860000000000002</v>
      </c>
      <c r="K9" s="75">
        <v>0.83599999999999997</v>
      </c>
      <c r="L9" s="75">
        <v>2.33</v>
      </c>
      <c r="M9" s="75">
        <v>1.6060000000000001</v>
      </c>
      <c r="N9" s="78">
        <v>2.7480000000000002</v>
      </c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7"/>
      <c r="AF9" s="7"/>
      <c r="AG9" s="7"/>
      <c r="AH9" s="7"/>
      <c r="AI9" s="7"/>
    </row>
    <row r="10" spans="1:35" ht="15.75" customHeight="1" x14ac:dyDescent="0.35">
      <c r="A10" s="71"/>
      <c r="B10" s="10">
        <v>200</v>
      </c>
      <c r="C10" s="74">
        <v>103.4</v>
      </c>
      <c r="D10" s="75">
        <v>140.6</v>
      </c>
      <c r="E10" s="75">
        <v>105003.8</v>
      </c>
      <c r="F10" s="75">
        <v>10640.48</v>
      </c>
      <c r="G10" s="75">
        <v>482126.8</v>
      </c>
      <c r="H10" s="78">
        <v>35723.35</v>
      </c>
      <c r="I10" s="81">
        <v>1.595</v>
      </c>
      <c r="J10" s="75">
        <v>3.1269999999999998</v>
      </c>
      <c r="K10" s="75">
        <v>0.84599999999999997</v>
      </c>
      <c r="L10" s="75">
        <v>2.339</v>
      </c>
      <c r="M10" s="75">
        <v>1.6259999999999999</v>
      </c>
      <c r="N10" s="78">
        <v>2.7469999999999999</v>
      </c>
      <c r="O10" s="82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7"/>
      <c r="AF10" s="7"/>
      <c r="AG10" s="7"/>
      <c r="AH10" s="7"/>
      <c r="AI10" s="7"/>
    </row>
    <row r="11" spans="1:35" ht="15.75" customHeight="1" x14ac:dyDescent="0.35">
      <c r="A11" s="71"/>
      <c r="B11" s="10">
        <v>200</v>
      </c>
      <c r="C11" s="74">
        <v>104.1</v>
      </c>
      <c r="D11" s="75">
        <v>152.9</v>
      </c>
      <c r="E11" s="75">
        <v>192544.8</v>
      </c>
      <c r="F11" s="75">
        <v>13646.16</v>
      </c>
      <c r="G11" s="75">
        <v>505754.08</v>
      </c>
      <c r="H11" s="78">
        <v>38134.959999999999</v>
      </c>
      <c r="I11" s="74">
        <v>1.5740000000000001</v>
      </c>
      <c r="J11" s="75">
        <v>3.0190000000000001</v>
      </c>
      <c r="K11" s="75">
        <v>0.84599999999999997</v>
      </c>
      <c r="L11" s="75">
        <v>2.351</v>
      </c>
      <c r="M11" s="75">
        <v>1.6040000000000001</v>
      </c>
      <c r="N11" s="78">
        <v>2.7589999999999999</v>
      </c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7"/>
      <c r="AF11" s="7"/>
      <c r="AG11" s="7"/>
      <c r="AH11" s="7"/>
      <c r="AI11" s="7"/>
    </row>
    <row r="12" spans="1:35" ht="15.75" customHeight="1" x14ac:dyDescent="0.35">
      <c r="A12" s="71"/>
      <c r="B12" s="10">
        <v>100</v>
      </c>
      <c r="C12" s="74">
        <v>39.5</v>
      </c>
      <c r="D12" s="75">
        <v>52.9</v>
      </c>
      <c r="E12" s="75">
        <v>34534.080000000002</v>
      </c>
      <c r="F12" s="75">
        <v>7718.11</v>
      </c>
      <c r="G12" s="75">
        <v>212427.59</v>
      </c>
      <c r="H12" s="76">
        <v>4865.0200000000004</v>
      </c>
      <c r="I12" s="74">
        <v>1.5960000000000001</v>
      </c>
      <c r="J12" s="75">
        <v>3.1579999999999999</v>
      </c>
      <c r="K12" s="75">
        <v>0.873</v>
      </c>
      <c r="L12" s="75">
        <v>2.4239999999999999</v>
      </c>
      <c r="M12" s="75">
        <v>1.665</v>
      </c>
      <c r="N12" s="76">
        <v>2.831</v>
      </c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7"/>
      <c r="AF12" s="7"/>
      <c r="AG12" s="7"/>
      <c r="AH12" s="7"/>
      <c r="AI12" s="7"/>
    </row>
    <row r="13" spans="1:35" ht="15.75" customHeight="1" x14ac:dyDescent="0.35">
      <c r="A13" s="71"/>
      <c r="B13" s="10">
        <v>100</v>
      </c>
      <c r="C13" s="74">
        <v>37.6</v>
      </c>
      <c r="D13" s="75">
        <v>61.6</v>
      </c>
      <c r="E13" s="75">
        <v>72139.61</v>
      </c>
      <c r="F13" s="75">
        <v>5535.82</v>
      </c>
      <c r="G13" s="75">
        <v>238020.8</v>
      </c>
      <c r="H13" s="78">
        <v>8362.99</v>
      </c>
      <c r="I13" s="74">
        <v>1.5660000000000001</v>
      </c>
      <c r="J13" s="75">
        <v>3.0419999999999998</v>
      </c>
      <c r="K13" s="75">
        <v>0.86299999999999999</v>
      </c>
      <c r="L13" s="75">
        <v>2.3220000000000001</v>
      </c>
      <c r="M13" s="75">
        <v>1.5980000000000001</v>
      </c>
      <c r="N13" s="78">
        <v>2.7519999999999998</v>
      </c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7"/>
      <c r="AF13" s="7"/>
      <c r="AG13" s="7"/>
      <c r="AH13" s="7"/>
      <c r="AI13" s="7"/>
    </row>
    <row r="14" spans="1:35" ht="15.75" customHeight="1" x14ac:dyDescent="0.35">
      <c r="A14" s="71"/>
      <c r="B14" s="10">
        <v>12.5</v>
      </c>
      <c r="C14" s="74">
        <v>10.5</v>
      </c>
      <c r="D14" s="75">
        <v>34.700000000000003</v>
      </c>
      <c r="E14" s="75">
        <v>6339.77</v>
      </c>
      <c r="F14" s="75">
        <v>1911.17</v>
      </c>
      <c r="G14" s="75">
        <v>28911.25</v>
      </c>
      <c r="H14" s="83">
        <v>3744.55</v>
      </c>
      <c r="I14" s="74">
        <v>1.5760000000000001</v>
      </c>
      <c r="J14" s="84">
        <v>3.2050000000000001</v>
      </c>
      <c r="K14" s="75">
        <v>0.89900000000000002</v>
      </c>
      <c r="L14" s="75">
        <v>2.359</v>
      </c>
      <c r="M14" s="75">
        <v>1.7589999999999999</v>
      </c>
      <c r="N14" s="120">
        <v>2.8</v>
      </c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7"/>
      <c r="AF14" s="7"/>
      <c r="AG14" s="7"/>
      <c r="AH14" s="7"/>
      <c r="AI14" s="7"/>
    </row>
    <row r="15" spans="1:35" ht="15.75" customHeight="1" x14ac:dyDescent="0.35">
      <c r="A15" s="71"/>
      <c r="B15" s="85">
        <v>12.5</v>
      </c>
      <c r="C15" s="86">
        <v>15.7</v>
      </c>
      <c r="D15" s="87">
        <v>10.1</v>
      </c>
      <c r="E15" s="87">
        <v>21750.99</v>
      </c>
      <c r="F15" s="88">
        <v>3125.97</v>
      </c>
      <c r="G15" s="88">
        <v>60010.9</v>
      </c>
      <c r="H15" s="89">
        <v>6749.1</v>
      </c>
      <c r="I15" s="86">
        <v>1.544</v>
      </c>
      <c r="J15" s="90">
        <v>3.0510000000000002</v>
      </c>
      <c r="K15" s="87">
        <v>0.86</v>
      </c>
      <c r="L15" s="88">
        <v>2.3079999999999998</v>
      </c>
      <c r="M15" s="88">
        <v>1.6180000000000001</v>
      </c>
      <c r="N15" s="126">
        <v>2.7719999999999998</v>
      </c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7"/>
      <c r="AF15" s="7"/>
      <c r="AG15" s="7"/>
      <c r="AH15" s="7"/>
      <c r="AI15" s="7"/>
    </row>
    <row r="16" spans="1:35" ht="15.75" customHeight="1" x14ac:dyDescent="0.35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7"/>
      <c r="AF16" s="7"/>
      <c r="AG16" s="7"/>
      <c r="AH16" s="7"/>
      <c r="AI16" s="7"/>
    </row>
    <row r="17" spans="1:35" ht="15.75" customHeight="1" x14ac:dyDescent="0.35">
      <c r="A17" s="19"/>
      <c r="B17" s="20" t="s">
        <v>337</v>
      </c>
      <c r="C17" s="232" t="s">
        <v>210</v>
      </c>
      <c r="D17" s="225"/>
      <c r="E17" s="225"/>
      <c r="F17" s="225"/>
      <c r="G17" s="225"/>
      <c r="H17" s="226"/>
      <c r="I17" s="224" t="s">
        <v>211</v>
      </c>
      <c r="J17" s="225"/>
      <c r="K17" s="225"/>
      <c r="L17" s="225"/>
      <c r="M17" s="225"/>
      <c r="N17" s="226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7"/>
      <c r="AF17" s="7"/>
      <c r="AG17" s="7"/>
      <c r="AH17" s="7"/>
      <c r="AI17" s="7"/>
    </row>
    <row r="18" spans="1:35" ht="15.75" customHeight="1" x14ac:dyDescent="0.35">
      <c r="A18" s="19"/>
      <c r="B18" s="180" t="s">
        <v>213</v>
      </c>
      <c r="C18" s="1" t="s">
        <v>214</v>
      </c>
      <c r="D18" s="1" t="s">
        <v>215</v>
      </c>
      <c r="E18" s="1" t="s">
        <v>216</v>
      </c>
      <c r="F18" s="1" t="s">
        <v>217</v>
      </c>
      <c r="G18" s="1" t="s">
        <v>218</v>
      </c>
      <c r="H18" s="73" t="s">
        <v>219</v>
      </c>
      <c r="I18" s="72" t="s">
        <v>220</v>
      </c>
      <c r="J18" s="1" t="s">
        <v>221</v>
      </c>
      <c r="K18" s="1" t="s">
        <v>222</v>
      </c>
      <c r="L18" s="1" t="s">
        <v>223</v>
      </c>
      <c r="M18" s="1" t="s">
        <v>224</v>
      </c>
      <c r="N18" s="73" t="s">
        <v>225</v>
      </c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7"/>
      <c r="AF18" s="7"/>
      <c r="AG18" s="7"/>
      <c r="AH18" s="7"/>
      <c r="AI18" s="7"/>
    </row>
    <row r="19" spans="1:35" ht="15.75" customHeight="1" x14ac:dyDescent="0.35">
      <c r="A19" s="19"/>
      <c r="B19" s="181">
        <v>5000</v>
      </c>
      <c r="C19" s="75"/>
      <c r="D19" s="75"/>
      <c r="E19" s="75">
        <v>6254391.8600000003</v>
      </c>
      <c r="F19" s="75"/>
      <c r="G19" s="75">
        <v>13881509.67</v>
      </c>
      <c r="H19" s="76">
        <v>1817058.22</v>
      </c>
      <c r="I19" s="74"/>
      <c r="J19" s="75"/>
      <c r="K19" s="75">
        <v>0.86199999999999999</v>
      </c>
      <c r="L19" s="75">
        <v>2.5710000000000002</v>
      </c>
      <c r="M19" s="75">
        <v>1.881</v>
      </c>
      <c r="N19" s="76">
        <v>2.9220000000000002</v>
      </c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7"/>
      <c r="AF19" s="7"/>
      <c r="AG19" s="7"/>
      <c r="AH19" s="7"/>
      <c r="AI19" s="7"/>
    </row>
    <row r="20" spans="1:35" ht="15.75" customHeight="1" x14ac:dyDescent="0.35">
      <c r="A20" s="19"/>
      <c r="B20" s="181">
        <v>5000</v>
      </c>
      <c r="C20" s="75"/>
      <c r="D20" s="75"/>
      <c r="E20" s="75">
        <v>6191553.2999999998</v>
      </c>
      <c r="F20" s="77">
        <v>251958.17</v>
      </c>
      <c r="G20" s="75"/>
      <c r="H20" s="78"/>
      <c r="I20" s="74"/>
      <c r="J20" s="75"/>
      <c r="K20" s="75">
        <v>0.871</v>
      </c>
      <c r="L20" s="77">
        <v>2.5910000000000002</v>
      </c>
      <c r="M20" s="75">
        <v>1.901</v>
      </c>
      <c r="N20" s="78">
        <v>2.931</v>
      </c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7"/>
      <c r="AF20" s="7"/>
      <c r="AG20" s="7"/>
      <c r="AH20" s="7"/>
      <c r="AI20" s="7"/>
    </row>
    <row r="21" spans="1:35" ht="15.75" customHeight="1" x14ac:dyDescent="0.35">
      <c r="A21" s="19"/>
      <c r="B21" s="181">
        <v>2000</v>
      </c>
      <c r="C21" s="75"/>
      <c r="D21" s="75"/>
      <c r="E21" s="75">
        <v>2592438.67</v>
      </c>
      <c r="F21" s="75">
        <v>130774.39</v>
      </c>
      <c r="G21" s="75">
        <v>5887355.4100000001</v>
      </c>
      <c r="H21" s="78">
        <v>525400.85</v>
      </c>
      <c r="I21" s="74"/>
      <c r="J21" s="79"/>
      <c r="K21" s="75">
        <v>0.88400000000000001</v>
      </c>
      <c r="L21" s="75">
        <v>2.581</v>
      </c>
      <c r="M21" s="75">
        <v>1.925</v>
      </c>
      <c r="N21" s="78">
        <v>2.9319999999999999</v>
      </c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7"/>
      <c r="AF21" s="7"/>
      <c r="AG21" s="7"/>
      <c r="AH21" s="7"/>
      <c r="AI21" s="7"/>
    </row>
    <row r="22" spans="1:35" ht="15.75" customHeight="1" x14ac:dyDescent="0.35">
      <c r="A22" s="19"/>
      <c r="B22" s="181">
        <v>2000</v>
      </c>
      <c r="C22" s="75"/>
      <c r="D22" s="75"/>
      <c r="E22" s="75">
        <v>2463637.7799999998</v>
      </c>
      <c r="F22" s="75">
        <v>92557.9</v>
      </c>
      <c r="G22" s="75">
        <v>5772299.5999999996</v>
      </c>
      <c r="H22" s="78">
        <v>512574.34</v>
      </c>
      <c r="I22" s="74"/>
      <c r="J22" s="75"/>
      <c r="K22" s="75">
        <v>0.89200000000000002</v>
      </c>
      <c r="L22" s="75">
        <v>2.6120000000000001</v>
      </c>
      <c r="M22" s="75">
        <v>1.9330000000000001</v>
      </c>
      <c r="N22" s="78">
        <v>2.9289999999999998</v>
      </c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7"/>
      <c r="AF22" s="7"/>
      <c r="AG22" s="7"/>
      <c r="AH22" s="7"/>
      <c r="AI22" s="7"/>
    </row>
    <row r="23" spans="1:35" ht="15.75" customHeight="1" x14ac:dyDescent="0.35">
      <c r="A23" s="19"/>
      <c r="B23" s="181">
        <v>1000</v>
      </c>
      <c r="C23" s="75"/>
      <c r="D23" s="75"/>
      <c r="E23" s="75">
        <v>1153390.33</v>
      </c>
      <c r="F23" s="75">
        <v>69155.039999999994</v>
      </c>
      <c r="G23" s="75">
        <v>2904472.9</v>
      </c>
      <c r="H23" s="76">
        <v>178486.94</v>
      </c>
      <c r="I23" s="74"/>
      <c r="J23" s="75"/>
      <c r="K23" s="75">
        <v>0.88500000000000001</v>
      </c>
      <c r="L23" s="75">
        <v>2.5939999999999999</v>
      </c>
      <c r="M23" s="75">
        <v>1.9379999999999999</v>
      </c>
      <c r="N23" s="76">
        <v>2.9329999999999998</v>
      </c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7"/>
      <c r="AF23" s="7"/>
      <c r="AG23" s="7"/>
      <c r="AH23" s="7"/>
      <c r="AI23" s="7"/>
    </row>
    <row r="24" spans="1:35" ht="15.75" customHeight="1" x14ac:dyDescent="0.35">
      <c r="A24" s="19"/>
      <c r="B24" s="181">
        <v>1000</v>
      </c>
      <c r="C24" s="75"/>
      <c r="D24" s="75"/>
      <c r="E24" s="75">
        <v>1148195.18</v>
      </c>
      <c r="F24" s="75">
        <v>54478.93</v>
      </c>
      <c r="G24" s="75">
        <v>2769446.08</v>
      </c>
      <c r="H24" s="78">
        <v>172879.69</v>
      </c>
      <c r="I24" s="74"/>
      <c r="J24" s="79"/>
      <c r="K24" s="75">
        <v>0.89100000000000001</v>
      </c>
      <c r="L24" s="75">
        <v>2.6</v>
      </c>
      <c r="M24" s="75">
        <v>1.966</v>
      </c>
      <c r="N24" s="78">
        <v>2.9279999999999999</v>
      </c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7"/>
      <c r="AF24" s="7"/>
      <c r="AG24" s="7"/>
      <c r="AH24" s="7"/>
      <c r="AI24" s="7"/>
    </row>
    <row r="25" spans="1:35" ht="15.75" customHeight="1" x14ac:dyDescent="0.35">
      <c r="A25" s="19"/>
      <c r="B25" s="181">
        <v>200</v>
      </c>
      <c r="C25" s="75"/>
      <c r="D25" s="75"/>
      <c r="E25" s="75">
        <v>234488.21</v>
      </c>
      <c r="F25" s="75">
        <v>15905.64</v>
      </c>
      <c r="G25" s="75">
        <v>609554.06999999995</v>
      </c>
      <c r="H25" s="78">
        <v>40547.47</v>
      </c>
      <c r="I25" s="81"/>
      <c r="J25" s="75"/>
      <c r="K25" s="75">
        <v>0.91500000000000004</v>
      </c>
      <c r="L25" s="75">
        <v>2.59</v>
      </c>
      <c r="M25" s="75">
        <v>1.956</v>
      </c>
      <c r="N25" s="78">
        <v>2.93</v>
      </c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7"/>
      <c r="AF25" s="7"/>
      <c r="AG25" s="7"/>
      <c r="AH25" s="7"/>
      <c r="AI25" s="7"/>
    </row>
    <row r="26" spans="1:35" ht="15.75" customHeight="1" x14ac:dyDescent="0.35">
      <c r="A26" s="19"/>
      <c r="B26" s="181">
        <v>200</v>
      </c>
      <c r="C26" s="75"/>
      <c r="D26" s="75"/>
      <c r="E26" s="75">
        <v>237346.15</v>
      </c>
      <c r="F26" s="75">
        <v>7463.85</v>
      </c>
      <c r="G26" s="75">
        <v>575203.66</v>
      </c>
      <c r="H26" s="78">
        <v>36464.07</v>
      </c>
      <c r="I26" s="74"/>
      <c r="J26" s="75"/>
      <c r="K26" s="75">
        <v>0.90300000000000002</v>
      </c>
      <c r="L26" s="75">
        <v>2.6</v>
      </c>
      <c r="M26" s="75">
        <v>1.966</v>
      </c>
      <c r="N26" s="78">
        <v>2.9510000000000001</v>
      </c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7"/>
      <c r="AF26" s="7"/>
      <c r="AG26" s="7"/>
      <c r="AH26" s="7"/>
      <c r="AI26" s="7"/>
    </row>
    <row r="27" spans="1:35" ht="15.75" customHeight="1" x14ac:dyDescent="0.35">
      <c r="A27" s="19"/>
      <c r="B27" s="181">
        <v>100</v>
      </c>
      <c r="C27" s="75"/>
      <c r="D27" s="75"/>
      <c r="E27" s="75">
        <v>83395.429999999993</v>
      </c>
      <c r="F27" s="75">
        <v>7227.64</v>
      </c>
      <c r="G27" s="75">
        <v>270049.09999999998</v>
      </c>
      <c r="H27" s="76">
        <v>9558.26</v>
      </c>
      <c r="I27" s="74"/>
      <c r="J27" s="75"/>
      <c r="K27" s="75">
        <v>0.91800000000000004</v>
      </c>
      <c r="L27" s="75">
        <v>2.57</v>
      </c>
      <c r="M27" s="75">
        <v>1.9590000000000001</v>
      </c>
      <c r="N27" s="76">
        <v>2.9319999999999999</v>
      </c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7"/>
      <c r="AF27" s="7"/>
      <c r="AG27" s="7"/>
      <c r="AH27" s="7"/>
      <c r="AI27" s="7"/>
    </row>
    <row r="28" spans="1:35" ht="15.75" customHeight="1" x14ac:dyDescent="0.35">
      <c r="A28" s="19"/>
      <c r="B28" s="181">
        <v>100</v>
      </c>
      <c r="C28" s="75"/>
      <c r="D28" s="75"/>
      <c r="E28" s="75">
        <v>82633.039999999994</v>
      </c>
      <c r="F28" s="75">
        <v>4445.13</v>
      </c>
      <c r="G28" s="75">
        <v>235237.17</v>
      </c>
      <c r="H28" s="78">
        <v>9181.15</v>
      </c>
      <c r="I28" s="74"/>
      <c r="J28" s="75"/>
      <c r="K28" s="75">
        <v>0.90600000000000003</v>
      </c>
      <c r="L28" s="75">
        <v>2.5920000000000001</v>
      </c>
      <c r="M28" s="75">
        <v>1.97</v>
      </c>
      <c r="N28" s="78">
        <v>2.9089999999999998</v>
      </c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7"/>
      <c r="AF28" s="7"/>
      <c r="AG28" s="7"/>
      <c r="AH28" s="7"/>
      <c r="AI28" s="7"/>
    </row>
    <row r="29" spans="1:35" ht="15.75" customHeight="1" x14ac:dyDescent="0.35">
      <c r="A29" s="19"/>
      <c r="B29" s="181">
        <v>12.5</v>
      </c>
      <c r="C29" s="75"/>
      <c r="D29" s="75"/>
      <c r="E29" s="75">
        <v>9039.65</v>
      </c>
      <c r="F29" s="75">
        <v>1798.69</v>
      </c>
      <c r="G29" s="75">
        <v>32068.21</v>
      </c>
      <c r="H29" s="83"/>
      <c r="I29" s="74"/>
      <c r="J29" s="84"/>
      <c r="K29" s="75">
        <v>0.92100000000000004</v>
      </c>
      <c r="L29" s="75">
        <v>2.46</v>
      </c>
      <c r="M29" s="75">
        <v>1.9850000000000001</v>
      </c>
      <c r="N29" s="120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7"/>
      <c r="AF29" s="7"/>
      <c r="AG29" s="7"/>
      <c r="AH29" s="7"/>
      <c r="AI29" s="7"/>
    </row>
    <row r="30" spans="1:35" ht="15.75" customHeight="1" x14ac:dyDescent="0.35">
      <c r="A30" s="19"/>
      <c r="B30" s="182">
        <v>12.5</v>
      </c>
      <c r="C30" s="87"/>
      <c r="D30" s="87"/>
      <c r="E30" s="87">
        <v>18271.64</v>
      </c>
      <c r="F30" s="88"/>
      <c r="G30" s="88">
        <v>47104.31</v>
      </c>
      <c r="H30" s="89">
        <v>8429.82</v>
      </c>
      <c r="I30" s="86"/>
      <c r="J30" s="90"/>
      <c r="K30" s="87">
        <v>0.94</v>
      </c>
      <c r="L30" s="88"/>
      <c r="M30" s="88">
        <v>1.9930000000000001</v>
      </c>
      <c r="N30" s="91">
        <v>2.9089999999999998</v>
      </c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7"/>
      <c r="AF30" s="7"/>
      <c r="AG30" s="7"/>
      <c r="AH30" s="7"/>
      <c r="AI30" s="7"/>
    </row>
    <row r="31" spans="1:35" ht="15.75" customHeight="1" x14ac:dyDescent="0.35">
      <c r="A31" s="19"/>
      <c r="B31" s="19"/>
      <c r="C31" s="1"/>
      <c r="D31" s="1"/>
      <c r="E31" s="1"/>
      <c r="F31" s="1"/>
      <c r="G31" s="1"/>
      <c r="H31" s="1"/>
      <c r="J31" s="19"/>
      <c r="K31" s="10"/>
      <c r="L31" s="10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7"/>
      <c r="AF31" s="7"/>
      <c r="AG31" s="7"/>
      <c r="AH31" s="7"/>
      <c r="AI31" s="7"/>
    </row>
    <row r="32" spans="1:35" ht="15.75" customHeight="1" x14ac:dyDescent="0.35">
      <c r="A32" s="19"/>
      <c r="B32" s="92"/>
      <c r="C32" s="93" t="s">
        <v>236</v>
      </c>
      <c r="D32" s="93" t="s">
        <v>237</v>
      </c>
      <c r="E32" s="93" t="s">
        <v>238</v>
      </c>
      <c r="F32" s="93" t="s">
        <v>239</v>
      </c>
      <c r="G32" s="93" t="s">
        <v>240</v>
      </c>
      <c r="H32" s="94" t="s">
        <v>241</v>
      </c>
      <c r="J32" s="19"/>
      <c r="K32" s="10"/>
      <c r="L32" s="10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7"/>
      <c r="AF32" s="7"/>
      <c r="AG32" s="7"/>
      <c r="AH32" s="7"/>
      <c r="AI32" s="7"/>
    </row>
    <row r="33" spans="1:35" ht="15.75" customHeight="1" x14ac:dyDescent="0.35">
      <c r="A33" s="19"/>
      <c r="B33" s="95" t="s">
        <v>242</v>
      </c>
      <c r="C33" s="87">
        <v>14.2</v>
      </c>
      <c r="D33" s="87">
        <v>13.6</v>
      </c>
      <c r="E33" s="87">
        <v>12.2</v>
      </c>
      <c r="F33" s="87">
        <v>11.6</v>
      </c>
      <c r="G33" s="87">
        <v>11.7</v>
      </c>
      <c r="H33" s="89">
        <v>11.6</v>
      </c>
      <c r="I33" s="96" t="s">
        <v>338</v>
      </c>
      <c r="J33" s="19"/>
      <c r="K33" s="7"/>
      <c r="L33" s="41"/>
      <c r="M33" s="19"/>
      <c r="N33" s="19"/>
      <c r="O33" s="19"/>
      <c r="P33" s="70"/>
      <c r="Q33" s="70"/>
      <c r="R33" s="70"/>
      <c r="S33" s="70"/>
      <c r="T33" s="70"/>
      <c r="U33" s="70"/>
      <c r="V33" s="70"/>
      <c r="W33" s="70"/>
      <c r="X33" s="19"/>
      <c r="Y33" s="19"/>
      <c r="Z33" s="19"/>
      <c r="AA33" s="19"/>
      <c r="AB33" s="19"/>
      <c r="AC33" s="19"/>
      <c r="AD33" s="19"/>
      <c r="AE33" s="7"/>
      <c r="AF33" s="7"/>
      <c r="AG33" s="7"/>
      <c r="AH33" s="7"/>
      <c r="AI33" s="7"/>
    </row>
    <row r="34" spans="1:35" ht="15.75" customHeight="1" x14ac:dyDescent="0.35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0"/>
      <c r="L34" s="10"/>
      <c r="M34" s="4"/>
      <c r="N34" s="4"/>
      <c r="O34" s="4"/>
      <c r="P34" s="97" t="s">
        <v>244</v>
      </c>
      <c r="Q34" s="98" t="s">
        <v>245</v>
      </c>
      <c r="R34" s="98" t="s">
        <v>246</v>
      </c>
      <c r="S34" s="98" t="s">
        <v>247</v>
      </c>
      <c r="T34" s="98" t="s">
        <v>248</v>
      </c>
      <c r="U34" s="98" t="s">
        <v>249</v>
      </c>
      <c r="V34" s="227" t="s">
        <v>250</v>
      </c>
      <c r="W34" s="229" t="s">
        <v>251</v>
      </c>
      <c r="X34" s="19"/>
      <c r="Y34" s="19"/>
      <c r="Z34" s="19"/>
      <c r="AA34" s="19"/>
      <c r="AB34" s="19"/>
      <c r="AC34" s="19"/>
      <c r="AD34" s="19"/>
      <c r="AE34" s="7"/>
      <c r="AF34" s="7"/>
      <c r="AG34" s="7"/>
      <c r="AH34" s="7"/>
      <c r="AI34" s="7"/>
    </row>
    <row r="35" spans="1:35" ht="15.75" customHeight="1" x14ac:dyDescent="0.35">
      <c r="A35" s="19"/>
      <c r="B35" s="99" t="s">
        <v>213</v>
      </c>
      <c r="C35" s="93" t="s">
        <v>22</v>
      </c>
      <c r="D35" s="93" t="s">
        <v>23</v>
      </c>
      <c r="E35" s="93" t="s">
        <v>24</v>
      </c>
      <c r="F35" s="93" t="s">
        <v>25</v>
      </c>
      <c r="G35" s="93" t="s">
        <v>252</v>
      </c>
      <c r="H35" s="94" t="s">
        <v>27</v>
      </c>
      <c r="I35" s="19"/>
      <c r="J35" s="19"/>
      <c r="K35" s="10"/>
      <c r="L35" s="10"/>
      <c r="M35" s="4"/>
      <c r="N35" s="4"/>
      <c r="O35" s="4"/>
      <c r="P35" s="100" t="s">
        <v>253</v>
      </c>
      <c r="Q35" s="101" t="s">
        <v>254</v>
      </c>
      <c r="R35" s="101" t="s">
        <v>255</v>
      </c>
      <c r="S35" s="101" t="s">
        <v>246</v>
      </c>
      <c r="T35" s="101" t="s">
        <v>256</v>
      </c>
      <c r="U35" s="101" t="s">
        <v>257</v>
      </c>
      <c r="V35" s="228"/>
      <c r="W35" s="230"/>
      <c r="X35" s="19"/>
      <c r="Y35" s="19"/>
      <c r="Z35" s="19"/>
      <c r="AA35" s="19"/>
      <c r="AB35" s="19"/>
      <c r="AC35" s="19"/>
      <c r="AD35" s="19"/>
      <c r="AE35" s="7"/>
      <c r="AF35" s="7"/>
      <c r="AG35" s="7"/>
      <c r="AH35" s="7"/>
      <c r="AI35" s="7"/>
    </row>
    <row r="36" spans="1:35" ht="15.75" customHeight="1" x14ac:dyDescent="0.35">
      <c r="A36" s="19"/>
      <c r="B36" s="102">
        <v>5000</v>
      </c>
      <c r="C36" s="54">
        <f>C33/1000/$C$60*1000*1000/$P$8*1000</f>
        <v>414.99839261185963</v>
      </c>
      <c r="D36" s="54">
        <f>D33*1000*1000/$P$8/$C$61</f>
        <v>456.13093640998119</v>
      </c>
      <c r="E36" s="7">
        <f>E33*1000*1000/$P$8/$C$62</f>
        <v>497.65449724658373</v>
      </c>
      <c r="F36" s="7">
        <f t="shared" ref="F36:H36" si="0">F33*1000*1000/$P$8/$C$63</f>
        <v>552.01294375178452</v>
      </c>
      <c r="G36" s="7">
        <f t="shared" si="0"/>
        <v>556.77167602550685</v>
      </c>
      <c r="H36" s="103">
        <f t="shared" si="0"/>
        <v>552.01294375178452</v>
      </c>
      <c r="I36" s="19"/>
      <c r="J36" s="19"/>
      <c r="K36" s="10"/>
      <c r="L36" s="10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7"/>
      <c r="AF36" s="7"/>
      <c r="AG36" s="7"/>
      <c r="AH36" s="7"/>
      <c r="AI36" s="7"/>
    </row>
    <row r="37" spans="1:35" ht="15.75" customHeight="1" x14ac:dyDescent="0.35">
      <c r="A37" s="19"/>
      <c r="B37" s="102">
        <v>5000</v>
      </c>
      <c r="C37" s="54">
        <f>C33/1000/342.17*1000*1000/$P$8*1000</f>
        <v>414.99839261185963</v>
      </c>
      <c r="D37" s="54">
        <f t="shared" ref="D37:H37" si="1">D33*1000*1000/$P$8/298.16</f>
        <v>456.13093640998119</v>
      </c>
      <c r="E37" s="7">
        <f t="shared" si="1"/>
        <v>409.17628119130666</v>
      </c>
      <c r="F37" s="7">
        <f t="shared" si="1"/>
        <v>389.05285752616044</v>
      </c>
      <c r="G37" s="7">
        <f t="shared" si="1"/>
        <v>392.40676147035146</v>
      </c>
      <c r="H37" s="103">
        <f t="shared" si="1"/>
        <v>389.05285752616044</v>
      </c>
      <c r="I37" s="19"/>
      <c r="J37" s="19"/>
      <c r="K37" s="10"/>
      <c r="L37" s="10"/>
      <c r="M37" s="19"/>
      <c r="N37" s="19"/>
      <c r="O37" s="19"/>
      <c r="P37" s="104"/>
      <c r="Q37" s="7" t="s">
        <v>208</v>
      </c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7"/>
      <c r="AF37" s="7"/>
      <c r="AG37" s="7"/>
      <c r="AH37" s="7"/>
      <c r="AI37" s="7"/>
    </row>
    <row r="38" spans="1:35" ht="15.75" customHeight="1" x14ac:dyDescent="0.35">
      <c r="A38" s="19"/>
      <c r="B38" s="102">
        <v>2000</v>
      </c>
      <c r="C38" s="178"/>
      <c r="D38" s="54">
        <f>B38*$D$36/$B$36</f>
        <v>182.45237456399246</v>
      </c>
      <c r="E38" s="7">
        <f t="shared" ref="E38:E47" si="2">B38*$E$36/$B$36</f>
        <v>199.0617988986335</v>
      </c>
      <c r="F38" s="7">
        <f t="shared" ref="F38:F47" si="3">B38*$F$36/$B$36</f>
        <v>220.8051775007138</v>
      </c>
      <c r="G38" s="7">
        <f t="shared" ref="G38:G47" si="4">B38*$G$36/$B$36</f>
        <v>222.70867041020273</v>
      </c>
      <c r="H38" s="103">
        <f t="shared" ref="H38:H47" si="5">B38*$H$36/$B$36</f>
        <v>220.8051775007138</v>
      </c>
      <c r="I38" s="19"/>
      <c r="J38" s="19"/>
      <c r="K38" s="10"/>
      <c r="L38" s="10"/>
      <c r="M38" s="19"/>
      <c r="N38" s="19"/>
      <c r="O38" s="19"/>
      <c r="P38" s="105"/>
      <c r="Q38" s="7" t="s">
        <v>258</v>
      </c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7"/>
      <c r="AF38" s="7"/>
      <c r="AG38" s="7"/>
      <c r="AH38" s="7"/>
      <c r="AI38" s="7"/>
    </row>
    <row r="39" spans="1:35" ht="15.75" customHeight="1" x14ac:dyDescent="0.35">
      <c r="A39" s="19"/>
      <c r="B39" s="102">
        <v>2000</v>
      </c>
      <c r="C39" s="54"/>
      <c r="D39" s="54"/>
      <c r="E39" s="7">
        <f t="shared" si="2"/>
        <v>199.0617988986335</v>
      </c>
      <c r="F39" s="7">
        <f t="shared" si="3"/>
        <v>220.8051775007138</v>
      </c>
      <c r="G39" s="7">
        <f t="shared" si="4"/>
        <v>222.70867041020273</v>
      </c>
      <c r="H39" s="103">
        <f t="shared" si="5"/>
        <v>220.8051775007138</v>
      </c>
      <c r="I39" s="19"/>
      <c r="J39" s="19"/>
      <c r="K39" s="10"/>
      <c r="L39" s="10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7"/>
      <c r="AF39" s="7"/>
      <c r="AG39" s="7"/>
      <c r="AH39" s="7"/>
      <c r="AI39" s="7"/>
    </row>
    <row r="40" spans="1:35" ht="15.75" customHeight="1" x14ac:dyDescent="0.35">
      <c r="A40" s="19"/>
      <c r="B40" s="102">
        <v>1000</v>
      </c>
      <c r="C40" s="54">
        <f t="shared" ref="C40:C47" si="6">B40*$C$36/$B$36</f>
        <v>82.999678522371937</v>
      </c>
      <c r="D40" s="54">
        <f>B40*$D$36/$B$36</f>
        <v>91.226187281996232</v>
      </c>
      <c r="E40" s="7">
        <f t="shared" si="2"/>
        <v>99.530899449316749</v>
      </c>
      <c r="F40" s="7">
        <f t="shared" si="3"/>
        <v>110.4025887503569</v>
      </c>
      <c r="G40" s="7">
        <f t="shared" si="4"/>
        <v>111.35433520510136</v>
      </c>
      <c r="H40" s="103">
        <f t="shared" si="5"/>
        <v>110.4025887503569</v>
      </c>
      <c r="I40" s="19"/>
      <c r="J40" s="19"/>
      <c r="K40" s="10"/>
      <c r="L40" s="10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7"/>
      <c r="AF40" s="7"/>
      <c r="AG40" s="7"/>
      <c r="AH40" s="7"/>
      <c r="AI40" s="7"/>
    </row>
    <row r="41" spans="1:35" ht="15.75" customHeight="1" x14ac:dyDescent="0.35">
      <c r="A41" s="19"/>
      <c r="B41" s="102">
        <v>1000</v>
      </c>
      <c r="C41" s="54">
        <f t="shared" si="6"/>
        <v>82.999678522371937</v>
      </c>
      <c r="D41" s="54">
        <f>B40*$D$36/$B$36</f>
        <v>91.226187281996232</v>
      </c>
      <c r="E41" s="7">
        <f t="shared" si="2"/>
        <v>99.530899449316749</v>
      </c>
      <c r="F41" s="7">
        <f t="shared" si="3"/>
        <v>110.4025887503569</v>
      </c>
      <c r="G41" s="7">
        <f t="shared" si="4"/>
        <v>111.35433520510136</v>
      </c>
      <c r="H41" s="103">
        <f t="shared" si="5"/>
        <v>110.4025887503569</v>
      </c>
      <c r="I41" s="19"/>
      <c r="J41" s="19"/>
      <c r="K41" s="10"/>
      <c r="L41" s="10"/>
      <c r="M41" s="7"/>
      <c r="N41" s="7"/>
      <c r="O41" s="7"/>
      <c r="P41" s="7" t="s">
        <v>259</v>
      </c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7"/>
      <c r="AF41" s="7"/>
      <c r="AG41" s="7"/>
      <c r="AH41" s="7"/>
      <c r="AI41" s="7"/>
    </row>
    <row r="42" spans="1:35" ht="15.75" customHeight="1" x14ac:dyDescent="0.35">
      <c r="A42" s="19"/>
      <c r="B42" s="102">
        <v>200</v>
      </c>
      <c r="C42" s="54">
        <f t="shared" si="6"/>
        <v>16.599935704474383</v>
      </c>
      <c r="D42" s="54">
        <f>B42*$D$36/$B$36</f>
        <v>18.245237456399249</v>
      </c>
      <c r="E42" s="7">
        <f t="shared" si="2"/>
        <v>19.906179889863349</v>
      </c>
      <c r="F42" s="7">
        <f t="shared" si="3"/>
        <v>22.080517750071383</v>
      </c>
      <c r="G42" s="7">
        <f t="shared" si="4"/>
        <v>22.270867041020274</v>
      </c>
      <c r="H42" s="103">
        <f t="shared" si="5"/>
        <v>22.080517750071383</v>
      </c>
      <c r="I42" s="19"/>
      <c r="J42" s="19"/>
      <c r="K42" s="10"/>
      <c r="L42" s="10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7"/>
      <c r="AF42" s="7"/>
      <c r="AG42" s="7"/>
      <c r="AH42" s="7"/>
      <c r="AI42" s="7"/>
    </row>
    <row r="43" spans="1:35" ht="15.75" customHeight="1" x14ac:dyDescent="0.35">
      <c r="A43" s="19"/>
      <c r="B43" s="102">
        <v>200</v>
      </c>
      <c r="C43" s="54">
        <f t="shared" si="6"/>
        <v>16.599935704474383</v>
      </c>
      <c r="D43" s="54">
        <f>B42*$D$36/$B$36</f>
        <v>18.245237456399249</v>
      </c>
      <c r="E43" s="7">
        <f t="shared" si="2"/>
        <v>19.906179889863349</v>
      </c>
      <c r="F43" s="7">
        <f t="shared" si="3"/>
        <v>22.080517750071383</v>
      </c>
      <c r="G43" s="7">
        <f t="shared" si="4"/>
        <v>22.270867041020274</v>
      </c>
      <c r="H43" s="103">
        <f t="shared" si="5"/>
        <v>22.080517750071383</v>
      </c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7"/>
      <c r="AF43" s="7"/>
      <c r="AG43" s="7"/>
      <c r="AH43" s="7"/>
      <c r="AI43" s="7"/>
    </row>
    <row r="44" spans="1:35" ht="15.75" customHeight="1" x14ac:dyDescent="0.35">
      <c r="A44" s="19"/>
      <c r="B44" s="102">
        <v>100</v>
      </c>
      <c r="C44" s="54">
        <f t="shared" si="6"/>
        <v>8.2999678522371916</v>
      </c>
      <c r="D44" s="54">
        <f>B44*$D$36/$B$36</f>
        <v>9.1226187281996243</v>
      </c>
      <c r="E44" s="7">
        <f t="shared" si="2"/>
        <v>9.9530899449316745</v>
      </c>
      <c r="F44" s="7">
        <f t="shared" si="3"/>
        <v>11.040258875035692</v>
      </c>
      <c r="G44" s="7">
        <f t="shared" si="4"/>
        <v>11.135433520510137</v>
      </c>
      <c r="H44" s="103">
        <f t="shared" si="5"/>
        <v>11.040258875035692</v>
      </c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7"/>
      <c r="AF44" s="7"/>
      <c r="AG44" s="7"/>
      <c r="AH44" s="7"/>
      <c r="AI44" s="7"/>
    </row>
    <row r="45" spans="1:35" ht="15.75" customHeight="1" x14ac:dyDescent="0.35">
      <c r="A45" s="19"/>
      <c r="B45" s="102">
        <v>100</v>
      </c>
      <c r="C45" s="54">
        <f t="shared" si="6"/>
        <v>8.2999678522371916</v>
      </c>
      <c r="D45" s="54">
        <f>B44*$D$36/$B$36</f>
        <v>9.1226187281996243</v>
      </c>
      <c r="E45" s="7">
        <f t="shared" si="2"/>
        <v>9.9530899449316745</v>
      </c>
      <c r="F45" s="7">
        <f t="shared" si="3"/>
        <v>11.040258875035692</v>
      </c>
      <c r="G45" s="7">
        <f t="shared" si="4"/>
        <v>11.135433520510137</v>
      </c>
      <c r="H45" s="103">
        <f t="shared" si="5"/>
        <v>11.040258875035692</v>
      </c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7"/>
      <c r="AF45" s="7"/>
      <c r="AG45" s="7"/>
      <c r="AH45" s="7"/>
      <c r="AI45" s="7"/>
    </row>
    <row r="46" spans="1:35" ht="15.75" customHeight="1" x14ac:dyDescent="0.35">
      <c r="A46" s="19"/>
      <c r="B46" s="102">
        <v>12.5</v>
      </c>
      <c r="C46" s="54">
        <f t="shared" si="6"/>
        <v>1.0374959815296489</v>
      </c>
      <c r="D46" s="54">
        <f t="shared" ref="D46:D47" si="7">B46*$D$36/$B$36</f>
        <v>1.140327341024953</v>
      </c>
      <c r="E46" s="7">
        <f t="shared" si="2"/>
        <v>1.2441362431164593</v>
      </c>
      <c r="F46" s="7">
        <f t="shared" si="3"/>
        <v>1.3800323593794614</v>
      </c>
      <c r="G46" s="7">
        <f t="shared" si="4"/>
        <v>1.3919291900637671</v>
      </c>
      <c r="H46" s="103">
        <f t="shared" si="5"/>
        <v>1.3800323593794614</v>
      </c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7"/>
      <c r="AF46" s="7"/>
      <c r="AG46" s="7"/>
      <c r="AH46" s="7"/>
      <c r="AI46" s="7"/>
    </row>
    <row r="47" spans="1:35" ht="15.75" customHeight="1" x14ac:dyDescent="0.35">
      <c r="A47" s="19"/>
      <c r="B47" s="106">
        <v>12.5</v>
      </c>
      <c r="C47" s="107">
        <f t="shared" si="6"/>
        <v>1.0374959815296489</v>
      </c>
      <c r="D47" s="107">
        <f t="shared" si="7"/>
        <v>1.140327341024953</v>
      </c>
      <c r="E47" s="108">
        <f t="shared" si="2"/>
        <v>1.2441362431164593</v>
      </c>
      <c r="F47" s="108">
        <f t="shared" si="3"/>
        <v>1.3800323593794614</v>
      </c>
      <c r="G47" s="108">
        <f t="shared" si="4"/>
        <v>1.3919291900637671</v>
      </c>
      <c r="H47" s="109">
        <f t="shared" si="5"/>
        <v>1.3800323593794614</v>
      </c>
      <c r="I47" s="19"/>
      <c r="J47" s="19"/>
      <c r="K47" s="19"/>
      <c r="L47" s="19"/>
      <c r="M47" s="19"/>
      <c r="N47" s="19"/>
      <c r="O47" s="19"/>
      <c r="P47" s="19"/>
      <c r="Q47" s="7" t="s">
        <v>260</v>
      </c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7"/>
      <c r="AF47" s="7"/>
      <c r="AG47" s="7"/>
      <c r="AH47" s="7"/>
      <c r="AI47" s="7"/>
    </row>
    <row r="48" spans="1:35" ht="15.75" customHeight="1" x14ac:dyDescent="0.35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7"/>
      <c r="AF48" s="7"/>
      <c r="AG48" s="7"/>
      <c r="AH48" s="7"/>
      <c r="AI48" s="7"/>
    </row>
    <row r="49" spans="1:35" ht="15.75" customHeight="1" x14ac:dyDescent="0.35">
      <c r="A49" s="19"/>
      <c r="B49" s="20" t="s">
        <v>336</v>
      </c>
      <c r="C49" s="93" t="s">
        <v>34</v>
      </c>
      <c r="D49" s="93" t="s">
        <v>35</v>
      </c>
      <c r="E49" s="93" t="s">
        <v>36</v>
      </c>
      <c r="F49" s="93" t="s">
        <v>261</v>
      </c>
      <c r="G49" s="93" t="s">
        <v>262</v>
      </c>
      <c r="H49" s="94" t="s">
        <v>263</v>
      </c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7"/>
      <c r="AF49" s="7"/>
      <c r="AG49" s="7"/>
      <c r="AH49" s="7"/>
      <c r="AI49" s="7"/>
    </row>
    <row r="50" spans="1:35" ht="15.75" customHeight="1" x14ac:dyDescent="0.35">
      <c r="A50" s="19"/>
      <c r="B50" s="180" t="s">
        <v>264</v>
      </c>
      <c r="C50" s="110">
        <f t="shared" ref="C50:H50" si="8">SLOPE(C36:C47,C4:C15)</f>
        <v>8.445340330906341E-2</v>
      </c>
      <c r="D50" s="110">
        <f t="shared" si="8"/>
        <v>8.7341702895345888E-2</v>
      </c>
      <c r="E50" s="111">
        <f t="shared" si="8"/>
        <v>8.0440441057290132E-5</v>
      </c>
      <c r="F50" s="111">
        <f t="shared" si="8"/>
        <v>1.6172590986820992E-3</v>
      </c>
      <c r="G50" s="111">
        <f t="shared" si="8"/>
        <v>4.3374515741502892E-5</v>
      </c>
      <c r="H50" s="112">
        <f t="shared" si="8"/>
        <v>4.36032316479636E-4</v>
      </c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7"/>
      <c r="AF50" s="7"/>
      <c r="AG50" s="7"/>
      <c r="AH50" s="7"/>
      <c r="AI50" s="7"/>
    </row>
    <row r="51" spans="1:35" ht="15.75" customHeight="1" x14ac:dyDescent="0.35">
      <c r="A51" s="19"/>
      <c r="B51" s="180" t="s">
        <v>265</v>
      </c>
      <c r="C51" s="110">
        <f t="shared" ref="C51:H51" si="9">INTERCEPT(C36:C47,C4:C15)</f>
        <v>13.509855838058797</v>
      </c>
      <c r="D51" s="110">
        <f t="shared" si="9"/>
        <v>10.80290248915874</v>
      </c>
      <c r="E51" s="110">
        <f t="shared" si="9"/>
        <v>15.148410971798981</v>
      </c>
      <c r="F51" s="110">
        <f t="shared" si="9"/>
        <v>4.8927790278185626</v>
      </c>
      <c r="G51" s="110">
        <f t="shared" si="9"/>
        <v>1.3083715148569013</v>
      </c>
      <c r="H51" s="113">
        <f t="shared" si="9"/>
        <v>9.4001394443489161</v>
      </c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7"/>
      <c r="AF51" s="7"/>
      <c r="AG51" s="7"/>
      <c r="AH51" s="7"/>
      <c r="AI51" s="7"/>
    </row>
    <row r="52" spans="1:35" ht="15.75" customHeight="1" x14ac:dyDescent="0.35">
      <c r="A52" s="19"/>
      <c r="B52" s="183" t="s">
        <v>266</v>
      </c>
      <c r="C52" s="115">
        <f t="shared" ref="C52:H52" si="10">RSQ(C36:C47,C4:C15)</f>
        <v>0.99016407929039274</v>
      </c>
      <c r="D52" s="115">
        <f t="shared" si="10"/>
        <v>0.99443819309547199</v>
      </c>
      <c r="E52" s="115">
        <f t="shared" si="10"/>
        <v>0.97668894982931131</v>
      </c>
      <c r="F52" s="115">
        <f t="shared" si="10"/>
        <v>0.98837260534184779</v>
      </c>
      <c r="G52" s="115">
        <f t="shared" si="10"/>
        <v>0.99964749611079085</v>
      </c>
      <c r="H52" s="116">
        <f t="shared" si="10"/>
        <v>0.97992986509339053</v>
      </c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7"/>
      <c r="AF52" s="7"/>
      <c r="AG52" s="7"/>
      <c r="AH52" s="7"/>
      <c r="AI52" s="7"/>
    </row>
    <row r="53" spans="1:35" ht="15.75" customHeight="1" x14ac:dyDescent="0.35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7"/>
      <c r="AF53" s="7"/>
      <c r="AG53" s="7"/>
      <c r="AH53" s="7"/>
      <c r="AI53" s="7"/>
    </row>
    <row r="54" spans="1:35" ht="15.75" customHeight="1" x14ac:dyDescent="0.35">
      <c r="A54" s="19"/>
      <c r="B54" s="20" t="s">
        <v>337</v>
      </c>
      <c r="C54" s="93" t="s">
        <v>34</v>
      </c>
      <c r="D54" s="93" t="s">
        <v>35</v>
      </c>
      <c r="E54" s="93" t="s">
        <v>36</v>
      </c>
      <c r="F54" s="93" t="s">
        <v>261</v>
      </c>
      <c r="G54" s="93" t="s">
        <v>262</v>
      </c>
      <c r="H54" s="94" t="s">
        <v>263</v>
      </c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7"/>
      <c r="AF54" s="7"/>
      <c r="AG54" s="7"/>
      <c r="AH54" s="7"/>
      <c r="AI54" s="7"/>
    </row>
    <row r="55" spans="1:35" ht="14.5" x14ac:dyDescent="0.35">
      <c r="A55" s="19"/>
      <c r="B55" s="180" t="s">
        <v>264</v>
      </c>
      <c r="C55" s="110" t="e">
        <f t="shared" ref="C55:H55" si="11">SLOPE(C36:C47,C19:C30)</f>
        <v>#DIV/0!</v>
      </c>
      <c r="D55" s="110" t="e">
        <f t="shared" si="11"/>
        <v>#DIV/0!</v>
      </c>
      <c r="E55" s="110">
        <f t="shared" si="11"/>
        <v>7.2647564770837259E-5</v>
      </c>
      <c r="F55" s="110">
        <f t="shared" si="11"/>
        <v>1.5912213367275485E-3</v>
      </c>
      <c r="G55" s="110">
        <f t="shared" si="11"/>
        <v>3.9772909383463428E-5</v>
      </c>
      <c r="H55" s="113">
        <f t="shared" si="11"/>
        <v>3.0201914642696669E-4</v>
      </c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7"/>
      <c r="AF55" s="7"/>
      <c r="AG55" s="7"/>
      <c r="AH55" s="7"/>
      <c r="AI55" s="7"/>
    </row>
    <row r="56" spans="1:35" ht="14.5" x14ac:dyDescent="0.35">
      <c r="A56" s="19"/>
      <c r="B56" s="180" t="s">
        <v>265</v>
      </c>
      <c r="C56" s="110" t="e">
        <f t="shared" ref="C56:H56" si="12">INTERCEPT(C36:C47,C19:C30)</f>
        <v>#DIV/0!</v>
      </c>
      <c r="D56" s="110" t="e">
        <f t="shared" si="12"/>
        <v>#DIV/0!</v>
      </c>
      <c r="E56" s="110">
        <f t="shared" si="12"/>
        <v>6.6013230313846236</v>
      </c>
      <c r="F56" s="110">
        <f t="shared" si="12"/>
        <v>10.744653782919755</v>
      </c>
      <c r="G56" s="110">
        <f t="shared" si="12"/>
        <v>-1.5806759433448434</v>
      </c>
      <c r="H56" s="113">
        <f t="shared" si="12"/>
        <v>28.21912714498238</v>
      </c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7"/>
      <c r="AF56" s="7"/>
      <c r="AG56" s="7"/>
      <c r="AH56" s="7"/>
      <c r="AI56" s="7"/>
    </row>
    <row r="57" spans="1:35" ht="14.5" x14ac:dyDescent="0.35">
      <c r="A57" s="19"/>
      <c r="B57" s="183" t="s">
        <v>266</v>
      </c>
      <c r="C57" s="115" t="e">
        <f t="shared" ref="C57:H57" si="13">RSQ(C36:C47,C19:C30)</f>
        <v>#DIV/0!</v>
      </c>
      <c r="D57" s="115" t="e">
        <f t="shared" si="13"/>
        <v>#DIV/0!</v>
      </c>
      <c r="E57" s="115">
        <f t="shared" si="13"/>
        <v>0.98688935181775939</v>
      </c>
      <c r="F57" s="115">
        <f t="shared" si="13"/>
        <v>0.96482590314339101</v>
      </c>
      <c r="G57" s="115">
        <f t="shared" si="13"/>
        <v>0.99929587972562472</v>
      </c>
      <c r="H57" s="116">
        <f t="shared" si="13"/>
        <v>0.97268826155675336</v>
      </c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7"/>
      <c r="AF57" s="7"/>
      <c r="AG57" s="7"/>
      <c r="AH57" s="7"/>
      <c r="AI57" s="7"/>
    </row>
    <row r="58" spans="1:35" ht="14.5" x14ac:dyDescent="0.35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7"/>
      <c r="AF58" s="7"/>
      <c r="AG58" s="7"/>
      <c r="AH58" s="7"/>
      <c r="AI58" s="7"/>
    </row>
    <row r="59" spans="1:35" ht="14.5" x14ac:dyDescent="0.35">
      <c r="A59" s="19"/>
      <c r="B59" s="99" t="s">
        <v>267</v>
      </c>
      <c r="C59" s="93" t="s">
        <v>268</v>
      </c>
      <c r="D59" s="94" t="s">
        <v>269</v>
      </c>
      <c r="E59" s="96" t="s">
        <v>339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7"/>
      <c r="AF59" s="7"/>
      <c r="AG59" s="7"/>
      <c r="AH59" s="7"/>
      <c r="AI59" s="7"/>
    </row>
    <row r="60" spans="1:35" ht="14.5" x14ac:dyDescent="0.35">
      <c r="A60" s="19"/>
      <c r="B60" s="33" t="s">
        <v>34</v>
      </c>
      <c r="C60" s="10">
        <v>342.17</v>
      </c>
      <c r="D60" s="117">
        <v>12</v>
      </c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7"/>
      <c r="AF60" s="7"/>
      <c r="AG60" s="7"/>
      <c r="AH60" s="7"/>
      <c r="AI60" s="7"/>
    </row>
    <row r="61" spans="1:35" ht="14.5" x14ac:dyDescent="0.35">
      <c r="A61" s="19"/>
      <c r="B61" s="33" t="s">
        <v>35</v>
      </c>
      <c r="C61" s="10">
        <v>298.16000000000003</v>
      </c>
      <c r="D61" s="117">
        <v>11</v>
      </c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7"/>
      <c r="AF61" s="7"/>
      <c r="AG61" s="7"/>
      <c r="AH61" s="7"/>
      <c r="AI61" s="7"/>
    </row>
    <row r="62" spans="1:35" ht="14.5" x14ac:dyDescent="0.35">
      <c r="A62" s="19"/>
      <c r="B62" s="33" t="s">
        <v>36</v>
      </c>
      <c r="C62" s="10">
        <v>245.15</v>
      </c>
      <c r="D62" s="117">
        <v>10</v>
      </c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7"/>
      <c r="AF62" s="7"/>
      <c r="AG62" s="7"/>
      <c r="AH62" s="7"/>
      <c r="AI62" s="7"/>
    </row>
    <row r="63" spans="1:35" ht="14.5" x14ac:dyDescent="0.35">
      <c r="A63" s="19"/>
      <c r="B63" s="34" t="s">
        <v>37</v>
      </c>
      <c r="C63" s="85">
        <v>210.14</v>
      </c>
      <c r="D63" s="118">
        <v>9</v>
      </c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7"/>
      <c r="AF63" s="7"/>
      <c r="AG63" s="7"/>
      <c r="AH63" s="7"/>
      <c r="AI63" s="7"/>
    </row>
    <row r="64" spans="1:35" ht="14.5" x14ac:dyDescent="0.35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7"/>
      <c r="AF64" s="7"/>
      <c r="AG64" s="7"/>
      <c r="AH64" s="7"/>
      <c r="AI64" s="7"/>
    </row>
    <row r="65" spans="1:35" ht="14.5" x14ac:dyDescent="0.35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7"/>
      <c r="AF65" s="7"/>
      <c r="AG65" s="7"/>
      <c r="AH65" s="7"/>
      <c r="AI65" s="7"/>
    </row>
    <row r="66" spans="1:35" ht="14.5" x14ac:dyDescent="0.35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7"/>
      <c r="AF66" s="7"/>
      <c r="AG66" s="7"/>
      <c r="AH66" s="7"/>
      <c r="AI66" s="7"/>
    </row>
    <row r="67" spans="1:35" ht="14.5" x14ac:dyDescent="0.35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7"/>
      <c r="AF67" s="7"/>
      <c r="AG67" s="7"/>
      <c r="AH67" s="7"/>
      <c r="AI67" s="7"/>
    </row>
    <row r="68" spans="1:35" ht="14.5" x14ac:dyDescent="0.35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7"/>
      <c r="AF68" s="7"/>
      <c r="AG68" s="7"/>
      <c r="AH68" s="7"/>
      <c r="AI68" s="7"/>
    </row>
    <row r="69" spans="1:35" ht="14.5" x14ac:dyDescent="0.35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7"/>
      <c r="AF69" s="7"/>
      <c r="AG69" s="7"/>
      <c r="AH69" s="7"/>
      <c r="AI69" s="7"/>
    </row>
    <row r="70" spans="1:35" ht="14.5" x14ac:dyDescent="0.35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7"/>
      <c r="AF70" s="7"/>
      <c r="AG70" s="7"/>
      <c r="AH70" s="7"/>
      <c r="AI70" s="7"/>
    </row>
    <row r="71" spans="1:35" ht="14.5" x14ac:dyDescent="0.35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7"/>
      <c r="AF71" s="7"/>
      <c r="AG71" s="7"/>
      <c r="AH71" s="7"/>
      <c r="AI71" s="7"/>
    </row>
    <row r="72" spans="1:35" ht="14.5" x14ac:dyDescent="0.35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7"/>
      <c r="AF72" s="7"/>
      <c r="AG72" s="7"/>
      <c r="AH72" s="7"/>
      <c r="AI72" s="7"/>
    </row>
    <row r="73" spans="1:35" ht="14.5" x14ac:dyDescent="0.35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7"/>
      <c r="AF73" s="7"/>
      <c r="AG73" s="7"/>
      <c r="AH73" s="7"/>
      <c r="AI73" s="7"/>
    </row>
    <row r="74" spans="1:35" ht="14.5" x14ac:dyDescent="0.35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7"/>
      <c r="AF74" s="7"/>
      <c r="AG74" s="7"/>
      <c r="AH74" s="7"/>
      <c r="AI74" s="7"/>
    </row>
    <row r="75" spans="1:35" ht="14.5" x14ac:dyDescent="0.35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7"/>
      <c r="AF75" s="7"/>
      <c r="AG75" s="7"/>
      <c r="AH75" s="7"/>
      <c r="AI75" s="7"/>
    </row>
    <row r="76" spans="1:35" ht="14.5" x14ac:dyDescent="0.35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7"/>
      <c r="AF76" s="7"/>
      <c r="AG76" s="7"/>
      <c r="AH76" s="7"/>
      <c r="AI76" s="7"/>
    </row>
    <row r="77" spans="1:35" ht="14.5" x14ac:dyDescent="0.35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7"/>
      <c r="AF77" s="7"/>
      <c r="AG77" s="7"/>
      <c r="AH77" s="7"/>
      <c r="AI77" s="7"/>
    </row>
    <row r="78" spans="1:35" ht="14.5" x14ac:dyDescent="0.35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7"/>
      <c r="AF78" s="7"/>
      <c r="AG78" s="7"/>
      <c r="AH78" s="7"/>
      <c r="AI78" s="7"/>
    </row>
    <row r="79" spans="1:35" ht="14.5" x14ac:dyDescent="0.35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7"/>
      <c r="AF79" s="7"/>
      <c r="AG79" s="7"/>
      <c r="AH79" s="7"/>
      <c r="AI79" s="7"/>
    </row>
    <row r="80" spans="1:35" ht="14.5" x14ac:dyDescent="0.35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7"/>
      <c r="AF80" s="7"/>
      <c r="AG80" s="7"/>
      <c r="AH80" s="7"/>
      <c r="AI80" s="7"/>
    </row>
    <row r="81" spans="1:35" ht="14.5" x14ac:dyDescent="0.35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7"/>
      <c r="AF81" s="7"/>
      <c r="AG81" s="7"/>
      <c r="AH81" s="7"/>
      <c r="AI81" s="7"/>
    </row>
    <row r="82" spans="1:35" ht="14.5" x14ac:dyDescent="0.35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7"/>
      <c r="AF82" s="7"/>
      <c r="AG82" s="7"/>
      <c r="AH82" s="7"/>
      <c r="AI82" s="7"/>
    </row>
    <row r="83" spans="1:35" ht="14.5" x14ac:dyDescent="0.35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7"/>
      <c r="AF83" s="7"/>
      <c r="AG83" s="7"/>
      <c r="AH83" s="7"/>
      <c r="AI83" s="7"/>
    </row>
    <row r="84" spans="1:35" ht="14.5" x14ac:dyDescent="0.35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7"/>
      <c r="AF84" s="7"/>
      <c r="AG84" s="7"/>
      <c r="AH84" s="7"/>
      <c r="AI84" s="7"/>
    </row>
    <row r="85" spans="1:35" ht="14.5" x14ac:dyDescent="0.35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7"/>
      <c r="AF85" s="7"/>
      <c r="AG85" s="7"/>
      <c r="AH85" s="7"/>
      <c r="AI85" s="7"/>
    </row>
    <row r="86" spans="1:35" ht="14.5" x14ac:dyDescent="0.35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7"/>
      <c r="AF86" s="7"/>
      <c r="AG86" s="7"/>
      <c r="AH86" s="7"/>
      <c r="AI86" s="7"/>
    </row>
    <row r="87" spans="1:35" ht="14.5" x14ac:dyDescent="0.35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7"/>
      <c r="AF87" s="7"/>
      <c r="AG87" s="7"/>
      <c r="AH87" s="7"/>
      <c r="AI87" s="7"/>
    </row>
    <row r="88" spans="1:35" ht="14.5" x14ac:dyDescent="0.35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7"/>
      <c r="AF88" s="7"/>
      <c r="AG88" s="7"/>
      <c r="AH88" s="7"/>
      <c r="AI88" s="7"/>
    </row>
    <row r="89" spans="1:35" ht="14.5" x14ac:dyDescent="0.35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7"/>
      <c r="AF89" s="7"/>
      <c r="AG89" s="7"/>
      <c r="AH89" s="7"/>
      <c r="AI89" s="7"/>
    </row>
    <row r="90" spans="1:35" ht="14.5" x14ac:dyDescent="0.35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7"/>
      <c r="AF90" s="7"/>
      <c r="AG90" s="7"/>
      <c r="AH90" s="7"/>
      <c r="AI90" s="7"/>
    </row>
    <row r="91" spans="1:35" ht="14.5" x14ac:dyDescent="0.35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7"/>
      <c r="AF91" s="7"/>
      <c r="AG91" s="7"/>
      <c r="AH91" s="7"/>
      <c r="AI91" s="7"/>
    </row>
    <row r="92" spans="1:35" ht="14.5" x14ac:dyDescent="0.35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7"/>
      <c r="AF92" s="7"/>
      <c r="AG92" s="7"/>
      <c r="AH92" s="7"/>
      <c r="AI92" s="7"/>
    </row>
    <row r="93" spans="1:35" ht="14.5" x14ac:dyDescent="0.35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7"/>
      <c r="AF93" s="7"/>
      <c r="AG93" s="7"/>
      <c r="AH93" s="7"/>
      <c r="AI93" s="7"/>
    </row>
    <row r="94" spans="1:35" ht="14.5" x14ac:dyDescent="0.35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7"/>
      <c r="AF94" s="7"/>
      <c r="AG94" s="7"/>
      <c r="AH94" s="7"/>
      <c r="AI94" s="7"/>
    </row>
    <row r="95" spans="1:35" ht="14.5" x14ac:dyDescent="0.35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7"/>
      <c r="AF95" s="7"/>
      <c r="AG95" s="7"/>
      <c r="AH95" s="7"/>
      <c r="AI95" s="7"/>
    </row>
    <row r="96" spans="1:35" ht="14.5" x14ac:dyDescent="0.35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7"/>
      <c r="AF96" s="7"/>
      <c r="AG96" s="7"/>
      <c r="AH96" s="7"/>
      <c r="AI96" s="7"/>
    </row>
    <row r="97" spans="1:35" ht="14.5" x14ac:dyDescent="0.35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7"/>
      <c r="AF97" s="7"/>
      <c r="AG97" s="7"/>
      <c r="AH97" s="7"/>
      <c r="AI97" s="7"/>
    </row>
    <row r="98" spans="1:35" ht="14.5" x14ac:dyDescent="0.35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7"/>
      <c r="AF98" s="7"/>
      <c r="AG98" s="7"/>
      <c r="AH98" s="7"/>
      <c r="AI98" s="7"/>
    </row>
    <row r="99" spans="1:35" ht="14.5" x14ac:dyDescent="0.35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7"/>
      <c r="AF99" s="7"/>
      <c r="AG99" s="7"/>
      <c r="AH99" s="7"/>
      <c r="AI99" s="7"/>
    </row>
    <row r="100" spans="1:35" ht="14.5" x14ac:dyDescent="0.35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7"/>
      <c r="AF100" s="7"/>
      <c r="AG100" s="7"/>
      <c r="AH100" s="7"/>
      <c r="AI100" s="7"/>
    </row>
    <row r="101" spans="1:35" ht="14.5" x14ac:dyDescent="0.35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7"/>
      <c r="AF101" s="7"/>
      <c r="AG101" s="7"/>
      <c r="AH101" s="7"/>
      <c r="AI101" s="7"/>
    </row>
    <row r="102" spans="1:35" ht="14.5" x14ac:dyDescent="0.35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7"/>
      <c r="AF102" s="7"/>
      <c r="AG102" s="7"/>
      <c r="AH102" s="7"/>
      <c r="AI102" s="7"/>
    </row>
    <row r="103" spans="1:35" ht="14.5" x14ac:dyDescent="0.35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7"/>
      <c r="AF103" s="7"/>
      <c r="AG103" s="7"/>
      <c r="AH103" s="7"/>
      <c r="AI103" s="7"/>
    </row>
    <row r="104" spans="1:35" ht="14.5" x14ac:dyDescent="0.35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7"/>
      <c r="AF104" s="7"/>
      <c r="AG104" s="7"/>
      <c r="AH104" s="7"/>
      <c r="AI104" s="7"/>
    </row>
    <row r="105" spans="1:35" ht="14.5" x14ac:dyDescent="0.3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7"/>
      <c r="AF105" s="7"/>
      <c r="AG105" s="7"/>
      <c r="AH105" s="7"/>
      <c r="AI105" s="7"/>
    </row>
    <row r="106" spans="1:35" ht="14.5" x14ac:dyDescent="0.35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7"/>
      <c r="AF106" s="7"/>
      <c r="AG106" s="7"/>
      <c r="AH106" s="7"/>
      <c r="AI106" s="7"/>
    </row>
    <row r="107" spans="1:35" ht="14.5" x14ac:dyDescent="0.35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7"/>
      <c r="AF107" s="7"/>
      <c r="AG107" s="7"/>
      <c r="AH107" s="7"/>
      <c r="AI107" s="7"/>
    </row>
    <row r="108" spans="1:35" ht="14.5" x14ac:dyDescent="0.35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7"/>
      <c r="AF108" s="7"/>
      <c r="AG108" s="7"/>
      <c r="AH108" s="7"/>
      <c r="AI108" s="7"/>
    </row>
    <row r="109" spans="1:35" ht="14.5" x14ac:dyDescent="0.35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7"/>
      <c r="AF109" s="7"/>
      <c r="AG109" s="7"/>
      <c r="AH109" s="7"/>
      <c r="AI109" s="7"/>
    </row>
    <row r="110" spans="1:35" ht="14.5" x14ac:dyDescent="0.35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7"/>
      <c r="AF110" s="7"/>
      <c r="AG110" s="7"/>
      <c r="AH110" s="7"/>
      <c r="AI110" s="7"/>
    </row>
    <row r="111" spans="1:35" ht="14.5" x14ac:dyDescent="0.35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7"/>
      <c r="AF111" s="7"/>
      <c r="AG111" s="7"/>
      <c r="AH111" s="7"/>
      <c r="AI111" s="7"/>
    </row>
    <row r="112" spans="1:35" ht="14.5" x14ac:dyDescent="0.35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7"/>
      <c r="AF112" s="7"/>
      <c r="AG112" s="7"/>
      <c r="AH112" s="7"/>
      <c r="AI112" s="7"/>
    </row>
    <row r="113" spans="1:35" ht="14.5" x14ac:dyDescent="0.35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7"/>
      <c r="AF113" s="7"/>
      <c r="AG113" s="7"/>
      <c r="AH113" s="7"/>
      <c r="AI113" s="7"/>
    </row>
    <row r="114" spans="1:35" ht="14.5" x14ac:dyDescent="0.35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7"/>
      <c r="AF114" s="7"/>
      <c r="AG114" s="7"/>
      <c r="AH114" s="7"/>
      <c r="AI114" s="7"/>
    </row>
    <row r="115" spans="1:35" ht="14.5" x14ac:dyDescent="0.3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7"/>
      <c r="AF115" s="7"/>
      <c r="AG115" s="7"/>
      <c r="AH115" s="7"/>
      <c r="AI115" s="7"/>
    </row>
    <row r="116" spans="1:35" ht="14.5" x14ac:dyDescent="0.35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7"/>
      <c r="AF116" s="7"/>
      <c r="AG116" s="7"/>
      <c r="AH116" s="7"/>
      <c r="AI116" s="7"/>
    </row>
    <row r="117" spans="1:35" ht="14.5" x14ac:dyDescent="0.35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7"/>
      <c r="AF117" s="7"/>
      <c r="AG117" s="7"/>
      <c r="AH117" s="7"/>
      <c r="AI117" s="7"/>
    </row>
    <row r="118" spans="1:35" ht="14.5" x14ac:dyDescent="0.35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7"/>
      <c r="AF118" s="7"/>
      <c r="AG118" s="7"/>
      <c r="AH118" s="7"/>
      <c r="AI118" s="7"/>
    </row>
    <row r="119" spans="1:35" ht="14.5" x14ac:dyDescent="0.35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7"/>
      <c r="AF119" s="7"/>
      <c r="AG119" s="7"/>
      <c r="AH119" s="7"/>
      <c r="AI119" s="7"/>
    </row>
    <row r="120" spans="1:35" ht="14.5" x14ac:dyDescent="0.35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7"/>
      <c r="AF120" s="7"/>
      <c r="AG120" s="7"/>
      <c r="AH120" s="7"/>
      <c r="AI120" s="7"/>
    </row>
    <row r="121" spans="1:35" ht="14.5" x14ac:dyDescent="0.35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7"/>
      <c r="AF121" s="7"/>
      <c r="AG121" s="7"/>
      <c r="AH121" s="7"/>
      <c r="AI121" s="7"/>
    </row>
    <row r="122" spans="1:35" ht="14.5" x14ac:dyDescent="0.35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7"/>
      <c r="AF122" s="7"/>
      <c r="AG122" s="7"/>
      <c r="AH122" s="7"/>
      <c r="AI122" s="7"/>
    </row>
    <row r="123" spans="1:35" ht="14.5" x14ac:dyDescent="0.35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7"/>
      <c r="AF123" s="7"/>
      <c r="AG123" s="7"/>
      <c r="AH123" s="7"/>
      <c r="AI123" s="7"/>
    </row>
    <row r="124" spans="1:35" ht="14.5" x14ac:dyDescent="0.35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7"/>
      <c r="AF124" s="7"/>
      <c r="AG124" s="7"/>
      <c r="AH124" s="7"/>
      <c r="AI124" s="7"/>
    </row>
    <row r="125" spans="1:35" ht="14.5" x14ac:dyDescent="0.3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7"/>
      <c r="AF125" s="7"/>
      <c r="AG125" s="7"/>
      <c r="AH125" s="7"/>
      <c r="AI125" s="7"/>
    </row>
    <row r="126" spans="1:35" ht="14.5" x14ac:dyDescent="0.35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7"/>
      <c r="AF126" s="7"/>
      <c r="AG126" s="7"/>
      <c r="AH126" s="7"/>
      <c r="AI126" s="7"/>
    </row>
    <row r="127" spans="1:35" ht="14.5" x14ac:dyDescent="0.3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7"/>
      <c r="AF127" s="7"/>
      <c r="AG127" s="7"/>
      <c r="AH127" s="7"/>
      <c r="AI127" s="7"/>
    </row>
    <row r="128" spans="1:35" ht="14.5" x14ac:dyDescent="0.3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7"/>
      <c r="AF128" s="7"/>
      <c r="AG128" s="7"/>
      <c r="AH128" s="7"/>
      <c r="AI128" s="7"/>
    </row>
    <row r="129" spans="1:35" ht="14.5" x14ac:dyDescent="0.3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7"/>
      <c r="AF129" s="7"/>
      <c r="AG129" s="7"/>
      <c r="AH129" s="7"/>
      <c r="AI129" s="7"/>
    </row>
    <row r="130" spans="1:35" ht="14.5" x14ac:dyDescent="0.35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7"/>
      <c r="AF130" s="7"/>
      <c r="AG130" s="7"/>
      <c r="AH130" s="7"/>
      <c r="AI130" s="7"/>
    </row>
    <row r="131" spans="1:35" ht="14.5" x14ac:dyDescent="0.35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7"/>
      <c r="AF131" s="7"/>
      <c r="AG131" s="7"/>
      <c r="AH131" s="7"/>
      <c r="AI131" s="7"/>
    </row>
    <row r="132" spans="1:35" ht="14.5" x14ac:dyDescent="0.35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7"/>
      <c r="AF132" s="7"/>
      <c r="AG132" s="7"/>
      <c r="AH132" s="7"/>
      <c r="AI132" s="7"/>
    </row>
    <row r="133" spans="1:35" ht="14.5" x14ac:dyDescent="0.35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7"/>
      <c r="AF133" s="7"/>
      <c r="AG133" s="7"/>
      <c r="AH133" s="7"/>
      <c r="AI133" s="7"/>
    </row>
    <row r="134" spans="1:35" ht="14.5" x14ac:dyDescent="0.35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7"/>
      <c r="AF134" s="7"/>
      <c r="AG134" s="7"/>
      <c r="AH134" s="7"/>
      <c r="AI134" s="7"/>
    </row>
    <row r="135" spans="1:35" ht="14.5" x14ac:dyDescent="0.3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7"/>
      <c r="AF135" s="7"/>
      <c r="AG135" s="7"/>
      <c r="AH135" s="7"/>
      <c r="AI135" s="7"/>
    </row>
    <row r="136" spans="1:35" ht="14.5" x14ac:dyDescent="0.35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7"/>
      <c r="AF136" s="7"/>
      <c r="AG136" s="7"/>
      <c r="AH136" s="7"/>
      <c r="AI136" s="7"/>
    </row>
    <row r="137" spans="1:35" ht="14.5" x14ac:dyDescent="0.35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7"/>
      <c r="AF137" s="7"/>
      <c r="AG137" s="7"/>
      <c r="AH137" s="7"/>
      <c r="AI137" s="7"/>
    </row>
    <row r="138" spans="1:35" ht="14.5" x14ac:dyDescent="0.35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7"/>
      <c r="AF138" s="7"/>
      <c r="AG138" s="7"/>
      <c r="AH138" s="7"/>
      <c r="AI138" s="7"/>
    </row>
    <row r="139" spans="1:35" ht="14.5" x14ac:dyDescent="0.35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7"/>
      <c r="AF139" s="7"/>
      <c r="AG139" s="7"/>
      <c r="AH139" s="7"/>
      <c r="AI139" s="7"/>
    </row>
    <row r="140" spans="1:35" ht="14.5" x14ac:dyDescent="0.35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7"/>
      <c r="AF140" s="7"/>
      <c r="AG140" s="7"/>
      <c r="AH140" s="7"/>
      <c r="AI140" s="7"/>
    </row>
    <row r="141" spans="1:35" ht="14.5" x14ac:dyDescent="0.35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7"/>
      <c r="AF141" s="7"/>
      <c r="AG141" s="7"/>
      <c r="AH141" s="7"/>
      <c r="AI141" s="7"/>
    </row>
    <row r="142" spans="1:35" ht="14.5" x14ac:dyDescent="0.3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7"/>
      <c r="AF142" s="7"/>
      <c r="AG142" s="7"/>
      <c r="AH142" s="7"/>
      <c r="AI142" s="7"/>
    </row>
    <row r="143" spans="1:35" ht="14.5" x14ac:dyDescent="0.3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7"/>
      <c r="AF143" s="7"/>
      <c r="AG143" s="7"/>
      <c r="AH143" s="7"/>
      <c r="AI143" s="7"/>
    </row>
    <row r="144" spans="1:35" ht="14.5" x14ac:dyDescent="0.3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7"/>
      <c r="AF144" s="7"/>
      <c r="AG144" s="7"/>
      <c r="AH144" s="7"/>
      <c r="AI144" s="7"/>
    </row>
    <row r="145" spans="1:35" ht="14.5" x14ac:dyDescent="0.3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7"/>
      <c r="AF145" s="7"/>
      <c r="AG145" s="7"/>
      <c r="AH145" s="7"/>
      <c r="AI145" s="7"/>
    </row>
    <row r="146" spans="1:35" ht="14.5" x14ac:dyDescent="0.35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7"/>
      <c r="AF146" s="7"/>
      <c r="AG146" s="7"/>
      <c r="AH146" s="7"/>
      <c r="AI146" s="7"/>
    </row>
    <row r="147" spans="1:35" ht="14.5" x14ac:dyDescent="0.35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7"/>
      <c r="AF147" s="7"/>
      <c r="AG147" s="7"/>
      <c r="AH147" s="7"/>
      <c r="AI147" s="7"/>
    </row>
    <row r="148" spans="1:35" ht="14.5" x14ac:dyDescent="0.35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7"/>
      <c r="AF148" s="7"/>
      <c r="AG148" s="7"/>
      <c r="AH148" s="7"/>
      <c r="AI148" s="7"/>
    </row>
    <row r="149" spans="1:35" ht="14.5" x14ac:dyDescent="0.35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7"/>
      <c r="AF149" s="7"/>
      <c r="AG149" s="7"/>
      <c r="AH149" s="7"/>
      <c r="AI149" s="7"/>
    </row>
    <row r="150" spans="1:35" ht="14.5" x14ac:dyDescent="0.35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7"/>
      <c r="AF150" s="7"/>
      <c r="AG150" s="7"/>
      <c r="AH150" s="7"/>
      <c r="AI150" s="7"/>
    </row>
    <row r="151" spans="1:35" ht="14.5" x14ac:dyDescent="0.35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7"/>
      <c r="AF151" s="7"/>
      <c r="AG151" s="7"/>
      <c r="AH151" s="7"/>
      <c r="AI151" s="7"/>
    </row>
    <row r="152" spans="1:35" ht="14.5" x14ac:dyDescent="0.3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7"/>
      <c r="AF152" s="7"/>
      <c r="AG152" s="7"/>
      <c r="AH152" s="7"/>
      <c r="AI152" s="7"/>
    </row>
    <row r="153" spans="1:35" ht="14.5" x14ac:dyDescent="0.35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7"/>
      <c r="AF153" s="7"/>
      <c r="AG153" s="7"/>
      <c r="AH153" s="7"/>
      <c r="AI153" s="7"/>
    </row>
    <row r="154" spans="1:35" ht="14.5" x14ac:dyDescent="0.35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7"/>
      <c r="AF154" s="7"/>
      <c r="AG154" s="7"/>
      <c r="AH154" s="7"/>
      <c r="AI154" s="7"/>
    </row>
    <row r="155" spans="1:35" ht="14.5" x14ac:dyDescent="0.3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7"/>
      <c r="AF155" s="7"/>
      <c r="AG155" s="7"/>
      <c r="AH155" s="7"/>
      <c r="AI155" s="7"/>
    </row>
    <row r="156" spans="1:35" ht="14.5" x14ac:dyDescent="0.35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7"/>
      <c r="AF156" s="7"/>
      <c r="AG156" s="7"/>
      <c r="AH156" s="7"/>
      <c r="AI156" s="7"/>
    </row>
    <row r="157" spans="1:35" ht="14.5" x14ac:dyDescent="0.35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7"/>
      <c r="AF157" s="7"/>
      <c r="AG157" s="7"/>
      <c r="AH157" s="7"/>
      <c r="AI157" s="7"/>
    </row>
    <row r="158" spans="1:35" ht="14.5" x14ac:dyDescent="0.35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7"/>
      <c r="AF158" s="7"/>
      <c r="AG158" s="7"/>
      <c r="AH158" s="7"/>
      <c r="AI158" s="7"/>
    </row>
    <row r="159" spans="1:35" ht="14.5" x14ac:dyDescent="0.35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7"/>
      <c r="AF159" s="7"/>
      <c r="AG159" s="7"/>
      <c r="AH159" s="7"/>
      <c r="AI159" s="7"/>
    </row>
    <row r="160" spans="1:35" ht="14.5" x14ac:dyDescent="0.35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7"/>
      <c r="AF160" s="7"/>
      <c r="AG160" s="7"/>
      <c r="AH160" s="7"/>
      <c r="AI160" s="7"/>
    </row>
    <row r="161" spans="1:35" ht="14.5" x14ac:dyDescent="0.35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7"/>
      <c r="AF161" s="7"/>
      <c r="AG161" s="7"/>
      <c r="AH161" s="7"/>
      <c r="AI161" s="7"/>
    </row>
    <row r="162" spans="1:35" ht="14.5" x14ac:dyDescent="0.35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7"/>
      <c r="AF162" s="7"/>
      <c r="AG162" s="7"/>
      <c r="AH162" s="7"/>
      <c r="AI162" s="7"/>
    </row>
    <row r="163" spans="1:35" ht="14.5" x14ac:dyDescent="0.35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7"/>
      <c r="AF163" s="7"/>
      <c r="AG163" s="7"/>
      <c r="AH163" s="7"/>
      <c r="AI163" s="7"/>
    </row>
    <row r="164" spans="1:35" ht="14.5" x14ac:dyDescent="0.35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7"/>
      <c r="AF164" s="7"/>
      <c r="AG164" s="7"/>
      <c r="AH164" s="7"/>
      <c r="AI164" s="7"/>
    </row>
    <row r="165" spans="1:35" ht="14.5" x14ac:dyDescent="0.3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7"/>
      <c r="AF165" s="7"/>
      <c r="AG165" s="7"/>
      <c r="AH165" s="7"/>
      <c r="AI165" s="7"/>
    </row>
    <row r="166" spans="1:35" ht="14.5" x14ac:dyDescent="0.35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7"/>
      <c r="AF166" s="7"/>
      <c r="AG166" s="7"/>
      <c r="AH166" s="7"/>
      <c r="AI166" s="7"/>
    </row>
    <row r="167" spans="1:35" ht="14.5" x14ac:dyDescent="0.35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7"/>
      <c r="AF167" s="7"/>
      <c r="AG167" s="7"/>
      <c r="AH167" s="7"/>
      <c r="AI167" s="7"/>
    </row>
    <row r="168" spans="1:35" ht="14.5" x14ac:dyDescent="0.35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7"/>
      <c r="AF168" s="7"/>
      <c r="AG168" s="7"/>
      <c r="AH168" s="7"/>
      <c r="AI168" s="7"/>
    </row>
    <row r="169" spans="1:35" ht="14.5" x14ac:dyDescent="0.35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7"/>
      <c r="AF169" s="7"/>
      <c r="AG169" s="7"/>
      <c r="AH169" s="7"/>
      <c r="AI169" s="7"/>
    </row>
    <row r="170" spans="1:35" ht="14.5" x14ac:dyDescent="0.35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7"/>
      <c r="AF170" s="7"/>
      <c r="AG170" s="7"/>
      <c r="AH170" s="7"/>
      <c r="AI170" s="7"/>
    </row>
    <row r="171" spans="1:35" ht="14.5" x14ac:dyDescent="0.35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7"/>
      <c r="AF171" s="7"/>
      <c r="AG171" s="7"/>
      <c r="AH171" s="7"/>
      <c r="AI171" s="7"/>
    </row>
    <row r="172" spans="1:35" ht="14.5" x14ac:dyDescent="0.35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7"/>
      <c r="AF172" s="7"/>
      <c r="AG172" s="7"/>
      <c r="AH172" s="7"/>
      <c r="AI172" s="7"/>
    </row>
    <row r="173" spans="1:35" ht="14.5" x14ac:dyDescent="0.35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7"/>
      <c r="AF173" s="7"/>
      <c r="AG173" s="7"/>
      <c r="AH173" s="7"/>
      <c r="AI173" s="7"/>
    </row>
    <row r="174" spans="1:35" ht="14.5" x14ac:dyDescent="0.35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7"/>
      <c r="AF174" s="7"/>
      <c r="AG174" s="7"/>
      <c r="AH174" s="7"/>
      <c r="AI174" s="7"/>
    </row>
    <row r="175" spans="1:35" ht="14.5" x14ac:dyDescent="0.3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7"/>
      <c r="AF175" s="7"/>
      <c r="AG175" s="7"/>
      <c r="AH175" s="7"/>
      <c r="AI175" s="7"/>
    </row>
    <row r="176" spans="1:35" ht="14.5" x14ac:dyDescent="0.35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7"/>
      <c r="AF176" s="7"/>
      <c r="AG176" s="7"/>
      <c r="AH176" s="7"/>
      <c r="AI176" s="7"/>
    </row>
    <row r="177" spans="1:35" ht="14.5" x14ac:dyDescent="0.35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7"/>
      <c r="AF177" s="7"/>
      <c r="AG177" s="7"/>
      <c r="AH177" s="7"/>
      <c r="AI177" s="7"/>
    </row>
    <row r="178" spans="1:35" ht="14.5" x14ac:dyDescent="0.35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7"/>
      <c r="AF178" s="7"/>
      <c r="AG178" s="7"/>
      <c r="AH178" s="7"/>
      <c r="AI178" s="7"/>
    </row>
    <row r="179" spans="1:35" ht="14.5" x14ac:dyDescent="0.35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7"/>
      <c r="AF179" s="7"/>
      <c r="AG179" s="7"/>
      <c r="AH179" s="7"/>
      <c r="AI179" s="7"/>
    </row>
    <row r="180" spans="1:35" ht="14.5" x14ac:dyDescent="0.35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7"/>
      <c r="AF180" s="7"/>
      <c r="AG180" s="7"/>
      <c r="AH180" s="7"/>
      <c r="AI180" s="7"/>
    </row>
    <row r="181" spans="1:35" ht="14.5" x14ac:dyDescent="0.35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7"/>
      <c r="AF181" s="7"/>
      <c r="AG181" s="7"/>
      <c r="AH181" s="7"/>
      <c r="AI181" s="7"/>
    </row>
    <row r="182" spans="1:35" ht="14.5" x14ac:dyDescent="0.35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7"/>
      <c r="AF182" s="7"/>
      <c r="AG182" s="7"/>
      <c r="AH182" s="7"/>
      <c r="AI182" s="7"/>
    </row>
    <row r="183" spans="1:35" ht="14.5" x14ac:dyDescent="0.35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7"/>
      <c r="AF183" s="7"/>
      <c r="AG183" s="7"/>
      <c r="AH183" s="7"/>
      <c r="AI183" s="7"/>
    </row>
    <row r="184" spans="1:35" ht="14.5" x14ac:dyDescent="0.35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7"/>
      <c r="AF184" s="7"/>
      <c r="AG184" s="7"/>
      <c r="AH184" s="7"/>
      <c r="AI184" s="7"/>
    </row>
    <row r="185" spans="1:35" ht="14.5" x14ac:dyDescent="0.3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7"/>
      <c r="AF185" s="7"/>
      <c r="AG185" s="7"/>
      <c r="AH185" s="7"/>
      <c r="AI185" s="7"/>
    </row>
    <row r="186" spans="1:35" ht="14.5" x14ac:dyDescent="0.35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7"/>
      <c r="AF186" s="7"/>
      <c r="AG186" s="7"/>
      <c r="AH186" s="7"/>
      <c r="AI186" s="7"/>
    </row>
    <row r="187" spans="1:35" ht="14.5" x14ac:dyDescent="0.35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7"/>
      <c r="AF187" s="7"/>
      <c r="AG187" s="7"/>
      <c r="AH187" s="7"/>
      <c r="AI187" s="7"/>
    </row>
    <row r="188" spans="1:35" ht="14.5" x14ac:dyDescent="0.35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7"/>
      <c r="AF188" s="7"/>
      <c r="AG188" s="7"/>
      <c r="AH188" s="7"/>
      <c r="AI188" s="7"/>
    </row>
    <row r="189" spans="1:35" ht="14.5" x14ac:dyDescent="0.35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7"/>
      <c r="AF189" s="7"/>
      <c r="AG189" s="7"/>
      <c r="AH189" s="7"/>
      <c r="AI189" s="7"/>
    </row>
    <row r="190" spans="1:35" ht="14.5" x14ac:dyDescent="0.35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7"/>
      <c r="AF190" s="7"/>
      <c r="AG190" s="7"/>
      <c r="AH190" s="7"/>
      <c r="AI190" s="7"/>
    </row>
    <row r="191" spans="1:35" ht="14.5" x14ac:dyDescent="0.35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7"/>
      <c r="AF191" s="7"/>
      <c r="AG191" s="7"/>
      <c r="AH191" s="7"/>
      <c r="AI191" s="7"/>
    </row>
    <row r="192" spans="1:35" ht="14.5" x14ac:dyDescent="0.35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7"/>
      <c r="AF192" s="7"/>
      <c r="AG192" s="7"/>
      <c r="AH192" s="7"/>
      <c r="AI192" s="7"/>
    </row>
    <row r="193" spans="1:35" ht="14.5" x14ac:dyDescent="0.35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7"/>
      <c r="AF193" s="7"/>
      <c r="AG193" s="7"/>
      <c r="AH193" s="7"/>
      <c r="AI193" s="7"/>
    </row>
    <row r="194" spans="1:35" ht="14.5" x14ac:dyDescent="0.35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7"/>
      <c r="AF194" s="7"/>
      <c r="AG194" s="7"/>
      <c r="AH194" s="7"/>
      <c r="AI194" s="7"/>
    </row>
    <row r="195" spans="1:35" ht="14.5" x14ac:dyDescent="0.3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7"/>
      <c r="AF195" s="7"/>
      <c r="AG195" s="7"/>
      <c r="AH195" s="7"/>
      <c r="AI195" s="7"/>
    </row>
    <row r="196" spans="1:35" ht="14.5" x14ac:dyDescent="0.35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7"/>
      <c r="AF196" s="7"/>
      <c r="AG196" s="7"/>
      <c r="AH196" s="7"/>
      <c r="AI196" s="7"/>
    </row>
    <row r="197" spans="1:35" ht="14.5" x14ac:dyDescent="0.35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7"/>
      <c r="AF197" s="7"/>
      <c r="AG197" s="7"/>
      <c r="AH197" s="7"/>
      <c r="AI197" s="7"/>
    </row>
    <row r="198" spans="1:35" ht="14.5" x14ac:dyDescent="0.35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7"/>
      <c r="AF198" s="7"/>
      <c r="AG198" s="7"/>
      <c r="AH198" s="7"/>
      <c r="AI198" s="7"/>
    </row>
    <row r="199" spans="1:35" ht="14.5" x14ac:dyDescent="0.35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7"/>
      <c r="AF199" s="7"/>
      <c r="AG199" s="7"/>
      <c r="AH199" s="7"/>
      <c r="AI199" s="7"/>
    </row>
    <row r="200" spans="1:35" ht="14.5" x14ac:dyDescent="0.35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7"/>
      <c r="AF200" s="7"/>
      <c r="AG200" s="7"/>
      <c r="AH200" s="7"/>
      <c r="AI200" s="7"/>
    </row>
    <row r="201" spans="1:35" ht="14.5" x14ac:dyDescent="0.35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7"/>
      <c r="AF201" s="7"/>
      <c r="AG201" s="7"/>
      <c r="AH201" s="7"/>
      <c r="AI201" s="7"/>
    </row>
    <row r="202" spans="1:35" ht="14.5" x14ac:dyDescent="0.35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7"/>
      <c r="AF202" s="7"/>
      <c r="AG202" s="7"/>
      <c r="AH202" s="7"/>
      <c r="AI202" s="7"/>
    </row>
    <row r="203" spans="1:35" ht="14.5" x14ac:dyDescent="0.35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7"/>
      <c r="AF203" s="7"/>
      <c r="AG203" s="7"/>
      <c r="AH203" s="7"/>
      <c r="AI203" s="7"/>
    </row>
    <row r="204" spans="1:35" ht="14.5" x14ac:dyDescent="0.35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7"/>
      <c r="AF204" s="7"/>
      <c r="AG204" s="7"/>
      <c r="AH204" s="7"/>
      <c r="AI204" s="7"/>
    </row>
    <row r="205" spans="1:35" ht="14.5" x14ac:dyDescent="0.3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7"/>
      <c r="AF205" s="7"/>
      <c r="AG205" s="7"/>
      <c r="AH205" s="7"/>
      <c r="AI205" s="7"/>
    </row>
    <row r="206" spans="1:35" ht="14.5" x14ac:dyDescent="0.35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7"/>
      <c r="AF206" s="7"/>
      <c r="AG206" s="7"/>
      <c r="AH206" s="7"/>
      <c r="AI206" s="7"/>
    </row>
    <row r="207" spans="1:35" ht="14.5" x14ac:dyDescent="0.35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7"/>
      <c r="AF207" s="7"/>
      <c r="AG207" s="7"/>
      <c r="AH207" s="7"/>
      <c r="AI207" s="7"/>
    </row>
    <row r="208" spans="1:35" ht="14.5" x14ac:dyDescent="0.35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7"/>
      <c r="AF208" s="7"/>
      <c r="AG208" s="7"/>
      <c r="AH208" s="7"/>
      <c r="AI208" s="7"/>
    </row>
    <row r="209" spans="1:35" ht="14.5" x14ac:dyDescent="0.35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7"/>
      <c r="AF209" s="7"/>
      <c r="AG209" s="7"/>
      <c r="AH209" s="7"/>
      <c r="AI209" s="7"/>
    </row>
    <row r="210" spans="1:35" ht="14.5" x14ac:dyDescent="0.35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7"/>
      <c r="AF210" s="7"/>
      <c r="AG210" s="7"/>
      <c r="AH210" s="7"/>
      <c r="AI210" s="7"/>
    </row>
    <row r="211" spans="1:35" ht="14.5" x14ac:dyDescent="0.35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7"/>
      <c r="AF211" s="7"/>
      <c r="AG211" s="7"/>
      <c r="AH211" s="7"/>
      <c r="AI211" s="7"/>
    </row>
    <row r="212" spans="1:35" ht="14.5" x14ac:dyDescent="0.35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7"/>
      <c r="AF212" s="7"/>
      <c r="AG212" s="7"/>
      <c r="AH212" s="7"/>
      <c r="AI212" s="7"/>
    </row>
    <row r="213" spans="1:35" ht="14.5" x14ac:dyDescent="0.35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7"/>
      <c r="AF213" s="7"/>
      <c r="AG213" s="7"/>
      <c r="AH213" s="7"/>
      <c r="AI213" s="7"/>
    </row>
    <row r="214" spans="1:35" ht="14.5" x14ac:dyDescent="0.35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7"/>
      <c r="AF214" s="7"/>
      <c r="AG214" s="7"/>
      <c r="AH214" s="7"/>
      <c r="AI214" s="7"/>
    </row>
    <row r="215" spans="1:35" ht="14.5" x14ac:dyDescent="0.3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7"/>
      <c r="AF215" s="7"/>
      <c r="AG215" s="7"/>
      <c r="AH215" s="7"/>
      <c r="AI215" s="7"/>
    </row>
    <row r="216" spans="1:35" ht="14.5" x14ac:dyDescent="0.35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7"/>
      <c r="AF216" s="7"/>
      <c r="AG216" s="7"/>
      <c r="AH216" s="7"/>
      <c r="AI216" s="7"/>
    </row>
    <row r="217" spans="1:35" ht="14.5" x14ac:dyDescent="0.35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7"/>
      <c r="AF217" s="7"/>
      <c r="AG217" s="7"/>
      <c r="AH217" s="7"/>
      <c r="AI217" s="7"/>
    </row>
    <row r="218" spans="1:35" ht="14.5" x14ac:dyDescent="0.35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7"/>
      <c r="AF218" s="7"/>
      <c r="AG218" s="7"/>
      <c r="AH218" s="7"/>
      <c r="AI218" s="7"/>
    </row>
    <row r="219" spans="1:35" ht="14.5" x14ac:dyDescent="0.35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7"/>
      <c r="AF219" s="7"/>
      <c r="AG219" s="7"/>
      <c r="AH219" s="7"/>
      <c r="AI219" s="7"/>
    </row>
    <row r="220" spans="1:35" ht="14.5" x14ac:dyDescent="0.35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7"/>
      <c r="AF220" s="7"/>
      <c r="AG220" s="7"/>
      <c r="AH220" s="7"/>
      <c r="AI220" s="7"/>
    </row>
    <row r="221" spans="1:35" ht="14.5" x14ac:dyDescent="0.35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7"/>
      <c r="AF221" s="7"/>
      <c r="AG221" s="7"/>
      <c r="AH221" s="7"/>
      <c r="AI221" s="7"/>
    </row>
    <row r="222" spans="1:35" ht="14.5" x14ac:dyDescent="0.35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7"/>
      <c r="AF222" s="7"/>
      <c r="AG222" s="7"/>
      <c r="AH222" s="7"/>
      <c r="AI222" s="7"/>
    </row>
    <row r="223" spans="1:35" ht="14.5" x14ac:dyDescent="0.35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7"/>
      <c r="AF223" s="7"/>
      <c r="AG223" s="7"/>
      <c r="AH223" s="7"/>
      <c r="AI223" s="7"/>
    </row>
    <row r="224" spans="1:35" ht="14.5" x14ac:dyDescent="0.35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7"/>
      <c r="AF224" s="7"/>
      <c r="AG224" s="7"/>
      <c r="AH224" s="7"/>
      <c r="AI224" s="7"/>
    </row>
    <row r="225" spans="1:35" ht="14.5" x14ac:dyDescent="0.3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7"/>
      <c r="AF225" s="7"/>
      <c r="AG225" s="7"/>
      <c r="AH225" s="7"/>
      <c r="AI225" s="7"/>
    </row>
    <row r="226" spans="1:35" ht="14.5" x14ac:dyDescent="0.35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7"/>
      <c r="AF226" s="7"/>
      <c r="AG226" s="7"/>
      <c r="AH226" s="7"/>
      <c r="AI226" s="7"/>
    </row>
    <row r="227" spans="1:35" ht="14.5" x14ac:dyDescent="0.35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7"/>
      <c r="AF227" s="7"/>
      <c r="AG227" s="7"/>
      <c r="AH227" s="7"/>
      <c r="AI227" s="7"/>
    </row>
    <row r="228" spans="1:35" ht="14.5" x14ac:dyDescent="0.35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7"/>
      <c r="AF228" s="7"/>
      <c r="AG228" s="7"/>
      <c r="AH228" s="7"/>
      <c r="AI228" s="7"/>
    </row>
    <row r="229" spans="1:35" ht="14.5" x14ac:dyDescent="0.35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7"/>
      <c r="AF229" s="7"/>
      <c r="AG229" s="7"/>
      <c r="AH229" s="7"/>
      <c r="AI229" s="7"/>
    </row>
    <row r="230" spans="1:35" ht="14.5" x14ac:dyDescent="0.35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7"/>
      <c r="AF230" s="7"/>
      <c r="AG230" s="7"/>
      <c r="AH230" s="7"/>
      <c r="AI230" s="7"/>
    </row>
    <row r="231" spans="1:35" ht="14.5" x14ac:dyDescent="0.35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7"/>
      <c r="AF231" s="7"/>
      <c r="AG231" s="7"/>
      <c r="AH231" s="7"/>
      <c r="AI231" s="7"/>
    </row>
    <row r="232" spans="1:35" ht="14.5" x14ac:dyDescent="0.35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7"/>
      <c r="AF232" s="7"/>
      <c r="AG232" s="7"/>
      <c r="AH232" s="7"/>
      <c r="AI232" s="7"/>
    </row>
    <row r="233" spans="1:35" ht="14.5" x14ac:dyDescent="0.35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7"/>
      <c r="AF233" s="7"/>
      <c r="AG233" s="7"/>
      <c r="AH233" s="7"/>
      <c r="AI233" s="7"/>
    </row>
    <row r="234" spans="1:35" ht="14.5" x14ac:dyDescent="0.35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7"/>
      <c r="AF234" s="7"/>
      <c r="AG234" s="7"/>
      <c r="AH234" s="7"/>
      <c r="AI234" s="7"/>
    </row>
    <row r="235" spans="1:35" ht="14.5" x14ac:dyDescent="0.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7"/>
      <c r="AF235" s="7"/>
      <c r="AG235" s="7"/>
      <c r="AH235" s="7"/>
      <c r="AI235" s="7"/>
    </row>
    <row r="236" spans="1:35" ht="14.5" x14ac:dyDescent="0.35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7"/>
      <c r="AF236" s="7"/>
      <c r="AG236" s="7"/>
      <c r="AH236" s="7"/>
      <c r="AI236" s="7"/>
    </row>
    <row r="237" spans="1:35" ht="14.5" x14ac:dyDescent="0.35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7"/>
      <c r="AF237" s="7"/>
      <c r="AG237" s="7"/>
      <c r="AH237" s="7"/>
      <c r="AI237" s="7"/>
    </row>
    <row r="238" spans="1:35" ht="14.5" x14ac:dyDescent="0.35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7"/>
      <c r="AF238" s="7"/>
      <c r="AG238" s="7"/>
      <c r="AH238" s="7"/>
      <c r="AI238" s="7"/>
    </row>
    <row r="239" spans="1:35" ht="14.5" x14ac:dyDescent="0.35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7"/>
      <c r="AF239" s="7"/>
      <c r="AG239" s="7"/>
      <c r="AH239" s="7"/>
      <c r="AI239" s="7"/>
    </row>
    <row r="240" spans="1:35" ht="14.5" x14ac:dyDescent="0.35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7"/>
      <c r="AF240" s="7"/>
      <c r="AG240" s="7"/>
      <c r="AH240" s="7"/>
      <c r="AI240" s="7"/>
    </row>
    <row r="241" spans="1:35" ht="14.5" x14ac:dyDescent="0.35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7"/>
      <c r="AF241" s="7"/>
      <c r="AG241" s="7"/>
      <c r="AH241" s="7"/>
      <c r="AI241" s="7"/>
    </row>
    <row r="242" spans="1:35" ht="14.5" x14ac:dyDescent="0.35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7"/>
      <c r="AF242" s="7"/>
      <c r="AG242" s="7"/>
      <c r="AH242" s="7"/>
      <c r="AI242" s="7"/>
    </row>
    <row r="243" spans="1:35" ht="14.5" x14ac:dyDescent="0.35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7"/>
      <c r="AF243" s="7"/>
      <c r="AG243" s="7"/>
      <c r="AH243" s="7"/>
      <c r="AI243" s="7"/>
    </row>
    <row r="244" spans="1:35" ht="14.5" x14ac:dyDescent="0.35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7"/>
      <c r="AF244" s="7"/>
      <c r="AG244" s="7"/>
      <c r="AH244" s="7"/>
      <c r="AI244" s="7"/>
    </row>
    <row r="245" spans="1:35" ht="14.5" x14ac:dyDescent="0.3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7"/>
      <c r="AF245" s="7"/>
      <c r="AG245" s="7"/>
      <c r="AH245" s="7"/>
      <c r="AI245" s="7"/>
    </row>
    <row r="246" spans="1:35" ht="14.5" x14ac:dyDescent="0.35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7"/>
      <c r="AF246" s="7"/>
      <c r="AG246" s="7"/>
      <c r="AH246" s="7"/>
      <c r="AI246" s="7"/>
    </row>
    <row r="247" spans="1:35" ht="14.5" x14ac:dyDescent="0.35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7"/>
      <c r="AF247" s="7"/>
      <c r="AG247" s="7"/>
      <c r="AH247" s="7"/>
      <c r="AI247" s="7"/>
    </row>
    <row r="248" spans="1:35" ht="14.5" x14ac:dyDescent="0.35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7"/>
      <c r="AF248" s="7"/>
      <c r="AG248" s="7"/>
      <c r="AH248" s="7"/>
      <c r="AI248" s="7"/>
    </row>
    <row r="249" spans="1:35" ht="14.5" x14ac:dyDescent="0.35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7"/>
      <c r="AF249" s="7"/>
      <c r="AG249" s="7"/>
      <c r="AH249" s="7"/>
      <c r="AI249" s="7"/>
    </row>
    <row r="250" spans="1:35" ht="14.5" x14ac:dyDescent="0.35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7"/>
      <c r="AF250" s="7"/>
      <c r="AG250" s="7"/>
      <c r="AH250" s="7"/>
      <c r="AI250" s="7"/>
    </row>
    <row r="251" spans="1:35" ht="14.5" x14ac:dyDescent="0.35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7"/>
      <c r="AF251" s="7"/>
      <c r="AG251" s="7"/>
      <c r="AH251" s="7"/>
      <c r="AI251" s="7"/>
    </row>
    <row r="252" spans="1:35" ht="14.5" x14ac:dyDescent="0.35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7"/>
      <c r="AF252" s="7"/>
      <c r="AG252" s="7"/>
      <c r="AH252" s="7"/>
      <c r="AI252" s="7"/>
    </row>
    <row r="253" spans="1:35" ht="14.5" x14ac:dyDescent="0.35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7"/>
      <c r="AF253" s="7"/>
      <c r="AG253" s="7"/>
      <c r="AH253" s="7"/>
      <c r="AI253" s="7"/>
    </row>
    <row r="254" spans="1:35" ht="14.5" x14ac:dyDescent="0.35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7"/>
      <c r="AF254" s="7"/>
      <c r="AG254" s="7"/>
      <c r="AH254" s="7"/>
      <c r="AI254" s="7"/>
    </row>
    <row r="255" spans="1:35" ht="14.5" x14ac:dyDescent="0.3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7"/>
      <c r="AF255" s="7"/>
      <c r="AG255" s="7"/>
      <c r="AH255" s="7"/>
      <c r="AI255" s="7"/>
    </row>
    <row r="256" spans="1:35" ht="14.5" x14ac:dyDescent="0.35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7"/>
      <c r="AF256" s="7"/>
      <c r="AG256" s="7"/>
      <c r="AH256" s="7"/>
      <c r="AI256" s="7"/>
    </row>
    <row r="257" spans="1:35" ht="14.5" x14ac:dyDescent="0.35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7"/>
      <c r="AF257" s="7"/>
      <c r="AG257" s="7"/>
      <c r="AH257" s="7"/>
      <c r="AI257" s="7"/>
    </row>
    <row r="258" spans="1:35" ht="14.5" x14ac:dyDescent="0.35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7"/>
      <c r="AF258" s="7"/>
      <c r="AG258" s="7"/>
      <c r="AH258" s="7"/>
      <c r="AI258" s="7"/>
    </row>
    <row r="259" spans="1:35" ht="14.5" x14ac:dyDescent="0.35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7"/>
      <c r="AF259" s="7"/>
      <c r="AG259" s="7"/>
      <c r="AH259" s="7"/>
      <c r="AI259" s="7"/>
    </row>
    <row r="260" spans="1:35" ht="14.5" x14ac:dyDescent="0.35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7"/>
      <c r="AF260" s="7"/>
      <c r="AG260" s="7"/>
      <c r="AH260" s="7"/>
      <c r="AI260" s="7"/>
    </row>
    <row r="261" spans="1:35" ht="14.5" x14ac:dyDescent="0.35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7"/>
      <c r="AF261" s="7"/>
      <c r="AG261" s="7"/>
      <c r="AH261" s="7"/>
      <c r="AI261" s="7"/>
    </row>
    <row r="262" spans="1:35" ht="14.5" x14ac:dyDescent="0.35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7"/>
      <c r="AF262" s="7"/>
      <c r="AG262" s="7"/>
      <c r="AH262" s="7"/>
      <c r="AI262" s="7"/>
    </row>
    <row r="263" spans="1:35" ht="14.5" x14ac:dyDescent="0.35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7"/>
      <c r="AF263" s="7"/>
      <c r="AG263" s="7"/>
      <c r="AH263" s="7"/>
      <c r="AI263" s="7"/>
    </row>
    <row r="264" spans="1:35" ht="14.5" x14ac:dyDescent="0.35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7"/>
      <c r="AF264" s="7"/>
      <c r="AG264" s="7"/>
      <c r="AH264" s="7"/>
      <c r="AI264" s="7"/>
    </row>
    <row r="265" spans="1:35" ht="14.5" x14ac:dyDescent="0.3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7"/>
      <c r="AF265" s="7"/>
      <c r="AG265" s="7"/>
      <c r="AH265" s="7"/>
      <c r="AI265" s="7"/>
    </row>
    <row r="266" spans="1:35" ht="14.5" x14ac:dyDescent="0.35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7"/>
      <c r="AF266" s="7"/>
      <c r="AG266" s="7"/>
      <c r="AH266" s="7"/>
      <c r="AI266" s="7"/>
    </row>
    <row r="267" spans="1:35" ht="14.5" x14ac:dyDescent="0.3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7"/>
      <c r="AF267" s="7"/>
      <c r="AG267" s="7"/>
      <c r="AH267" s="7"/>
      <c r="AI267" s="7"/>
    </row>
    <row r="268" spans="1:35" ht="14.5" x14ac:dyDescent="0.35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7"/>
      <c r="AF268" s="7"/>
      <c r="AG268" s="7"/>
      <c r="AH268" s="7"/>
      <c r="AI268" s="7"/>
    </row>
    <row r="269" spans="1:35" ht="14.5" x14ac:dyDescent="0.35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7"/>
      <c r="AF269" s="7"/>
      <c r="AG269" s="7"/>
      <c r="AH269" s="7"/>
      <c r="AI269" s="7"/>
    </row>
    <row r="270" spans="1:35" ht="14.5" x14ac:dyDescent="0.35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7"/>
      <c r="AF270" s="7"/>
      <c r="AG270" s="7"/>
      <c r="AH270" s="7"/>
      <c r="AI270" s="7"/>
    </row>
    <row r="271" spans="1:35" ht="14.5" x14ac:dyDescent="0.35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7"/>
      <c r="AF271" s="7"/>
      <c r="AG271" s="7"/>
      <c r="AH271" s="7"/>
      <c r="AI271" s="7"/>
    </row>
    <row r="272" spans="1:35" ht="14.5" x14ac:dyDescent="0.35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7"/>
      <c r="AF272" s="7"/>
      <c r="AG272" s="7"/>
      <c r="AH272" s="7"/>
      <c r="AI272" s="7"/>
    </row>
    <row r="273" spans="1:35" ht="14.5" x14ac:dyDescent="0.35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7"/>
      <c r="AF273" s="7"/>
      <c r="AG273" s="7"/>
      <c r="AH273" s="7"/>
      <c r="AI273" s="7"/>
    </row>
    <row r="274" spans="1:35" ht="14.5" x14ac:dyDescent="0.35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7"/>
      <c r="AF274" s="7"/>
      <c r="AG274" s="7"/>
      <c r="AH274" s="7"/>
      <c r="AI274" s="7"/>
    </row>
    <row r="275" spans="1:35" ht="14.5" x14ac:dyDescent="0.3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7"/>
      <c r="AF275" s="7"/>
      <c r="AG275" s="7"/>
      <c r="AH275" s="7"/>
      <c r="AI275" s="7"/>
    </row>
    <row r="276" spans="1:35" ht="14.5" x14ac:dyDescent="0.35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7"/>
      <c r="AF276" s="7"/>
      <c r="AG276" s="7"/>
      <c r="AH276" s="7"/>
      <c r="AI276" s="7"/>
    </row>
    <row r="277" spans="1:35" ht="14.5" x14ac:dyDescent="0.3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7"/>
      <c r="AF277" s="7"/>
      <c r="AG277" s="7"/>
      <c r="AH277" s="7"/>
      <c r="AI277" s="7"/>
    </row>
    <row r="278" spans="1:35" ht="14.5" x14ac:dyDescent="0.35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7"/>
      <c r="AF278" s="7"/>
      <c r="AG278" s="7"/>
      <c r="AH278" s="7"/>
      <c r="AI278" s="7"/>
    </row>
    <row r="279" spans="1:35" ht="14.5" x14ac:dyDescent="0.35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7"/>
      <c r="AF279" s="7"/>
      <c r="AG279" s="7"/>
      <c r="AH279" s="7"/>
      <c r="AI279" s="7"/>
    </row>
    <row r="280" spans="1:35" ht="14.5" x14ac:dyDescent="0.35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7"/>
      <c r="AF280" s="7"/>
      <c r="AG280" s="7"/>
      <c r="AH280" s="7"/>
      <c r="AI280" s="7"/>
    </row>
    <row r="281" spans="1:35" ht="14.5" x14ac:dyDescent="0.35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7"/>
      <c r="AF281" s="7"/>
      <c r="AG281" s="7"/>
      <c r="AH281" s="7"/>
      <c r="AI281" s="7"/>
    </row>
    <row r="282" spans="1:35" ht="14.5" x14ac:dyDescent="0.35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7"/>
      <c r="AF282" s="7"/>
      <c r="AG282" s="7"/>
      <c r="AH282" s="7"/>
      <c r="AI282" s="7"/>
    </row>
    <row r="283" spans="1:35" ht="14.5" x14ac:dyDescent="0.35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7"/>
      <c r="AF283" s="7"/>
      <c r="AG283" s="7"/>
      <c r="AH283" s="7"/>
      <c r="AI283" s="7"/>
    </row>
    <row r="284" spans="1:35" ht="14.5" x14ac:dyDescent="0.35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7"/>
      <c r="AF284" s="7"/>
      <c r="AG284" s="7"/>
      <c r="AH284" s="7"/>
      <c r="AI284" s="7"/>
    </row>
    <row r="285" spans="1:35" ht="14.5" x14ac:dyDescent="0.3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7"/>
      <c r="AF285" s="7"/>
      <c r="AG285" s="7"/>
      <c r="AH285" s="7"/>
      <c r="AI285" s="7"/>
    </row>
    <row r="286" spans="1:35" ht="14.5" x14ac:dyDescent="0.35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7"/>
      <c r="AF286" s="7"/>
      <c r="AG286" s="7"/>
      <c r="AH286" s="7"/>
      <c r="AI286" s="7"/>
    </row>
    <row r="287" spans="1:35" ht="14.5" x14ac:dyDescent="0.35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7"/>
      <c r="AF287" s="7"/>
      <c r="AG287" s="7"/>
      <c r="AH287" s="7"/>
      <c r="AI287" s="7"/>
    </row>
    <row r="288" spans="1:35" ht="14.5" x14ac:dyDescent="0.35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7"/>
      <c r="AF288" s="7"/>
      <c r="AG288" s="7"/>
      <c r="AH288" s="7"/>
      <c r="AI288" s="7"/>
    </row>
    <row r="289" spans="1:35" ht="14.5" x14ac:dyDescent="0.35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7"/>
      <c r="AF289" s="7"/>
      <c r="AG289" s="7"/>
      <c r="AH289" s="7"/>
      <c r="AI289" s="7"/>
    </row>
    <row r="290" spans="1:35" ht="14.5" x14ac:dyDescent="0.35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7"/>
      <c r="AF290" s="7"/>
      <c r="AG290" s="7"/>
      <c r="AH290" s="7"/>
      <c r="AI290" s="7"/>
    </row>
    <row r="291" spans="1:35" ht="14.5" x14ac:dyDescent="0.35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7"/>
      <c r="AF291" s="7"/>
      <c r="AG291" s="7"/>
      <c r="AH291" s="7"/>
      <c r="AI291" s="7"/>
    </row>
    <row r="292" spans="1:35" ht="14.5" x14ac:dyDescent="0.35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7"/>
      <c r="AF292" s="7"/>
      <c r="AG292" s="7"/>
      <c r="AH292" s="7"/>
      <c r="AI292" s="7"/>
    </row>
    <row r="293" spans="1:35" ht="14.5" x14ac:dyDescent="0.35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7"/>
      <c r="AF293" s="7"/>
      <c r="AG293" s="7"/>
      <c r="AH293" s="7"/>
      <c r="AI293" s="7"/>
    </row>
    <row r="294" spans="1:35" ht="14.5" x14ac:dyDescent="0.35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7"/>
      <c r="AF294" s="7"/>
      <c r="AG294" s="7"/>
      <c r="AH294" s="7"/>
      <c r="AI294" s="7"/>
    </row>
    <row r="295" spans="1:35" ht="14.5" x14ac:dyDescent="0.3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7"/>
      <c r="AF295" s="7"/>
      <c r="AG295" s="7"/>
      <c r="AH295" s="7"/>
      <c r="AI295" s="7"/>
    </row>
    <row r="296" spans="1:35" ht="14.5" x14ac:dyDescent="0.35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7"/>
      <c r="AF296" s="7"/>
      <c r="AG296" s="7"/>
      <c r="AH296" s="7"/>
      <c r="AI296" s="7"/>
    </row>
    <row r="297" spans="1:35" ht="14.5" x14ac:dyDescent="0.35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7"/>
      <c r="AF297" s="7"/>
      <c r="AG297" s="7"/>
      <c r="AH297" s="7"/>
      <c r="AI297" s="7"/>
    </row>
    <row r="298" spans="1:35" ht="14.5" x14ac:dyDescent="0.35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7"/>
      <c r="AF298" s="7"/>
      <c r="AG298" s="7"/>
      <c r="AH298" s="7"/>
      <c r="AI298" s="7"/>
    </row>
    <row r="299" spans="1:35" ht="14.5" x14ac:dyDescent="0.35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7"/>
      <c r="AF299" s="7"/>
      <c r="AG299" s="7"/>
      <c r="AH299" s="7"/>
      <c r="AI299" s="7"/>
    </row>
    <row r="300" spans="1:35" ht="14.5" x14ac:dyDescent="0.35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7"/>
      <c r="AF300" s="7"/>
      <c r="AG300" s="7"/>
      <c r="AH300" s="7"/>
      <c r="AI300" s="7"/>
    </row>
    <row r="301" spans="1:35" ht="14.5" x14ac:dyDescent="0.35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7"/>
      <c r="AF301" s="7"/>
      <c r="AG301" s="7"/>
      <c r="AH301" s="7"/>
      <c r="AI301" s="7"/>
    </row>
    <row r="302" spans="1:35" ht="14.5" x14ac:dyDescent="0.35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7"/>
      <c r="AF302" s="7"/>
      <c r="AG302" s="7"/>
      <c r="AH302" s="7"/>
      <c r="AI302" s="7"/>
    </row>
    <row r="303" spans="1:35" ht="14.5" x14ac:dyDescent="0.35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7"/>
      <c r="AF303" s="7"/>
      <c r="AG303" s="7"/>
      <c r="AH303" s="7"/>
      <c r="AI303" s="7"/>
    </row>
    <row r="304" spans="1:35" ht="14.5" x14ac:dyDescent="0.35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7"/>
      <c r="AF304" s="7"/>
      <c r="AG304" s="7"/>
      <c r="AH304" s="7"/>
      <c r="AI304" s="7"/>
    </row>
    <row r="305" spans="1:35" ht="14.5" x14ac:dyDescent="0.3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7"/>
      <c r="AF305" s="7"/>
      <c r="AG305" s="7"/>
      <c r="AH305" s="7"/>
      <c r="AI305" s="7"/>
    </row>
    <row r="306" spans="1:35" ht="14.5" x14ac:dyDescent="0.35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7"/>
      <c r="AF306" s="7"/>
      <c r="AG306" s="7"/>
      <c r="AH306" s="7"/>
      <c r="AI306" s="7"/>
    </row>
    <row r="307" spans="1:35" ht="14.5" x14ac:dyDescent="0.35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7"/>
      <c r="AF307" s="7"/>
      <c r="AG307" s="7"/>
      <c r="AH307" s="7"/>
      <c r="AI307" s="7"/>
    </row>
    <row r="308" spans="1:35" ht="14.5" x14ac:dyDescent="0.3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7"/>
      <c r="AF308" s="7"/>
      <c r="AG308" s="7"/>
      <c r="AH308" s="7"/>
      <c r="AI308" s="7"/>
    </row>
    <row r="309" spans="1:35" ht="14.5" x14ac:dyDescent="0.35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7"/>
      <c r="AF309" s="7"/>
      <c r="AG309" s="7"/>
      <c r="AH309" s="7"/>
      <c r="AI309" s="7"/>
    </row>
    <row r="310" spans="1:35" ht="14.5" x14ac:dyDescent="0.35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7"/>
      <c r="AF310" s="7"/>
      <c r="AG310" s="7"/>
      <c r="AH310" s="7"/>
      <c r="AI310" s="7"/>
    </row>
    <row r="311" spans="1:35" ht="14.5" x14ac:dyDescent="0.35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7"/>
      <c r="AF311" s="7"/>
      <c r="AG311" s="7"/>
      <c r="AH311" s="7"/>
      <c r="AI311" s="7"/>
    </row>
    <row r="312" spans="1:35" ht="14.5" x14ac:dyDescent="0.35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7"/>
      <c r="AF312" s="7"/>
      <c r="AG312" s="7"/>
      <c r="AH312" s="7"/>
      <c r="AI312" s="7"/>
    </row>
    <row r="313" spans="1:35" ht="14.5" x14ac:dyDescent="0.35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7"/>
      <c r="AF313" s="7"/>
      <c r="AG313" s="7"/>
      <c r="AH313" s="7"/>
      <c r="AI313" s="7"/>
    </row>
    <row r="314" spans="1:35" ht="14.5" x14ac:dyDescent="0.35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7"/>
      <c r="AF314" s="7"/>
      <c r="AG314" s="7"/>
      <c r="AH314" s="7"/>
      <c r="AI314" s="7"/>
    </row>
    <row r="315" spans="1:35" ht="14.5" x14ac:dyDescent="0.3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7"/>
      <c r="AF315" s="7"/>
      <c r="AG315" s="7"/>
      <c r="AH315" s="7"/>
      <c r="AI315" s="7"/>
    </row>
    <row r="316" spans="1:35" ht="14.5" x14ac:dyDescent="0.35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7"/>
      <c r="AF316" s="7"/>
      <c r="AG316" s="7"/>
      <c r="AH316" s="7"/>
      <c r="AI316" s="7"/>
    </row>
    <row r="317" spans="1:35" ht="14.5" x14ac:dyDescent="0.35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7"/>
      <c r="AF317" s="7"/>
      <c r="AG317" s="7"/>
      <c r="AH317" s="7"/>
      <c r="AI317" s="7"/>
    </row>
    <row r="318" spans="1:35" ht="14.5" x14ac:dyDescent="0.35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7"/>
      <c r="AF318" s="7"/>
      <c r="AG318" s="7"/>
      <c r="AH318" s="7"/>
      <c r="AI318" s="7"/>
    </row>
    <row r="319" spans="1:35" ht="14.5" x14ac:dyDescent="0.35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7"/>
      <c r="AF319" s="7"/>
      <c r="AG319" s="7"/>
      <c r="AH319" s="7"/>
      <c r="AI319" s="7"/>
    </row>
    <row r="320" spans="1:35" ht="14.5" x14ac:dyDescent="0.35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7"/>
      <c r="AF320" s="7"/>
      <c r="AG320" s="7"/>
      <c r="AH320" s="7"/>
      <c r="AI320" s="7"/>
    </row>
    <row r="321" spans="1:35" ht="14.5" x14ac:dyDescent="0.35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7"/>
      <c r="AF321" s="7"/>
      <c r="AG321" s="7"/>
      <c r="AH321" s="7"/>
      <c r="AI321" s="7"/>
    </row>
    <row r="322" spans="1:35" ht="14.5" x14ac:dyDescent="0.35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7"/>
      <c r="AF322" s="7"/>
      <c r="AG322" s="7"/>
      <c r="AH322" s="7"/>
      <c r="AI322" s="7"/>
    </row>
    <row r="323" spans="1:35" ht="14.5" x14ac:dyDescent="0.35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7"/>
      <c r="AF323" s="7"/>
      <c r="AG323" s="7"/>
      <c r="AH323" s="7"/>
      <c r="AI323" s="7"/>
    </row>
    <row r="324" spans="1:35" ht="14.5" x14ac:dyDescent="0.35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7"/>
      <c r="AF324" s="7"/>
      <c r="AG324" s="7"/>
      <c r="AH324" s="7"/>
      <c r="AI324" s="7"/>
    </row>
    <row r="325" spans="1:35" ht="14.5" x14ac:dyDescent="0.3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7"/>
      <c r="AF325" s="7"/>
      <c r="AG325" s="7"/>
      <c r="AH325" s="7"/>
      <c r="AI325" s="7"/>
    </row>
    <row r="326" spans="1:35" ht="14.5" x14ac:dyDescent="0.35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7"/>
      <c r="AF326" s="7"/>
      <c r="AG326" s="7"/>
      <c r="AH326" s="7"/>
      <c r="AI326" s="7"/>
    </row>
    <row r="327" spans="1:35" ht="14.5" x14ac:dyDescent="0.35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7"/>
      <c r="AF327" s="7"/>
      <c r="AG327" s="7"/>
      <c r="AH327" s="7"/>
      <c r="AI327" s="7"/>
    </row>
    <row r="328" spans="1:35" ht="14.5" x14ac:dyDescent="0.35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7"/>
      <c r="AF328" s="7"/>
      <c r="AG328" s="7"/>
      <c r="AH328" s="7"/>
      <c r="AI328" s="7"/>
    </row>
    <row r="329" spans="1:35" ht="14.5" x14ac:dyDescent="0.35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7"/>
      <c r="AF329" s="7"/>
      <c r="AG329" s="7"/>
      <c r="AH329" s="7"/>
      <c r="AI329" s="7"/>
    </row>
    <row r="330" spans="1:35" ht="14.5" x14ac:dyDescent="0.35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7"/>
      <c r="AF330" s="7"/>
      <c r="AG330" s="7"/>
      <c r="AH330" s="7"/>
      <c r="AI330" s="7"/>
    </row>
    <row r="331" spans="1:35" ht="14.5" x14ac:dyDescent="0.35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7"/>
      <c r="AF331" s="7"/>
      <c r="AG331" s="7"/>
      <c r="AH331" s="7"/>
      <c r="AI331" s="7"/>
    </row>
    <row r="332" spans="1:35" ht="14.5" x14ac:dyDescent="0.35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7"/>
      <c r="AF332" s="7"/>
      <c r="AG332" s="7"/>
      <c r="AH332" s="7"/>
      <c r="AI332" s="7"/>
    </row>
    <row r="333" spans="1:35" ht="14.5" x14ac:dyDescent="0.35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7"/>
      <c r="AF333" s="7"/>
      <c r="AG333" s="7"/>
      <c r="AH333" s="7"/>
      <c r="AI333" s="7"/>
    </row>
    <row r="334" spans="1:35" ht="14.5" x14ac:dyDescent="0.3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7"/>
      <c r="AF334" s="7"/>
      <c r="AG334" s="7"/>
      <c r="AH334" s="7"/>
      <c r="AI334" s="7"/>
    </row>
    <row r="335" spans="1:35" ht="14.5" x14ac:dyDescent="0.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7"/>
      <c r="AF335" s="7"/>
      <c r="AG335" s="7"/>
      <c r="AH335" s="7"/>
      <c r="AI335" s="7"/>
    </row>
    <row r="336" spans="1:35" ht="14.5" x14ac:dyDescent="0.35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7"/>
      <c r="AF336" s="7"/>
      <c r="AG336" s="7"/>
      <c r="AH336" s="7"/>
      <c r="AI336" s="7"/>
    </row>
    <row r="337" spans="1:35" ht="14.5" x14ac:dyDescent="0.35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7"/>
      <c r="AF337" s="7"/>
      <c r="AG337" s="7"/>
      <c r="AH337" s="7"/>
      <c r="AI337" s="7"/>
    </row>
    <row r="338" spans="1:35" ht="14.5" x14ac:dyDescent="0.35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7"/>
      <c r="AF338" s="7"/>
      <c r="AG338" s="7"/>
      <c r="AH338" s="7"/>
      <c r="AI338" s="7"/>
    </row>
    <row r="339" spans="1:35" ht="14.5" x14ac:dyDescent="0.35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7"/>
      <c r="AF339" s="7"/>
      <c r="AG339" s="7"/>
      <c r="AH339" s="7"/>
      <c r="AI339" s="7"/>
    </row>
    <row r="340" spans="1:35" ht="14.5" x14ac:dyDescent="0.35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7"/>
      <c r="AF340" s="7"/>
      <c r="AG340" s="7"/>
      <c r="AH340" s="7"/>
      <c r="AI340" s="7"/>
    </row>
    <row r="341" spans="1:35" ht="14.5" x14ac:dyDescent="0.35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7"/>
      <c r="AF341" s="7"/>
      <c r="AG341" s="7"/>
      <c r="AH341" s="7"/>
      <c r="AI341" s="7"/>
    </row>
    <row r="342" spans="1:35" ht="14.5" x14ac:dyDescent="0.35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7"/>
      <c r="AF342" s="7"/>
      <c r="AG342" s="7"/>
      <c r="AH342" s="7"/>
      <c r="AI342" s="7"/>
    </row>
    <row r="343" spans="1:35" ht="14.5" x14ac:dyDescent="0.35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7"/>
      <c r="AF343" s="7"/>
      <c r="AG343" s="7"/>
      <c r="AH343" s="7"/>
      <c r="AI343" s="7"/>
    </row>
    <row r="344" spans="1:35" ht="14.5" x14ac:dyDescent="0.35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7"/>
      <c r="AF344" s="7"/>
      <c r="AG344" s="7"/>
      <c r="AH344" s="7"/>
      <c r="AI344" s="7"/>
    </row>
    <row r="345" spans="1:35" ht="14.5" x14ac:dyDescent="0.3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7"/>
      <c r="AF345" s="7"/>
      <c r="AG345" s="7"/>
      <c r="AH345" s="7"/>
      <c r="AI345" s="7"/>
    </row>
    <row r="346" spans="1:35" ht="14.5" x14ac:dyDescent="0.35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7"/>
      <c r="AF346" s="7"/>
      <c r="AG346" s="7"/>
      <c r="AH346" s="7"/>
      <c r="AI346" s="7"/>
    </row>
    <row r="347" spans="1:35" ht="14.5" x14ac:dyDescent="0.35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7"/>
      <c r="AF347" s="7"/>
      <c r="AG347" s="7"/>
      <c r="AH347" s="7"/>
      <c r="AI347" s="7"/>
    </row>
    <row r="348" spans="1:35" ht="14.5" x14ac:dyDescent="0.35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7"/>
      <c r="AF348" s="7"/>
      <c r="AG348" s="7"/>
      <c r="AH348" s="7"/>
      <c r="AI348" s="7"/>
    </row>
    <row r="349" spans="1:35" ht="14.5" x14ac:dyDescent="0.35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7"/>
      <c r="AF349" s="7"/>
      <c r="AG349" s="7"/>
      <c r="AH349" s="7"/>
      <c r="AI349" s="7"/>
    </row>
    <row r="350" spans="1:35" ht="14.5" x14ac:dyDescent="0.3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7"/>
      <c r="AF350" s="7"/>
      <c r="AG350" s="7"/>
      <c r="AH350" s="7"/>
      <c r="AI350" s="7"/>
    </row>
    <row r="351" spans="1:35" ht="14.5" x14ac:dyDescent="0.35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7"/>
      <c r="AF351" s="7"/>
      <c r="AG351" s="7"/>
      <c r="AH351" s="7"/>
      <c r="AI351" s="7"/>
    </row>
    <row r="352" spans="1:35" ht="14.5" x14ac:dyDescent="0.35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7"/>
      <c r="AF352" s="7"/>
      <c r="AG352" s="7"/>
      <c r="AH352" s="7"/>
      <c r="AI352" s="7"/>
    </row>
    <row r="353" spans="1:35" ht="14.5" x14ac:dyDescent="0.35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7"/>
      <c r="AF353" s="7"/>
      <c r="AG353" s="7"/>
      <c r="AH353" s="7"/>
      <c r="AI353" s="7"/>
    </row>
    <row r="354" spans="1:35" ht="14.5" x14ac:dyDescent="0.35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7"/>
      <c r="AF354" s="7"/>
      <c r="AG354" s="7"/>
      <c r="AH354" s="7"/>
      <c r="AI354" s="7"/>
    </row>
    <row r="355" spans="1:35" ht="14.5" x14ac:dyDescent="0.3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7"/>
      <c r="AF355" s="7"/>
      <c r="AG355" s="7"/>
      <c r="AH355" s="7"/>
      <c r="AI355" s="7"/>
    </row>
    <row r="356" spans="1:35" ht="14.5" x14ac:dyDescent="0.35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7"/>
      <c r="AF356" s="7"/>
      <c r="AG356" s="7"/>
      <c r="AH356" s="7"/>
      <c r="AI356" s="7"/>
    </row>
    <row r="357" spans="1:35" ht="14.5" x14ac:dyDescent="0.35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7"/>
      <c r="AF357" s="7"/>
      <c r="AG357" s="7"/>
      <c r="AH357" s="7"/>
      <c r="AI357" s="7"/>
    </row>
    <row r="358" spans="1:35" ht="14.5" x14ac:dyDescent="0.35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7"/>
      <c r="AF358" s="7"/>
      <c r="AG358" s="7"/>
      <c r="AH358" s="7"/>
      <c r="AI358" s="7"/>
    </row>
    <row r="359" spans="1:35" ht="14.5" x14ac:dyDescent="0.35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7"/>
      <c r="AF359" s="7"/>
      <c r="AG359" s="7"/>
      <c r="AH359" s="7"/>
      <c r="AI359" s="7"/>
    </row>
    <row r="360" spans="1:35" ht="14.5" x14ac:dyDescent="0.35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7"/>
      <c r="AF360" s="7"/>
      <c r="AG360" s="7"/>
      <c r="AH360" s="7"/>
      <c r="AI360" s="7"/>
    </row>
    <row r="361" spans="1:35" ht="14.5" x14ac:dyDescent="0.35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7"/>
      <c r="AF361" s="7"/>
      <c r="AG361" s="7"/>
      <c r="AH361" s="7"/>
      <c r="AI361" s="7"/>
    </row>
    <row r="362" spans="1:35" ht="14.5" x14ac:dyDescent="0.35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7"/>
      <c r="AF362" s="7"/>
      <c r="AG362" s="7"/>
      <c r="AH362" s="7"/>
      <c r="AI362" s="7"/>
    </row>
    <row r="363" spans="1:35" ht="14.5" x14ac:dyDescent="0.35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7"/>
      <c r="AF363" s="7"/>
      <c r="AG363" s="7"/>
      <c r="AH363" s="7"/>
      <c r="AI363" s="7"/>
    </row>
    <row r="364" spans="1:35" ht="14.5" x14ac:dyDescent="0.35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7"/>
      <c r="AF364" s="7"/>
      <c r="AG364" s="7"/>
      <c r="AH364" s="7"/>
      <c r="AI364" s="7"/>
    </row>
    <row r="365" spans="1:35" ht="14.5" x14ac:dyDescent="0.3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7"/>
      <c r="AF365" s="7"/>
      <c r="AG365" s="7"/>
      <c r="AH365" s="7"/>
      <c r="AI365" s="7"/>
    </row>
    <row r="366" spans="1:35" ht="14.5" x14ac:dyDescent="0.35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7"/>
      <c r="AF366" s="7"/>
      <c r="AG366" s="7"/>
      <c r="AH366" s="7"/>
      <c r="AI366" s="7"/>
    </row>
    <row r="367" spans="1:35" ht="14.5" x14ac:dyDescent="0.35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7"/>
      <c r="AF367" s="7"/>
      <c r="AG367" s="7"/>
      <c r="AH367" s="7"/>
      <c r="AI367" s="7"/>
    </row>
    <row r="368" spans="1:35" ht="14.5" x14ac:dyDescent="0.35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7"/>
      <c r="AF368" s="7"/>
      <c r="AG368" s="7"/>
      <c r="AH368" s="7"/>
      <c r="AI368" s="7"/>
    </row>
    <row r="369" spans="1:35" ht="14.5" x14ac:dyDescent="0.35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7"/>
      <c r="AF369" s="7"/>
      <c r="AG369" s="7"/>
      <c r="AH369" s="7"/>
      <c r="AI369" s="7"/>
    </row>
    <row r="370" spans="1:35" ht="14.5" x14ac:dyDescent="0.35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7"/>
      <c r="AF370" s="7"/>
      <c r="AG370" s="7"/>
      <c r="AH370" s="7"/>
      <c r="AI370" s="7"/>
    </row>
    <row r="371" spans="1:35" ht="14.5" x14ac:dyDescent="0.35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7"/>
      <c r="AF371" s="7"/>
      <c r="AG371" s="7"/>
      <c r="AH371" s="7"/>
      <c r="AI371" s="7"/>
    </row>
    <row r="372" spans="1:35" ht="14.5" x14ac:dyDescent="0.35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7"/>
      <c r="AF372" s="7"/>
      <c r="AG372" s="7"/>
      <c r="AH372" s="7"/>
      <c r="AI372" s="7"/>
    </row>
    <row r="373" spans="1:35" ht="14.5" x14ac:dyDescent="0.35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7"/>
      <c r="AF373" s="7"/>
      <c r="AG373" s="7"/>
      <c r="AH373" s="7"/>
      <c r="AI373" s="7"/>
    </row>
    <row r="374" spans="1:35" ht="14.5" x14ac:dyDescent="0.35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7"/>
      <c r="AF374" s="7"/>
      <c r="AG374" s="7"/>
      <c r="AH374" s="7"/>
      <c r="AI374" s="7"/>
    </row>
    <row r="375" spans="1:35" ht="14.5" x14ac:dyDescent="0.3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7"/>
      <c r="AF375" s="7"/>
      <c r="AG375" s="7"/>
      <c r="AH375" s="7"/>
      <c r="AI375" s="7"/>
    </row>
    <row r="376" spans="1:35" ht="14.5" x14ac:dyDescent="0.35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7"/>
      <c r="AF376" s="7"/>
      <c r="AG376" s="7"/>
      <c r="AH376" s="7"/>
      <c r="AI376" s="7"/>
    </row>
    <row r="377" spans="1:35" ht="14.5" x14ac:dyDescent="0.35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7"/>
      <c r="AF377" s="7"/>
      <c r="AG377" s="7"/>
      <c r="AH377" s="7"/>
      <c r="AI377" s="7"/>
    </row>
    <row r="378" spans="1:35" ht="14.5" x14ac:dyDescent="0.35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7"/>
      <c r="AF378" s="7"/>
      <c r="AG378" s="7"/>
      <c r="AH378" s="7"/>
      <c r="AI378" s="7"/>
    </row>
    <row r="379" spans="1:35" ht="14.5" x14ac:dyDescent="0.35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7"/>
      <c r="AF379" s="7"/>
      <c r="AG379" s="7"/>
      <c r="AH379" s="7"/>
      <c r="AI379" s="7"/>
    </row>
    <row r="380" spans="1:35" ht="14.5" x14ac:dyDescent="0.35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7"/>
      <c r="AF380" s="7"/>
      <c r="AG380" s="7"/>
      <c r="AH380" s="7"/>
      <c r="AI380" s="7"/>
    </row>
    <row r="381" spans="1:35" ht="14.5" x14ac:dyDescent="0.35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7"/>
      <c r="AF381" s="7"/>
      <c r="AG381" s="7"/>
      <c r="AH381" s="7"/>
      <c r="AI381" s="7"/>
    </row>
    <row r="382" spans="1:35" ht="14.5" x14ac:dyDescent="0.35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7"/>
      <c r="AF382" s="7"/>
      <c r="AG382" s="7"/>
      <c r="AH382" s="7"/>
      <c r="AI382" s="7"/>
    </row>
    <row r="383" spans="1:35" ht="14.5" x14ac:dyDescent="0.35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7"/>
      <c r="AF383" s="7"/>
      <c r="AG383" s="7"/>
      <c r="AH383" s="7"/>
      <c r="AI383" s="7"/>
    </row>
    <row r="384" spans="1:35" ht="14.5" x14ac:dyDescent="0.35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7"/>
      <c r="AF384" s="7"/>
      <c r="AG384" s="7"/>
      <c r="AH384" s="7"/>
      <c r="AI384" s="7"/>
    </row>
    <row r="385" spans="1:35" ht="14.5" x14ac:dyDescent="0.3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7"/>
      <c r="AF385" s="7"/>
      <c r="AG385" s="7"/>
      <c r="AH385" s="7"/>
      <c r="AI385" s="7"/>
    </row>
    <row r="386" spans="1:35" ht="14.5" x14ac:dyDescent="0.35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7"/>
      <c r="AF386" s="7"/>
      <c r="AG386" s="7"/>
      <c r="AH386" s="7"/>
      <c r="AI386" s="7"/>
    </row>
    <row r="387" spans="1:35" ht="14.5" x14ac:dyDescent="0.35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7"/>
      <c r="AF387" s="7"/>
      <c r="AG387" s="7"/>
      <c r="AH387" s="7"/>
      <c r="AI387" s="7"/>
    </row>
    <row r="388" spans="1:35" ht="14.5" x14ac:dyDescent="0.35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7"/>
      <c r="AF388" s="7"/>
      <c r="AG388" s="7"/>
      <c r="AH388" s="7"/>
      <c r="AI388" s="7"/>
    </row>
    <row r="389" spans="1:35" ht="14.5" x14ac:dyDescent="0.35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7"/>
      <c r="AF389" s="7"/>
      <c r="AG389" s="7"/>
      <c r="AH389" s="7"/>
      <c r="AI389" s="7"/>
    </row>
    <row r="390" spans="1:35" ht="14.5" x14ac:dyDescent="0.35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7"/>
      <c r="AF390" s="7"/>
      <c r="AG390" s="7"/>
      <c r="AH390" s="7"/>
      <c r="AI390" s="7"/>
    </row>
    <row r="391" spans="1:35" ht="14.5" x14ac:dyDescent="0.35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7"/>
      <c r="AF391" s="7"/>
      <c r="AG391" s="7"/>
      <c r="AH391" s="7"/>
      <c r="AI391" s="7"/>
    </row>
    <row r="392" spans="1:35" ht="14.5" x14ac:dyDescent="0.35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7"/>
      <c r="AF392" s="7"/>
      <c r="AG392" s="7"/>
      <c r="AH392" s="7"/>
      <c r="AI392" s="7"/>
    </row>
    <row r="393" spans="1:35" ht="14.5" x14ac:dyDescent="0.35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7"/>
      <c r="AF393" s="7"/>
      <c r="AG393" s="7"/>
      <c r="AH393" s="7"/>
      <c r="AI393" s="7"/>
    </row>
    <row r="394" spans="1:35" ht="14.5" x14ac:dyDescent="0.35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7"/>
      <c r="AF394" s="7"/>
      <c r="AG394" s="7"/>
      <c r="AH394" s="7"/>
      <c r="AI394" s="7"/>
    </row>
    <row r="395" spans="1:35" ht="14.5" x14ac:dyDescent="0.3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7"/>
      <c r="AF395" s="7"/>
      <c r="AG395" s="7"/>
      <c r="AH395" s="7"/>
      <c r="AI395" s="7"/>
    </row>
    <row r="396" spans="1:35" ht="14.5" x14ac:dyDescent="0.3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7"/>
      <c r="AF396" s="7"/>
      <c r="AG396" s="7"/>
      <c r="AH396" s="7"/>
      <c r="AI396" s="7"/>
    </row>
    <row r="397" spans="1:35" ht="14.5" x14ac:dyDescent="0.35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7"/>
      <c r="AF397" s="7"/>
      <c r="AG397" s="7"/>
      <c r="AH397" s="7"/>
      <c r="AI397" s="7"/>
    </row>
    <row r="398" spans="1:35" ht="14.5" x14ac:dyDescent="0.35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7"/>
      <c r="AF398" s="7"/>
      <c r="AG398" s="7"/>
      <c r="AH398" s="7"/>
      <c r="AI398" s="7"/>
    </row>
    <row r="399" spans="1:35" ht="14.5" x14ac:dyDescent="0.35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7"/>
      <c r="AF399" s="7"/>
      <c r="AG399" s="7"/>
      <c r="AH399" s="7"/>
      <c r="AI399" s="7"/>
    </row>
    <row r="400" spans="1:35" ht="14.5" x14ac:dyDescent="0.35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7"/>
      <c r="AF400" s="7"/>
      <c r="AG400" s="7"/>
      <c r="AH400" s="7"/>
      <c r="AI400" s="7"/>
    </row>
    <row r="401" spans="1:35" ht="14.5" x14ac:dyDescent="0.35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7"/>
      <c r="AF401" s="7"/>
      <c r="AG401" s="7"/>
      <c r="AH401" s="7"/>
      <c r="AI401" s="7"/>
    </row>
    <row r="402" spans="1:35" ht="14.5" x14ac:dyDescent="0.35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7"/>
      <c r="AF402" s="7"/>
      <c r="AG402" s="7"/>
      <c r="AH402" s="7"/>
      <c r="AI402" s="7"/>
    </row>
    <row r="403" spans="1:35" ht="14.5" x14ac:dyDescent="0.3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7"/>
      <c r="AF403" s="7"/>
      <c r="AG403" s="7"/>
      <c r="AH403" s="7"/>
      <c r="AI403" s="7"/>
    </row>
    <row r="404" spans="1:35" ht="14.5" x14ac:dyDescent="0.35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7"/>
      <c r="AF404" s="7"/>
      <c r="AG404" s="7"/>
      <c r="AH404" s="7"/>
      <c r="AI404" s="7"/>
    </row>
    <row r="405" spans="1:35" ht="14.5" x14ac:dyDescent="0.3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7"/>
      <c r="AF405" s="7"/>
      <c r="AG405" s="7"/>
      <c r="AH405" s="7"/>
      <c r="AI405" s="7"/>
    </row>
    <row r="406" spans="1:35" ht="14.5" x14ac:dyDescent="0.35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7"/>
      <c r="AF406" s="7"/>
      <c r="AG406" s="7"/>
      <c r="AH406" s="7"/>
      <c r="AI406" s="7"/>
    </row>
    <row r="407" spans="1:35" ht="14.5" x14ac:dyDescent="0.35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7"/>
      <c r="AF407" s="7"/>
      <c r="AG407" s="7"/>
      <c r="AH407" s="7"/>
      <c r="AI407" s="7"/>
    </row>
    <row r="408" spans="1:35" ht="14.5" x14ac:dyDescent="0.35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7"/>
      <c r="AF408" s="7"/>
      <c r="AG408" s="7"/>
      <c r="AH408" s="7"/>
      <c r="AI408" s="7"/>
    </row>
    <row r="409" spans="1:35" ht="14.5" x14ac:dyDescent="0.35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7"/>
      <c r="AF409" s="7"/>
      <c r="AG409" s="7"/>
      <c r="AH409" s="7"/>
      <c r="AI409" s="7"/>
    </row>
    <row r="410" spans="1:35" ht="14.5" x14ac:dyDescent="0.35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7"/>
      <c r="AF410" s="7"/>
      <c r="AG410" s="7"/>
      <c r="AH410" s="7"/>
      <c r="AI410" s="7"/>
    </row>
    <row r="411" spans="1:35" ht="14.5" x14ac:dyDescent="0.35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7"/>
      <c r="AF411" s="7"/>
      <c r="AG411" s="7"/>
      <c r="AH411" s="7"/>
      <c r="AI411" s="7"/>
    </row>
    <row r="412" spans="1:35" ht="14.5" x14ac:dyDescent="0.35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7"/>
      <c r="AF412" s="7"/>
      <c r="AG412" s="7"/>
      <c r="AH412" s="7"/>
      <c r="AI412" s="7"/>
    </row>
    <row r="413" spans="1:35" ht="14.5" x14ac:dyDescent="0.35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7"/>
      <c r="AF413" s="7"/>
      <c r="AG413" s="7"/>
      <c r="AH413" s="7"/>
      <c r="AI413" s="7"/>
    </row>
    <row r="414" spans="1:35" ht="14.5" x14ac:dyDescent="0.35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7"/>
      <c r="AF414" s="7"/>
      <c r="AG414" s="7"/>
      <c r="AH414" s="7"/>
      <c r="AI414" s="7"/>
    </row>
    <row r="415" spans="1:35" ht="14.5" x14ac:dyDescent="0.3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7"/>
      <c r="AF415" s="7"/>
      <c r="AG415" s="7"/>
      <c r="AH415" s="7"/>
      <c r="AI415" s="7"/>
    </row>
    <row r="416" spans="1:35" ht="14.5" x14ac:dyDescent="0.35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7"/>
      <c r="AF416" s="7"/>
      <c r="AG416" s="7"/>
      <c r="AH416" s="7"/>
      <c r="AI416" s="7"/>
    </row>
    <row r="417" spans="1:35" ht="14.5" x14ac:dyDescent="0.35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7"/>
      <c r="AF417" s="7"/>
      <c r="AG417" s="7"/>
      <c r="AH417" s="7"/>
      <c r="AI417" s="7"/>
    </row>
    <row r="418" spans="1:35" ht="14.5" x14ac:dyDescent="0.35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7"/>
      <c r="AF418" s="7"/>
      <c r="AG418" s="7"/>
      <c r="AH418" s="7"/>
      <c r="AI418" s="7"/>
    </row>
    <row r="419" spans="1:35" ht="14.5" x14ac:dyDescent="0.3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7"/>
      <c r="AF419" s="7"/>
      <c r="AG419" s="7"/>
      <c r="AH419" s="7"/>
      <c r="AI419" s="7"/>
    </row>
    <row r="420" spans="1:35" ht="14.5" x14ac:dyDescent="0.35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7"/>
      <c r="AF420" s="7"/>
      <c r="AG420" s="7"/>
      <c r="AH420" s="7"/>
      <c r="AI420" s="7"/>
    </row>
    <row r="421" spans="1:35" ht="14.5" x14ac:dyDescent="0.35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7"/>
      <c r="AF421" s="7"/>
      <c r="AG421" s="7"/>
      <c r="AH421" s="7"/>
      <c r="AI421" s="7"/>
    </row>
    <row r="422" spans="1:35" ht="14.5" x14ac:dyDescent="0.35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7"/>
      <c r="AF422" s="7"/>
      <c r="AG422" s="7"/>
      <c r="AH422" s="7"/>
      <c r="AI422" s="7"/>
    </row>
    <row r="423" spans="1:35" ht="14.5" x14ac:dyDescent="0.35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7"/>
      <c r="AF423" s="7"/>
      <c r="AG423" s="7"/>
      <c r="AH423" s="7"/>
      <c r="AI423" s="7"/>
    </row>
    <row r="424" spans="1:35" ht="14.5" x14ac:dyDescent="0.35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7"/>
      <c r="AF424" s="7"/>
      <c r="AG424" s="7"/>
      <c r="AH424" s="7"/>
      <c r="AI424" s="7"/>
    </row>
    <row r="425" spans="1:35" ht="14.5" x14ac:dyDescent="0.3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7"/>
      <c r="AF425" s="7"/>
      <c r="AG425" s="7"/>
      <c r="AH425" s="7"/>
      <c r="AI425" s="7"/>
    </row>
    <row r="426" spans="1:35" ht="14.5" x14ac:dyDescent="0.3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7"/>
      <c r="AF426" s="7"/>
      <c r="AG426" s="7"/>
      <c r="AH426" s="7"/>
      <c r="AI426" s="7"/>
    </row>
    <row r="427" spans="1:35" ht="14.5" x14ac:dyDescent="0.35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7"/>
      <c r="AF427" s="7"/>
      <c r="AG427" s="7"/>
      <c r="AH427" s="7"/>
      <c r="AI427" s="7"/>
    </row>
    <row r="428" spans="1:35" ht="14.5" x14ac:dyDescent="0.35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7"/>
      <c r="AF428" s="7"/>
      <c r="AG428" s="7"/>
      <c r="AH428" s="7"/>
      <c r="AI428" s="7"/>
    </row>
    <row r="429" spans="1:35" ht="14.5" x14ac:dyDescent="0.35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7"/>
      <c r="AF429" s="7"/>
      <c r="AG429" s="7"/>
      <c r="AH429" s="7"/>
      <c r="AI429" s="7"/>
    </row>
    <row r="430" spans="1:35" ht="14.5" x14ac:dyDescent="0.35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7"/>
      <c r="AF430" s="7"/>
      <c r="AG430" s="7"/>
      <c r="AH430" s="7"/>
      <c r="AI430" s="7"/>
    </row>
    <row r="431" spans="1:35" ht="14.5" x14ac:dyDescent="0.35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7"/>
      <c r="AF431" s="7"/>
      <c r="AG431" s="7"/>
      <c r="AH431" s="7"/>
      <c r="AI431" s="7"/>
    </row>
    <row r="432" spans="1:35" ht="14.5" x14ac:dyDescent="0.35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7"/>
      <c r="AF432" s="7"/>
      <c r="AG432" s="7"/>
      <c r="AH432" s="7"/>
      <c r="AI432" s="7"/>
    </row>
    <row r="433" spans="1:35" ht="14.5" x14ac:dyDescent="0.35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7"/>
      <c r="AF433" s="7"/>
      <c r="AG433" s="7"/>
      <c r="AH433" s="7"/>
      <c r="AI433" s="7"/>
    </row>
    <row r="434" spans="1:35" ht="14.5" x14ac:dyDescent="0.35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7"/>
      <c r="AF434" s="7"/>
      <c r="AG434" s="7"/>
      <c r="AH434" s="7"/>
      <c r="AI434" s="7"/>
    </row>
    <row r="435" spans="1:35" ht="14.5" x14ac:dyDescent="0.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7"/>
      <c r="AF435" s="7"/>
      <c r="AG435" s="7"/>
      <c r="AH435" s="7"/>
      <c r="AI435" s="7"/>
    </row>
    <row r="436" spans="1:35" ht="14.5" x14ac:dyDescent="0.35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7"/>
      <c r="AF436" s="7"/>
      <c r="AG436" s="7"/>
      <c r="AH436" s="7"/>
      <c r="AI436" s="7"/>
    </row>
    <row r="437" spans="1:35" ht="14.5" x14ac:dyDescent="0.35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7"/>
      <c r="AF437" s="7"/>
      <c r="AG437" s="7"/>
      <c r="AH437" s="7"/>
      <c r="AI437" s="7"/>
    </row>
    <row r="438" spans="1:35" ht="14.5" x14ac:dyDescent="0.35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7"/>
      <c r="AF438" s="7"/>
      <c r="AG438" s="7"/>
      <c r="AH438" s="7"/>
      <c r="AI438" s="7"/>
    </row>
    <row r="439" spans="1:35" ht="14.5" x14ac:dyDescent="0.35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7"/>
      <c r="AF439" s="7"/>
      <c r="AG439" s="7"/>
      <c r="AH439" s="7"/>
      <c r="AI439" s="7"/>
    </row>
    <row r="440" spans="1:35" ht="14.5" x14ac:dyDescent="0.3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7"/>
      <c r="AF440" s="7"/>
      <c r="AG440" s="7"/>
      <c r="AH440" s="7"/>
      <c r="AI440" s="7"/>
    </row>
    <row r="441" spans="1:35" ht="14.5" x14ac:dyDescent="0.35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7"/>
      <c r="AF441" s="7"/>
      <c r="AG441" s="7"/>
      <c r="AH441" s="7"/>
      <c r="AI441" s="7"/>
    </row>
    <row r="442" spans="1:35" ht="14.5" x14ac:dyDescent="0.35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7"/>
      <c r="AF442" s="7"/>
      <c r="AG442" s="7"/>
      <c r="AH442" s="7"/>
      <c r="AI442" s="7"/>
    </row>
    <row r="443" spans="1:35" ht="14.5" x14ac:dyDescent="0.3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7"/>
      <c r="AF443" s="7"/>
      <c r="AG443" s="7"/>
      <c r="AH443" s="7"/>
      <c r="AI443" s="7"/>
    </row>
    <row r="444" spans="1:35" ht="14.5" x14ac:dyDescent="0.35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7"/>
      <c r="AF444" s="7"/>
      <c r="AG444" s="7"/>
      <c r="AH444" s="7"/>
      <c r="AI444" s="7"/>
    </row>
    <row r="445" spans="1:35" ht="14.5" x14ac:dyDescent="0.3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7"/>
      <c r="AF445" s="7"/>
      <c r="AG445" s="7"/>
      <c r="AH445" s="7"/>
      <c r="AI445" s="7"/>
    </row>
    <row r="446" spans="1:35" ht="14.5" x14ac:dyDescent="0.35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7"/>
      <c r="AF446" s="7"/>
      <c r="AG446" s="7"/>
      <c r="AH446" s="7"/>
      <c r="AI446" s="7"/>
    </row>
    <row r="447" spans="1:35" ht="14.5" x14ac:dyDescent="0.35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7"/>
      <c r="AF447" s="7"/>
      <c r="AG447" s="7"/>
      <c r="AH447" s="7"/>
      <c r="AI447" s="7"/>
    </row>
    <row r="448" spans="1:35" ht="14.5" x14ac:dyDescent="0.35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7"/>
      <c r="AF448" s="7"/>
      <c r="AG448" s="7"/>
      <c r="AH448" s="7"/>
      <c r="AI448" s="7"/>
    </row>
    <row r="449" spans="1:35" ht="14.5" x14ac:dyDescent="0.35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7"/>
      <c r="AF449" s="7"/>
      <c r="AG449" s="7"/>
      <c r="AH449" s="7"/>
      <c r="AI449" s="7"/>
    </row>
    <row r="450" spans="1:35" ht="14.5" x14ac:dyDescent="0.35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7"/>
      <c r="AF450" s="7"/>
      <c r="AG450" s="7"/>
      <c r="AH450" s="7"/>
      <c r="AI450" s="7"/>
    </row>
    <row r="451" spans="1:35" ht="14.5" x14ac:dyDescent="0.35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7"/>
      <c r="AF451" s="7"/>
      <c r="AG451" s="7"/>
      <c r="AH451" s="7"/>
      <c r="AI451" s="7"/>
    </row>
    <row r="452" spans="1:35" ht="14.5" x14ac:dyDescent="0.35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7"/>
      <c r="AF452" s="7"/>
      <c r="AG452" s="7"/>
      <c r="AH452" s="7"/>
      <c r="AI452" s="7"/>
    </row>
    <row r="453" spans="1:35" ht="14.5" x14ac:dyDescent="0.35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7"/>
      <c r="AF453" s="7"/>
      <c r="AG453" s="7"/>
      <c r="AH453" s="7"/>
      <c r="AI453" s="7"/>
    </row>
    <row r="454" spans="1:35" ht="14.5" x14ac:dyDescent="0.35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7"/>
      <c r="AF454" s="7"/>
      <c r="AG454" s="7"/>
      <c r="AH454" s="7"/>
      <c r="AI454" s="7"/>
    </row>
    <row r="455" spans="1:35" ht="14.5" x14ac:dyDescent="0.3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7"/>
      <c r="AF455" s="7"/>
      <c r="AG455" s="7"/>
      <c r="AH455" s="7"/>
      <c r="AI455" s="7"/>
    </row>
    <row r="456" spans="1:35" ht="14.5" x14ac:dyDescent="0.35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7"/>
      <c r="AF456" s="7"/>
      <c r="AG456" s="7"/>
      <c r="AH456" s="7"/>
      <c r="AI456" s="7"/>
    </row>
    <row r="457" spans="1:35" ht="14.5" x14ac:dyDescent="0.3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7"/>
      <c r="AF457" s="7"/>
      <c r="AG457" s="7"/>
      <c r="AH457" s="7"/>
      <c r="AI457" s="7"/>
    </row>
    <row r="458" spans="1:35" ht="14.5" x14ac:dyDescent="0.35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7"/>
      <c r="AF458" s="7"/>
      <c r="AG458" s="7"/>
      <c r="AH458" s="7"/>
      <c r="AI458" s="7"/>
    </row>
    <row r="459" spans="1:35" ht="14.5" x14ac:dyDescent="0.35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7"/>
      <c r="AF459" s="7"/>
      <c r="AG459" s="7"/>
      <c r="AH459" s="7"/>
      <c r="AI459" s="7"/>
    </row>
    <row r="460" spans="1:35" ht="14.5" x14ac:dyDescent="0.35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7"/>
      <c r="AF460" s="7"/>
      <c r="AG460" s="7"/>
      <c r="AH460" s="7"/>
      <c r="AI460" s="7"/>
    </row>
    <row r="461" spans="1:35" ht="14.5" x14ac:dyDescent="0.35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7"/>
      <c r="AF461" s="7"/>
      <c r="AG461" s="7"/>
      <c r="AH461" s="7"/>
      <c r="AI461" s="7"/>
    </row>
    <row r="462" spans="1:35" ht="14.5" x14ac:dyDescent="0.35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7"/>
      <c r="AF462" s="7"/>
      <c r="AG462" s="7"/>
      <c r="AH462" s="7"/>
      <c r="AI462" s="7"/>
    </row>
    <row r="463" spans="1:35" ht="14.5" x14ac:dyDescent="0.35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7"/>
      <c r="AF463" s="7"/>
      <c r="AG463" s="7"/>
      <c r="AH463" s="7"/>
      <c r="AI463" s="7"/>
    </row>
    <row r="464" spans="1:35" ht="14.5" x14ac:dyDescent="0.35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7"/>
      <c r="AF464" s="7"/>
      <c r="AG464" s="7"/>
      <c r="AH464" s="7"/>
      <c r="AI464" s="7"/>
    </row>
    <row r="465" spans="1:35" ht="14.5" x14ac:dyDescent="0.3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7"/>
      <c r="AF465" s="7"/>
      <c r="AG465" s="7"/>
      <c r="AH465" s="7"/>
      <c r="AI465" s="7"/>
    </row>
    <row r="466" spans="1:35" ht="14.5" x14ac:dyDescent="0.35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7"/>
      <c r="AF466" s="7"/>
      <c r="AG466" s="7"/>
      <c r="AH466" s="7"/>
      <c r="AI466" s="7"/>
    </row>
    <row r="467" spans="1:35" ht="14.5" x14ac:dyDescent="0.35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7"/>
      <c r="AF467" s="7"/>
      <c r="AG467" s="7"/>
      <c r="AH467" s="7"/>
      <c r="AI467" s="7"/>
    </row>
    <row r="468" spans="1:35" ht="14.5" x14ac:dyDescent="0.35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7"/>
      <c r="AF468" s="7"/>
      <c r="AG468" s="7"/>
      <c r="AH468" s="7"/>
      <c r="AI468" s="7"/>
    </row>
    <row r="469" spans="1:35" ht="14.5" x14ac:dyDescent="0.35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7"/>
      <c r="AF469" s="7"/>
      <c r="AG469" s="7"/>
      <c r="AH469" s="7"/>
      <c r="AI469" s="7"/>
    </row>
    <row r="470" spans="1:35" ht="14.5" x14ac:dyDescent="0.35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7"/>
      <c r="AF470" s="7"/>
      <c r="AG470" s="7"/>
      <c r="AH470" s="7"/>
      <c r="AI470" s="7"/>
    </row>
    <row r="471" spans="1:35" ht="14.5" x14ac:dyDescent="0.35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7"/>
      <c r="AF471" s="7"/>
      <c r="AG471" s="7"/>
      <c r="AH471" s="7"/>
      <c r="AI471" s="7"/>
    </row>
    <row r="472" spans="1:35" ht="14.5" x14ac:dyDescent="0.35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7"/>
      <c r="AF472" s="7"/>
      <c r="AG472" s="7"/>
      <c r="AH472" s="7"/>
      <c r="AI472" s="7"/>
    </row>
    <row r="473" spans="1:35" ht="14.5" x14ac:dyDescent="0.35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7"/>
      <c r="AF473" s="7"/>
      <c r="AG473" s="7"/>
      <c r="AH473" s="7"/>
      <c r="AI473" s="7"/>
    </row>
    <row r="474" spans="1:35" ht="14.5" x14ac:dyDescent="0.35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7"/>
      <c r="AF474" s="7"/>
      <c r="AG474" s="7"/>
      <c r="AH474" s="7"/>
      <c r="AI474" s="7"/>
    </row>
    <row r="475" spans="1:35" ht="14.5" x14ac:dyDescent="0.3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7"/>
      <c r="AF475" s="7"/>
      <c r="AG475" s="7"/>
      <c r="AH475" s="7"/>
      <c r="AI475" s="7"/>
    </row>
    <row r="476" spans="1:35" ht="14.5" x14ac:dyDescent="0.35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7"/>
      <c r="AF476" s="7"/>
      <c r="AG476" s="7"/>
      <c r="AH476" s="7"/>
      <c r="AI476" s="7"/>
    </row>
    <row r="477" spans="1:35" ht="14.5" x14ac:dyDescent="0.35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7"/>
      <c r="AF477" s="7"/>
      <c r="AG477" s="7"/>
      <c r="AH477" s="7"/>
      <c r="AI477" s="7"/>
    </row>
    <row r="478" spans="1:35" ht="14.5" x14ac:dyDescent="0.35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7"/>
      <c r="AF478" s="7"/>
      <c r="AG478" s="7"/>
      <c r="AH478" s="7"/>
      <c r="AI478" s="7"/>
    </row>
    <row r="479" spans="1:35" ht="14.5" x14ac:dyDescent="0.35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7"/>
      <c r="AF479" s="7"/>
      <c r="AG479" s="7"/>
      <c r="AH479" s="7"/>
      <c r="AI479" s="7"/>
    </row>
    <row r="480" spans="1:35" ht="14.5" x14ac:dyDescent="0.35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7"/>
      <c r="AF480" s="7"/>
      <c r="AG480" s="7"/>
      <c r="AH480" s="7"/>
      <c r="AI480" s="7"/>
    </row>
    <row r="481" spans="1:35" ht="14.5" x14ac:dyDescent="0.35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7"/>
      <c r="AF481" s="7"/>
      <c r="AG481" s="7"/>
      <c r="AH481" s="7"/>
      <c r="AI481" s="7"/>
    </row>
    <row r="482" spans="1:35" ht="14.5" x14ac:dyDescent="0.35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7"/>
      <c r="AF482" s="7"/>
      <c r="AG482" s="7"/>
      <c r="AH482" s="7"/>
      <c r="AI482" s="7"/>
    </row>
    <row r="483" spans="1:35" ht="14.5" x14ac:dyDescent="0.35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7"/>
      <c r="AF483" s="7"/>
      <c r="AG483" s="7"/>
      <c r="AH483" s="7"/>
      <c r="AI483" s="7"/>
    </row>
    <row r="484" spans="1:35" ht="14.5" x14ac:dyDescent="0.35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7"/>
      <c r="AF484" s="7"/>
      <c r="AG484" s="7"/>
      <c r="AH484" s="7"/>
      <c r="AI484" s="7"/>
    </row>
    <row r="485" spans="1:35" ht="14.5" x14ac:dyDescent="0.3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7"/>
      <c r="AF485" s="7"/>
      <c r="AG485" s="7"/>
      <c r="AH485" s="7"/>
      <c r="AI485" s="7"/>
    </row>
    <row r="486" spans="1:35" ht="14.5" x14ac:dyDescent="0.35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7"/>
      <c r="AF486" s="7"/>
      <c r="AG486" s="7"/>
      <c r="AH486" s="7"/>
      <c r="AI486" s="7"/>
    </row>
    <row r="487" spans="1:35" ht="14.5" x14ac:dyDescent="0.35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7"/>
      <c r="AF487" s="7"/>
      <c r="AG487" s="7"/>
      <c r="AH487" s="7"/>
      <c r="AI487" s="7"/>
    </row>
    <row r="488" spans="1:35" ht="14.5" x14ac:dyDescent="0.35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7"/>
      <c r="AF488" s="7"/>
      <c r="AG488" s="7"/>
      <c r="AH488" s="7"/>
      <c r="AI488" s="7"/>
    </row>
    <row r="489" spans="1:35" ht="14.5" x14ac:dyDescent="0.35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7"/>
      <c r="AF489" s="7"/>
      <c r="AG489" s="7"/>
      <c r="AH489" s="7"/>
      <c r="AI489" s="7"/>
    </row>
    <row r="490" spans="1:35" ht="14.5" x14ac:dyDescent="0.35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7"/>
      <c r="AF490" s="7"/>
      <c r="AG490" s="7"/>
      <c r="AH490" s="7"/>
      <c r="AI490" s="7"/>
    </row>
    <row r="491" spans="1:35" ht="14.5" x14ac:dyDescent="0.35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7"/>
      <c r="AF491" s="7"/>
      <c r="AG491" s="7"/>
      <c r="AH491" s="7"/>
      <c r="AI491" s="7"/>
    </row>
    <row r="492" spans="1:35" ht="14.5" x14ac:dyDescent="0.35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7"/>
      <c r="AF492" s="7"/>
      <c r="AG492" s="7"/>
      <c r="AH492" s="7"/>
      <c r="AI492" s="7"/>
    </row>
    <row r="493" spans="1:35" ht="14.5" x14ac:dyDescent="0.35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7"/>
      <c r="AF493" s="7"/>
      <c r="AG493" s="7"/>
      <c r="AH493" s="7"/>
      <c r="AI493" s="7"/>
    </row>
    <row r="494" spans="1:35" ht="14.5" x14ac:dyDescent="0.35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7"/>
      <c r="AF494" s="7"/>
      <c r="AG494" s="7"/>
      <c r="AH494" s="7"/>
      <c r="AI494" s="7"/>
    </row>
    <row r="495" spans="1:35" ht="14.5" x14ac:dyDescent="0.3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7"/>
      <c r="AF495" s="7"/>
      <c r="AG495" s="7"/>
      <c r="AH495" s="7"/>
      <c r="AI495" s="7"/>
    </row>
    <row r="496" spans="1:35" ht="14.5" x14ac:dyDescent="0.35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7"/>
      <c r="AF496" s="7"/>
      <c r="AG496" s="7"/>
      <c r="AH496" s="7"/>
      <c r="AI496" s="7"/>
    </row>
    <row r="497" spans="1:35" ht="14.5" x14ac:dyDescent="0.35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7"/>
      <c r="AF497" s="7"/>
      <c r="AG497" s="7"/>
      <c r="AH497" s="7"/>
      <c r="AI497" s="7"/>
    </row>
    <row r="498" spans="1:35" ht="14.5" x14ac:dyDescent="0.35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7"/>
      <c r="AF498" s="7"/>
      <c r="AG498" s="7"/>
      <c r="AH498" s="7"/>
      <c r="AI498" s="7"/>
    </row>
    <row r="499" spans="1:35" ht="14.5" x14ac:dyDescent="0.35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7"/>
      <c r="AF499" s="7"/>
      <c r="AG499" s="7"/>
      <c r="AH499" s="7"/>
      <c r="AI499" s="7"/>
    </row>
    <row r="500" spans="1:35" ht="14.5" x14ac:dyDescent="0.35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7"/>
      <c r="AF500" s="7"/>
      <c r="AG500" s="7"/>
      <c r="AH500" s="7"/>
      <c r="AI500" s="7"/>
    </row>
    <row r="501" spans="1:35" ht="14.5" x14ac:dyDescent="0.3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7"/>
      <c r="AF501" s="7"/>
      <c r="AG501" s="7"/>
      <c r="AH501" s="7"/>
      <c r="AI501" s="7"/>
    </row>
    <row r="502" spans="1:35" ht="14.5" x14ac:dyDescent="0.35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7"/>
      <c r="AF502" s="7"/>
      <c r="AG502" s="7"/>
      <c r="AH502" s="7"/>
      <c r="AI502" s="7"/>
    </row>
    <row r="503" spans="1:35" ht="14.5" x14ac:dyDescent="0.35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7"/>
      <c r="AF503" s="7"/>
      <c r="AG503" s="7"/>
      <c r="AH503" s="7"/>
      <c r="AI503" s="7"/>
    </row>
    <row r="504" spans="1:35" ht="14.5" x14ac:dyDescent="0.35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7"/>
      <c r="AF504" s="7"/>
      <c r="AG504" s="7"/>
      <c r="AH504" s="7"/>
      <c r="AI504" s="7"/>
    </row>
    <row r="505" spans="1:35" ht="14.5" x14ac:dyDescent="0.3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7"/>
      <c r="AF505" s="7"/>
      <c r="AG505" s="7"/>
      <c r="AH505" s="7"/>
      <c r="AI505" s="7"/>
    </row>
    <row r="506" spans="1:35" ht="14.5" x14ac:dyDescent="0.35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7"/>
      <c r="AF506" s="7"/>
      <c r="AG506" s="7"/>
      <c r="AH506" s="7"/>
      <c r="AI506" s="7"/>
    </row>
    <row r="507" spans="1:35" ht="14.5" x14ac:dyDescent="0.35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7"/>
      <c r="AF507" s="7"/>
      <c r="AG507" s="7"/>
      <c r="AH507" s="7"/>
      <c r="AI507" s="7"/>
    </row>
    <row r="508" spans="1:35" ht="14.5" x14ac:dyDescent="0.35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7"/>
      <c r="AF508" s="7"/>
      <c r="AG508" s="7"/>
      <c r="AH508" s="7"/>
      <c r="AI508" s="7"/>
    </row>
    <row r="509" spans="1:35" ht="14.5" x14ac:dyDescent="0.35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7"/>
      <c r="AF509" s="7"/>
      <c r="AG509" s="7"/>
      <c r="AH509" s="7"/>
      <c r="AI509" s="7"/>
    </row>
    <row r="510" spans="1:35" ht="14.5" x14ac:dyDescent="0.35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7"/>
      <c r="AF510" s="7"/>
      <c r="AG510" s="7"/>
      <c r="AH510" s="7"/>
      <c r="AI510" s="7"/>
    </row>
    <row r="511" spans="1:35" ht="14.5" x14ac:dyDescent="0.35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7"/>
      <c r="AF511" s="7"/>
      <c r="AG511" s="7"/>
      <c r="AH511" s="7"/>
      <c r="AI511" s="7"/>
    </row>
    <row r="512" spans="1:35" ht="14.5" x14ac:dyDescent="0.35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7"/>
      <c r="AF512" s="7"/>
      <c r="AG512" s="7"/>
      <c r="AH512" s="7"/>
      <c r="AI512" s="7"/>
    </row>
    <row r="513" spans="1:35" ht="14.5" x14ac:dyDescent="0.35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7"/>
      <c r="AF513" s="7"/>
      <c r="AG513" s="7"/>
      <c r="AH513" s="7"/>
      <c r="AI513" s="7"/>
    </row>
    <row r="514" spans="1:35" ht="14.5" x14ac:dyDescent="0.35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7"/>
      <c r="AF514" s="7"/>
      <c r="AG514" s="7"/>
      <c r="AH514" s="7"/>
      <c r="AI514" s="7"/>
    </row>
    <row r="515" spans="1:35" ht="14.5" x14ac:dyDescent="0.3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7"/>
      <c r="AF515" s="7"/>
      <c r="AG515" s="7"/>
      <c r="AH515" s="7"/>
      <c r="AI515" s="7"/>
    </row>
    <row r="516" spans="1:35" ht="14.5" x14ac:dyDescent="0.35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7"/>
      <c r="AF516" s="7"/>
      <c r="AG516" s="7"/>
      <c r="AH516" s="7"/>
      <c r="AI516" s="7"/>
    </row>
    <row r="517" spans="1:35" ht="14.5" x14ac:dyDescent="0.35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7"/>
      <c r="AF517" s="7"/>
      <c r="AG517" s="7"/>
      <c r="AH517" s="7"/>
      <c r="AI517" s="7"/>
    </row>
    <row r="518" spans="1:35" ht="14.5" x14ac:dyDescent="0.35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7"/>
      <c r="AF518" s="7"/>
      <c r="AG518" s="7"/>
      <c r="AH518" s="7"/>
      <c r="AI518" s="7"/>
    </row>
    <row r="519" spans="1:35" ht="14.5" x14ac:dyDescent="0.35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7"/>
      <c r="AF519" s="7"/>
      <c r="AG519" s="7"/>
      <c r="AH519" s="7"/>
      <c r="AI519" s="7"/>
    </row>
    <row r="520" spans="1:35" ht="14.5" x14ac:dyDescent="0.35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7"/>
      <c r="AF520" s="7"/>
      <c r="AG520" s="7"/>
      <c r="AH520" s="7"/>
      <c r="AI520" s="7"/>
    </row>
    <row r="521" spans="1:35" ht="14.5" x14ac:dyDescent="0.35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7"/>
      <c r="AF521" s="7"/>
      <c r="AG521" s="7"/>
      <c r="AH521" s="7"/>
      <c r="AI521" s="7"/>
    </row>
    <row r="522" spans="1:35" ht="14.5" x14ac:dyDescent="0.35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7"/>
      <c r="AF522" s="7"/>
      <c r="AG522" s="7"/>
      <c r="AH522" s="7"/>
      <c r="AI522" s="7"/>
    </row>
    <row r="523" spans="1:35" ht="14.5" x14ac:dyDescent="0.35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7"/>
      <c r="AF523" s="7"/>
      <c r="AG523" s="7"/>
      <c r="AH523" s="7"/>
      <c r="AI523" s="7"/>
    </row>
    <row r="524" spans="1:35" ht="14.5" x14ac:dyDescent="0.35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7"/>
      <c r="AF524" s="7"/>
      <c r="AG524" s="7"/>
      <c r="AH524" s="7"/>
      <c r="AI524" s="7"/>
    </row>
    <row r="525" spans="1:35" ht="14.5" x14ac:dyDescent="0.3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7"/>
      <c r="AF525" s="7"/>
      <c r="AG525" s="7"/>
      <c r="AH525" s="7"/>
      <c r="AI525" s="7"/>
    </row>
    <row r="526" spans="1:35" ht="14.5" x14ac:dyDescent="0.35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7"/>
      <c r="AF526" s="7"/>
      <c r="AG526" s="7"/>
      <c r="AH526" s="7"/>
      <c r="AI526" s="7"/>
    </row>
    <row r="527" spans="1:35" ht="14.5" x14ac:dyDescent="0.35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7"/>
      <c r="AF527" s="7"/>
      <c r="AG527" s="7"/>
      <c r="AH527" s="7"/>
      <c r="AI527" s="7"/>
    </row>
    <row r="528" spans="1:35" ht="14.5" x14ac:dyDescent="0.35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7"/>
      <c r="AF528" s="7"/>
      <c r="AG528" s="7"/>
      <c r="AH528" s="7"/>
      <c r="AI528" s="7"/>
    </row>
    <row r="529" spans="1:35" ht="14.5" x14ac:dyDescent="0.35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7"/>
      <c r="AF529" s="7"/>
      <c r="AG529" s="7"/>
      <c r="AH529" s="7"/>
      <c r="AI529" s="7"/>
    </row>
    <row r="530" spans="1:35" ht="14.5" x14ac:dyDescent="0.35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7"/>
      <c r="AF530" s="7"/>
      <c r="AG530" s="7"/>
      <c r="AH530" s="7"/>
      <c r="AI530" s="7"/>
    </row>
    <row r="531" spans="1:35" ht="14.5" x14ac:dyDescent="0.35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7"/>
      <c r="AF531" s="7"/>
      <c r="AG531" s="7"/>
      <c r="AH531" s="7"/>
      <c r="AI531" s="7"/>
    </row>
    <row r="532" spans="1:35" ht="14.5" x14ac:dyDescent="0.35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7"/>
      <c r="AF532" s="7"/>
      <c r="AG532" s="7"/>
      <c r="AH532" s="7"/>
      <c r="AI532" s="7"/>
    </row>
    <row r="533" spans="1:35" ht="14.5" x14ac:dyDescent="0.35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7"/>
      <c r="AF533" s="7"/>
      <c r="AG533" s="7"/>
      <c r="AH533" s="7"/>
      <c r="AI533" s="7"/>
    </row>
    <row r="534" spans="1:35" ht="14.5" x14ac:dyDescent="0.35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7"/>
      <c r="AF534" s="7"/>
      <c r="AG534" s="7"/>
      <c r="AH534" s="7"/>
      <c r="AI534" s="7"/>
    </row>
    <row r="535" spans="1:35" ht="14.5" x14ac:dyDescent="0.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7"/>
      <c r="AF535" s="7"/>
      <c r="AG535" s="7"/>
      <c r="AH535" s="7"/>
      <c r="AI535" s="7"/>
    </row>
    <row r="536" spans="1:35" ht="14.5" x14ac:dyDescent="0.35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7"/>
      <c r="AF536" s="7"/>
      <c r="AG536" s="7"/>
      <c r="AH536" s="7"/>
      <c r="AI536" s="7"/>
    </row>
    <row r="537" spans="1:35" ht="14.5" x14ac:dyDescent="0.35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7"/>
      <c r="AF537" s="7"/>
      <c r="AG537" s="7"/>
      <c r="AH537" s="7"/>
      <c r="AI537" s="7"/>
    </row>
    <row r="538" spans="1:35" ht="14.5" x14ac:dyDescent="0.35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7"/>
      <c r="AF538" s="7"/>
      <c r="AG538" s="7"/>
      <c r="AH538" s="7"/>
      <c r="AI538" s="7"/>
    </row>
    <row r="539" spans="1:35" ht="14.5" x14ac:dyDescent="0.35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7"/>
      <c r="AF539" s="7"/>
      <c r="AG539" s="7"/>
      <c r="AH539" s="7"/>
      <c r="AI539" s="7"/>
    </row>
    <row r="540" spans="1:35" ht="14.5" x14ac:dyDescent="0.35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7"/>
      <c r="AF540" s="7"/>
      <c r="AG540" s="7"/>
      <c r="AH540" s="7"/>
      <c r="AI540" s="7"/>
    </row>
    <row r="541" spans="1:35" ht="14.5" x14ac:dyDescent="0.35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7"/>
      <c r="AF541" s="7"/>
      <c r="AG541" s="7"/>
      <c r="AH541" s="7"/>
      <c r="AI541" s="7"/>
    </row>
    <row r="542" spans="1:35" ht="14.5" x14ac:dyDescent="0.35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7"/>
      <c r="AF542" s="7"/>
      <c r="AG542" s="7"/>
      <c r="AH542" s="7"/>
      <c r="AI542" s="7"/>
    </row>
    <row r="543" spans="1:35" ht="14.5" x14ac:dyDescent="0.35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7"/>
      <c r="AF543" s="7"/>
      <c r="AG543" s="7"/>
      <c r="AH543" s="7"/>
      <c r="AI543" s="7"/>
    </row>
    <row r="544" spans="1:35" ht="14.5" x14ac:dyDescent="0.35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7"/>
      <c r="AF544" s="7"/>
      <c r="AG544" s="7"/>
      <c r="AH544" s="7"/>
      <c r="AI544" s="7"/>
    </row>
    <row r="545" spans="1:35" ht="14.5" x14ac:dyDescent="0.3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7"/>
      <c r="AF545" s="7"/>
      <c r="AG545" s="7"/>
      <c r="AH545" s="7"/>
      <c r="AI545" s="7"/>
    </row>
    <row r="546" spans="1:35" ht="14.5" x14ac:dyDescent="0.35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7"/>
      <c r="AF546" s="7"/>
      <c r="AG546" s="7"/>
      <c r="AH546" s="7"/>
      <c r="AI546" s="7"/>
    </row>
    <row r="547" spans="1:35" ht="14.5" x14ac:dyDescent="0.35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7"/>
      <c r="AF547" s="7"/>
      <c r="AG547" s="7"/>
      <c r="AH547" s="7"/>
      <c r="AI547" s="7"/>
    </row>
    <row r="548" spans="1:35" ht="14.5" x14ac:dyDescent="0.35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7"/>
      <c r="AF548" s="7"/>
      <c r="AG548" s="7"/>
      <c r="AH548" s="7"/>
      <c r="AI548" s="7"/>
    </row>
    <row r="549" spans="1:35" ht="14.5" x14ac:dyDescent="0.35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7"/>
      <c r="AF549" s="7"/>
      <c r="AG549" s="7"/>
      <c r="AH549" s="7"/>
      <c r="AI549" s="7"/>
    </row>
    <row r="550" spans="1:35" ht="14.5" x14ac:dyDescent="0.35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7"/>
      <c r="AF550" s="7"/>
      <c r="AG550" s="7"/>
      <c r="AH550" s="7"/>
      <c r="AI550" s="7"/>
    </row>
    <row r="551" spans="1:35" ht="14.5" x14ac:dyDescent="0.35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7"/>
      <c r="AF551" s="7"/>
      <c r="AG551" s="7"/>
      <c r="AH551" s="7"/>
      <c r="AI551" s="7"/>
    </row>
    <row r="552" spans="1:35" ht="14.5" x14ac:dyDescent="0.35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7"/>
      <c r="AF552" s="7"/>
      <c r="AG552" s="7"/>
      <c r="AH552" s="7"/>
      <c r="AI552" s="7"/>
    </row>
    <row r="553" spans="1:35" ht="14.5" x14ac:dyDescent="0.35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7"/>
      <c r="AF553" s="7"/>
      <c r="AG553" s="7"/>
      <c r="AH553" s="7"/>
      <c r="AI553" s="7"/>
    </row>
    <row r="554" spans="1:35" ht="14.5" x14ac:dyDescent="0.35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7"/>
      <c r="AF554" s="7"/>
      <c r="AG554" s="7"/>
      <c r="AH554" s="7"/>
      <c r="AI554" s="7"/>
    </row>
    <row r="555" spans="1:35" ht="14.5" x14ac:dyDescent="0.3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7"/>
      <c r="AF555" s="7"/>
      <c r="AG555" s="7"/>
      <c r="AH555" s="7"/>
      <c r="AI555" s="7"/>
    </row>
    <row r="556" spans="1:35" ht="14.5" x14ac:dyDescent="0.35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7"/>
      <c r="AF556" s="7"/>
      <c r="AG556" s="7"/>
      <c r="AH556" s="7"/>
      <c r="AI556" s="7"/>
    </row>
    <row r="557" spans="1:35" ht="14.5" x14ac:dyDescent="0.35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7"/>
      <c r="AF557" s="7"/>
      <c r="AG557" s="7"/>
      <c r="AH557" s="7"/>
      <c r="AI557" s="7"/>
    </row>
    <row r="558" spans="1:35" ht="14.5" x14ac:dyDescent="0.35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7"/>
      <c r="AF558" s="7"/>
      <c r="AG558" s="7"/>
      <c r="AH558" s="7"/>
      <c r="AI558" s="7"/>
    </row>
    <row r="559" spans="1:35" ht="14.5" x14ac:dyDescent="0.35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7"/>
      <c r="AF559" s="7"/>
      <c r="AG559" s="7"/>
      <c r="AH559" s="7"/>
      <c r="AI559" s="7"/>
    </row>
    <row r="560" spans="1:35" ht="14.5" x14ac:dyDescent="0.35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7"/>
      <c r="AF560" s="7"/>
      <c r="AG560" s="7"/>
      <c r="AH560" s="7"/>
      <c r="AI560" s="7"/>
    </row>
    <row r="561" spans="1:35" ht="14.5" x14ac:dyDescent="0.35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7"/>
      <c r="AF561" s="7"/>
      <c r="AG561" s="7"/>
      <c r="AH561" s="7"/>
      <c r="AI561" s="7"/>
    </row>
    <row r="562" spans="1:35" ht="14.5" x14ac:dyDescent="0.35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7"/>
      <c r="AF562" s="7"/>
      <c r="AG562" s="7"/>
      <c r="AH562" s="7"/>
      <c r="AI562" s="7"/>
    </row>
    <row r="563" spans="1:35" ht="14.5" x14ac:dyDescent="0.35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7"/>
      <c r="AF563" s="7"/>
      <c r="AG563" s="7"/>
      <c r="AH563" s="7"/>
      <c r="AI563" s="7"/>
    </row>
    <row r="564" spans="1:35" ht="14.5" x14ac:dyDescent="0.35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7"/>
      <c r="AF564" s="7"/>
      <c r="AG564" s="7"/>
      <c r="AH564" s="7"/>
      <c r="AI564" s="7"/>
    </row>
    <row r="565" spans="1:35" ht="14.5" x14ac:dyDescent="0.3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7"/>
      <c r="AF565" s="7"/>
      <c r="AG565" s="7"/>
      <c r="AH565" s="7"/>
      <c r="AI565" s="7"/>
    </row>
    <row r="566" spans="1:35" ht="14.5" x14ac:dyDescent="0.35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7"/>
      <c r="AF566" s="7"/>
      <c r="AG566" s="7"/>
      <c r="AH566" s="7"/>
      <c r="AI566" s="7"/>
    </row>
    <row r="567" spans="1:35" ht="14.5" x14ac:dyDescent="0.35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7"/>
      <c r="AF567" s="7"/>
      <c r="AG567" s="7"/>
      <c r="AH567" s="7"/>
      <c r="AI567" s="7"/>
    </row>
    <row r="568" spans="1:35" ht="14.5" x14ac:dyDescent="0.35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7"/>
      <c r="AF568" s="7"/>
      <c r="AG568" s="7"/>
      <c r="AH568" s="7"/>
      <c r="AI568" s="7"/>
    </row>
    <row r="569" spans="1:35" ht="14.5" x14ac:dyDescent="0.35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7"/>
      <c r="AF569" s="7"/>
      <c r="AG569" s="7"/>
      <c r="AH569" s="7"/>
      <c r="AI569" s="7"/>
    </row>
    <row r="570" spans="1:35" ht="14.5" x14ac:dyDescent="0.35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7"/>
      <c r="AF570" s="7"/>
      <c r="AG570" s="7"/>
      <c r="AH570" s="7"/>
      <c r="AI570" s="7"/>
    </row>
    <row r="571" spans="1:35" ht="14.5" x14ac:dyDescent="0.35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7"/>
      <c r="AF571" s="7"/>
      <c r="AG571" s="7"/>
      <c r="AH571" s="7"/>
      <c r="AI571" s="7"/>
    </row>
    <row r="572" spans="1:35" ht="14.5" x14ac:dyDescent="0.35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7"/>
      <c r="AF572" s="7"/>
      <c r="AG572" s="7"/>
      <c r="AH572" s="7"/>
      <c r="AI572" s="7"/>
    </row>
    <row r="573" spans="1:35" ht="14.5" x14ac:dyDescent="0.35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7"/>
      <c r="AF573" s="7"/>
      <c r="AG573" s="7"/>
      <c r="AH573" s="7"/>
      <c r="AI573" s="7"/>
    </row>
    <row r="574" spans="1:35" ht="14.5" x14ac:dyDescent="0.35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7"/>
      <c r="AF574" s="7"/>
      <c r="AG574" s="7"/>
      <c r="AH574" s="7"/>
      <c r="AI574" s="7"/>
    </row>
    <row r="575" spans="1:35" ht="14.5" x14ac:dyDescent="0.3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7"/>
      <c r="AF575" s="7"/>
      <c r="AG575" s="7"/>
      <c r="AH575" s="7"/>
      <c r="AI575" s="7"/>
    </row>
    <row r="576" spans="1:35" ht="14.5" x14ac:dyDescent="0.35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7"/>
      <c r="AF576" s="7"/>
      <c r="AG576" s="7"/>
      <c r="AH576" s="7"/>
      <c r="AI576" s="7"/>
    </row>
    <row r="577" spans="1:35" ht="14.5" x14ac:dyDescent="0.35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7"/>
      <c r="AF577" s="7"/>
      <c r="AG577" s="7"/>
      <c r="AH577" s="7"/>
      <c r="AI577" s="7"/>
    </row>
    <row r="578" spans="1:35" ht="14.5" x14ac:dyDescent="0.35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7"/>
      <c r="AF578" s="7"/>
      <c r="AG578" s="7"/>
      <c r="AH578" s="7"/>
      <c r="AI578" s="7"/>
    </row>
    <row r="579" spans="1:35" ht="14.5" x14ac:dyDescent="0.35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7"/>
      <c r="AF579" s="7"/>
      <c r="AG579" s="7"/>
      <c r="AH579" s="7"/>
      <c r="AI579" s="7"/>
    </row>
    <row r="580" spans="1:35" ht="14.5" x14ac:dyDescent="0.35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7"/>
      <c r="AF580" s="7"/>
      <c r="AG580" s="7"/>
      <c r="AH580" s="7"/>
      <c r="AI580" s="7"/>
    </row>
    <row r="581" spans="1:35" ht="14.5" x14ac:dyDescent="0.35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7"/>
      <c r="AF581" s="7"/>
      <c r="AG581" s="7"/>
      <c r="AH581" s="7"/>
      <c r="AI581" s="7"/>
    </row>
    <row r="582" spans="1:35" ht="14.5" x14ac:dyDescent="0.35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7"/>
      <c r="AF582" s="7"/>
      <c r="AG582" s="7"/>
      <c r="AH582" s="7"/>
      <c r="AI582" s="7"/>
    </row>
    <row r="583" spans="1:35" ht="14.5" x14ac:dyDescent="0.35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7"/>
      <c r="AF583" s="7"/>
      <c r="AG583" s="7"/>
      <c r="AH583" s="7"/>
      <c r="AI583" s="7"/>
    </row>
    <row r="584" spans="1:35" ht="14.5" x14ac:dyDescent="0.35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7"/>
      <c r="AF584" s="7"/>
      <c r="AG584" s="7"/>
      <c r="AH584" s="7"/>
      <c r="AI584" s="7"/>
    </row>
    <row r="585" spans="1:35" ht="14.5" x14ac:dyDescent="0.3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7"/>
      <c r="AF585" s="7"/>
      <c r="AG585" s="7"/>
      <c r="AH585" s="7"/>
      <c r="AI585" s="7"/>
    </row>
    <row r="586" spans="1:35" ht="14.5" x14ac:dyDescent="0.35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7"/>
      <c r="AF586" s="7"/>
      <c r="AG586" s="7"/>
      <c r="AH586" s="7"/>
      <c r="AI586" s="7"/>
    </row>
    <row r="587" spans="1:35" ht="14.5" x14ac:dyDescent="0.35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7"/>
      <c r="AF587" s="7"/>
      <c r="AG587" s="7"/>
      <c r="AH587" s="7"/>
      <c r="AI587" s="7"/>
    </row>
    <row r="588" spans="1:35" ht="14.5" x14ac:dyDescent="0.35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7"/>
      <c r="AF588" s="7"/>
      <c r="AG588" s="7"/>
      <c r="AH588" s="7"/>
      <c r="AI588" s="7"/>
    </row>
    <row r="589" spans="1:35" ht="14.5" x14ac:dyDescent="0.35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7"/>
      <c r="AF589" s="7"/>
      <c r="AG589" s="7"/>
      <c r="AH589" s="7"/>
      <c r="AI589" s="7"/>
    </row>
    <row r="590" spans="1:35" ht="14.5" x14ac:dyDescent="0.35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7"/>
      <c r="AF590" s="7"/>
      <c r="AG590" s="7"/>
      <c r="AH590" s="7"/>
      <c r="AI590" s="7"/>
    </row>
    <row r="591" spans="1:35" ht="14.5" x14ac:dyDescent="0.35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7"/>
      <c r="AF591" s="7"/>
      <c r="AG591" s="7"/>
      <c r="AH591" s="7"/>
      <c r="AI591" s="7"/>
    </row>
    <row r="592" spans="1:35" ht="14.5" x14ac:dyDescent="0.3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7"/>
      <c r="AF592" s="7"/>
      <c r="AG592" s="7"/>
      <c r="AH592" s="7"/>
      <c r="AI592" s="7"/>
    </row>
    <row r="593" spans="1:35" ht="14.5" x14ac:dyDescent="0.35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7"/>
      <c r="AF593" s="7"/>
      <c r="AG593" s="7"/>
      <c r="AH593" s="7"/>
      <c r="AI593" s="7"/>
    </row>
    <row r="594" spans="1:35" ht="14.5" x14ac:dyDescent="0.35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7"/>
      <c r="AF594" s="7"/>
      <c r="AG594" s="7"/>
      <c r="AH594" s="7"/>
      <c r="AI594" s="7"/>
    </row>
    <row r="595" spans="1:35" ht="14.5" x14ac:dyDescent="0.3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7"/>
      <c r="AF595" s="7"/>
      <c r="AG595" s="7"/>
      <c r="AH595" s="7"/>
      <c r="AI595" s="7"/>
    </row>
    <row r="596" spans="1:35" ht="14.5" x14ac:dyDescent="0.35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7"/>
      <c r="AF596" s="7"/>
      <c r="AG596" s="7"/>
      <c r="AH596" s="7"/>
      <c r="AI596" s="7"/>
    </row>
    <row r="597" spans="1:35" ht="14.5" x14ac:dyDescent="0.35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7"/>
      <c r="AF597" s="7"/>
      <c r="AG597" s="7"/>
      <c r="AH597" s="7"/>
      <c r="AI597" s="7"/>
    </row>
    <row r="598" spans="1:35" ht="14.5" x14ac:dyDescent="0.35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7"/>
      <c r="AF598" s="7"/>
      <c r="AG598" s="7"/>
      <c r="AH598" s="7"/>
      <c r="AI598" s="7"/>
    </row>
    <row r="599" spans="1:35" ht="14.5" x14ac:dyDescent="0.35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7"/>
      <c r="AF599" s="7"/>
      <c r="AG599" s="7"/>
      <c r="AH599" s="7"/>
      <c r="AI599" s="7"/>
    </row>
    <row r="600" spans="1:35" ht="14.5" x14ac:dyDescent="0.35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7"/>
      <c r="AF600" s="7"/>
      <c r="AG600" s="7"/>
      <c r="AH600" s="7"/>
      <c r="AI600" s="7"/>
    </row>
    <row r="601" spans="1:35" ht="14.5" x14ac:dyDescent="0.35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7"/>
      <c r="AF601" s="7"/>
      <c r="AG601" s="7"/>
      <c r="AH601" s="7"/>
      <c r="AI601" s="7"/>
    </row>
    <row r="602" spans="1:35" ht="14.5" x14ac:dyDescent="0.35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7"/>
      <c r="AF602" s="7"/>
      <c r="AG602" s="7"/>
      <c r="AH602" s="7"/>
      <c r="AI602" s="7"/>
    </row>
    <row r="603" spans="1:35" ht="14.5" x14ac:dyDescent="0.3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7"/>
      <c r="AF603" s="7"/>
      <c r="AG603" s="7"/>
      <c r="AH603" s="7"/>
      <c r="AI603" s="7"/>
    </row>
    <row r="604" spans="1:35" ht="14.5" x14ac:dyDescent="0.35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7"/>
      <c r="AF604" s="7"/>
      <c r="AG604" s="7"/>
      <c r="AH604" s="7"/>
      <c r="AI604" s="7"/>
    </row>
    <row r="605" spans="1:35" ht="14.5" x14ac:dyDescent="0.3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7"/>
      <c r="AF605" s="7"/>
      <c r="AG605" s="7"/>
      <c r="AH605" s="7"/>
      <c r="AI605" s="7"/>
    </row>
    <row r="606" spans="1:35" ht="14.5" x14ac:dyDescent="0.35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7"/>
      <c r="AF606" s="7"/>
      <c r="AG606" s="7"/>
      <c r="AH606" s="7"/>
      <c r="AI606" s="7"/>
    </row>
    <row r="607" spans="1:35" ht="14.5" x14ac:dyDescent="0.35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7"/>
      <c r="AF607" s="7"/>
      <c r="AG607" s="7"/>
      <c r="AH607" s="7"/>
      <c r="AI607" s="7"/>
    </row>
    <row r="608" spans="1:35" ht="14.5" x14ac:dyDescent="0.35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7"/>
      <c r="AF608" s="7"/>
      <c r="AG608" s="7"/>
      <c r="AH608" s="7"/>
      <c r="AI608" s="7"/>
    </row>
    <row r="609" spans="1:35" ht="14.5" x14ac:dyDescent="0.35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7"/>
      <c r="AF609" s="7"/>
      <c r="AG609" s="7"/>
      <c r="AH609" s="7"/>
      <c r="AI609" s="7"/>
    </row>
    <row r="610" spans="1:35" ht="14.5" x14ac:dyDescent="0.35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7"/>
      <c r="AF610" s="7"/>
      <c r="AG610" s="7"/>
      <c r="AH610" s="7"/>
      <c r="AI610" s="7"/>
    </row>
    <row r="611" spans="1:35" ht="14.5" x14ac:dyDescent="0.35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7"/>
      <c r="AF611" s="7"/>
      <c r="AG611" s="7"/>
      <c r="AH611" s="7"/>
      <c r="AI611" s="7"/>
    </row>
    <row r="612" spans="1:35" ht="14.5" x14ac:dyDescent="0.3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7"/>
      <c r="AF612" s="7"/>
      <c r="AG612" s="7"/>
      <c r="AH612" s="7"/>
      <c r="AI612" s="7"/>
    </row>
    <row r="613" spans="1:35" ht="14.5" x14ac:dyDescent="0.35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7"/>
      <c r="AF613" s="7"/>
      <c r="AG613" s="7"/>
      <c r="AH613" s="7"/>
      <c r="AI613" s="7"/>
    </row>
    <row r="614" spans="1:35" ht="14.5" x14ac:dyDescent="0.35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7"/>
      <c r="AF614" s="7"/>
      <c r="AG614" s="7"/>
      <c r="AH614" s="7"/>
      <c r="AI614" s="7"/>
    </row>
    <row r="615" spans="1:35" ht="14.5" x14ac:dyDescent="0.3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7"/>
      <c r="AF615" s="7"/>
      <c r="AG615" s="7"/>
      <c r="AH615" s="7"/>
      <c r="AI615" s="7"/>
    </row>
    <row r="616" spans="1:35" ht="14.5" x14ac:dyDescent="0.35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7"/>
      <c r="AF616" s="7"/>
      <c r="AG616" s="7"/>
      <c r="AH616" s="7"/>
      <c r="AI616" s="7"/>
    </row>
    <row r="617" spans="1:35" ht="14.5" x14ac:dyDescent="0.35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7"/>
      <c r="AF617" s="7"/>
      <c r="AG617" s="7"/>
      <c r="AH617" s="7"/>
      <c r="AI617" s="7"/>
    </row>
    <row r="618" spans="1:35" ht="14.5" x14ac:dyDescent="0.35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7"/>
      <c r="AF618" s="7"/>
      <c r="AG618" s="7"/>
      <c r="AH618" s="7"/>
      <c r="AI618" s="7"/>
    </row>
    <row r="619" spans="1:35" ht="14.5" x14ac:dyDescent="0.35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7"/>
      <c r="AF619" s="7"/>
      <c r="AG619" s="7"/>
      <c r="AH619" s="7"/>
      <c r="AI619" s="7"/>
    </row>
    <row r="620" spans="1:35" ht="14.5" x14ac:dyDescent="0.35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7"/>
      <c r="AF620" s="7"/>
      <c r="AG620" s="7"/>
      <c r="AH620" s="7"/>
      <c r="AI620" s="7"/>
    </row>
    <row r="621" spans="1:35" ht="14.5" x14ac:dyDescent="0.35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7"/>
      <c r="AF621" s="7"/>
      <c r="AG621" s="7"/>
      <c r="AH621" s="7"/>
      <c r="AI621" s="7"/>
    </row>
    <row r="622" spans="1:35" ht="14.5" x14ac:dyDescent="0.35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7"/>
      <c r="AF622" s="7"/>
      <c r="AG622" s="7"/>
      <c r="AH622" s="7"/>
      <c r="AI622" s="7"/>
    </row>
    <row r="623" spans="1:35" ht="14.5" x14ac:dyDescent="0.35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7"/>
      <c r="AF623" s="7"/>
      <c r="AG623" s="7"/>
      <c r="AH623" s="7"/>
      <c r="AI623" s="7"/>
    </row>
    <row r="624" spans="1:35" ht="14.5" x14ac:dyDescent="0.35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7"/>
      <c r="AF624" s="7"/>
      <c r="AG624" s="7"/>
      <c r="AH624" s="7"/>
      <c r="AI624" s="7"/>
    </row>
    <row r="625" spans="1:35" ht="14.5" x14ac:dyDescent="0.3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7"/>
      <c r="AF625" s="7"/>
      <c r="AG625" s="7"/>
      <c r="AH625" s="7"/>
      <c r="AI625" s="7"/>
    </row>
    <row r="626" spans="1:35" ht="14.5" x14ac:dyDescent="0.35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7"/>
      <c r="AF626" s="7"/>
      <c r="AG626" s="7"/>
      <c r="AH626" s="7"/>
      <c r="AI626" s="7"/>
    </row>
    <row r="627" spans="1:35" ht="14.5" x14ac:dyDescent="0.35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7"/>
      <c r="AF627" s="7"/>
      <c r="AG627" s="7"/>
      <c r="AH627" s="7"/>
      <c r="AI627" s="7"/>
    </row>
    <row r="628" spans="1:35" ht="14.5" x14ac:dyDescent="0.35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7"/>
      <c r="AF628" s="7"/>
      <c r="AG628" s="7"/>
      <c r="AH628" s="7"/>
      <c r="AI628" s="7"/>
    </row>
    <row r="629" spans="1:35" ht="14.5" x14ac:dyDescent="0.35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7"/>
      <c r="AF629" s="7"/>
      <c r="AG629" s="7"/>
      <c r="AH629" s="7"/>
      <c r="AI629" s="7"/>
    </row>
    <row r="630" spans="1:35" ht="14.5" x14ac:dyDescent="0.35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7"/>
      <c r="AF630" s="7"/>
      <c r="AG630" s="7"/>
      <c r="AH630" s="7"/>
      <c r="AI630" s="7"/>
    </row>
    <row r="631" spans="1:35" ht="14.5" x14ac:dyDescent="0.35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7"/>
      <c r="AF631" s="7"/>
      <c r="AG631" s="7"/>
      <c r="AH631" s="7"/>
      <c r="AI631" s="7"/>
    </row>
    <row r="632" spans="1:35" ht="14.5" x14ac:dyDescent="0.35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7"/>
      <c r="AF632" s="7"/>
      <c r="AG632" s="7"/>
      <c r="AH632" s="7"/>
      <c r="AI632" s="7"/>
    </row>
    <row r="633" spans="1:35" ht="14.5" x14ac:dyDescent="0.35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7"/>
      <c r="AF633" s="7"/>
      <c r="AG633" s="7"/>
      <c r="AH633" s="7"/>
      <c r="AI633" s="7"/>
    </row>
    <row r="634" spans="1:35" ht="14.5" x14ac:dyDescent="0.35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7"/>
      <c r="AF634" s="7"/>
      <c r="AG634" s="7"/>
      <c r="AH634" s="7"/>
      <c r="AI634" s="7"/>
    </row>
    <row r="635" spans="1:35" ht="14.5" x14ac:dyDescent="0.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7"/>
      <c r="AF635" s="7"/>
      <c r="AG635" s="7"/>
      <c r="AH635" s="7"/>
      <c r="AI635" s="7"/>
    </row>
    <row r="636" spans="1:35" ht="14.5" x14ac:dyDescent="0.3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7"/>
      <c r="AF636" s="7"/>
      <c r="AG636" s="7"/>
      <c r="AH636" s="7"/>
      <c r="AI636" s="7"/>
    </row>
    <row r="637" spans="1:35" ht="14.5" x14ac:dyDescent="0.35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7"/>
      <c r="AF637" s="7"/>
      <c r="AG637" s="7"/>
      <c r="AH637" s="7"/>
      <c r="AI637" s="7"/>
    </row>
    <row r="638" spans="1:35" ht="14.5" x14ac:dyDescent="0.35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7"/>
      <c r="AF638" s="7"/>
      <c r="AG638" s="7"/>
      <c r="AH638" s="7"/>
      <c r="AI638" s="7"/>
    </row>
    <row r="639" spans="1:35" ht="14.5" x14ac:dyDescent="0.35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7"/>
      <c r="AF639" s="7"/>
      <c r="AG639" s="7"/>
      <c r="AH639" s="7"/>
      <c r="AI639" s="7"/>
    </row>
    <row r="640" spans="1:35" ht="14.5" x14ac:dyDescent="0.35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7"/>
      <c r="AF640" s="7"/>
      <c r="AG640" s="7"/>
      <c r="AH640" s="7"/>
      <c r="AI640" s="7"/>
    </row>
    <row r="641" spans="1:35" ht="14.5" x14ac:dyDescent="0.35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7"/>
      <c r="AF641" s="7"/>
      <c r="AG641" s="7"/>
      <c r="AH641" s="7"/>
      <c r="AI641" s="7"/>
    </row>
    <row r="642" spans="1:35" ht="14.5" x14ac:dyDescent="0.35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7"/>
      <c r="AF642" s="7"/>
      <c r="AG642" s="7"/>
      <c r="AH642" s="7"/>
      <c r="AI642" s="7"/>
    </row>
    <row r="643" spans="1:35" ht="14.5" x14ac:dyDescent="0.35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7"/>
      <c r="AF643" s="7"/>
      <c r="AG643" s="7"/>
      <c r="AH643" s="7"/>
      <c r="AI643" s="7"/>
    </row>
    <row r="644" spans="1:35" ht="14.5" x14ac:dyDescent="0.35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7"/>
      <c r="AF644" s="7"/>
      <c r="AG644" s="7"/>
      <c r="AH644" s="7"/>
      <c r="AI644" s="7"/>
    </row>
    <row r="645" spans="1:35" ht="14.5" x14ac:dyDescent="0.3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7"/>
      <c r="AF645" s="7"/>
      <c r="AG645" s="7"/>
      <c r="AH645" s="7"/>
      <c r="AI645" s="7"/>
    </row>
    <row r="646" spans="1:35" ht="14.5" x14ac:dyDescent="0.35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7"/>
      <c r="AF646" s="7"/>
      <c r="AG646" s="7"/>
      <c r="AH646" s="7"/>
      <c r="AI646" s="7"/>
    </row>
    <row r="647" spans="1:35" ht="14.5" x14ac:dyDescent="0.35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7"/>
      <c r="AF647" s="7"/>
      <c r="AG647" s="7"/>
      <c r="AH647" s="7"/>
      <c r="AI647" s="7"/>
    </row>
    <row r="648" spans="1:35" ht="14.5" x14ac:dyDescent="0.35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7"/>
      <c r="AF648" s="7"/>
      <c r="AG648" s="7"/>
      <c r="AH648" s="7"/>
      <c r="AI648" s="7"/>
    </row>
    <row r="649" spans="1:35" ht="14.5" x14ac:dyDescent="0.35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7"/>
      <c r="AF649" s="7"/>
      <c r="AG649" s="7"/>
      <c r="AH649" s="7"/>
      <c r="AI649" s="7"/>
    </row>
    <row r="650" spans="1:35" ht="14.5" x14ac:dyDescent="0.35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7"/>
      <c r="AF650" s="7"/>
      <c r="AG650" s="7"/>
      <c r="AH650" s="7"/>
      <c r="AI650" s="7"/>
    </row>
    <row r="651" spans="1:35" ht="14.5" x14ac:dyDescent="0.35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7"/>
      <c r="AF651" s="7"/>
      <c r="AG651" s="7"/>
      <c r="AH651" s="7"/>
      <c r="AI651" s="7"/>
    </row>
    <row r="652" spans="1:35" ht="14.5" x14ac:dyDescent="0.35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7"/>
      <c r="AF652" s="7"/>
      <c r="AG652" s="7"/>
      <c r="AH652" s="7"/>
      <c r="AI652" s="7"/>
    </row>
    <row r="653" spans="1:35" ht="14.5" x14ac:dyDescent="0.35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7"/>
      <c r="AF653" s="7"/>
      <c r="AG653" s="7"/>
      <c r="AH653" s="7"/>
      <c r="AI653" s="7"/>
    </row>
    <row r="654" spans="1:35" ht="14.5" x14ac:dyDescent="0.35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7"/>
      <c r="AF654" s="7"/>
      <c r="AG654" s="7"/>
      <c r="AH654" s="7"/>
      <c r="AI654" s="7"/>
    </row>
    <row r="655" spans="1:35" ht="14.5" x14ac:dyDescent="0.3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7"/>
      <c r="AF655" s="7"/>
      <c r="AG655" s="7"/>
      <c r="AH655" s="7"/>
      <c r="AI655" s="7"/>
    </row>
    <row r="656" spans="1:35" ht="14.5" x14ac:dyDescent="0.35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7"/>
      <c r="AF656" s="7"/>
      <c r="AG656" s="7"/>
      <c r="AH656" s="7"/>
      <c r="AI656" s="7"/>
    </row>
    <row r="657" spans="1:35" ht="14.5" x14ac:dyDescent="0.35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7"/>
      <c r="AF657" s="7"/>
      <c r="AG657" s="7"/>
      <c r="AH657" s="7"/>
      <c r="AI657" s="7"/>
    </row>
    <row r="658" spans="1:35" ht="14.5" x14ac:dyDescent="0.35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7"/>
      <c r="AF658" s="7"/>
      <c r="AG658" s="7"/>
      <c r="AH658" s="7"/>
      <c r="AI658" s="7"/>
    </row>
    <row r="659" spans="1:35" ht="14.5" x14ac:dyDescent="0.35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7"/>
      <c r="AF659" s="7"/>
      <c r="AG659" s="7"/>
      <c r="AH659" s="7"/>
      <c r="AI659" s="7"/>
    </row>
    <row r="660" spans="1:35" ht="14.5" x14ac:dyDescent="0.35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7"/>
      <c r="AF660" s="7"/>
      <c r="AG660" s="7"/>
      <c r="AH660" s="7"/>
      <c r="AI660" s="7"/>
    </row>
    <row r="661" spans="1:35" ht="14.5" x14ac:dyDescent="0.35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7"/>
      <c r="AF661" s="7"/>
      <c r="AG661" s="7"/>
      <c r="AH661" s="7"/>
      <c r="AI661" s="7"/>
    </row>
    <row r="662" spans="1:35" ht="14.5" x14ac:dyDescent="0.35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7"/>
      <c r="AF662" s="7"/>
      <c r="AG662" s="7"/>
      <c r="AH662" s="7"/>
      <c r="AI662" s="7"/>
    </row>
    <row r="663" spans="1:35" ht="14.5" x14ac:dyDescent="0.35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7"/>
      <c r="AF663" s="7"/>
      <c r="AG663" s="7"/>
      <c r="AH663" s="7"/>
      <c r="AI663" s="7"/>
    </row>
    <row r="664" spans="1:35" ht="14.5" x14ac:dyDescent="0.35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7"/>
      <c r="AF664" s="7"/>
      <c r="AG664" s="7"/>
      <c r="AH664" s="7"/>
      <c r="AI664" s="7"/>
    </row>
    <row r="665" spans="1:35" ht="14.5" x14ac:dyDescent="0.3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7"/>
      <c r="AF665" s="7"/>
      <c r="AG665" s="7"/>
      <c r="AH665" s="7"/>
      <c r="AI665" s="7"/>
    </row>
    <row r="666" spans="1:35" ht="14.5" x14ac:dyDescent="0.35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7"/>
      <c r="AF666" s="7"/>
      <c r="AG666" s="7"/>
      <c r="AH666" s="7"/>
      <c r="AI666" s="7"/>
    </row>
    <row r="667" spans="1:35" ht="14.5" x14ac:dyDescent="0.35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7"/>
      <c r="AF667" s="7"/>
      <c r="AG667" s="7"/>
      <c r="AH667" s="7"/>
      <c r="AI667" s="7"/>
    </row>
    <row r="668" spans="1:35" ht="14.5" x14ac:dyDescent="0.35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7"/>
      <c r="AF668" s="7"/>
      <c r="AG668" s="7"/>
      <c r="AH668" s="7"/>
      <c r="AI668" s="7"/>
    </row>
    <row r="669" spans="1:35" ht="14.5" x14ac:dyDescent="0.35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7"/>
      <c r="AF669" s="7"/>
      <c r="AG669" s="7"/>
      <c r="AH669" s="7"/>
      <c r="AI669" s="7"/>
    </row>
    <row r="670" spans="1:35" ht="14.5" x14ac:dyDescent="0.35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7"/>
      <c r="AF670" s="7"/>
      <c r="AG670" s="7"/>
      <c r="AH670" s="7"/>
      <c r="AI670" s="7"/>
    </row>
    <row r="671" spans="1:35" ht="14.5" x14ac:dyDescent="0.35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7"/>
      <c r="AF671" s="7"/>
      <c r="AG671" s="7"/>
      <c r="AH671" s="7"/>
      <c r="AI671" s="7"/>
    </row>
    <row r="672" spans="1:35" ht="14.5" x14ac:dyDescent="0.35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7"/>
      <c r="AF672" s="7"/>
      <c r="AG672" s="7"/>
      <c r="AH672" s="7"/>
      <c r="AI672" s="7"/>
    </row>
    <row r="673" spans="1:35" ht="14.5" x14ac:dyDescent="0.35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7"/>
      <c r="AF673" s="7"/>
      <c r="AG673" s="7"/>
      <c r="AH673" s="7"/>
      <c r="AI673" s="7"/>
    </row>
    <row r="674" spans="1:35" ht="14.5" x14ac:dyDescent="0.35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7"/>
      <c r="AF674" s="7"/>
      <c r="AG674" s="7"/>
      <c r="AH674" s="7"/>
      <c r="AI674" s="7"/>
    </row>
    <row r="675" spans="1:35" ht="14.5" x14ac:dyDescent="0.3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7"/>
      <c r="AF675" s="7"/>
      <c r="AG675" s="7"/>
      <c r="AH675" s="7"/>
      <c r="AI675" s="7"/>
    </row>
    <row r="676" spans="1:35" ht="14.5" x14ac:dyDescent="0.35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7"/>
      <c r="AF676" s="7"/>
      <c r="AG676" s="7"/>
      <c r="AH676" s="7"/>
      <c r="AI676" s="7"/>
    </row>
    <row r="677" spans="1:35" ht="14.5" x14ac:dyDescent="0.35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7"/>
      <c r="AF677" s="7"/>
      <c r="AG677" s="7"/>
      <c r="AH677" s="7"/>
      <c r="AI677" s="7"/>
    </row>
    <row r="678" spans="1:35" ht="14.5" x14ac:dyDescent="0.35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7"/>
      <c r="AF678" s="7"/>
      <c r="AG678" s="7"/>
      <c r="AH678" s="7"/>
      <c r="AI678" s="7"/>
    </row>
    <row r="679" spans="1:35" ht="14.5" x14ac:dyDescent="0.35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7"/>
      <c r="AF679" s="7"/>
      <c r="AG679" s="7"/>
      <c r="AH679" s="7"/>
      <c r="AI679" s="7"/>
    </row>
    <row r="680" spans="1:35" ht="14.5" x14ac:dyDescent="0.35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7"/>
      <c r="AF680" s="7"/>
      <c r="AG680" s="7"/>
      <c r="AH680" s="7"/>
      <c r="AI680" s="7"/>
    </row>
    <row r="681" spans="1:35" ht="14.5" x14ac:dyDescent="0.35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7"/>
      <c r="AF681" s="7"/>
      <c r="AG681" s="7"/>
      <c r="AH681" s="7"/>
      <c r="AI681" s="7"/>
    </row>
    <row r="682" spans="1:35" ht="14.5" x14ac:dyDescent="0.35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7"/>
      <c r="AF682" s="7"/>
      <c r="AG682" s="7"/>
      <c r="AH682" s="7"/>
      <c r="AI682" s="7"/>
    </row>
    <row r="683" spans="1:35" ht="14.5" x14ac:dyDescent="0.35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7"/>
      <c r="AF683" s="7"/>
      <c r="AG683" s="7"/>
      <c r="AH683" s="7"/>
      <c r="AI683" s="7"/>
    </row>
    <row r="684" spans="1:35" ht="14.5" x14ac:dyDescent="0.35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7"/>
      <c r="AF684" s="7"/>
      <c r="AG684" s="7"/>
      <c r="AH684" s="7"/>
      <c r="AI684" s="7"/>
    </row>
    <row r="685" spans="1:35" ht="14.5" x14ac:dyDescent="0.3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7"/>
      <c r="AF685" s="7"/>
      <c r="AG685" s="7"/>
      <c r="AH685" s="7"/>
      <c r="AI685" s="7"/>
    </row>
    <row r="686" spans="1:35" ht="14.5" x14ac:dyDescent="0.35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7"/>
      <c r="AF686" s="7"/>
      <c r="AG686" s="7"/>
      <c r="AH686" s="7"/>
      <c r="AI686" s="7"/>
    </row>
    <row r="687" spans="1:35" ht="14.5" x14ac:dyDescent="0.35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7"/>
      <c r="AF687" s="7"/>
      <c r="AG687" s="7"/>
      <c r="AH687" s="7"/>
      <c r="AI687" s="7"/>
    </row>
    <row r="688" spans="1:35" ht="14.5" x14ac:dyDescent="0.35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7"/>
      <c r="AF688" s="7"/>
      <c r="AG688" s="7"/>
      <c r="AH688" s="7"/>
      <c r="AI688" s="7"/>
    </row>
    <row r="689" spans="1:35" ht="14.5" x14ac:dyDescent="0.35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7"/>
      <c r="AF689" s="7"/>
      <c r="AG689" s="7"/>
      <c r="AH689" s="7"/>
      <c r="AI689" s="7"/>
    </row>
    <row r="690" spans="1:35" ht="14.5" x14ac:dyDescent="0.35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7"/>
      <c r="AF690" s="7"/>
      <c r="AG690" s="7"/>
      <c r="AH690" s="7"/>
      <c r="AI690" s="7"/>
    </row>
    <row r="691" spans="1:35" ht="14.5" x14ac:dyDescent="0.35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7"/>
      <c r="AF691" s="7"/>
      <c r="AG691" s="7"/>
      <c r="AH691" s="7"/>
      <c r="AI691" s="7"/>
    </row>
    <row r="692" spans="1:35" ht="14.5" x14ac:dyDescent="0.35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7"/>
      <c r="AF692" s="7"/>
      <c r="AG692" s="7"/>
      <c r="AH692" s="7"/>
      <c r="AI692" s="7"/>
    </row>
    <row r="693" spans="1:35" ht="14.5" x14ac:dyDescent="0.35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7"/>
      <c r="AF693" s="7"/>
      <c r="AG693" s="7"/>
      <c r="AH693" s="7"/>
      <c r="AI693" s="7"/>
    </row>
    <row r="694" spans="1:35" ht="14.5" x14ac:dyDescent="0.35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7"/>
      <c r="AF694" s="7"/>
      <c r="AG694" s="7"/>
      <c r="AH694" s="7"/>
      <c r="AI694" s="7"/>
    </row>
    <row r="695" spans="1:35" ht="14.5" x14ac:dyDescent="0.3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7"/>
      <c r="AF695" s="7"/>
      <c r="AG695" s="7"/>
      <c r="AH695" s="7"/>
      <c r="AI695" s="7"/>
    </row>
    <row r="696" spans="1:35" ht="14.5" x14ac:dyDescent="0.35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7"/>
      <c r="AF696" s="7"/>
      <c r="AG696" s="7"/>
      <c r="AH696" s="7"/>
      <c r="AI696" s="7"/>
    </row>
    <row r="697" spans="1:35" ht="14.5" x14ac:dyDescent="0.35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7"/>
      <c r="AF697" s="7"/>
      <c r="AG697" s="7"/>
      <c r="AH697" s="7"/>
      <c r="AI697" s="7"/>
    </row>
    <row r="698" spans="1:35" ht="14.5" x14ac:dyDescent="0.35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7"/>
      <c r="AF698" s="7"/>
      <c r="AG698" s="7"/>
      <c r="AH698" s="7"/>
      <c r="AI698" s="7"/>
    </row>
    <row r="699" spans="1:35" ht="14.5" x14ac:dyDescent="0.35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7"/>
      <c r="AF699" s="7"/>
      <c r="AG699" s="7"/>
      <c r="AH699" s="7"/>
      <c r="AI699" s="7"/>
    </row>
    <row r="700" spans="1:35" ht="14.5" x14ac:dyDescent="0.35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7"/>
      <c r="AF700" s="7"/>
      <c r="AG700" s="7"/>
      <c r="AH700" s="7"/>
      <c r="AI700" s="7"/>
    </row>
    <row r="701" spans="1:35" ht="14.5" x14ac:dyDescent="0.35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7"/>
      <c r="AF701" s="7"/>
      <c r="AG701" s="7"/>
      <c r="AH701" s="7"/>
      <c r="AI701" s="7"/>
    </row>
    <row r="702" spans="1:35" ht="14.5" x14ac:dyDescent="0.35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7"/>
      <c r="AF702" s="7"/>
      <c r="AG702" s="7"/>
      <c r="AH702" s="7"/>
      <c r="AI702" s="7"/>
    </row>
    <row r="703" spans="1:35" ht="14.5" x14ac:dyDescent="0.3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7"/>
      <c r="AF703" s="7"/>
      <c r="AG703" s="7"/>
      <c r="AH703" s="7"/>
      <c r="AI703" s="7"/>
    </row>
    <row r="704" spans="1:35" ht="14.5" x14ac:dyDescent="0.35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7"/>
      <c r="AF704" s="7"/>
      <c r="AG704" s="7"/>
      <c r="AH704" s="7"/>
      <c r="AI704" s="7"/>
    </row>
    <row r="705" spans="1:35" ht="14.5" x14ac:dyDescent="0.3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7"/>
      <c r="AF705" s="7"/>
      <c r="AG705" s="7"/>
      <c r="AH705" s="7"/>
      <c r="AI705" s="7"/>
    </row>
    <row r="706" spans="1:35" ht="14.5" x14ac:dyDescent="0.35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7"/>
      <c r="AF706" s="7"/>
      <c r="AG706" s="7"/>
      <c r="AH706" s="7"/>
      <c r="AI706" s="7"/>
    </row>
    <row r="707" spans="1:35" ht="14.5" x14ac:dyDescent="0.35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7"/>
      <c r="AF707" s="7"/>
      <c r="AG707" s="7"/>
      <c r="AH707" s="7"/>
      <c r="AI707" s="7"/>
    </row>
    <row r="708" spans="1:35" ht="14.5" x14ac:dyDescent="0.35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7"/>
      <c r="AF708" s="7"/>
      <c r="AG708" s="7"/>
      <c r="AH708" s="7"/>
      <c r="AI708" s="7"/>
    </row>
    <row r="709" spans="1:35" ht="14.5" x14ac:dyDescent="0.35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7"/>
      <c r="AF709" s="7"/>
      <c r="AG709" s="7"/>
      <c r="AH709" s="7"/>
      <c r="AI709" s="7"/>
    </row>
    <row r="710" spans="1:35" ht="14.5" x14ac:dyDescent="0.35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7"/>
      <c r="AF710" s="7"/>
      <c r="AG710" s="7"/>
      <c r="AH710" s="7"/>
      <c r="AI710" s="7"/>
    </row>
    <row r="711" spans="1:35" ht="14.5" x14ac:dyDescent="0.35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7"/>
      <c r="AF711" s="7"/>
      <c r="AG711" s="7"/>
      <c r="AH711" s="7"/>
      <c r="AI711" s="7"/>
    </row>
    <row r="712" spans="1:35" ht="14.5" x14ac:dyDescent="0.35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7"/>
      <c r="AF712" s="7"/>
      <c r="AG712" s="7"/>
      <c r="AH712" s="7"/>
      <c r="AI712" s="7"/>
    </row>
    <row r="713" spans="1:35" ht="14.5" x14ac:dyDescent="0.35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7"/>
      <c r="AF713" s="7"/>
      <c r="AG713" s="7"/>
      <c r="AH713" s="7"/>
      <c r="AI713" s="7"/>
    </row>
    <row r="714" spans="1:35" ht="14.5" x14ac:dyDescent="0.35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7"/>
      <c r="AF714" s="7"/>
      <c r="AG714" s="7"/>
      <c r="AH714" s="7"/>
      <c r="AI714" s="7"/>
    </row>
    <row r="715" spans="1:35" ht="14.5" x14ac:dyDescent="0.3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7"/>
      <c r="AF715" s="7"/>
      <c r="AG715" s="7"/>
      <c r="AH715" s="7"/>
      <c r="AI715" s="7"/>
    </row>
    <row r="716" spans="1:35" ht="14.5" x14ac:dyDescent="0.35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7"/>
      <c r="AF716" s="7"/>
      <c r="AG716" s="7"/>
      <c r="AH716" s="7"/>
      <c r="AI716" s="7"/>
    </row>
    <row r="717" spans="1:35" ht="14.5" x14ac:dyDescent="0.35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7"/>
      <c r="AF717" s="7"/>
      <c r="AG717" s="7"/>
      <c r="AH717" s="7"/>
      <c r="AI717" s="7"/>
    </row>
    <row r="718" spans="1:35" ht="14.5" x14ac:dyDescent="0.35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7"/>
      <c r="AF718" s="7"/>
      <c r="AG718" s="7"/>
      <c r="AH718" s="7"/>
      <c r="AI718" s="7"/>
    </row>
    <row r="719" spans="1:35" ht="14.5" x14ac:dyDescent="0.35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7"/>
      <c r="AF719" s="7"/>
      <c r="AG719" s="7"/>
      <c r="AH719" s="7"/>
      <c r="AI719" s="7"/>
    </row>
    <row r="720" spans="1:35" ht="14.5" x14ac:dyDescent="0.35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7"/>
      <c r="AF720" s="7"/>
      <c r="AG720" s="7"/>
      <c r="AH720" s="7"/>
      <c r="AI720" s="7"/>
    </row>
    <row r="721" spans="1:35" ht="14.5" x14ac:dyDescent="0.35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7"/>
      <c r="AF721" s="7"/>
      <c r="AG721" s="7"/>
      <c r="AH721" s="7"/>
      <c r="AI721" s="7"/>
    </row>
    <row r="722" spans="1:35" ht="14.5" x14ac:dyDescent="0.35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7"/>
      <c r="AF722" s="7"/>
      <c r="AG722" s="7"/>
      <c r="AH722" s="7"/>
      <c r="AI722" s="7"/>
    </row>
    <row r="723" spans="1:35" ht="14.5" x14ac:dyDescent="0.35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7"/>
      <c r="AF723" s="7"/>
      <c r="AG723" s="7"/>
      <c r="AH723" s="7"/>
      <c r="AI723" s="7"/>
    </row>
    <row r="724" spans="1:35" ht="14.5" x14ac:dyDescent="0.35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7"/>
      <c r="AF724" s="7"/>
      <c r="AG724" s="7"/>
      <c r="AH724" s="7"/>
      <c r="AI724" s="7"/>
    </row>
    <row r="725" spans="1:35" ht="14.5" x14ac:dyDescent="0.3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7"/>
      <c r="AF725" s="7"/>
      <c r="AG725" s="7"/>
      <c r="AH725" s="7"/>
      <c r="AI725" s="7"/>
    </row>
    <row r="726" spans="1:35" ht="14.5" x14ac:dyDescent="0.35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7"/>
      <c r="AF726" s="7"/>
      <c r="AG726" s="7"/>
      <c r="AH726" s="7"/>
      <c r="AI726" s="7"/>
    </row>
    <row r="727" spans="1:35" ht="14.5" x14ac:dyDescent="0.35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7"/>
      <c r="AF727" s="7"/>
      <c r="AG727" s="7"/>
      <c r="AH727" s="7"/>
      <c r="AI727" s="7"/>
    </row>
    <row r="728" spans="1:35" ht="14.5" x14ac:dyDescent="0.35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7"/>
      <c r="AF728" s="7"/>
      <c r="AG728" s="7"/>
      <c r="AH728" s="7"/>
      <c r="AI728" s="7"/>
    </row>
    <row r="729" spans="1:35" ht="14.5" x14ac:dyDescent="0.35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7"/>
      <c r="AF729" s="7"/>
      <c r="AG729" s="7"/>
      <c r="AH729" s="7"/>
      <c r="AI729" s="7"/>
    </row>
    <row r="730" spans="1:35" ht="14.5" x14ac:dyDescent="0.35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7"/>
      <c r="AF730" s="7"/>
      <c r="AG730" s="7"/>
      <c r="AH730" s="7"/>
      <c r="AI730" s="7"/>
    </row>
    <row r="731" spans="1:35" ht="14.5" x14ac:dyDescent="0.35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7"/>
      <c r="AF731" s="7"/>
      <c r="AG731" s="7"/>
      <c r="AH731" s="7"/>
      <c r="AI731" s="7"/>
    </row>
    <row r="732" spans="1:35" ht="14.5" x14ac:dyDescent="0.35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7"/>
      <c r="AF732" s="7"/>
      <c r="AG732" s="7"/>
      <c r="AH732" s="7"/>
      <c r="AI732" s="7"/>
    </row>
    <row r="733" spans="1:35" ht="14.5" x14ac:dyDescent="0.35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7"/>
      <c r="AF733" s="7"/>
      <c r="AG733" s="7"/>
      <c r="AH733" s="7"/>
      <c r="AI733" s="7"/>
    </row>
    <row r="734" spans="1:35" ht="14.5" x14ac:dyDescent="0.35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7"/>
      <c r="AF734" s="7"/>
      <c r="AG734" s="7"/>
      <c r="AH734" s="7"/>
      <c r="AI734" s="7"/>
    </row>
    <row r="735" spans="1:35" ht="14.5" x14ac:dyDescent="0.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7"/>
      <c r="AF735" s="7"/>
      <c r="AG735" s="7"/>
      <c r="AH735" s="7"/>
      <c r="AI735" s="7"/>
    </row>
    <row r="736" spans="1:35" ht="14.5" x14ac:dyDescent="0.35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7"/>
      <c r="AF736" s="7"/>
      <c r="AG736" s="7"/>
      <c r="AH736" s="7"/>
      <c r="AI736" s="7"/>
    </row>
    <row r="737" spans="1:35" ht="14.5" x14ac:dyDescent="0.35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7"/>
      <c r="AF737" s="7"/>
      <c r="AG737" s="7"/>
      <c r="AH737" s="7"/>
      <c r="AI737" s="7"/>
    </row>
    <row r="738" spans="1:35" ht="14.5" x14ac:dyDescent="0.35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7"/>
      <c r="AF738" s="7"/>
      <c r="AG738" s="7"/>
      <c r="AH738" s="7"/>
      <c r="AI738" s="7"/>
    </row>
    <row r="739" spans="1:35" ht="14.5" x14ac:dyDescent="0.35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7"/>
      <c r="AF739" s="7"/>
      <c r="AG739" s="7"/>
      <c r="AH739" s="7"/>
      <c r="AI739" s="7"/>
    </row>
    <row r="740" spans="1:35" ht="14.5" x14ac:dyDescent="0.35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7"/>
      <c r="AF740" s="7"/>
      <c r="AG740" s="7"/>
      <c r="AH740" s="7"/>
      <c r="AI740" s="7"/>
    </row>
    <row r="741" spans="1:35" ht="14.5" x14ac:dyDescent="0.35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7"/>
      <c r="AF741" s="7"/>
      <c r="AG741" s="7"/>
      <c r="AH741" s="7"/>
      <c r="AI741" s="7"/>
    </row>
    <row r="742" spans="1:35" ht="14.5" x14ac:dyDescent="0.35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7"/>
      <c r="AF742" s="7"/>
      <c r="AG742" s="7"/>
      <c r="AH742" s="7"/>
      <c r="AI742" s="7"/>
    </row>
    <row r="743" spans="1:35" ht="14.5" x14ac:dyDescent="0.35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7"/>
      <c r="AF743" s="7"/>
      <c r="AG743" s="7"/>
      <c r="AH743" s="7"/>
      <c r="AI743" s="7"/>
    </row>
    <row r="744" spans="1:35" ht="14.5" x14ac:dyDescent="0.35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7"/>
      <c r="AF744" s="7"/>
      <c r="AG744" s="7"/>
      <c r="AH744" s="7"/>
      <c r="AI744" s="7"/>
    </row>
    <row r="745" spans="1:35" ht="14.5" x14ac:dyDescent="0.3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7"/>
      <c r="AF745" s="7"/>
      <c r="AG745" s="7"/>
      <c r="AH745" s="7"/>
      <c r="AI745" s="7"/>
    </row>
    <row r="746" spans="1:35" ht="14.5" x14ac:dyDescent="0.35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7"/>
      <c r="AF746" s="7"/>
      <c r="AG746" s="7"/>
      <c r="AH746" s="7"/>
      <c r="AI746" s="7"/>
    </row>
    <row r="747" spans="1:35" ht="14.5" x14ac:dyDescent="0.35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7"/>
      <c r="AF747" s="7"/>
      <c r="AG747" s="7"/>
      <c r="AH747" s="7"/>
      <c r="AI747" s="7"/>
    </row>
    <row r="748" spans="1:35" ht="14.5" x14ac:dyDescent="0.35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7"/>
      <c r="AF748" s="7"/>
      <c r="AG748" s="7"/>
      <c r="AH748" s="7"/>
      <c r="AI748" s="7"/>
    </row>
    <row r="749" spans="1:35" ht="14.5" x14ac:dyDescent="0.35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7"/>
      <c r="AF749" s="7"/>
      <c r="AG749" s="7"/>
      <c r="AH749" s="7"/>
      <c r="AI749" s="7"/>
    </row>
    <row r="750" spans="1:35" ht="14.5" x14ac:dyDescent="0.35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7"/>
      <c r="AF750" s="7"/>
      <c r="AG750" s="7"/>
      <c r="AH750" s="7"/>
      <c r="AI750" s="7"/>
    </row>
    <row r="751" spans="1:35" ht="14.5" x14ac:dyDescent="0.35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7"/>
      <c r="AF751" s="7"/>
      <c r="AG751" s="7"/>
      <c r="AH751" s="7"/>
      <c r="AI751" s="7"/>
    </row>
    <row r="752" spans="1:35" ht="14.5" x14ac:dyDescent="0.35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7"/>
      <c r="AF752" s="7"/>
      <c r="AG752" s="7"/>
      <c r="AH752" s="7"/>
      <c r="AI752" s="7"/>
    </row>
    <row r="753" spans="1:35" ht="14.5" x14ac:dyDescent="0.35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7"/>
      <c r="AF753" s="7"/>
      <c r="AG753" s="7"/>
      <c r="AH753" s="7"/>
      <c r="AI753" s="7"/>
    </row>
    <row r="754" spans="1:35" ht="14.5" x14ac:dyDescent="0.35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7"/>
      <c r="AF754" s="7"/>
      <c r="AG754" s="7"/>
      <c r="AH754" s="7"/>
      <c r="AI754" s="7"/>
    </row>
    <row r="755" spans="1:35" ht="14.5" x14ac:dyDescent="0.3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7"/>
      <c r="AF755" s="7"/>
      <c r="AG755" s="7"/>
      <c r="AH755" s="7"/>
      <c r="AI755" s="7"/>
    </row>
    <row r="756" spans="1:35" ht="14.5" x14ac:dyDescent="0.35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7"/>
      <c r="AF756" s="7"/>
      <c r="AG756" s="7"/>
      <c r="AH756" s="7"/>
      <c r="AI756" s="7"/>
    </row>
    <row r="757" spans="1:35" ht="14.5" x14ac:dyDescent="0.35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7"/>
      <c r="AF757" s="7"/>
      <c r="AG757" s="7"/>
      <c r="AH757" s="7"/>
      <c r="AI757" s="7"/>
    </row>
    <row r="758" spans="1:35" ht="14.5" x14ac:dyDescent="0.35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7"/>
      <c r="AF758" s="7"/>
      <c r="AG758" s="7"/>
      <c r="AH758" s="7"/>
      <c r="AI758" s="7"/>
    </row>
    <row r="759" spans="1:35" ht="14.5" x14ac:dyDescent="0.35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7"/>
      <c r="AF759" s="7"/>
      <c r="AG759" s="7"/>
      <c r="AH759" s="7"/>
      <c r="AI759" s="7"/>
    </row>
    <row r="760" spans="1:35" ht="14.5" x14ac:dyDescent="0.35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7"/>
      <c r="AF760" s="7"/>
      <c r="AG760" s="7"/>
      <c r="AH760" s="7"/>
      <c r="AI760" s="7"/>
    </row>
    <row r="761" spans="1:35" ht="14.5" x14ac:dyDescent="0.35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7"/>
      <c r="AF761" s="7"/>
      <c r="AG761" s="7"/>
      <c r="AH761" s="7"/>
      <c r="AI761" s="7"/>
    </row>
    <row r="762" spans="1:35" ht="14.5" x14ac:dyDescent="0.35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7"/>
      <c r="AF762" s="7"/>
      <c r="AG762" s="7"/>
      <c r="AH762" s="7"/>
      <c r="AI762" s="7"/>
    </row>
    <row r="763" spans="1:35" ht="14.5" x14ac:dyDescent="0.35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7"/>
      <c r="AF763" s="7"/>
      <c r="AG763" s="7"/>
      <c r="AH763" s="7"/>
      <c r="AI763" s="7"/>
    </row>
    <row r="764" spans="1:35" ht="14.5" x14ac:dyDescent="0.35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7"/>
      <c r="AF764" s="7"/>
      <c r="AG764" s="7"/>
      <c r="AH764" s="7"/>
      <c r="AI764" s="7"/>
    </row>
    <row r="765" spans="1:35" ht="14.5" x14ac:dyDescent="0.3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7"/>
      <c r="AF765" s="7"/>
      <c r="AG765" s="7"/>
      <c r="AH765" s="7"/>
      <c r="AI765" s="7"/>
    </row>
    <row r="766" spans="1:35" ht="14.5" x14ac:dyDescent="0.35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7"/>
      <c r="AF766" s="7"/>
      <c r="AG766" s="7"/>
      <c r="AH766" s="7"/>
      <c r="AI766" s="7"/>
    </row>
    <row r="767" spans="1:35" ht="14.5" x14ac:dyDescent="0.35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7"/>
      <c r="AF767" s="7"/>
      <c r="AG767" s="7"/>
      <c r="AH767" s="7"/>
      <c r="AI767" s="7"/>
    </row>
    <row r="768" spans="1:35" ht="14.5" x14ac:dyDescent="0.35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7"/>
      <c r="AF768" s="7"/>
      <c r="AG768" s="7"/>
      <c r="AH768" s="7"/>
      <c r="AI768" s="7"/>
    </row>
    <row r="769" spans="1:35" ht="14.5" x14ac:dyDescent="0.35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7"/>
      <c r="AF769" s="7"/>
      <c r="AG769" s="7"/>
      <c r="AH769" s="7"/>
      <c r="AI769" s="7"/>
    </row>
    <row r="770" spans="1:35" ht="14.5" x14ac:dyDescent="0.35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7"/>
      <c r="AF770" s="7"/>
      <c r="AG770" s="7"/>
      <c r="AH770" s="7"/>
      <c r="AI770" s="7"/>
    </row>
    <row r="771" spans="1:35" ht="14.5" x14ac:dyDescent="0.35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7"/>
      <c r="AF771" s="7"/>
      <c r="AG771" s="7"/>
      <c r="AH771" s="7"/>
      <c r="AI771" s="7"/>
    </row>
    <row r="772" spans="1:35" ht="14.5" x14ac:dyDescent="0.35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7"/>
      <c r="AF772" s="7"/>
      <c r="AG772" s="7"/>
      <c r="AH772" s="7"/>
      <c r="AI772" s="7"/>
    </row>
    <row r="773" spans="1:35" ht="14.5" x14ac:dyDescent="0.35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7"/>
      <c r="AF773" s="7"/>
      <c r="AG773" s="7"/>
      <c r="AH773" s="7"/>
      <c r="AI773" s="7"/>
    </row>
    <row r="774" spans="1:35" ht="14.5" x14ac:dyDescent="0.35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7"/>
      <c r="AF774" s="7"/>
      <c r="AG774" s="7"/>
      <c r="AH774" s="7"/>
      <c r="AI774" s="7"/>
    </row>
    <row r="775" spans="1:35" ht="14.5" x14ac:dyDescent="0.3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7"/>
      <c r="AF775" s="7"/>
      <c r="AG775" s="7"/>
      <c r="AH775" s="7"/>
      <c r="AI775" s="7"/>
    </row>
    <row r="776" spans="1:35" ht="14.5" x14ac:dyDescent="0.35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7"/>
      <c r="AF776" s="7"/>
      <c r="AG776" s="7"/>
      <c r="AH776" s="7"/>
      <c r="AI776" s="7"/>
    </row>
    <row r="777" spans="1:35" ht="14.5" x14ac:dyDescent="0.35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7"/>
      <c r="AF777" s="7"/>
      <c r="AG777" s="7"/>
      <c r="AH777" s="7"/>
      <c r="AI777" s="7"/>
    </row>
    <row r="778" spans="1:35" ht="14.5" x14ac:dyDescent="0.35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7"/>
      <c r="AF778" s="7"/>
      <c r="AG778" s="7"/>
      <c r="AH778" s="7"/>
      <c r="AI778" s="7"/>
    </row>
    <row r="779" spans="1:35" ht="14.5" x14ac:dyDescent="0.35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7"/>
      <c r="AF779" s="7"/>
      <c r="AG779" s="7"/>
      <c r="AH779" s="7"/>
      <c r="AI779" s="7"/>
    </row>
    <row r="780" spans="1:35" ht="14.5" x14ac:dyDescent="0.35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7"/>
      <c r="AF780" s="7"/>
      <c r="AG780" s="7"/>
      <c r="AH780" s="7"/>
      <c r="AI780" s="7"/>
    </row>
    <row r="781" spans="1:35" ht="14.5" x14ac:dyDescent="0.35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7"/>
      <c r="AF781" s="7"/>
      <c r="AG781" s="7"/>
      <c r="AH781" s="7"/>
      <c r="AI781" s="7"/>
    </row>
    <row r="782" spans="1:35" ht="14.5" x14ac:dyDescent="0.35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7"/>
      <c r="AF782" s="7"/>
      <c r="AG782" s="7"/>
      <c r="AH782" s="7"/>
      <c r="AI782" s="7"/>
    </row>
    <row r="783" spans="1:35" ht="14.5" x14ac:dyDescent="0.35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7"/>
      <c r="AF783" s="7"/>
      <c r="AG783" s="7"/>
      <c r="AH783" s="7"/>
      <c r="AI783" s="7"/>
    </row>
    <row r="784" spans="1:35" ht="14.5" x14ac:dyDescent="0.35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7"/>
      <c r="AF784" s="7"/>
      <c r="AG784" s="7"/>
      <c r="AH784" s="7"/>
      <c r="AI784" s="7"/>
    </row>
    <row r="785" spans="1:35" ht="14.5" x14ac:dyDescent="0.3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7"/>
      <c r="AF785" s="7"/>
      <c r="AG785" s="7"/>
      <c r="AH785" s="7"/>
      <c r="AI785" s="7"/>
    </row>
    <row r="786" spans="1:35" ht="14.5" x14ac:dyDescent="0.35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7"/>
      <c r="AF786" s="7"/>
      <c r="AG786" s="7"/>
      <c r="AH786" s="7"/>
      <c r="AI786" s="7"/>
    </row>
    <row r="787" spans="1:35" ht="14.5" x14ac:dyDescent="0.35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7"/>
      <c r="AF787" s="7"/>
      <c r="AG787" s="7"/>
      <c r="AH787" s="7"/>
      <c r="AI787" s="7"/>
    </row>
    <row r="788" spans="1:35" ht="14.5" x14ac:dyDescent="0.35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7"/>
      <c r="AF788" s="7"/>
      <c r="AG788" s="7"/>
      <c r="AH788" s="7"/>
      <c r="AI788" s="7"/>
    </row>
    <row r="789" spans="1:35" ht="14.5" x14ac:dyDescent="0.35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7"/>
      <c r="AF789" s="7"/>
      <c r="AG789" s="7"/>
      <c r="AH789" s="7"/>
      <c r="AI789" s="7"/>
    </row>
    <row r="790" spans="1:35" ht="14.5" x14ac:dyDescent="0.35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7"/>
      <c r="AF790" s="7"/>
      <c r="AG790" s="7"/>
      <c r="AH790" s="7"/>
      <c r="AI790" s="7"/>
    </row>
    <row r="791" spans="1:35" ht="14.5" x14ac:dyDescent="0.35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7"/>
      <c r="AF791" s="7"/>
      <c r="AG791" s="7"/>
      <c r="AH791" s="7"/>
      <c r="AI791" s="7"/>
    </row>
    <row r="792" spans="1:35" ht="14.5" x14ac:dyDescent="0.35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7"/>
      <c r="AF792" s="7"/>
      <c r="AG792" s="7"/>
      <c r="AH792" s="7"/>
      <c r="AI792" s="7"/>
    </row>
    <row r="793" spans="1:35" ht="14.5" x14ac:dyDescent="0.35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7"/>
      <c r="AF793" s="7"/>
      <c r="AG793" s="7"/>
      <c r="AH793" s="7"/>
      <c r="AI793" s="7"/>
    </row>
    <row r="794" spans="1:35" ht="14.5" x14ac:dyDescent="0.35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7"/>
      <c r="AF794" s="7"/>
      <c r="AG794" s="7"/>
      <c r="AH794" s="7"/>
      <c r="AI794" s="7"/>
    </row>
    <row r="795" spans="1:35" ht="14.5" x14ac:dyDescent="0.3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7"/>
      <c r="AF795" s="7"/>
      <c r="AG795" s="7"/>
      <c r="AH795" s="7"/>
      <c r="AI795" s="7"/>
    </row>
    <row r="796" spans="1:35" ht="14.5" x14ac:dyDescent="0.35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7"/>
      <c r="AF796" s="7"/>
      <c r="AG796" s="7"/>
      <c r="AH796" s="7"/>
      <c r="AI796" s="7"/>
    </row>
    <row r="797" spans="1:35" ht="14.5" x14ac:dyDescent="0.35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7"/>
      <c r="AF797" s="7"/>
      <c r="AG797" s="7"/>
      <c r="AH797" s="7"/>
      <c r="AI797" s="7"/>
    </row>
    <row r="798" spans="1:35" ht="14.5" x14ac:dyDescent="0.35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7"/>
      <c r="AF798" s="7"/>
      <c r="AG798" s="7"/>
      <c r="AH798" s="7"/>
      <c r="AI798" s="7"/>
    </row>
    <row r="799" spans="1:35" ht="14.5" x14ac:dyDescent="0.35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7"/>
      <c r="AF799" s="7"/>
      <c r="AG799" s="7"/>
      <c r="AH799" s="7"/>
      <c r="AI799" s="7"/>
    </row>
    <row r="800" spans="1:35" ht="14.5" x14ac:dyDescent="0.3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7"/>
      <c r="AF800" s="7"/>
      <c r="AG800" s="7"/>
      <c r="AH800" s="7"/>
      <c r="AI800" s="7"/>
    </row>
    <row r="801" spans="1:35" ht="14.5" x14ac:dyDescent="0.35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7"/>
      <c r="AF801" s="7"/>
      <c r="AG801" s="7"/>
      <c r="AH801" s="7"/>
      <c r="AI801" s="7"/>
    </row>
    <row r="802" spans="1:35" ht="14.5" x14ac:dyDescent="0.35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7"/>
      <c r="AF802" s="7"/>
      <c r="AG802" s="7"/>
      <c r="AH802" s="7"/>
      <c r="AI802" s="7"/>
    </row>
    <row r="803" spans="1:35" ht="14.5" x14ac:dyDescent="0.35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7"/>
      <c r="AF803" s="7"/>
      <c r="AG803" s="7"/>
      <c r="AH803" s="7"/>
      <c r="AI803" s="7"/>
    </row>
    <row r="804" spans="1:35" ht="14.5" x14ac:dyDescent="0.35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7"/>
      <c r="AF804" s="7"/>
      <c r="AG804" s="7"/>
      <c r="AH804" s="7"/>
      <c r="AI804" s="7"/>
    </row>
    <row r="805" spans="1:35" ht="14.5" x14ac:dyDescent="0.3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7"/>
      <c r="AF805" s="7"/>
      <c r="AG805" s="7"/>
      <c r="AH805" s="7"/>
      <c r="AI805" s="7"/>
    </row>
    <row r="806" spans="1:35" ht="14.5" x14ac:dyDescent="0.35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7"/>
      <c r="AF806" s="7"/>
      <c r="AG806" s="7"/>
      <c r="AH806" s="7"/>
      <c r="AI806" s="7"/>
    </row>
    <row r="807" spans="1:35" ht="14.5" x14ac:dyDescent="0.3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7"/>
      <c r="AF807" s="7"/>
      <c r="AG807" s="7"/>
      <c r="AH807" s="7"/>
      <c r="AI807" s="7"/>
    </row>
    <row r="808" spans="1:35" ht="14.5" x14ac:dyDescent="0.35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7"/>
      <c r="AF808" s="7"/>
      <c r="AG808" s="7"/>
      <c r="AH808" s="7"/>
      <c r="AI808" s="7"/>
    </row>
    <row r="809" spans="1:35" ht="14.5" x14ac:dyDescent="0.35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7"/>
      <c r="AF809" s="7"/>
      <c r="AG809" s="7"/>
      <c r="AH809" s="7"/>
      <c r="AI809" s="7"/>
    </row>
    <row r="810" spans="1:35" ht="14.5" x14ac:dyDescent="0.35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7"/>
      <c r="AF810" s="7"/>
      <c r="AG810" s="7"/>
      <c r="AH810" s="7"/>
      <c r="AI810" s="7"/>
    </row>
    <row r="811" spans="1:35" ht="14.5" x14ac:dyDescent="0.3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7"/>
      <c r="AF811" s="7"/>
      <c r="AG811" s="7"/>
      <c r="AH811" s="7"/>
      <c r="AI811" s="7"/>
    </row>
    <row r="812" spans="1:35" ht="14.5" x14ac:dyDescent="0.35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7"/>
      <c r="AF812" s="7"/>
      <c r="AG812" s="7"/>
      <c r="AH812" s="7"/>
      <c r="AI812" s="7"/>
    </row>
    <row r="813" spans="1:35" ht="14.5" x14ac:dyDescent="0.35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7"/>
      <c r="AF813" s="7"/>
      <c r="AG813" s="7"/>
      <c r="AH813" s="7"/>
      <c r="AI813" s="7"/>
    </row>
    <row r="814" spans="1:35" ht="14.5" x14ac:dyDescent="0.35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7"/>
      <c r="AF814" s="7"/>
      <c r="AG814" s="7"/>
      <c r="AH814" s="7"/>
      <c r="AI814" s="7"/>
    </row>
    <row r="815" spans="1:35" ht="14.5" x14ac:dyDescent="0.3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7"/>
      <c r="AF815" s="7"/>
      <c r="AG815" s="7"/>
      <c r="AH815" s="7"/>
      <c r="AI815" s="7"/>
    </row>
    <row r="816" spans="1:35" ht="14.5" x14ac:dyDescent="0.35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7"/>
      <c r="AF816" s="7"/>
      <c r="AG816" s="7"/>
      <c r="AH816" s="7"/>
      <c r="AI816" s="7"/>
    </row>
    <row r="817" spans="1:35" ht="14.5" x14ac:dyDescent="0.35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7"/>
      <c r="AF817" s="7"/>
      <c r="AG817" s="7"/>
      <c r="AH817" s="7"/>
      <c r="AI817" s="7"/>
    </row>
    <row r="818" spans="1:35" ht="14.5" x14ac:dyDescent="0.35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7"/>
      <c r="AF818" s="7"/>
      <c r="AG818" s="7"/>
      <c r="AH818" s="7"/>
      <c r="AI818" s="7"/>
    </row>
    <row r="819" spans="1:35" ht="14.5" x14ac:dyDescent="0.35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7"/>
      <c r="AF819" s="7"/>
      <c r="AG819" s="7"/>
      <c r="AH819" s="7"/>
      <c r="AI819" s="7"/>
    </row>
    <row r="820" spans="1:35" ht="14.5" x14ac:dyDescent="0.35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7"/>
      <c r="AF820" s="7"/>
      <c r="AG820" s="7"/>
      <c r="AH820" s="7"/>
      <c r="AI820" s="7"/>
    </row>
    <row r="821" spans="1:35" ht="14.5" x14ac:dyDescent="0.35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7"/>
      <c r="AF821" s="7"/>
      <c r="AG821" s="7"/>
      <c r="AH821" s="7"/>
      <c r="AI821" s="7"/>
    </row>
    <row r="822" spans="1:35" ht="14.5" x14ac:dyDescent="0.35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7"/>
      <c r="AF822" s="7"/>
      <c r="AG822" s="7"/>
      <c r="AH822" s="7"/>
      <c r="AI822" s="7"/>
    </row>
    <row r="823" spans="1:35" ht="14.5" x14ac:dyDescent="0.35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7"/>
      <c r="AF823" s="7"/>
      <c r="AG823" s="7"/>
      <c r="AH823" s="7"/>
      <c r="AI823" s="7"/>
    </row>
    <row r="824" spans="1:35" ht="14.5" x14ac:dyDescent="0.35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7"/>
      <c r="AF824" s="7"/>
      <c r="AG824" s="7"/>
      <c r="AH824" s="7"/>
      <c r="AI824" s="7"/>
    </row>
    <row r="825" spans="1:35" ht="14.5" x14ac:dyDescent="0.3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7"/>
      <c r="AF825" s="7"/>
      <c r="AG825" s="7"/>
      <c r="AH825" s="7"/>
      <c r="AI825" s="7"/>
    </row>
    <row r="826" spans="1:35" ht="14.5" x14ac:dyDescent="0.35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7"/>
      <c r="AF826" s="7"/>
      <c r="AG826" s="7"/>
      <c r="AH826" s="7"/>
      <c r="AI826" s="7"/>
    </row>
    <row r="827" spans="1:35" ht="14.5" x14ac:dyDescent="0.35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7"/>
      <c r="AF827" s="7"/>
      <c r="AG827" s="7"/>
      <c r="AH827" s="7"/>
      <c r="AI827" s="7"/>
    </row>
    <row r="828" spans="1:35" ht="14.5" x14ac:dyDescent="0.35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7"/>
      <c r="AF828" s="7"/>
      <c r="AG828" s="7"/>
      <c r="AH828" s="7"/>
      <c r="AI828" s="7"/>
    </row>
    <row r="829" spans="1:35" ht="14.5" x14ac:dyDescent="0.35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7"/>
      <c r="AF829" s="7"/>
      <c r="AG829" s="7"/>
      <c r="AH829" s="7"/>
      <c r="AI829" s="7"/>
    </row>
    <row r="830" spans="1:35" ht="14.5" x14ac:dyDescent="0.35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7"/>
      <c r="AF830" s="7"/>
      <c r="AG830" s="7"/>
      <c r="AH830" s="7"/>
      <c r="AI830" s="7"/>
    </row>
    <row r="831" spans="1:35" ht="14.5" x14ac:dyDescent="0.35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7"/>
      <c r="AF831" s="7"/>
      <c r="AG831" s="7"/>
      <c r="AH831" s="7"/>
      <c r="AI831" s="7"/>
    </row>
    <row r="832" spans="1:35" ht="14.5" x14ac:dyDescent="0.35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7"/>
      <c r="AF832" s="7"/>
      <c r="AG832" s="7"/>
      <c r="AH832" s="7"/>
      <c r="AI832" s="7"/>
    </row>
    <row r="833" spans="1:35" ht="14.5" x14ac:dyDescent="0.35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7"/>
      <c r="AF833" s="7"/>
      <c r="AG833" s="7"/>
      <c r="AH833" s="7"/>
      <c r="AI833" s="7"/>
    </row>
    <row r="834" spans="1:35" ht="14.5" x14ac:dyDescent="0.35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7"/>
      <c r="AF834" s="7"/>
      <c r="AG834" s="7"/>
      <c r="AH834" s="7"/>
      <c r="AI834" s="7"/>
    </row>
    <row r="835" spans="1:35" ht="14.5" x14ac:dyDescent="0.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7"/>
      <c r="AF835" s="7"/>
      <c r="AG835" s="7"/>
      <c r="AH835" s="7"/>
      <c r="AI835" s="7"/>
    </row>
    <row r="836" spans="1:35" ht="14.5" x14ac:dyDescent="0.35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7"/>
      <c r="AF836" s="7"/>
      <c r="AG836" s="7"/>
      <c r="AH836" s="7"/>
      <c r="AI836" s="7"/>
    </row>
    <row r="837" spans="1:35" ht="14.5" x14ac:dyDescent="0.35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7"/>
      <c r="AF837" s="7"/>
      <c r="AG837" s="7"/>
      <c r="AH837" s="7"/>
      <c r="AI837" s="7"/>
    </row>
    <row r="838" spans="1:35" ht="14.5" x14ac:dyDescent="0.35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7"/>
      <c r="AF838" s="7"/>
      <c r="AG838" s="7"/>
      <c r="AH838" s="7"/>
      <c r="AI838" s="7"/>
    </row>
    <row r="839" spans="1:35" ht="14.5" x14ac:dyDescent="0.35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7"/>
      <c r="AF839" s="7"/>
      <c r="AG839" s="7"/>
      <c r="AH839" s="7"/>
      <c r="AI839" s="7"/>
    </row>
    <row r="840" spans="1:35" ht="14.5" x14ac:dyDescent="0.35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7"/>
      <c r="AF840" s="7"/>
      <c r="AG840" s="7"/>
      <c r="AH840" s="7"/>
      <c r="AI840" s="7"/>
    </row>
    <row r="841" spans="1:35" ht="14.5" x14ac:dyDescent="0.35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7"/>
      <c r="AF841" s="7"/>
      <c r="AG841" s="7"/>
      <c r="AH841" s="7"/>
      <c r="AI841" s="7"/>
    </row>
    <row r="842" spans="1:35" ht="14.5" x14ac:dyDescent="0.35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7"/>
      <c r="AF842" s="7"/>
      <c r="AG842" s="7"/>
      <c r="AH842" s="7"/>
      <c r="AI842" s="7"/>
    </row>
    <row r="843" spans="1:35" ht="14.5" x14ac:dyDescent="0.35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7"/>
      <c r="AF843" s="7"/>
      <c r="AG843" s="7"/>
      <c r="AH843" s="7"/>
      <c r="AI843" s="7"/>
    </row>
    <row r="844" spans="1:35" ht="14.5" x14ac:dyDescent="0.35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7"/>
      <c r="AF844" s="7"/>
      <c r="AG844" s="7"/>
      <c r="AH844" s="7"/>
      <c r="AI844" s="7"/>
    </row>
    <row r="845" spans="1:35" ht="14.5" x14ac:dyDescent="0.3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7"/>
      <c r="AF845" s="7"/>
      <c r="AG845" s="7"/>
      <c r="AH845" s="7"/>
      <c r="AI845" s="7"/>
    </row>
    <row r="846" spans="1:35" ht="14.5" x14ac:dyDescent="0.35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7"/>
      <c r="AF846" s="7"/>
      <c r="AG846" s="7"/>
      <c r="AH846" s="7"/>
      <c r="AI846" s="7"/>
    </row>
    <row r="847" spans="1:35" ht="14.5" x14ac:dyDescent="0.35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7"/>
      <c r="AF847" s="7"/>
      <c r="AG847" s="7"/>
      <c r="AH847" s="7"/>
      <c r="AI847" s="7"/>
    </row>
    <row r="848" spans="1:35" ht="14.5" x14ac:dyDescent="0.35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7"/>
      <c r="AF848" s="7"/>
      <c r="AG848" s="7"/>
      <c r="AH848" s="7"/>
      <c r="AI848" s="7"/>
    </row>
    <row r="849" spans="1:35" ht="14.5" x14ac:dyDescent="0.35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7"/>
      <c r="AF849" s="7"/>
      <c r="AG849" s="7"/>
      <c r="AH849" s="7"/>
      <c r="AI849" s="7"/>
    </row>
    <row r="850" spans="1:35" ht="14.5" x14ac:dyDescent="0.35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7"/>
      <c r="AF850" s="7"/>
      <c r="AG850" s="7"/>
      <c r="AH850" s="7"/>
      <c r="AI850" s="7"/>
    </row>
    <row r="851" spans="1:35" ht="14.5" x14ac:dyDescent="0.35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7"/>
      <c r="AF851" s="7"/>
      <c r="AG851" s="7"/>
      <c r="AH851" s="7"/>
      <c r="AI851" s="7"/>
    </row>
    <row r="852" spans="1:35" ht="14.5" x14ac:dyDescent="0.35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7"/>
      <c r="AF852" s="7"/>
      <c r="AG852" s="7"/>
      <c r="AH852" s="7"/>
      <c r="AI852" s="7"/>
    </row>
    <row r="853" spans="1:35" ht="14.5" x14ac:dyDescent="0.35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7"/>
      <c r="AF853" s="7"/>
      <c r="AG853" s="7"/>
      <c r="AH853" s="7"/>
      <c r="AI853" s="7"/>
    </row>
    <row r="854" spans="1:35" ht="14.5" x14ac:dyDescent="0.35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7"/>
      <c r="AF854" s="7"/>
      <c r="AG854" s="7"/>
      <c r="AH854" s="7"/>
      <c r="AI854" s="7"/>
    </row>
    <row r="855" spans="1:35" ht="14.5" x14ac:dyDescent="0.3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7"/>
      <c r="AF855" s="7"/>
      <c r="AG855" s="7"/>
      <c r="AH855" s="7"/>
      <c r="AI855" s="7"/>
    </row>
    <row r="856" spans="1:35" ht="14.5" x14ac:dyDescent="0.35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7"/>
      <c r="AF856" s="7"/>
      <c r="AG856" s="7"/>
      <c r="AH856" s="7"/>
      <c r="AI856" s="7"/>
    </row>
    <row r="857" spans="1:35" ht="14.5" x14ac:dyDescent="0.35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7"/>
      <c r="AF857" s="7"/>
      <c r="AG857" s="7"/>
      <c r="AH857" s="7"/>
      <c r="AI857" s="7"/>
    </row>
    <row r="858" spans="1:35" ht="14.5" x14ac:dyDescent="0.35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7"/>
      <c r="AF858" s="7"/>
      <c r="AG858" s="7"/>
      <c r="AH858" s="7"/>
      <c r="AI858" s="7"/>
    </row>
    <row r="859" spans="1:35" ht="14.5" x14ac:dyDescent="0.35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7"/>
      <c r="AF859" s="7"/>
      <c r="AG859" s="7"/>
      <c r="AH859" s="7"/>
      <c r="AI859" s="7"/>
    </row>
    <row r="860" spans="1:35" ht="14.5" x14ac:dyDescent="0.35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7"/>
      <c r="AF860" s="7"/>
      <c r="AG860" s="7"/>
      <c r="AH860" s="7"/>
      <c r="AI860" s="7"/>
    </row>
    <row r="861" spans="1:35" ht="14.5" x14ac:dyDescent="0.35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7"/>
      <c r="AF861" s="7"/>
      <c r="AG861" s="7"/>
      <c r="AH861" s="7"/>
      <c r="AI861" s="7"/>
    </row>
    <row r="862" spans="1:35" ht="14.5" x14ac:dyDescent="0.35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7"/>
      <c r="AF862" s="7"/>
      <c r="AG862" s="7"/>
      <c r="AH862" s="7"/>
      <c r="AI862" s="7"/>
    </row>
    <row r="863" spans="1:35" ht="14.5" x14ac:dyDescent="0.35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7"/>
      <c r="AF863" s="7"/>
      <c r="AG863" s="7"/>
      <c r="AH863" s="7"/>
      <c r="AI863" s="7"/>
    </row>
    <row r="864" spans="1:35" ht="14.5" x14ac:dyDescent="0.35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7"/>
      <c r="AF864" s="7"/>
      <c r="AG864" s="7"/>
      <c r="AH864" s="7"/>
      <c r="AI864" s="7"/>
    </row>
    <row r="865" spans="1:35" ht="14.5" x14ac:dyDescent="0.3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7"/>
      <c r="AF865" s="7"/>
      <c r="AG865" s="7"/>
      <c r="AH865" s="7"/>
      <c r="AI865" s="7"/>
    </row>
    <row r="866" spans="1:35" ht="14.5" x14ac:dyDescent="0.35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7"/>
      <c r="AF866" s="7"/>
      <c r="AG866" s="7"/>
      <c r="AH866" s="7"/>
      <c r="AI866" s="7"/>
    </row>
    <row r="867" spans="1:35" ht="14.5" x14ac:dyDescent="0.35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7"/>
      <c r="AF867" s="7"/>
      <c r="AG867" s="7"/>
      <c r="AH867" s="7"/>
      <c r="AI867" s="7"/>
    </row>
    <row r="868" spans="1:35" ht="14.5" x14ac:dyDescent="0.35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7"/>
      <c r="AF868" s="7"/>
      <c r="AG868" s="7"/>
      <c r="AH868" s="7"/>
      <c r="AI868" s="7"/>
    </row>
    <row r="869" spans="1:35" ht="14.5" x14ac:dyDescent="0.35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7"/>
      <c r="AF869" s="7"/>
      <c r="AG869" s="7"/>
      <c r="AH869" s="7"/>
      <c r="AI869" s="7"/>
    </row>
    <row r="870" spans="1:35" ht="14.5" x14ac:dyDescent="0.35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7"/>
      <c r="AF870" s="7"/>
      <c r="AG870" s="7"/>
      <c r="AH870" s="7"/>
      <c r="AI870" s="7"/>
    </row>
    <row r="871" spans="1:35" ht="14.5" x14ac:dyDescent="0.35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7"/>
      <c r="AF871" s="7"/>
      <c r="AG871" s="7"/>
      <c r="AH871" s="7"/>
      <c r="AI871" s="7"/>
    </row>
    <row r="872" spans="1:35" ht="14.5" x14ac:dyDescent="0.35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7"/>
      <c r="AF872" s="7"/>
      <c r="AG872" s="7"/>
      <c r="AH872" s="7"/>
      <c r="AI872" s="7"/>
    </row>
    <row r="873" spans="1:35" ht="14.5" x14ac:dyDescent="0.35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7"/>
      <c r="AF873" s="7"/>
      <c r="AG873" s="7"/>
      <c r="AH873" s="7"/>
      <c r="AI873" s="7"/>
    </row>
    <row r="874" spans="1:35" ht="14.5" x14ac:dyDescent="0.35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7"/>
      <c r="AF874" s="7"/>
      <c r="AG874" s="7"/>
      <c r="AH874" s="7"/>
      <c r="AI874" s="7"/>
    </row>
    <row r="875" spans="1:35" ht="14.5" x14ac:dyDescent="0.3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7"/>
      <c r="AF875" s="7"/>
      <c r="AG875" s="7"/>
      <c r="AH875" s="7"/>
      <c r="AI875" s="7"/>
    </row>
    <row r="876" spans="1:35" ht="14.5" x14ac:dyDescent="0.35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7"/>
      <c r="AF876" s="7"/>
      <c r="AG876" s="7"/>
      <c r="AH876" s="7"/>
      <c r="AI876" s="7"/>
    </row>
    <row r="877" spans="1:35" ht="14.5" x14ac:dyDescent="0.35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7"/>
      <c r="AF877" s="7"/>
      <c r="AG877" s="7"/>
      <c r="AH877" s="7"/>
      <c r="AI877" s="7"/>
    </row>
    <row r="878" spans="1:35" ht="14.5" x14ac:dyDescent="0.35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7"/>
      <c r="AF878" s="7"/>
      <c r="AG878" s="7"/>
      <c r="AH878" s="7"/>
      <c r="AI878" s="7"/>
    </row>
    <row r="879" spans="1:35" ht="14.5" x14ac:dyDescent="0.35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7"/>
      <c r="AF879" s="7"/>
      <c r="AG879" s="7"/>
      <c r="AH879" s="7"/>
      <c r="AI879" s="7"/>
    </row>
    <row r="880" spans="1:35" ht="14.5" x14ac:dyDescent="0.35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7"/>
      <c r="AF880" s="7"/>
      <c r="AG880" s="7"/>
      <c r="AH880" s="7"/>
      <c r="AI880" s="7"/>
    </row>
    <row r="881" spans="1:35" ht="14.5" x14ac:dyDescent="0.35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7"/>
      <c r="AF881" s="7"/>
      <c r="AG881" s="7"/>
      <c r="AH881" s="7"/>
      <c r="AI881" s="7"/>
    </row>
    <row r="882" spans="1:35" ht="14.5" x14ac:dyDescent="0.35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7"/>
      <c r="AF882" s="7"/>
      <c r="AG882" s="7"/>
      <c r="AH882" s="7"/>
      <c r="AI882" s="7"/>
    </row>
    <row r="883" spans="1:35" ht="14.5" x14ac:dyDescent="0.35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7"/>
      <c r="AF883" s="7"/>
      <c r="AG883" s="7"/>
      <c r="AH883" s="7"/>
      <c r="AI883" s="7"/>
    </row>
    <row r="884" spans="1:35" ht="14.5" x14ac:dyDescent="0.35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7"/>
      <c r="AF884" s="7"/>
      <c r="AG884" s="7"/>
      <c r="AH884" s="7"/>
      <c r="AI884" s="7"/>
    </row>
    <row r="885" spans="1:35" ht="14.5" x14ac:dyDescent="0.3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7"/>
      <c r="AF885" s="7"/>
      <c r="AG885" s="7"/>
      <c r="AH885" s="7"/>
      <c r="AI885" s="7"/>
    </row>
    <row r="886" spans="1:35" ht="14.5" x14ac:dyDescent="0.35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7"/>
      <c r="AF886" s="7"/>
      <c r="AG886" s="7"/>
      <c r="AH886" s="7"/>
      <c r="AI886" s="7"/>
    </row>
    <row r="887" spans="1:35" ht="14.5" x14ac:dyDescent="0.35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7"/>
      <c r="AF887" s="7"/>
      <c r="AG887" s="7"/>
      <c r="AH887" s="7"/>
      <c r="AI887" s="7"/>
    </row>
    <row r="888" spans="1:35" ht="14.5" x14ac:dyDescent="0.35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7"/>
      <c r="AF888" s="7"/>
      <c r="AG888" s="7"/>
      <c r="AH888" s="7"/>
      <c r="AI888" s="7"/>
    </row>
    <row r="889" spans="1:35" ht="14.5" x14ac:dyDescent="0.35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7"/>
      <c r="AF889" s="7"/>
      <c r="AG889" s="7"/>
      <c r="AH889" s="7"/>
      <c r="AI889" s="7"/>
    </row>
    <row r="890" spans="1:35" ht="14.5" x14ac:dyDescent="0.35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7"/>
      <c r="AF890" s="7"/>
      <c r="AG890" s="7"/>
      <c r="AH890" s="7"/>
      <c r="AI890" s="7"/>
    </row>
    <row r="891" spans="1:35" ht="14.5" x14ac:dyDescent="0.35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7"/>
      <c r="AF891" s="7"/>
      <c r="AG891" s="7"/>
      <c r="AH891" s="7"/>
      <c r="AI891" s="7"/>
    </row>
    <row r="892" spans="1:35" ht="14.5" x14ac:dyDescent="0.35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7"/>
      <c r="AF892" s="7"/>
      <c r="AG892" s="7"/>
      <c r="AH892" s="7"/>
      <c r="AI892" s="7"/>
    </row>
    <row r="893" spans="1:35" ht="14.5" x14ac:dyDescent="0.35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7"/>
      <c r="AF893" s="7"/>
      <c r="AG893" s="7"/>
      <c r="AH893" s="7"/>
      <c r="AI893" s="7"/>
    </row>
    <row r="894" spans="1:35" ht="14.5" x14ac:dyDescent="0.35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7"/>
      <c r="AF894" s="7"/>
      <c r="AG894" s="7"/>
      <c r="AH894" s="7"/>
      <c r="AI894" s="7"/>
    </row>
    <row r="895" spans="1:35" ht="14.5" x14ac:dyDescent="0.3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7"/>
      <c r="AF895" s="7"/>
      <c r="AG895" s="7"/>
      <c r="AH895" s="7"/>
      <c r="AI895" s="7"/>
    </row>
    <row r="896" spans="1:35" ht="14.5" x14ac:dyDescent="0.35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7"/>
      <c r="AF896" s="7"/>
      <c r="AG896" s="7"/>
      <c r="AH896" s="7"/>
      <c r="AI896" s="7"/>
    </row>
    <row r="897" spans="1:35" ht="14.5" x14ac:dyDescent="0.35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7"/>
      <c r="AF897" s="7"/>
      <c r="AG897" s="7"/>
      <c r="AH897" s="7"/>
      <c r="AI897" s="7"/>
    </row>
    <row r="898" spans="1:35" ht="14.5" x14ac:dyDescent="0.35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7"/>
      <c r="AF898" s="7"/>
      <c r="AG898" s="7"/>
      <c r="AH898" s="7"/>
      <c r="AI898" s="7"/>
    </row>
    <row r="899" spans="1:35" ht="14.5" x14ac:dyDescent="0.35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7"/>
      <c r="AF899" s="7"/>
      <c r="AG899" s="7"/>
      <c r="AH899" s="7"/>
      <c r="AI899" s="7"/>
    </row>
    <row r="900" spans="1:35" ht="14.5" x14ac:dyDescent="0.35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7"/>
      <c r="AF900" s="7"/>
      <c r="AG900" s="7"/>
      <c r="AH900" s="7"/>
      <c r="AI900" s="7"/>
    </row>
    <row r="901" spans="1:35" ht="14.5" x14ac:dyDescent="0.35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7"/>
      <c r="AF901" s="7"/>
      <c r="AG901" s="7"/>
      <c r="AH901" s="7"/>
      <c r="AI901" s="7"/>
    </row>
    <row r="902" spans="1:35" ht="14.5" x14ac:dyDescent="0.35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7"/>
      <c r="AF902" s="7"/>
      <c r="AG902" s="7"/>
      <c r="AH902" s="7"/>
      <c r="AI902" s="7"/>
    </row>
    <row r="903" spans="1:35" ht="14.5" x14ac:dyDescent="0.35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7"/>
      <c r="AF903" s="7"/>
      <c r="AG903" s="7"/>
      <c r="AH903" s="7"/>
      <c r="AI903" s="7"/>
    </row>
    <row r="904" spans="1:35" ht="14.5" x14ac:dyDescent="0.35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7"/>
      <c r="AF904" s="7"/>
      <c r="AG904" s="7"/>
      <c r="AH904" s="7"/>
      <c r="AI904" s="7"/>
    </row>
    <row r="905" spans="1:35" ht="14.5" x14ac:dyDescent="0.3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7"/>
      <c r="AF905" s="7"/>
      <c r="AG905" s="7"/>
      <c r="AH905" s="7"/>
      <c r="AI905" s="7"/>
    </row>
    <row r="906" spans="1:35" ht="14.5" x14ac:dyDescent="0.35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7"/>
      <c r="AF906" s="7"/>
      <c r="AG906" s="7"/>
      <c r="AH906" s="7"/>
      <c r="AI906" s="7"/>
    </row>
    <row r="907" spans="1:35" ht="14.5" x14ac:dyDescent="0.35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7"/>
      <c r="AF907" s="7"/>
      <c r="AG907" s="7"/>
      <c r="AH907" s="7"/>
      <c r="AI907" s="7"/>
    </row>
    <row r="908" spans="1:35" ht="14.5" x14ac:dyDescent="0.35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7"/>
      <c r="AF908" s="7"/>
      <c r="AG908" s="7"/>
      <c r="AH908" s="7"/>
      <c r="AI908" s="7"/>
    </row>
    <row r="909" spans="1:35" ht="14.5" x14ac:dyDescent="0.35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7"/>
      <c r="AF909" s="7"/>
      <c r="AG909" s="7"/>
      <c r="AH909" s="7"/>
      <c r="AI909" s="7"/>
    </row>
    <row r="910" spans="1:35" ht="14.5" x14ac:dyDescent="0.35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7"/>
      <c r="AF910" s="7"/>
      <c r="AG910" s="7"/>
      <c r="AH910" s="7"/>
      <c r="AI910" s="7"/>
    </row>
    <row r="911" spans="1:35" ht="14.5" x14ac:dyDescent="0.35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7"/>
      <c r="AF911" s="7"/>
      <c r="AG911" s="7"/>
      <c r="AH911" s="7"/>
      <c r="AI911" s="7"/>
    </row>
    <row r="912" spans="1:35" ht="14.5" x14ac:dyDescent="0.35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7"/>
      <c r="AF912" s="7"/>
      <c r="AG912" s="7"/>
      <c r="AH912" s="7"/>
      <c r="AI912" s="7"/>
    </row>
    <row r="913" spans="1:35" ht="14.5" x14ac:dyDescent="0.35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7"/>
      <c r="AF913" s="7"/>
      <c r="AG913" s="7"/>
      <c r="AH913" s="7"/>
      <c r="AI913" s="7"/>
    </row>
    <row r="914" spans="1:35" ht="14.5" x14ac:dyDescent="0.35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7"/>
      <c r="AF914" s="7"/>
      <c r="AG914" s="7"/>
      <c r="AH914" s="7"/>
      <c r="AI914" s="7"/>
    </row>
    <row r="915" spans="1:35" ht="14.5" x14ac:dyDescent="0.3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7"/>
      <c r="AF915" s="7"/>
      <c r="AG915" s="7"/>
      <c r="AH915" s="7"/>
      <c r="AI915" s="7"/>
    </row>
    <row r="916" spans="1:35" ht="14.5" x14ac:dyDescent="0.35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7"/>
      <c r="AF916" s="7"/>
      <c r="AG916" s="7"/>
      <c r="AH916" s="7"/>
      <c r="AI916" s="7"/>
    </row>
    <row r="917" spans="1:35" ht="14.5" x14ac:dyDescent="0.35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7"/>
      <c r="AF917" s="7"/>
      <c r="AG917" s="7"/>
      <c r="AH917" s="7"/>
      <c r="AI917" s="7"/>
    </row>
    <row r="918" spans="1:35" ht="14.5" x14ac:dyDescent="0.35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7"/>
      <c r="AF918" s="7"/>
      <c r="AG918" s="7"/>
      <c r="AH918" s="7"/>
      <c r="AI918" s="7"/>
    </row>
    <row r="919" spans="1:35" ht="14.5" x14ac:dyDescent="0.35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7"/>
      <c r="AF919" s="7"/>
      <c r="AG919" s="7"/>
      <c r="AH919" s="7"/>
      <c r="AI919" s="7"/>
    </row>
    <row r="920" spans="1:35" ht="14.5" x14ac:dyDescent="0.35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7"/>
      <c r="AF920" s="7"/>
      <c r="AG920" s="7"/>
      <c r="AH920" s="7"/>
      <c r="AI920" s="7"/>
    </row>
    <row r="921" spans="1:35" ht="14.5" x14ac:dyDescent="0.35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7"/>
      <c r="AF921" s="7"/>
      <c r="AG921" s="7"/>
      <c r="AH921" s="7"/>
      <c r="AI921" s="7"/>
    </row>
    <row r="922" spans="1:35" ht="14.5" x14ac:dyDescent="0.35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7"/>
      <c r="AF922" s="7"/>
      <c r="AG922" s="7"/>
      <c r="AH922" s="7"/>
      <c r="AI922" s="7"/>
    </row>
    <row r="923" spans="1:35" ht="14.5" x14ac:dyDescent="0.35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7"/>
      <c r="AF923" s="7"/>
      <c r="AG923" s="7"/>
      <c r="AH923" s="7"/>
      <c r="AI923" s="7"/>
    </row>
    <row r="924" spans="1:35" ht="14.5" x14ac:dyDescent="0.35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7"/>
      <c r="AF924" s="7"/>
      <c r="AG924" s="7"/>
      <c r="AH924" s="7"/>
      <c r="AI924" s="7"/>
    </row>
    <row r="925" spans="1:35" ht="14.5" x14ac:dyDescent="0.3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7"/>
      <c r="AF925" s="7"/>
      <c r="AG925" s="7"/>
      <c r="AH925" s="7"/>
      <c r="AI925" s="7"/>
    </row>
    <row r="926" spans="1:35" ht="14.5" x14ac:dyDescent="0.35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7"/>
      <c r="AF926" s="7"/>
      <c r="AG926" s="7"/>
      <c r="AH926" s="7"/>
      <c r="AI926" s="7"/>
    </row>
    <row r="927" spans="1:35" ht="14.5" x14ac:dyDescent="0.35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7"/>
      <c r="AF927" s="7"/>
      <c r="AG927" s="7"/>
      <c r="AH927" s="7"/>
      <c r="AI927" s="7"/>
    </row>
    <row r="928" spans="1:35" ht="14.5" x14ac:dyDescent="0.35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7"/>
      <c r="AF928" s="7"/>
      <c r="AG928" s="7"/>
      <c r="AH928" s="7"/>
      <c r="AI928" s="7"/>
    </row>
    <row r="929" spans="1:35" ht="14.5" x14ac:dyDescent="0.35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7"/>
      <c r="AF929" s="7"/>
      <c r="AG929" s="7"/>
      <c r="AH929" s="7"/>
      <c r="AI929" s="7"/>
    </row>
    <row r="930" spans="1:35" ht="14.5" x14ac:dyDescent="0.35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7"/>
      <c r="AF930" s="7"/>
      <c r="AG930" s="7"/>
      <c r="AH930" s="7"/>
      <c r="AI930" s="7"/>
    </row>
    <row r="931" spans="1:35" ht="14.5" x14ac:dyDescent="0.35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7"/>
      <c r="AF931" s="7"/>
      <c r="AG931" s="7"/>
      <c r="AH931" s="7"/>
      <c r="AI931" s="7"/>
    </row>
    <row r="932" spans="1:35" ht="14.5" x14ac:dyDescent="0.35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7"/>
      <c r="AF932" s="7"/>
      <c r="AG932" s="7"/>
      <c r="AH932" s="7"/>
      <c r="AI932" s="7"/>
    </row>
    <row r="933" spans="1:35" ht="14.5" x14ac:dyDescent="0.35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7"/>
      <c r="AF933" s="7"/>
      <c r="AG933" s="7"/>
      <c r="AH933" s="7"/>
      <c r="AI933" s="7"/>
    </row>
    <row r="934" spans="1:35" ht="14.5" x14ac:dyDescent="0.35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7"/>
      <c r="AF934" s="7"/>
      <c r="AG934" s="7"/>
      <c r="AH934" s="7"/>
      <c r="AI934" s="7"/>
    </row>
    <row r="935" spans="1:35" ht="14.5" x14ac:dyDescent="0.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7"/>
      <c r="AF935" s="7"/>
      <c r="AG935" s="7"/>
      <c r="AH935" s="7"/>
      <c r="AI935" s="7"/>
    </row>
    <row r="936" spans="1:35" ht="14.5" x14ac:dyDescent="0.35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7"/>
      <c r="AF936" s="7"/>
      <c r="AG936" s="7"/>
      <c r="AH936" s="7"/>
      <c r="AI936" s="7"/>
    </row>
    <row r="937" spans="1:35" ht="14.5" x14ac:dyDescent="0.35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7"/>
      <c r="AF937" s="7"/>
      <c r="AG937" s="7"/>
      <c r="AH937" s="7"/>
      <c r="AI937" s="7"/>
    </row>
    <row r="938" spans="1:35" ht="14.5" x14ac:dyDescent="0.35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7"/>
      <c r="AF938" s="7"/>
      <c r="AG938" s="7"/>
      <c r="AH938" s="7"/>
      <c r="AI938" s="7"/>
    </row>
    <row r="939" spans="1:35" ht="14.5" x14ac:dyDescent="0.35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7"/>
      <c r="AF939" s="7"/>
      <c r="AG939" s="7"/>
      <c r="AH939" s="7"/>
      <c r="AI939" s="7"/>
    </row>
    <row r="940" spans="1:35" ht="14.5" x14ac:dyDescent="0.35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7"/>
      <c r="AF940" s="7"/>
      <c r="AG940" s="7"/>
      <c r="AH940" s="7"/>
      <c r="AI940" s="7"/>
    </row>
    <row r="941" spans="1:35" ht="14.5" x14ac:dyDescent="0.35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7"/>
      <c r="AF941" s="7"/>
      <c r="AG941" s="7"/>
      <c r="AH941" s="7"/>
      <c r="AI941" s="7"/>
    </row>
    <row r="942" spans="1:35" ht="14.5" x14ac:dyDescent="0.35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7"/>
      <c r="AF942" s="7"/>
      <c r="AG942" s="7"/>
      <c r="AH942" s="7"/>
      <c r="AI942" s="7"/>
    </row>
    <row r="943" spans="1:35" ht="14.5" x14ac:dyDescent="0.35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7"/>
      <c r="AF943" s="7"/>
      <c r="AG943" s="7"/>
      <c r="AH943" s="7"/>
      <c r="AI943" s="7"/>
    </row>
    <row r="944" spans="1:35" ht="14.5" x14ac:dyDescent="0.35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7"/>
      <c r="AF944" s="7"/>
      <c r="AG944" s="7"/>
      <c r="AH944" s="7"/>
      <c r="AI944" s="7"/>
    </row>
    <row r="945" spans="1:35" ht="14.5" x14ac:dyDescent="0.3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7"/>
      <c r="AF945" s="7"/>
      <c r="AG945" s="7"/>
      <c r="AH945" s="7"/>
      <c r="AI945" s="7"/>
    </row>
    <row r="946" spans="1:35" ht="14.5" x14ac:dyDescent="0.35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7"/>
      <c r="AF946" s="7"/>
      <c r="AG946" s="7"/>
      <c r="AH946" s="7"/>
      <c r="AI946" s="7"/>
    </row>
    <row r="947" spans="1:35" ht="14.5" x14ac:dyDescent="0.35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7"/>
      <c r="AF947" s="7"/>
      <c r="AG947" s="7"/>
      <c r="AH947" s="7"/>
      <c r="AI947" s="7"/>
    </row>
    <row r="948" spans="1:35" ht="14.5" x14ac:dyDescent="0.35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7"/>
      <c r="AF948" s="7"/>
      <c r="AG948" s="7"/>
      <c r="AH948" s="7"/>
      <c r="AI948" s="7"/>
    </row>
    <row r="949" spans="1:35" ht="14.5" x14ac:dyDescent="0.35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7"/>
      <c r="AF949" s="7"/>
      <c r="AG949" s="7"/>
      <c r="AH949" s="7"/>
      <c r="AI949" s="7"/>
    </row>
    <row r="950" spans="1:35" ht="14.5" x14ac:dyDescent="0.35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7"/>
      <c r="AF950" s="7"/>
      <c r="AG950" s="7"/>
      <c r="AH950" s="7"/>
      <c r="AI950" s="7"/>
    </row>
    <row r="951" spans="1:35" ht="14.5" x14ac:dyDescent="0.35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7"/>
      <c r="AF951" s="7"/>
      <c r="AG951" s="7"/>
      <c r="AH951" s="7"/>
      <c r="AI951" s="7"/>
    </row>
    <row r="952" spans="1:35" ht="14.5" x14ac:dyDescent="0.35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7"/>
      <c r="AF952" s="7"/>
      <c r="AG952" s="7"/>
      <c r="AH952" s="7"/>
      <c r="AI952" s="7"/>
    </row>
    <row r="953" spans="1:35" ht="14.5" x14ac:dyDescent="0.35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7"/>
      <c r="AF953" s="7"/>
      <c r="AG953" s="7"/>
      <c r="AH953" s="7"/>
      <c r="AI953" s="7"/>
    </row>
    <row r="954" spans="1:35" ht="14.5" x14ac:dyDescent="0.35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7"/>
      <c r="AF954" s="7"/>
      <c r="AG954" s="7"/>
      <c r="AH954" s="7"/>
      <c r="AI954" s="7"/>
    </row>
    <row r="955" spans="1:35" ht="14.5" x14ac:dyDescent="0.3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7"/>
      <c r="AF955" s="7"/>
      <c r="AG955" s="7"/>
      <c r="AH955" s="7"/>
      <c r="AI955" s="7"/>
    </row>
    <row r="956" spans="1:35" ht="14.5" x14ac:dyDescent="0.35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7"/>
      <c r="AF956" s="7"/>
      <c r="AG956" s="7"/>
      <c r="AH956" s="7"/>
      <c r="AI956" s="7"/>
    </row>
    <row r="957" spans="1:35" ht="14.5" x14ac:dyDescent="0.3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7"/>
      <c r="AF957" s="7"/>
      <c r="AG957" s="7"/>
      <c r="AH957" s="7"/>
      <c r="AI957" s="7"/>
    </row>
    <row r="958" spans="1:35" ht="14.5" x14ac:dyDescent="0.35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7"/>
      <c r="AF958" s="7"/>
      <c r="AG958" s="7"/>
      <c r="AH958" s="7"/>
      <c r="AI958" s="7"/>
    </row>
    <row r="959" spans="1:35" ht="14.5" x14ac:dyDescent="0.35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7"/>
      <c r="AF959" s="7"/>
      <c r="AG959" s="7"/>
      <c r="AH959" s="7"/>
      <c r="AI959" s="7"/>
    </row>
    <row r="960" spans="1:35" ht="14.5" x14ac:dyDescent="0.35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7"/>
      <c r="AF960" s="7"/>
      <c r="AG960" s="7"/>
      <c r="AH960" s="7"/>
      <c r="AI960" s="7"/>
    </row>
    <row r="961" spans="1:35" ht="14.5" x14ac:dyDescent="0.35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7"/>
      <c r="AF961" s="7"/>
      <c r="AG961" s="7"/>
      <c r="AH961" s="7"/>
      <c r="AI961" s="7"/>
    </row>
    <row r="962" spans="1:35" ht="14.5" x14ac:dyDescent="0.35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7"/>
      <c r="AF962" s="7"/>
      <c r="AG962" s="7"/>
      <c r="AH962" s="7"/>
      <c r="AI962" s="7"/>
    </row>
    <row r="963" spans="1:35" ht="14.5" x14ac:dyDescent="0.35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7"/>
      <c r="AF963" s="7"/>
      <c r="AG963" s="7"/>
      <c r="AH963" s="7"/>
      <c r="AI963" s="7"/>
    </row>
    <row r="964" spans="1:35" ht="14.5" x14ac:dyDescent="0.35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7"/>
      <c r="AF964" s="7"/>
      <c r="AG964" s="7"/>
      <c r="AH964" s="7"/>
      <c r="AI964" s="7"/>
    </row>
    <row r="965" spans="1:35" ht="14.5" x14ac:dyDescent="0.3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7"/>
      <c r="AF965" s="7"/>
      <c r="AG965" s="7"/>
      <c r="AH965" s="7"/>
      <c r="AI965" s="7"/>
    </row>
    <row r="966" spans="1:35" ht="14.5" x14ac:dyDescent="0.35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7"/>
      <c r="AF966" s="7"/>
      <c r="AG966" s="7"/>
      <c r="AH966" s="7"/>
      <c r="AI966" s="7"/>
    </row>
    <row r="967" spans="1:35" ht="14.5" x14ac:dyDescent="0.35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7"/>
      <c r="AF967" s="7"/>
      <c r="AG967" s="7"/>
      <c r="AH967" s="7"/>
      <c r="AI967" s="7"/>
    </row>
    <row r="968" spans="1:35" ht="14.5" x14ac:dyDescent="0.35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7"/>
      <c r="AF968" s="7"/>
      <c r="AG968" s="7"/>
      <c r="AH968" s="7"/>
      <c r="AI968" s="7"/>
    </row>
    <row r="969" spans="1:35" ht="14.5" x14ac:dyDescent="0.35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7"/>
      <c r="AF969" s="7"/>
      <c r="AG969" s="7"/>
      <c r="AH969" s="7"/>
      <c r="AI969" s="7"/>
    </row>
    <row r="970" spans="1:35" ht="14.5" x14ac:dyDescent="0.35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7"/>
      <c r="AF970" s="7"/>
      <c r="AG970" s="7"/>
      <c r="AH970" s="7"/>
      <c r="AI970" s="7"/>
    </row>
    <row r="971" spans="1:35" ht="14.5" x14ac:dyDescent="0.35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7"/>
      <c r="AF971" s="7"/>
      <c r="AG971" s="7"/>
      <c r="AH971" s="7"/>
      <c r="AI971" s="7"/>
    </row>
    <row r="972" spans="1:35" ht="14.5" x14ac:dyDescent="0.35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7"/>
      <c r="AF972" s="7"/>
      <c r="AG972" s="7"/>
      <c r="AH972" s="7"/>
      <c r="AI972" s="7"/>
    </row>
    <row r="973" spans="1:35" ht="14.5" x14ac:dyDescent="0.35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7"/>
      <c r="AF973" s="7"/>
      <c r="AG973" s="7"/>
      <c r="AH973" s="7"/>
      <c r="AI973" s="7"/>
    </row>
    <row r="974" spans="1:35" ht="14.5" x14ac:dyDescent="0.35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7"/>
      <c r="AF974" s="7"/>
      <c r="AG974" s="7"/>
      <c r="AH974" s="7"/>
      <c r="AI974" s="7"/>
    </row>
    <row r="975" spans="1:35" ht="14.5" x14ac:dyDescent="0.3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7"/>
      <c r="AF975" s="7"/>
      <c r="AG975" s="7"/>
      <c r="AH975" s="7"/>
      <c r="AI975" s="7"/>
    </row>
    <row r="976" spans="1:35" ht="14.5" x14ac:dyDescent="0.35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7"/>
      <c r="AF976" s="7"/>
      <c r="AG976" s="7"/>
      <c r="AH976" s="7"/>
      <c r="AI976" s="7"/>
    </row>
    <row r="977" spans="1:35" ht="14.5" x14ac:dyDescent="0.35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7"/>
      <c r="AF977" s="7"/>
      <c r="AG977" s="7"/>
      <c r="AH977" s="7"/>
      <c r="AI977" s="7"/>
    </row>
    <row r="978" spans="1:35" ht="14.5" x14ac:dyDescent="0.35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7"/>
      <c r="AF978" s="7"/>
      <c r="AG978" s="7"/>
      <c r="AH978" s="7"/>
      <c r="AI978" s="7"/>
    </row>
    <row r="979" spans="1:35" ht="14.5" x14ac:dyDescent="0.35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7"/>
      <c r="AF979" s="7"/>
      <c r="AG979" s="7"/>
      <c r="AH979" s="7"/>
      <c r="AI979" s="7"/>
    </row>
    <row r="980" spans="1:35" ht="14.5" x14ac:dyDescent="0.35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7"/>
      <c r="AF980" s="7"/>
      <c r="AG980" s="7"/>
      <c r="AH980" s="7"/>
      <c r="AI980" s="7"/>
    </row>
    <row r="981" spans="1:35" ht="14.5" x14ac:dyDescent="0.35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7"/>
      <c r="AF981" s="7"/>
      <c r="AG981" s="7"/>
      <c r="AH981" s="7"/>
      <c r="AI981" s="7"/>
    </row>
    <row r="982" spans="1:35" ht="14.5" x14ac:dyDescent="0.35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7"/>
      <c r="AF982" s="7"/>
      <c r="AG982" s="7"/>
      <c r="AH982" s="7"/>
      <c r="AI982" s="7"/>
    </row>
    <row r="983" spans="1:35" ht="14.5" x14ac:dyDescent="0.35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7"/>
      <c r="AF983" s="7"/>
      <c r="AG983" s="7"/>
      <c r="AH983" s="7"/>
      <c r="AI983" s="7"/>
    </row>
    <row r="984" spans="1:35" ht="14.5" x14ac:dyDescent="0.35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7"/>
      <c r="AF984" s="7"/>
      <c r="AG984" s="7"/>
      <c r="AH984" s="7"/>
      <c r="AI984" s="7"/>
    </row>
    <row r="985" spans="1:35" ht="14.5" x14ac:dyDescent="0.3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7"/>
      <c r="AF985" s="7"/>
      <c r="AG985" s="7"/>
      <c r="AH985" s="7"/>
      <c r="AI985" s="7"/>
    </row>
    <row r="986" spans="1:35" ht="14.5" x14ac:dyDescent="0.3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7"/>
      <c r="AF986" s="7"/>
      <c r="AG986" s="7"/>
      <c r="AH986" s="7"/>
      <c r="AI986" s="7"/>
    </row>
    <row r="987" spans="1:35" ht="14.5" x14ac:dyDescent="0.35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7"/>
      <c r="AF987" s="7"/>
      <c r="AG987" s="7"/>
      <c r="AH987" s="7"/>
      <c r="AI987" s="7"/>
    </row>
    <row r="988" spans="1:35" ht="14.5" x14ac:dyDescent="0.35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7"/>
      <c r="AF988" s="7"/>
      <c r="AG988" s="7"/>
      <c r="AH988" s="7"/>
      <c r="AI988" s="7"/>
    </row>
    <row r="989" spans="1:35" ht="14.5" x14ac:dyDescent="0.35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7"/>
      <c r="AF989" s="7"/>
      <c r="AG989" s="7"/>
      <c r="AH989" s="7"/>
      <c r="AI989" s="7"/>
    </row>
    <row r="990" spans="1:35" ht="14.5" x14ac:dyDescent="0.35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7"/>
      <c r="AF990" s="7"/>
      <c r="AG990" s="7"/>
      <c r="AH990" s="7"/>
      <c r="AI990" s="7"/>
    </row>
    <row r="991" spans="1:35" ht="14.5" x14ac:dyDescent="0.35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7"/>
      <c r="AF991" s="7"/>
      <c r="AG991" s="7"/>
      <c r="AH991" s="7"/>
      <c r="AI991" s="7"/>
    </row>
    <row r="992" spans="1:35" ht="14.5" x14ac:dyDescent="0.35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7"/>
      <c r="AF992" s="7"/>
      <c r="AG992" s="7"/>
      <c r="AH992" s="7"/>
      <c r="AI992" s="7"/>
    </row>
    <row r="993" spans="1:35" ht="14.5" x14ac:dyDescent="0.35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7"/>
      <c r="AF993" s="7"/>
      <c r="AG993" s="7"/>
      <c r="AH993" s="7"/>
      <c r="AI993" s="7"/>
    </row>
    <row r="994" spans="1:35" ht="14.5" x14ac:dyDescent="0.35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7"/>
      <c r="AF994" s="7"/>
      <c r="AG994" s="7"/>
      <c r="AH994" s="7"/>
      <c r="AI994" s="7"/>
    </row>
    <row r="995" spans="1:35" ht="14.5" x14ac:dyDescent="0.3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7"/>
      <c r="AF995" s="7"/>
      <c r="AG995" s="7"/>
      <c r="AH995" s="7"/>
      <c r="AI995" s="7"/>
    </row>
    <row r="996" spans="1:35" ht="14.5" x14ac:dyDescent="0.35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7"/>
      <c r="AF996" s="7"/>
      <c r="AG996" s="7"/>
      <c r="AH996" s="7"/>
      <c r="AI996" s="7"/>
    </row>
    <row r="997" spans="1:35" ht="14.5" x14ac:dyDescent="0.35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7"/>
      <c r="AF997" s="7"/>
      <c r="AG997" s="7"/>
      <c r="AH997" s="7"/>
      <c r="AI997" s="7"/>
    </row>
    <row r="998" spans="1:35" ht="14.5" x14ac:dyDescent="0.35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7"/>
      <c r="AF998" s="7"/>
      <c r="AG998" s="7"/>
      <c r="AH998" s="7"/>
      <c r="AI998" s="7"/>
    </row>
    <row r="999" spans="1:35" ht="14.5" x14ac:dyDescent="0.35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7"/>
      <c r="AF999" s="7"/>
      <c r="AG999" s="7"/>
      <c r="AH999" s="7"/>
      <c r="AI999" s="7"/>
    </row>
    <row r="1000" spans="1:35" ht="14.5" x14ac:dyDescent="0.35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7"/>
      <c r="AF1000" s="7"/>
      <c r="AG1000" s="7"/>
      <c r="AH1000" s="7"/>
      <c r="AI1000" s="7"/>
    </row>
    <row r="1001" spans="1:35" ht="14.5" x14ac:dyDescent="0.35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7"/>
      <c r="AF1001" s="7"/>
      <c r="AG1001" s="7"/>
      <c r="AH1001" s="7"/>
      <c r="AI1001" s="7"/>
    </row>
    <row r="1002" spans="1:35" ht="14.5" x14ac:dyDescent="0.35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7"/>
      <c r="AF1002" s="7"/>
      <c r="AG1002" s="7"/>
      <c r="AH1002" s="7"/>
      <c r="AI1002" s="7"/>
    </row>
    <row r="1003" spans="1:35" ht="14.5" x14ac:dyDescent="0.35">
      <c r="A1003" s="19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  <c r="P1003" s="19"/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  <c r="AB1003" s="19"/>
      <c r="AC1003" s="19"/>
      <c r="AD1003" s="19"/>
      <c r="AE1003" s="7"/>
      <c r="AF1003" s="7"/>
      <c r="AG1003" s="7"/>
      <c r="AH1003" s="7"/>
      <c r="AI1003" s="7"/>
    </row>
    <row r="1004" spans="1:35" ht="14.5" x14ac:dyDescent="0.35">
      <c r="A1004" s="19"/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  <c r="AE1004" s="7"/>
      <c r="AF1004" s="7"/>
      <c r="AG1004" s="7"/>
      <c r="AH1004" s="7"/>
      <c r="AI1004" s="7"/>
    </row>
    <row r="1005" spans="1:35" ht="14.5" x14ac:dyDescent="0.35">
      <c r="A1005" s="19"/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  <c r="AE1005" s="7"/>
      <c r="AF1005" s="7"/>
      <c r="AG1005" s="7"/>
      <c r="AH1005" s="7"/>
      <c r="AI1005" s="7"/>
    </row>
    <row r="1006" spans="1:35" ht="14.5" x14ac:dyDescent="0.35">
      <c r="A1006" s="19"/>
      <c r="B1006" s="19"/>
      <c r="C1006" s="19"/>
      <c r="D1006" s="19"/>
      <c r="E1006" s="19"/>
      <c r="F1006" s="19"/>
      <c r="G1006" s="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  <c r="AE1006" s="7"/>
      <c r="AF1006" s="7"/>
      <c r="AG1006" s="7"/>
      <c r="AH1006" s="7"/>
      <c r="AI1006" s="7"/>
    </row>
    <row r="1007" spans="1:35" ht="14.5" x14ac:dyDescent="0.35">
      <c r="A1007" s="19"/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  <c r="AE1007" s="7"/>
      <c r="AF1007" s="7"/>
      <c r="AG1007" s="7"/>
      <c r="AH1007" s="7"/>
      <c r="AI1007" s="7"/>
    </row>
    <row r="1008" spans="1:35" ht="14.5" x14ac:dyDescent="0.35">
      <c r="A1008" s="19"/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  <c r="AE1008" s="7"/>
      <c r="AF1008" s="7"/>
      <c r="AG1008" s="7"/>
      <c r="AH1008" s="7"/>
      <c r="AI1008" s="7"/>
    </row>
    <row r="1009" spans="1:35" ht="14.5" x14ac:dyDescent="0.35">
      <c r="A1009" s="19"/>
      <c r="B1009" s="19"/>
      <c r="C1009" s="19"/>
      <c r="D1009" s="19"/>
      <c r="E1009" s="19"/>
      <c r="F1009" s="19"/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  <c r="AE1009" s="7"/>
      <c r="AF1009" s="7"/>
      <c r="AG1009" s="7"/>
      <c r="AH1009" s="7"/>
      <c r="AI1009" s="7"/>
    </row>
    <row r="1010" spans="1:35" ht="14.5" x14ac:dyDescent="0.35">
      <c r="A1010" s="19"/>
      <c r="B1010" s="19"/>
      <c r="C1010" s="19"/>
      <c r="D1010" s="19"/>
      <c r="E1010" s="19"/>
      <c r="F1010" s="19"/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  <c r="AE1010" s="7"/>
      <c r="AF1010" s="7"/>
      <c r="AG1010" s="7"/>
      <c r="AH1010" s="7"/>
      <c r="AI1010" s="7"/>
    </row>
    <row r="1011" spans="1:35" ht="14.5" x14ac:dyDescent="0.35">
      <c r="A1011" s="19"/>
      <c r="B1011" s="19"/>
      <c r="C1011" s="19"/>
      <c r="D1011" s="19"/>
      <c r="E1011" s="19"/>
      <c r="F1011" s="19"/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  <c r="AE1011" s="7"/>
      <c r="AF1011" s="7"/>
      <c r="AG1011" s="7"/>
      <c r="AH1011" s="7"/>
      <c r="AI1011" s="7"/>
    </row>
    <row r="1012" spans="1:35" ht="14.5" x14ac:dyDescent="0.35">
      <c r="A1012" s="19"/>
      <c r="B1012" s="19"/>
      <c r="C1012" s="19"/>
      <c r="D1012" s="19"/>
      <c r="E1012" s="19"/>
      <c r="F1012" s="19"/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  <c r="AE1012" s="7"/>
      <c r="AF1012" s="7"/>
      <c r="AG1012" s="7"/>
      <c r="AH1012" s="7"/>
      <c r="AI1012" s="7"/>
    </row>
    <row r="1013" spans="1:35" ht="14.5" x14ac:dyDescent="0.35">
      <c r="A1013" s="19"/>
      <c r="B1013" s="19"/>
      <c r="C1013" s="19"/>
      <c r="D1013" s="19"/>
      <c r="E1013" s="19"/>
      <c r="F1013" s="19"/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  <c r="AE1013" s="7"/>
      <c r="AF1013" s="7"/>
      <c r="AG1013" s="7"/>
      <c r="AH1013" s="7"/>
      <c r="AI1013" s="7"/>
    </row>
    <row r="1014" spans="1:35" ht="14.5" x14ac:dyDescent="0.35">
      <c r="A1014" s="19"/>
      <c r="B1014" s="19"/>
      <c r="C1014" s="19"/>
      <c r="D1014" s="19"/>
      <c r="E1014" s="19"/>
      <c r="F1014" s="19"/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7"/>
      <c r="AF1014" s="7"/>
      <c r="AG1014" s="7"/>
      <c r="AH1014" s="7"/>
      <c r="AI1014" s="7"/>
    </row>
    <row r="1015" spans="1:35" ht="14.5" x14ac:dyDescent="0.35">
      <c r="A1015" s="19"/>
      <c r="B1015" s="19"/>
      <c r="C1015" s="19"/>
      <c r="D1015" s="19"/>
      <c r="E1015" s="19"/>
      <c r="F1015" s="19"/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  <c r="AE1015" s="7"/>
      <c r="AF1015" s="7"/>
      <c r="AG1015" s="7"/>
      <c r="AH1015" s="7"/>
      <c r="AI1015" s="7"/>
    </row>
    <row r="1016" spans="1:35" ht="14.5" x14ac:dyDescent="0.35">
      <c r="A1016" s="19"/>
      <c r="B1016" s="19"/>
      <c r="C1016" s="19"/>
      <c r="D1016" s="19"/>
      <c r="E1016" s="19"/>
      <c r="F1016" s="19"/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  <c r="AE1016" s="7"/>
      <c r="AF1016" s="7"/>
      <c r="AG1016" s="7"/>
      <c r="AH1016" s="7"/>
      <c r="AI1016" s="7"/>
    </row>
    <row r="1017" spans="1:35" ht="14.5" x14ac:dyDescent="0.35">
      <c r="A1017" s="19"/>
      <c r="B1017" s="19"/>
      <c r="C1017" s="19"/>
      <c r="D1017" s="19"/>
      <c r="E1017" s="19"/>
      <c r="F1017" s="19"/>
      <c r="G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  <c r="AE1017" s="7"/>
      <c r="AF1017" s="7"/>
      <c r="AG1017" s="7"/>
      <c r="AH1017" s="7"/>
      <c r="AI1017" s="7"/>
    </row>
  </sheetData>
  <mergeCells count="6">
    <mergeCell ref="W34:W35"/>
    <mergeCell ref="C2:H2"/>
    <mergeCell ref="I2:N2"/>
    <mergeCell ref="C17:H17"/>
    <mergeCell ref="I17:N17"/>
    <mergeCell ref="V34:V35"/>
  </mergeCells>
  <hyperlinks>
    <hyperlink ref="I33" r:id="rId1" location="gid=62411718" xr:uid="{00000000-0004-0000-0600-000000000000}"/>
    <hyperlink ref="E59" r:id="rId2" location="gid=62411718" xr:uid="{00000000-0004-0000-0600-000001000000}"/>
  </hyperlinks>
  <pageMargins left="0.7" right="0.7" top="0.75" bottom="0.75" header="0.3" footer="0.3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T1002"/>
  <sheetViews>
    <sheetView workbookViewId="0">
      <pane xSplit="2" topLeftCell="C1" activePane="topRight" state="frozen"/>
      <selection pane="topRight" activeCell="D2" sqref="D2"/>
    </sheetView>
  </sheetViews>
  <sheetFormatPr defaultColWidth="12.6328125" defaultRowHeight="15.75" customHeight="1" x14ac:dyDescent="0.25"/>
  <cols>
    <col min="2" max="2" width="24.6328125" customWidth="1"/>
    <col min="3" max="3" width="18.08984375" customWidth="1"/>
    <col min="6" max="6" width="14.90625" customWidth="1"/>
    <col min="7" max="7" width="15.90625" customWidth="1"/>
    <col min="8" max="8" width="15.453125" customWidth="1"/>
    <col min="9" max="9" width="14.453125" customWidth="1"/>
    <col min="10" max="10" width="13.90625" customWidth="1"/>
    <col min="11" max="11" width="19.453125" customWidth="1"/>
    <col min="12" max="12" width="15.36328125" customWidth="1"/>
    <col min="13" max="13" width="15.7265625" customWidth="1"/>
    <col min="14" max="14" width="15.90625" customWidth="1"/>
    <col min="17" max="17" width="14.90625" customWidth="1"/>
    <col min="18" max="18" width="15.08984375" customWidth="1"/>
    <col min="19" max="19" width="14.90625" customWidth="1"/>
    <col min="20" max="20" width="14" customWidth="1"/>
    <col min="25" max="25" width="13.453125" customWidth="1"/>
    <col min="26" max="26" width="13.7265625" customWidth="1"/>
    <col min="27" max="27" width="14.26953125" customWidth="1"/>
    <col min="31" max="37" width="17.26953125" customWidth="1"/>
    <col min="39" max="39" width="25.08984375" customWidth="1"/>
    <col min="43" max="43" width="18.36328125" customWidth="1"/>
  </cols>
  <sheetData>
    <row r="1" spans="1:46" ht="15.75" customHeight="1" x14ac:dyDescent="0.25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30"/>
      <c r="AQ1" s="130"/>
      <c r="AR1" s="19"/>
      <c r="AS1" s="19"/>
      <c r="AT1" s="19"/>
    </row>
    <row r="2" spans="1:46" ht="15.75" customHeight="1" x14ac:dyDescent="0.35">
      <c r="A2" s="19"/>
      <c r="B2" s="19"/>
      <c r="C2" s="99" t="s">
        <v>336</v>
      </c>
      <c r="D2" s="131" t="s">
        <v>214</v>
      </c>
      <c r="E2" s="131" t="s">
        <v>215</v>
      </c>
      <c r="F2" s="132" t="s">
        <v>216</v>
      </c>
      <c r="G2" s="132" t="s">
        <v>217</v>
      </c>
      <c r="H2" s="132" t="s">
        <v>218</v>
      </c>
      <c r="I2" s="133" t="s">
        <v>219</v>
      </c>
      <c r="K2" s="99" t="s">
        <v>337</v>
      </c>
      <c r="L2" s="131" t="s">
        <v>214</v>
      </c>
      <c r="M2" s="131" t="s">
        <v>215</v>
      </c>
      <c r="N2" s="132" t="s">
        <v>216</v>
      </c>
      <c r="O2" s="132" t="s">
        <v>217</v>
      </c>
      <c r="P2" s="132" t="s">
        <v>218</v>
      </c>
      <c r="Q2" s="133" t="s">
        <v>219</v>
      </c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30"/>
      <c r="AQ2" s="130"/>
      <c r="AR2" s="19"/>
      <c r="AS2" s="19"/>
      <c r="AT2" s="19"/>
    </row>
    <row r="3" spans="1:46" ht="15.75" customHeight="1" x14ac:dyDescent="0.35">
      <c r="A3" s="19"/>
      <c r="B3" s="19"/>
      <c r="C3" s="33" t="s">
        <v>276</v>
      </c>
      <c r="D3" s="134">
        <f>'2022 Snow BPCA Calibr'!C50</f>
        <v>8.445340330906341E-2</v>
      </c>
      <c r="E3" s="134">
        <f>'2022 Snow BPCA Calibr'!D50</f>
        <v>8.7341702895345888E-2</v>
      </c>
      <c r="F3" s="135">
        <f>'2022 Snow BPCA Calibr'!E50</f>
        <v>8.0440441057290132E-5</v>
      </c>
      <c r="G3" s="135">
        <f>'2022 Snow BPCA Calibr'!F50</f>
        <v>1.6172590986820992E-3</v>
      </c>
      <c r="H3" s="135">
        <f>'2022 Snow BPCA Calibr'!G50</f>
        <v>4.3374515741502892E-5</v>
      </c>
      <c r="I3" s="136">
        <f>'2022 Snow BPCA Calibr'!H50</f>
        <v>4.36032316479636E-4</v>
      </c>
      <c r="K3" s="33" t="s">
        <v>276</v>
      </c>
      <c r="L3" s="134" t="e">
        <f>'2022 Snow BPCA Calibr'!C55</f>
        <v>#DIV/0!</v>
      </c>
      <c r="M3" s="134" t="e">
        <f>'2022 Snow BPCA Calibr'!D55</f>
        <v>#DIV/0!</v>
      </c>
      <c r="N3" s="134">
        <f>'2022 Snow BPCA Calibr'!E55</f>
        <v>7.2647564770837259E-5</v>
      </c>
      <c r="O3" s="134">
        <f>'2022 Snow BPCA Calibr'!F55</f>
        <v>1.5912213367275485E-3</v>
      </c>
      <c r="P3" s="134">
        <f>'2022 Snow BPCA Calibr'!G55</f>
        <v>3.9772909383463428E-5</v>
      </c>
      <c r="Q3" s="137">
        <f>'2022 Snow BPCA Calibr'!H55</f>
        <v>3.0201914642696669E-4</v>
      </c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30"/>
      <c r="AQ3" s="130"/>
      <c r="AR3" s="19"/>
      <c r="AS3" s="19"/>
      <c r="AT3" s="19"/>
    </row>
    <row r="4" spans="1:46" ht="15.75" customHeight="1" x14ac:dyDescent="0.35">
      <c r="A4" s="19"/>
      <c r="B4" s="19"/>
      <c r="C4" s="34" t="s">
        <v>277</v>
      </c>
      <c r="D4" s="138">
        <f>'2022 Snow BPCA Calibr'!C51</f>
        <v>13.509855838058797</v>
      </c>
      <c r="E4" s="138">
        <f>'2022 Snow BPCA Calibr'!D51</f>
        <v>10.80290248915874</v>
      </c>
      <c r="F4" s="138">
        <f>'2022 Snow BPCA Calibr'!E51</f>
        <v>15.148410971798981</v>
      </c>
      <c r="G4" s="138">
        <f>'2022 Snow BPCA Calibr'!F51</f>
        <v>4.8927790278185626</v>
      </c>
      <c r="H4" s="138">
        <f>'2022 Snow BPCA Calibr'!G51</f>
        <v>1.3083715148569013</v>
      </c>
      <c r="I4" s="139">
        <f>'2022 Snow BPCA Calibr'!H51</f>
        <v>9.4001394443489161</v>
      </c>
      <c r="K4" s="34" t="s">
        <v>277</v>
      </c>
      <c r="L4" s="138" t="e">
        <f>'2022 Snow BPCA Calibr'!C56</f>
        <v>#DIV/0!</v>
      </c>
      <c r="M4" s="138" t="e">
        <f>'2022 Snow BPCA Calibr'!D56</f>
        <v>#DIV/0!</v>
      </c>
      <c r="N4" s="138">
        <f>'2022 Snow BPCA Calibr'!E56</f>
        <v>6.6013230313846236</v>
      </c>
      <c r="O4" s="138">
        <f>'2022 Snow BPCA Calibr'!F56</f>
        <v>10.744653782919755</v>
      </c>
      <c r="P4" s="138">
        <f>'2022 Snow BPCA Calibr'!G56</f>
        <v>-1.5806759433448434</v>
      </c>
      <c r="Q4" s="139">
        <f>'2022 Snow BPCA Calibr'!H56</f>
        <v>28.21912714498238</v>
      </c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30"/>
      <c r="AQ4" s="130"/>
      <c r="AR4" s="19"/>
      <c r="AS4" s="19"/>
      <c r="AT4" s="19"/>
    </row>
    <row r="5" spans="1:46" ht="15.75" customHeight="1" x14ac:dyDescent="0.25">
      <c r="A5" s="19"/>
      <c r="B5" s="70"/>
      <c r="C5" s="70"/>
      <c r="D5" s="70"/>
      <c r="E5" s="70"/>
      <c r="F5" s="70"/>
      <c r="G5" s="70"/>
      <c r="H5" s="70"/>
      <c r="I5" s="70"/>
      <c r="J5" s="70"/>
      <c r="K5" s="70"/>
      <c r="L5" s="70"/>
      <c r="M5" s="70"/>
      <c r="N5" s="70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70"/>
      <c r="AN5" s="70"/>
      <c r="AO5" s="70"/>
      <c r="AP5" s="140"/>
      <c r="AQ5" s="140"/>
      <c r="AR5" s="70"/>
      <c r="AS5" s="70"/>
      <c r="AT5" s="19"/>
    </row>
    <row r="6" spans="1:46" ht="15.75" customHeight="1" x14ac:dyDescent="0.35">
      <c r="A6" s="71"/>
      <c r="B6" s="184"/>
      <c r="C6" s="234" t="s">
        <v>278</v>
      </c>
      <c r="D6" s="235"/>
      <c r="E6" s="235"/>
      <c r="F6" s="235"/>
      <c r="G6" s="235"/>
      <c r="H6" s="235"/>
      <c r="I6" s="235"/>
      <c r="J6" s="235"/>
      <c r="K6" s="235"/>
      <c r="L6" s="235"/>
      <c r="M6" s="235"/>
      <c r="N6" s="236"/>
      <c r="O6" s="224" t="s">
        <v>279</v>
      </c>
      <c r="P6" s="225"/>
      <c r="Q6" s="225"/>
      <c r="R6" s="225"/>
      <c r="S6" s="225"/>
      <c r="T6" s="225"/>
      <c r="U6" s="226"/>
      <c r="V6" s="237" t="s">
        <v>280</v>
      </c>
      <c r="W6" s="221"/>
      <c r="X6" s="221"/>
      <c r="Y6" s="221"/>
      <c r="Z6" s="221"/>
      <c r="AA6" s="221"/>
      <c r="AB6" s="222"/>
      <c r="AC6" s="237" t="s">
        <v>143</v>
      </c>
      <c r="AD6" s="221"/>
      <c r="AE6" s="221"/>
      <c r="AF6" s="221"/>
      <c r="AG6" s="221"/>
      <c r="AH6" s="221"/>
      <c r="AI6" s="221"/>
      <c r="AJ6" s="221"/>
      <c r="AK6" s="222"/>
      <c r="AL6" s="185"/>
      <c r="AM6" s="186"/>
      <c r="AN6" s="238" t="s">
        <v>340</v>
      </c>
      <c r="AO6" s="235"/>
      <c r="AP6" s="235"/>
      <c r="AQ6" s="235"/>
      <c r="AR6" s="235"/>
      <c r="AS6" s="236"/>
      <c r="AT6" s="130"/>
    </row>
    <row r="7" spans="1:46" ht="15.75" customHeight="1" x14ac:dyDescent="0.35">
      <c r="A7" s="71"/>
      <c r="B7" s="99" t="s">
        <v>0</v>
      </c>
      <c r="C7" s="21" t="s">
        <v>282</v>
      </c>
      <c r="D7" s="5" t="s">
        <v>283</v>
      </c>
      <c r="E7" s="5" t="s">
        <v>284</v>
      </c>
      <c r="F7" s="93" t="s">
        <v>285</v>
      </c>
      <c r="G7" s="93" t="s">
        <v>286</v>
      </c>
      <c r="H7" s="187" t="s">
        <v>287</v>
      </c>
      <c r="I7" s="5" t="s">
        <v>288</v>
      </c>
      <c r="J7" s="5" t="s">
        <v>289</v>
      </c>
      <c r="K7" s="5" t="s">
        <v>290</v>
      </c>
      <c r="L7" s="93" t="s">
        <v>291</v>
      </c>
      <c r="M7" s="93" t="s">
        <v>292</v>
      </c>
      <c r="N7" s="93" t="s">
        <v>293</v>
      </c>
      <c r="O7" s="21" t="s">
        <v>22</v>
      </c>
      <c r="P7" s="5" t="s">
        <v>23</v>
      </c>
      <c r="Q7" s="5" t="s">
        <v>24</v>
      </c>
      <c r="R7" s="131" t="s">
        <v>25</v>
      </c>
      <c r="S7" s="131" t="s">
        <v>26</v>
      </c>
      <c r="T7" s="131" t="s">
        <v>27</v>
      </c>
      <c r="U7" s="23" t="s">
        <v>28</v>
      </c>
      <c r="V7" s="21" t="s">
        <v>22</v>
      </c>
      <c r="W7" s="5" t="s">
        <v>23</v>
      </c>
      <c r="X7" s="5" t="s">
        <v>24</v>
      </c>
      <c r="Y7" s="131" t="s">
        <v>25</v>
      </c>
      <c r="Z7" s="131" t="s">
        <v>26</v>
      </c>
      <c r="AA7" s="131" t="s">
        <v>27</v>
      </c>
      <c r="AB7" s="23" t="s">
        <v>28</v>
      </c>
      <c r="AC7" s="21" t="s">
        <v>22</v>
      </c>
      <c r="AD7" s="5" t="s">
        <v>23</v>
      </c>
      <c r="AE7" s="5" t="s">
        <v>24</v>
      </c>
      <c r="AF7" s="131" t="s">
        <v>25</v>
      </c>
      <c r="AG7" s="131" t="s">
        <v>26</v>
      </c>
      <c r="AH7" s="131" t="s">
        <v>27</v>
      </c>
      <c r="AI7" s="5" t="s">
        <v>28</v>
      </c>
      <c r="AJ7" s="5" t="s">
        <v>41</v>
      </c>
      <c r="AK7" s="23" t="s">
        <v>42</v>
      </c>
      <c r="AL7" s="71"/>
      <c r="AM7" s="1" t="s">
        <v>0</v>
      </c>
      <c r="AN7" s="99" t="s">
        <v>294</v>
      </c>
      <c r="AO7" s="144" t="s">
        <v>295</v>
      </c>
      <c r="AP7" s="93" t="s">
        <v>296</v>
      </c>
      <c r="AQ7" s="145" t="s">
        <v>297</v>
      </c>
      <c r="AR7" s="145" t="s">
        <v>196</v>
      </c>
      <c r="AS7" s="94" t="s">
        <v>192</v>
      </c>
      <c r="AT7" s="19"/>
    </row>
    <row r="8" spans="1:46" ht="15.75" customHeight="1" x14ac:dyDescent="0.35">
      <c r="A8" s="103"/>
      <c r="B8" s="33" t="s">
        <v>150</v>
      </c>
      <c r="C8" s="74">
        <v>65</v>
      </c>
      <c r="D8" s="75">
        <v>202.9</v>
      </c>
      <c r="E8" s="75">
        <v>52403.71</v>
      </c>
      <c r="F8" s="153">
        <v>7115.38</v>
      </c>
      <c r="G8" s="84">
        <v>640966.52</v>
      </c>
      <c r="H8" s="188">
        <v>17188.84</v>
      </c>
      <c r="I8" s="75">
        <v>1.5980000000000001</v>
      </c>
      <c r="J8" s="84">
        <v>2.798</v>
      </c>
      <c r="K8" s="75">
        <v>0.85099999999999998</v>
      </c>
      <c r="L8" s="77">
        <v>2.3109999999999999</v>
      </c>
      <c r="M8" s="75">
        <v>1.5980000000000001</v>
      </c>
      <c r="N8" s="77">
        <v>2.7410000000000001</v>
      </c>
      <c r="O8" s="147">
        <f t="shared" ref="O8:O10" si="0">C8*$D$3+$D$4</f>
        <v>18.999327053147919</v>
      </c>
      <c r="P8" s="148">
        <f t="shared" ref="P8:P25" si="1">D8*$E$3+$E$4</f>
        <v>28.524534006624421</v>
      </c>
      <c r="Q8" s="148">
        <f t="shared" ref="Q8:Q10" si="2">E8*$F$3+$F$4</f>
        <v>19.363788517237307</v>
      </c>
      <c r="R8" s="148">
        <f>(F8*$G$3+$G$4)</f>
        <v>16.400192073399197</v>
      </c>
      <c r="S8" s="148">
        <f t="shared" ref="S8:S10" si="3">(G8*$H$3+$H$4)</f>
        <v>29.109983926373229</v>
      </c>
      <c r="T8" s="148">
        <f t="shared" ref="T8:T10" si="4">(H8*$I$3+$I$4)</f>
        <v>16.895029167146742</v>
      </c>
      <c r="U8" s="149">
        <f t="shared" ref="U8:U10" si="5">SUM(R8:T8)</f>
        <v>62.405205166919174</v>
      </c>
      <c r="V8" s="147">
        <f t="shared" ref="V8:V10" si="6">O8*AP8/AQ8</f>
        <v>0.4042410011308068</v>
      </c>
      <c r="W8" s="148">
        <f t="shared" ref="W8:W25" si="7">P8*AP8/AQ8</f>
        <v>0.60690497886434946</v>
      </c>
      <c r="X8" s="148">
        <f t="shared" ref="X8:X10" si="8">Q8*AP8/AQ8</f>
        <v>0.4119955003667512</v>
      </c>
      <c r="Y8" s="148">
        <f>R8*AP8/AQ8</f>
        <v>0.34894025688083397</v>
      </c>
      <c r="Z8" s="148">
        <f t="shared" ref="Z8:Z10" si="9">S8*AP8/AQ8</f>
        <v>0.61936136013560061</v>
      </c>
      <c r="AA8" s="148">
        <f t="shared" ref="AA8:AA10" si="10">T8*AP8/AQ8</f>
        <v>0.35946870568397321</v>
      </c>
      <c r="AB8" s="149">
        <f t="shared" ref="AB8:AB10" si="11">U8*AP8/AQ8</f>
        <v>1.3277703227004081</v>
      </c>
      <c r="AC8" s="147">
        <f t="shared" ref="AC8:AC25" si="12">V8*AR8/AS8</f>
        <v>1.0559654095447144E-3</v>
      </c>
      <c r="AD8" s="148">
        <f t="shared" ref="AD8:AD25" si="13">W8*AR8/AS8</f>
        <v>1.585367794876013E-3</v>
      </c>
      <c r="AE8" s="148">
        <f t="shared" ref="AE8:AE10" si="14">X8*AR8/AS8</f>
        <v>1.0762218480024465E-3</v>
      </c>
      <c r="AF8" s="148">
        <f>Y8*AP8/AQ8</f>
        <v>7.4242607846985954E-3</v>
      </c>
      <c r="AG8" s="148">
        <f t="shared" ref="AG8:AG10" si="15">Z8*AP8/AQ8</f>
        <v>1.3177901279480864E-2</v>
      </c>
      <c r="AH8" s="148">
        <f t="shared" ref="AH8:AH10" si="16">AA8*AP8/AQ8</f>
        <v>7.6482703337015573E-3</v>
      </c>
      <c r="AI8" s="148">
        <f t="shared" ref="AI8:AI10" si="17">AB8*AP8/AQ8</f>
        <v>2.8250432397881022E-2</v>
      </c>
      <c r="AJ8" s="148">
        <f t="shared" ref="AJ8:AJ25" si="18">AC8+AD8</f>
        <v>2.6413332044207274E-3</v>
      </c>
      <c r="AK8" s="149">
        <f t="shared" ref="AK8:AK25" si="19">AE8+AI8</f>
        <v>2.9326654245883467E-2</v>
      </c>
      <c r="AL8" s="71"/>
      <c r="AM8" s="33" t="s">
        <v>150</v>
      </c>
      <c r="AN8" s="147">
        <f t="shared" ref="AN8:AN25" si="20">AO8/12*1000</f>
        <v>59.283333333333331</v>
      </c>
      <c r="AO8" s="150">
        <f>'2022 Snow PPL'!F2</f>
        <v>0.71140000000000003</v>
      </c>
      <c r="AP8" s="151">
        <f>'2022 Snow PPL'!X2/1000</f>
        <v>0.1</v>
      </c>
      <c r="AQ8" s="189">
        <f>'2022 Snow PPL'!V2</f>
        <v>4.7</v>
      </c>
      <c r="AR8" s="150">
        <f>'2022 Snow PPL'!J2</f>
        <v>9.1819444444444418</v>
      </c>
      <c r="AS8" s="152">
        <f>'2022 Snow PPL'!E2</f>
        <v>3515</v>
      </c>
      <c r="AT8" s="19"/>
    </row>
    <row r="9" spans="1:46" ht="15.75" customHeight="1" x14ac:dyDescent="0.35">
      <c r="A9" s="103"/>
      <c r="B9" s="33" t="s">
        <v>151</v>
      </c>
      <c r="C9" s="74">
        <v>249.5</v>
      </c>
      <c r="D9" s="75">
        <v>918.8</v>
      </c>
      <c r="E9" s="75">
        <v>85723.78</v>
      </c>
      <c r="F9" s="153"/>
      <c r="G9" s="84">
        <v>920798.59</v>
      </c>
      <c r="H9" s="190">
        <v>22128.66</v>
      </c>
      <c r="I9" s="75">
        <v>1.5840000000000001</v>
      </c>
      <c r="J9" s="84">
        <v>2.7519999999999998</v>
      </c>
      <c r="K9" s="75">
        <v>0.82799999999999996</v>
      </c>
      <c r="L9" s="77"/>
      <c r="M9" s="75">
        <v>1.5980000000000001</v>
      </c>
      <c r="N9" s="75">
        <v>2.74</v>
      </c>
      <c r="O9" s="147">
        <f t="shared" si="0"/>
        <v>34.580979963670117</v>
      </c>
      <c r="P9" s="148">
        <f t="shared" si="1"/>
        <v>91.052459109402534</v>
      </c>
      <c r="Q9" s="148">
        <f t="shared" si="2"/>
        <v>22.044069644097089</v>
      </c>
      <c r="R9" s="148"/>
      <c r="S9" s="148">
        <f t="shared" si="3"/>
        <v>41.247564451565566</v>
      </c>
      <c r="T9" s="148">
        <f t="shared" si="4"/>
        <v>19.048950324739177</v>
      </c>
      <c r="U9" s="149">
        <f t="shared" si="5"/>
        <v>60.296514776304747</v>
      </c>
      <c r="V9" s="147">
        <f t="shared" si="6"/>
        <v>0.76846622141489151</v>
      </c>
      <c r="W9" s="148">
        <f t="shared" si="7"/>
        <v>2.0233879802089452</v>
      </c>
      <c r="X9" s="148">
        <f t="shared" si="8"/>
        <v>0.48986821431326866</v>
      </c>
      <c r="Y9" s="148"/>
      <c r="Z9" s="148">
        <f t="shared" si="9"/>
        <v>0.9166125433681237</v>
      </c>
      <c r="AA9" s="148">
        <f t="shared" si="10"/>
        <v>0.4233100072164262</v>
      </c>
      <c r="AB9" s="149">
        <f t="shared" si="11"/>
        <v>1.33992255058455</v>
      </c>
      <c r="AC9" s="147">
        <f t="shared" si="12"/>
        <v>2.0074008968602205E-3</v>
      </c>
      <c r="AD9" s="148">
        <f t="shared" si="13"/>
        <v>5.2855294520156998E-3</v>
      </c>
      <c r="AE9" s="148">
        <f t="shared" si="14"/>
        <v>1.2796423126383034E-3</v>
      </c>
      <c r="AF9" s="148"/>
      <c r="AG9" s="148">
        <f t="shared" si="15"/>
        <v>2.0369167630402751E-2</v>
      </c>
      <c r="AH9" s="148">
        <f t="shared" si="16"/>
        <v>9.4068890492539151E-3</v>
      </c>
      <c r="AI9" s="148">
        <f t="shared" si="17"/>
        <v>2.9776056679656666E-2</v>
      </c>
      <c r="AJ9" s="148">
        <f t="shared" si="18"/>
        <v>7.2929303488759208E-3</v>
      </c>
      <c r="AK9" s="149">
        <f t="shared" si="19"/>
        <v>3.1055698992294968E-2</v>
      </c>
      <c r="AL9" s="71"/>
      <c r="AM9" s="33" t="s">
        <v>151</v>
      </c>
      <c r="AN9" s="147">
        <f t="shared" si="20"/>
        <v>59.283333333333331</v>
      </c>
      <c r="AO9" s="150">
        <f>'2022 Snow PPL'!F3</f>
        <v>0.71140000000000003</v>
      </c>
      <c r="AP9" s="151">
        <f>'2022 Snow PPL'!X3/1000</f>
        <v>0.1</v>
      </c>
      <c r="AQ9" s="189">
        <f>'2022 Snow PPL'!V3</f>
        <v>4.5</v>
      </c>
      <c r="AR9" s="150">
        <f>'2022 Snow PPL'!J3</f>
        <v>9.1819444444444418</v>
      </c>
      <c r="AS9" s="152">
        <f>'2022 Snow PPL'!E3</f>
        <v>3515</v>
      </c>
      <c r="AT9" s="19"/>
    </row>
    <row r="10" spans="1:46" ht="15.75" customHeight="1" x14ac:dyDescent="0.35">
      <c r="A10" s="103"/>
      <c r="B10" s="29" t="s">
        <v>152</v>
      </c>
      <c r="C10" s="74">
        <v>800.8</v>
      </c>
      <c r="D10" s="191">
        <v>5489.3</v>
      </c>
      <c r="E10" s="75">
        <v>305212.3</v>
      </c>
      <c r="F10" s="84"/>
      <c r="G10" s="84">
        <v>471087.49</v>
      </c>
      <c r="H10" s="190">
        <v>13161.92</v>
      </c>
      <c r="I10" s="75">
        <v>1.587</v>
      </c>
      <c r="J10" s="84">
        <v>2.6949999999999998</v>
      </c>
      <c r="K10" s="75">
        <v>0.82599999999999996</v>
      </c>
      <c r="L10" s="75"/>
      <c r="M10" s="75">
        <v>1.607</v>
      </c>
      <c r="N10" s="75">
        <v>2.7610000000000001</v>
      </c>
      <c r="O10" s="147">
        <f t="shared" si="0"/>
        <v>81.140141207956773</v>
      </c>
      <c r="P10" s="192">
        <f t="shared" si="1"/>
        <v>490.24771219258093</v>
      </c>
      <c r="Q10" s="148">
        <f t="shared" si="2"/>
        <v>39.699822999908932</v>
      </c>
      <c r="R10" s="148"/>
      <c r="S10" s="148">
        <f t="shared" si="3"/>
        <v>21.741563265486988</v>
      </c>
      <c r="T10" s="148">
        <f t="shared" si="4"/>
        <v>15.139161911268566</v>
      </c>
      <c r="U10" s="149">
        <f t="shared" si="5"/>
        <v>36.880725176755554</v>
      </c>
      <c r="V10" s="147">
        <f t="shared" si="6"/>
        <v>1.763916113216452</v>
      </c>
      <c r="W10" s="192">
        <f t="shared" si="7"/>
        <v>10.657558960708283</v>
      </c>
      <c r="X10" s="148">
        <f t="shared" si="8"/>
        <v>0.86303963043280296</v>
      </c>
      <c r="Y10" s="148"/>
      <c r="Z10" s="148">
        <f t="shared" si="9"/>
        <v>0.47264267968449974</v>
      </c>
      <c r="AA10" s="148">
        <f t="shared" si="10"/>
        <v>0.32911221546236014</v>
      </c>
      <c r="AB10" s="149">
        <f t="shared" si="11"/>
        <v>0.80175489514686005</v>
      </c>
      <c r="AC10" s="147">
        <f t="shared" si="12"/>
        <v>2.8263733386009902E-3</v>
      </c>
      <c r="AD10" s="192">
        <f t="shared" si="13"/>
        <v>1.7076912147588979E-2</v>
      </c>
      <c r="AE10" s="148">
        <f t="shared" si="14"/>
        <v>1.3828731328744319E-3</v>
      </c>
      <c r="AF10" s="148"/>
      <c r="AG10" s="148">
        <f t="shared" si="15"/>
        <v>1.0274840862706518E-2</v>
      </c>
      <c r="AH10" s="148">
        <f t="shared" si="16"/>
        <v>7.1546133796165246E-3</v>
      </c>
      <c r="AI10" s="148">
        <f t="shared" si="17"/>
        <v>1.7429454242323048E-2</v>
      </c>
      <c r="AJ10" s="148">
        <f t="shared" si="18"/>
        <v>1.990328548618997E-2</v>
      </c>
      <c r="AK10" s="149">
        <f t="shared" si="19"/>
        <v>1.8812327375197481E-2</v>
      </c>
      <c r="AL10" s="71"/>
      <c r="AM10" s="29" t="s">
        <v>152</v>
      </c>
      <c r="AN10" s="147">
        <f t="shared" si="20"/>
        <v>39.166666666666664</v>
      </c>
      <c r="AO10" s="150">
        <f>'2022 Snow PPL'!F4</f>
        <v>0.46999999999999992</v>
      </c>
      <c r="AP10" s="151">
        <f>'2022 Snow PPL'!X4/1000</f>
        <v>0.1</v>
      </c>
      <c r="AQ10" s="189">
        <f>'2022 Snow PPL'!V4</f>
        <v>4.5999999999999996</v>
      </c>
      <c r="AR10" s="150">
        <f>'2022 Snow PPL'!J4</f>
        <v>9.1877525252525256</v>
      </c>
      <c r="AS10" s="152">
        <f>'2022 Snow PPL'!E4</f>
        <v>5734</v>
      </c>
      <c r="AT10" s="19"/>
    </row>
    <row r="11" spans="1:46" ht="15.75" customHeight="1" x14ac:dyDescent="0.35">
      <c r="A11" s="103"/>
      <c r="B11" s="29" t="s">
        <v>153</v>
      </c>
      <c r="C11" s="74"/>
      <c r="D11" s="75">
        <v>19.399999999999999</v>
      </c>
      <c r="E11" s="75">
        <v>8904.4500000000007</v>
      </c>
      <c r="F11" s="84"/>
      <c r="G11" s="84">
        <v>7407.82</v>
      </c>
      <c r="H11" s="190"/>
      <c r="I11" s="75"/>
      <c r="J11" s="84">
        <v>2.7909999999999999</v>
      </c>
      <c r="K11" s="75">
        <v>0.84399999999999997</v>
      </c>
      <c r="L11" s="75"/>
      <c r="M11" s="75">
        <v>1.5569999999999999</v>
      </c>
      <c r="N11" s="75"/>
      <c r="O11" s="147"/>
      <c r="P11" s="148">
        <f t="shared" si="1"/>
        <v>12.49733152532845</v>
      </c>
      <c r="Q11" s="148"/>
      <c r="R11" s="148"/>
      <c r="S11" s="148"/>
      <c r="T11" s="148"/>
      <c r="U11" s="149"/>
      <c r="V11" s="147"/>
      <c r="W11" s="148">
        <f t="shared" si="7"/>
        <v>0.27168112011583589</v>
      </c>
      <c r="X11" s="148"/>
      <c r="Y11" s="148"/>
      <c r="Z11" s="148"/>
      <c r="AA11" s="148"/>
      <c r="AB11" s="149"/>
      <c r="AC11" s="147">
        <f t="shared" si="12"/>
        <v>0</v>
      </c>
      <c r="AD11" s="148">
        <f t="shared" si="13"/>
        <v>4.3532244461243566E-4</v>
      </c>
      <c r="AE11" s="148"/>
      <c r="AF11" s="148"/>
      <c r="AG11" s="148"/>
      <c r="AH11" s="148"/>
      <c r="AI11" s="148"/>
      <c r="AJ11" s="148">
        <f t="shared" si="18"/>
        <v>4.3532244461243566E-4</v>
      </c>
      <c r="AK11" s="149">
        <f t="shared" si="19"/>
        <v>0</v>
      </c>
      <c r="AL11" s="71"/>
      <c r="AM11" s="29" t="s">
        <v>153</v>
      </c>
      <c r="AN11" s="147">
        <f t="shared" si="20"/>
        <v>39.166666666666664</v>
      </c>
      <c r="AO11" s="150">
        <f>'2022 Snow PPL'!F5</f>
        <v>0.46999999999999992</v>
      </c>
      <c r="AP11" s="151">
        <f>'2022 Snow PPL'!X5/1000</f>
        <v>0.1</v>
      </c>
      <c r="AQ11" s="189">
        <f>'2022 Snow PPL'!V5</f>
        <v>4.5999999999999996</v>
      </c>
      <c r="AR11" s="150">
        <f>'2022 Snow PPL'!J5</f>
        <v>9.1877525252525256</v>
      </c>
      <c r="AS11" s="152">
        <f>'2022 Snow PPL'!E5</f>
        <v>5734</v>
      </c>
      <c r="AT11" s="19"/>
    </row>
    <row r="12" spans="1:46" ht="15.75" customHeight="1" x14ac:dyDescent="0.35">
      <c r="A12" s="103"/>
      <c r="B12" s="29" t="s">
        <v>112</v>
      </c>
      <c r="C12" s="74">
        <v>582.79999999999995</v>
      </c>
      <c r="D12" s="191">
        <v>6544.2</v>
      </c>
      <c r="E12" s="77">
        <v>348300.79</v>
      </c>
      <c r="F12" s="153"/>
      <c r="G12" s="153">
        <v>1759857.7</v>
      </c>
      <c r="H12" s="188">
        <v>48266.7</v>
      </c>
      <c r="I12" s="75">
        <v>1.589</v>
      </c>
      <c r="J12" s="84">
        <v>2.6909999999999998</v>
      </c>
      <c r="K12" s="77">
        <v>0.82199999999999995</v>
      </c>
      <c r="L12" s="77"/>
      <c r="M12" s="77">
        <v>1.5920000000000001</v>
      </c>
      <c r="N12" s="77">
        <v>2.746</v>
      </c>
      <c r="O12" s="147">
        <f t="shared" ref="O12:O25" si="21">C12*$D$3+$D$4</f>
        <v>62.729299286580947</v>
      </c>
      <c r="P12" s="192">
        <f t="shared" si="1"/>
        <v>582.3844745768813</v>
      </c>
      <c r="Q12" s="148">
        <f t="shared" ref="Q12:Q15" si="22">E12*$F$3+$F$4</f>
        <v>43.165880140001569</v>
      </c>
      <c r="R12" s="148"/>
      <c r="S12" s="148">
        <f t="shared" ref="S12:S15" si="23">(G12*$H$3+$H$4)</f>
        <v>77.641347026311976</v>
      </c>
      <c r="T12" s="148">
        <f t="shared" ref="T12:T15" si="24">(H12*$I$3+$I$4)</f>
        <v>30.44598045417656</v>
      </c>
      <c r="U12" s="149">
        <f t="shared" ref="U12:U22" si="25">SUM(R12:T12)</f>
        <v>108.08732748048854</v>
      </c>
      <c r="V12" s="147">
        <f t="shared" ref="V12:V25" si="26">O12*AP12/AQ12</f>
        <v>0.68744437574335282</v>
      </c>
      <c r="W12" s="192">
        <f t="shared" si="7"/>
        <v>6.3822956118014389</v>
      </c>
      <c r="X12" s="148">
        <f t="shared" ref="X12:X25" si="27">Q12*AP12/AQ12</f>
        <v>0.47305074126029117</v>
      </c>
      <c r="Y12" s="148"/>
      <c r="Z12" s="148">
        <f t="shared" ref="Z12:Z22" si="28">S12*AP12/AQ12</f>
        <v>0.85086407700067923</v>
      </c>
      <c r="AA12" s="148">
        <f t="shared" ref="AA12:AA18" si="29">T12*AP12/AQ12</f>
        <v>0.3336545803197431</v>
      </c>
      <c r="AB12" s="149">
        <f t="shared" ref="AB12:AB22" si="30">U12*AP12/AQ12</f>
        <v>1.1845186573204223</v>
      </c>
      <c r="AC12" s="147">
        <f t="shared" si="12"/>
        <v>1.904970162569099E-3</v>
      </c>
      <c r="AD12" s="192">
        <f t="shared" si="13"/>
        <v>1.7685914872793251E-2</v>
      </c>
      <c r="AE12" s="148">
        <f t="shared" ref="AE12:AE25" si="31">X12*AR12/AS12</f>
        <v>1.3108661286342096E-3</v>
      </c>
      <c r="AF12" s="148"/>
      <c r="AG12" s="148">
        <f t="shared" ref="AG12:AG22" si="32">Z12*AP12/AQ12</f>
        <v>9.3245378301444297E-3</v>
      </c>
      <c r="AH12" s="148">
        <f t="shared" ref="AH12:AH18" si="33">AA12*AP12/AQ12</f>
        <v>3.6564885514492398E-3</v>
      </c>
      <c r="AI12" s="148">
        <f t="shared" ref="AI12:AI22" si="34">AB12*AP12/AQ12</f>
        <v>1.298102638159367E-2</v>
      </c>
      <c r="AJ12" s="148">
        <f t="shared" si="18"/>
        <v>1.9590885035362351E-2</v>
      </c>
      <c r="AK12" s="149">
        <f t="shared" si="19"/>
        <v>1.429189251022788E-2</v>
      </c>
      <c r="AL12" s="71"/>
      <c r="AM12" s="29" t="s">
        <v>112</v>
      </c>
      <c r="AN12" s="147">
        <f t="shared" si="20"/>
        <v>36.25</v>
      </c>
      <c r="AO12" s="150">
        <f>'2022 Snow PPL'!F6</f>
        <v>0.43499999999999994</v>
      </c>
      <c r="AP12" s="151">
        <f>'2022 Snow PPL'!X6/1000</f>
        <v>0.1</v>
      </c>
      <c r="AQ12" s="189">
        <f>'2022 Snow PPL'!V6</f>
        <v>9.125</v>
      </c>
      <c r="AR12" s="150">
        <f>'2022 Snow PPL'!J6</f>
        <v>9.1030303030303035</v>
      </c>
      <c r="AS12" s="152">
        <f>'2022 Snow PPL'!E6</f>
        <v>3285</v>
      </c>
      <c r="AT12" s="19"/>
    </row>
    <row r="13" spans="1:46" ht="15.75" customHeight="1" x14ac:dyDescent="0.35">
      <c r="A13" s="103"/>
      <c r="B13" s="29" t="s">
        <v>83</v>
      </c>
      <c r="C13" s="74">
        <v>230.6</v>
      </c>
      <c r="D13" s="191">
        <v>5387.4</v>
      </c>
      <c r="E13" s="75">
        <v>227660.61</v>
      </c>
      <c r="F13" s="153"/>
      <c r="G13" s="84">
        <v>855981.26</v>
      </c>
      <c r="H13" s="190">
        <v>31327.54</v>
      </c>
      <c r="I13" s="75">
        <v>1.607</v>
      </c>
      <c r="J13" s="84">
        <v>2.698</v>
      </c>
      <c r="K13" s="75">
        <v>0.83299999999999996</v>
      </c>
      <c r="L13" s="77"/>
      <c r="M13" s="75">
        <v>1.603</v>
      </c>
      <c r="N13" s="75">
        <v>2.746</v>
      </c>
      <c r="O13" s="147">
        <f t="shared" si="21"/>
        <v>32.984810641128817</v>
      </c>
      <c r="P13" s="192">
        <f t="shared" si="1"/>
        <v>481.34759266754514</v>
      </c>
      <c r="Q13" s="148">
        <f t="shared" si="22"/>
        <v>33.4615308515707</v>
      </c>
      <c r="R13" s="148"/>
      <c r="S13" s="148">
        <f t="shared" si="23"/>
        <v>38.436144151158381</v>
      </c>
      <c r="T13" s="148">
        <f t="shared" si="24"/>
        <v>23.059959280157372</v>
      </c>
      <c r="U13" s="149">
        <f t="shared" si="25"/>
        <v>61.496103431315753</v>
      </c>
      <c r="V13" s="147">
        <f t="shared" si="26"/>
        <v>0.35659254747166291</v>
      </c>
      <c r="W13" s="192">
        <f t="shared" si="7"/>
        <v>5.2037577585680559</v>
      </c>
      <c r="X13" s="148">
        <f t="shared" si="27"/>
        <v>0.36174627947644</v>
      </c>
      <c r="Y13" s="148"/>
      <c r="Z13" s="148">
        <f t="shared" si="28"/>
        <v>0.41552588271522578</v>
      </c>
      <c r="AA13" s="148">
        <f t="shared" si="29"/>
        <v>0.24929685708278243</v>
      </c>
      <c r="AB13" s="149">
        <f t="shared" si="30"/>
        <v>0.66482273979800821</v>
      </c>
      <c r="AC13" s="147">
        <f t="shared" si="12"/>
        <v>1.0935145441585677E-3</v>
      </c>
      <c r="AD13" s="192">
        <f t="shared" si="13"/>
        <v>1.5957666063462394E-2</v>
      </c>
      <c r="AE13" s="148">
        <f t="shared" si="31"/>
        <v>1.1093188029516292E-3</v>
      </c>
      <c r="AF13" s="148"/>
      <c r="AG13" s="148">
        <f t="shared" si="32"/>
        <v>4.4921717050294685E-3</v>
      </c>
      <c r="AH13" s="148">
        <f t="shared" si="33"/>
        <v>2.6951011576517021E-3</v>
      </c>
      <c r="AI13" s="148">
        <f t="shared" si="34"/>
        <v>7.1872728626811693E-3</v>
      </c>
      <c r="AJ13" s="148">
        <f t="shared" si="18"/>
        <v>1.7051180607620963E-2</v>
      </c>
      <c r="AK13" s="149">
        <f t="shared" si="19"/>
        <v>8.2965916656327979E-3</v>
      </c>
      <c r="AL13" s="71"/>
      <c r="AM13" s="29" t="s">
        <v>83</v>
      </c>
      <c r="AN13" s="147">
        <f t="shared" si="20"/>
        <v>29.960416666666667</v>
      </c>
      <c r="AO13" s="150">
        <f>'2022 Snow PPL'!F7</f>
        <v>0.35952499999999998</v>
      </c>
      <c r="AP13" s="151">
        <f>'2022 Snow PPL'!X7/1000</f>
        <v>0.1</v>
      </c>
      <c r="AQ13" s="189">
        <f>'2022 Snow PPL'!V7</f>
        <v>9.25</v>
      </c>
      <c r="AR13" s="150">
        <f>'2022 Snow PPL'!J7</f>
        <v>9.1291666666666664</v>
      </c>
      <c r="AS13" s="152">
        <f>'2022 Snow PPL'!E7</f>
        <v>2977</v>
      </c>
      <c r="AT13" s="19"/>
    </row>
    <row r="14" spans="1:46" ht="15.75" customHeight="1" x14ac:dyDescent="0.35">
      <c r="A14" s="103"/>
      <c r="B14" s="29" t="s">
        <v>135</v>
      </c>
      <c r="C14" s="74">
        <v>459</v>
      </c>
      <c r="D14" s="75">
        <v>1229.0999999999999</v>
      </c>
      <c r="E14" s="75">
        <v>39092.68</v>
      </c>
      <c r="F14" s="153">
        <v>20965.8</v>
      </c>
      <c r="G14" s="84">
        <v>553596.31000000006</v>
      </c>
      <c r="H14" s="190">
        <v>241814.69</v>
      </c>
      <c r="I14" s="75">
        <v>1.6040000000000001</v>
      </c>
      <c r="J14" s="84">
        <v>2.7719999999999998</v>
      </c>
      <c r="K14" s="75">
        <v>0.81</v>
      </c>
      <c r="L14" s="77">
        <v>2.4620000000000002</v>
      </c>
      <c r="M14" s="75">
        <v>1.6020000000000001</v>
      </c>
      <c r="N14" s="75">
        <v>2.7559999999999998</v>
      </c>
      <c r="O14" s="147">
        <f t="shared" si="21"/>
        <v>52.273967956918902</v>
      </c>
      <c r="P14" s="148">
        <f t="shared" si="1"/>
        <v>118.15458951782836</v>
      </c>
      <c r="Q14" s="148">
        <f t="shared" si="22"/>
        <v>18.293043393110487</v>
      </c>
      <c r="R14" s="148">
        <f>(F14*$G$3+$G$4)</f>
        <v>38.799909838967714</v>
      </c>
      <c r="S14" s="148">
        <f t="shared" si="23"/>
        <v>25.320343377389818</v>
      </c>
      <c r="T14" s="148">
        <f t="shared" si="24"/>
        <v>114.839158883854</v>
      </c>
      <c r="U14" s="149">
        <f t="shared" si="25"/>
        <v>178.95941210021152</v>
      </c>
      <c r="V14" s="147">
        <f t="shared" si="26"/>
        <v>0.57921294135090196</v>
      </c>
      <c r="W14" s="148">
        <f t="shared" si="7"/>
        <v>1.3091921276213669</v>
      </c>
      <c r="X14" s="148">
        <f t="shared" si="27"/>
        <v>0.20269300158571177</v>
      </c>
      <c r="Y14" s="148">
        <f>R14*AP14/AQ14</f>
        <v>0.42991589849271705</v>
      </c>
      <c r="Z14" s="148">
        <f t="shared" si="28"/>
        <v>0.2805578213561199</v>
      </c>
      <c r="AA14" s="148">
        <f t="shared" si="29"/>
        <v>1.2724560541147258</v>
      </c>
      <c r="AB14" s="149">
        <f t="shared" si="30"/>
        <v>1.9829297739635625</v>
      </c>
      <c r="AC14" s="147">
        <f t="shared" si="12"/>
        <v>1.003426430675827E-3</v>
      </c>
      <c r="AD14" s="148">
        <f t="shared" si="13"/>
        <v>2.2680397655206056E-3</v>
      </c>
      <c r="AE14" s="148">
        <f t="shared" si="31"/>
        <v>3.5114463193753671E-4</v>
      </c>
      <c r="AF14" s="148">
        <f>Y14*AP14/AQ14</f>
        <v>4.7636110636312141E-3</v>
      </c>
      <c r="AG14" s="148">
        <f t="shared" si="32"/>
        <v>3.1086739208434338E-3</v>
      </c>
      <c r="AH14" s="148">
        <f t="shared" si="33"/>
        <v>1.4099236056672862E-2</v>
      </c>
      <c r="AI14" s="148">
        <f t="shared" si="34"/>
        <v>2.1971521041147506E-2</v>
      </c>
      <c r="AJ14" s="148">
        <f t="shared" si="18"/>
        <v>3.2714661961964326E-3</v>
      </c>
      <c r="AK14" s="149">
        <f t="shared" si="19"/>
        <v>2.2322665673085045E-2</v>
      </c>
      <c r="AL14" s="71"/>
      <c r="AM14" s="29" t="s">
        <v>135</v>
      </c>
      <c r="AN14" s="147">
        <f t="shared" si="20"/>
        <v>25.625</v>
      </c>
      <c r="AO14" s="150">
        <f>'2022 Snow PPL'!F8</f>
        <v>0.3075</v>
      </c>
      <c r="AP14" s="151">
        <f>'2022 Snow PPL'!X8/1000</f>
        <v>0.1</v>
      </c>
      <c r="AQ14" s="189">
        <f>'2022 Snow PPL'!V8</f>
        <v>9.0250000000000004</v>
      </c>
      <c r="AR14" s="150">
        <f>'2022 Snow PPL'!J8</f>
        <v>8.9651515151515149</v>
      </c>
      <c r="AS14" s="152">
        <f>'2022 Snow PPL'!E8</f>
        <v>5175</v>
      </c>
      <c r="AT14" s="19"/>
    </row>
    <row r="15" spans="1:46" ht="15.75" customHeight="1" x14ac:dyDescent="0.35">
      <c r="A15" s="103"/>
      <c r="B15" s="33" t="s">
        <v>118</v>
      </c>
      <c r="C15" s="74">
        <v>239.1</v>
      </c>
      <c r="D15" s="75">
        <v>1514.7</v>
      </c>
      <c r="E15" s="75">
        <v>35180.5</v>
      </c>
      <c r="F15" s="153"/>
      <c r="G15" s="84">
        <v>74256.259999999995</v>
      </c>
      <c r="H15" s="190">
        <v>5576.4</v>
      </c>
      <c r="I15" s="75">
        <v>1.5820000000000001</v>
      </c>
      <c r="J15" s="84">
        <v>3.0680000000000001</v>
      </c>
      <c r="K15" s="75">
        <v>0.86</v>
      </c>
      <c r="L15" s="77"/>
      <c r="M15" s="75">
        <v>1.55</v>
      </c>
      <c r="N15" s="75">
        <v>2.7269999999999999</v>
      </c>
      <c r="O15" s="147">
        <f t="shared" si="21"/>
        <v>33.702664569255859</v>
      </c>
      <c r="P15" s="148">
        <f t="shared" si="1"/>
        <v>143.09937986473915</v>
      </c>
      <c r="Q15" s="148">
        <f t="shared" si="22"/>
        <v>17.978345908414976</v>
      </c>
      <c r="R15" s="148"/>
      <c r="S15" s="148">
        <f t="shared" si="23"/>
        <v>4.5292008331320321</v>
      </c>
      <c r="T15" s="148">
        <f t="shared" si="24"/>
        <v>11.831630053965958</v>
      </c>
      <c r="U15" s="149">
        <f t="shared" si="25"/>
        <v>16.36083088709799</v>
      </c>
      <c r="V15" s="147">
        <f t="shared" si="26"/>
        <v>0.37137922390364592</v>
      </c>
      <c r="W15" s="148">
        <f t="shared" si="7"/>
        <v>1.576852670685831</v>
      </c>
      <c r="X15" s="148">
        <f t="shared" si="27"/>
        <v>0.19810849485856724</v>
      </c>
      <c r="Y15" s="148"/>
      <c r="Z15" s="148">
        <f t="shared" si="28"/>
        <v>4.9908549125421843E-2</v>
      </c>
      <c r="AA15" s="148">
        <f t="shared" si="29"/>
        <v>0.13037608874893619</v>
      </c>
      <c r="AB15" s="149">
        <f t="shared" si="30"/>
        <v>0.18028463787435803</v>
      </c>
      <c r="AC15" s="147">
        <f t="shared" si="12"/>
        <v>1.4203190503492928E-3</v>
      </c>
      <c r="AD15" s="148">
        <f t="shared" si="13"/>
        <v>6.0305847597719071E-3</v>
      </c>
      <c r="AE15" s="148">
        <f t="shared" si="31"/>
        <v>7.5765484758687294E-4</v>
      </c>
      <c r="AF15" s="148"/>
      <c r="AG15" s="148">
        <f t="shared" si="32"/>
        <v>5.499564641919763E-4</v>
      </c>
      <c r="AH15" s="148">
        <f t="shared" si="33"/>
        <v>1.4366511156907573E-3</v>
      </c>
      <c r="AI15" s="148">
        <f t="shared" si="34"/>
        <v>1.986607579882733E-3</v>
      </c>
      <c r="AJ15" s="148">
        <f t="shared" si="18"/>
        <v>7.4509038101212002E-3</v>
      </c>
      <c r="AK15" s="149">
        <f t="shared" si="19"/>
        <v>2.7442624274696061E-3</v>
      </c>
      <c r="AL15" s="71"/>
      <c r="AM15" s="33" t="s">
        <v>118</v>
      </c>
      <c r="AN15" s="147">
        <f t="shared" si="20"/>
        <v>14.525000000000002</v>
      </c>
      <c r="AO15" s="150">
        <f>'2022 Snow PPL'!F9</f>
        <v>0.17430000000000001</v>
      </c>
      <c r="AP15" s="151">
        <f>'2022 Snow PPL'!X9/1000</f>
        <v>0.1</v>
      </c>
      <c r="AQ15" s="189">
        <f>'2022 Snow PPL'!V9</f>
        <v>9.0749999999999993</v>
      </c>
      <c r="AR15" s="150">
        <f>'2022 Snow PPL'!J9</f>
        <v>9.0065656565656571</v>
      </c>
      <c r="AS15" s="152">
        <f>'2022 Snow PPL'!E9</f>
        <v>2355</v>
      </c>
      <c r="AT15" s="19"/>
    </row>
    <row r="16" spans="1:46" ht="15.75" customHeight="1" x14ac:dyDescent="0.35">
      <c r="A16" s="103" t="s">
        <v>341</v>
      </c>
      <c r="B16" s="33" t="s">
        <v>125</v>
      </c>
      <c r="C16" s="74">
        <v>643.29999999999995</v>
      </c>
      <c r="D16" s="75">
        <v>3357.1</v>
      </c>
      <c r="E16" s="75">
        <v>447514.79</v>
      </c>
      <c r="F16" s="153"/>
      <c r="G16" s="84">
        <v>3035889.22</v>
      </c>
      <c r="H16" s="190">
        <v>39939.39</v>
      </c>
      <c r="I16" s="75">
        <v>1.5840000000000001</v>
      </c>
      <c r="J16" s="84">
        <v>2.67</v>
      </c>
      <c r="K16" s="75">
        <v>0.88400000000000001</v>
      </c>
      <c r="L16" s="77"/>
      <c r="M16" s="75">
        <v>1.9390000000000001</v>
      </c>
      <c r="N16" s="75">
        <v>2.9319999999999999</v>
      </c>
      <c r="O16" s="147">
        <f t="shared" si="21"/>
        <v>67.838730186779287</v>
      </c>
      <c r="P16" s="148">
        <f t="shared" si="1"/>
        <v>304.0177332791244</v>
      </c>
      <c r="Q16" s="148">
        <f t="shared" ref="Q16:Q25" si="35">E16*$N$3+$N$4</f>
        <v>39.112182723817256</v>
      </c>
      <c r="R16" s="148"/>
      <c r="S16" s="148">
        <f t="shared" ref="S16:S22" si="36">(G16*$P$3+$P$4)</f>
        <v>119.16547090194864</v>
      </c>
      <c r="T16" s="148">
        <f t="shared" ref="T16:T18" si="37">(H16*$Q$3+$Q$4)</f>
        <v>40.28158762159611</v>
      </c>
      <c r="U16" s="149">
        <f t="shared" si="25"/>
        <v>159.44705852354474</v>
      </c>
      <c r="V16" s="147">
        <f t="shared" si="26"/>
        <v>0.74753421693420719</v>
      </c>
      <c r="W16" s="148">
        <f t="shared" si="7"/>
        <v>3.3500576669875972</v>
      </c>
      <c r="X16" s="148">
        <f t="shared" si="27"/>
        <v>0.43098823938090647</v>
      </c>
      <c r="Y16" s="148"/>
      <c r="Z16" s="148">
        <f t="shared" si="28"/>
        <v>1.3131181366605913</v>
      </c>
      <c r="AA16" s="148">
        <f t="shared" si="29"/>
        <v>0.44387424376414453</v>
      </c>
      <c r="AB16" s="149">
        <f t="shared" si="30"/>
        <v>1.7569923804247356</v>
      </c>
      <c r="AC16" s="147">
        <f t="shared" si="12"/>
        <v>1.707038383508579E-3</v>
      </c>
      <c r="AD16" s="148">
        <f t="shared" si="13"/>
        <v>7.6500538637127675E-3</v>
      </c>
      <c r="AE16" s="148">
        <f t="shared" si="31"/>
        <v>9.8418701217625141E-4</v>
      </c>
      <c r="AF16" s="148"/>
      <c r="AG16" s="148">
        <f t="shared" si="32"/>
        <v>1.4469621340612577E-2</v>
      </c>
      <c r="AH16" s="148">
        <f t="shared" si="33"/>
        <v>4.8911762398252852E-3</v>
      </c>
      <c r="AI16" s="148">
        <f t="shared" si="34"/>
        <v>1.936079758043786E-2</v>
      </c>
      <c r="AJ16" s="148">
        <f t="shared" si="18"/>
        <v>9.3570922472213467E-3</v>
      </c>
      <c r="AK16" s="149">
        <f t="shared" si="19"/>
        <v>2.0344984592614111E-2</v>
      </c>
      <c r="AL16" s="71"/>
      <c r="AM16" s="33" t="s">
        <v>125</v>
      </c>
      <c r="AN16" s="147">
        <f t="shared" si="20"/>
        <v>23.422222222222224</v>
      </c>
      <c r="AO16" s="150">
        <f>'2022 Snow PPL'!F10</f>
        <v>0.28106666666666669</v>
      </c>
      <c r="AP16" s="151">
        <f>'2022 Snow PPL'!X10/1000</f>
        <v>0.1</v>
      </c>
      <c r="AQ16" s="189">
        <f>'2022 Snow PPL'!V10</f>
        <v>9.0749999999999993</v>
      </c>
      <c r="AR16" s="150">
        <f>'2022 Snow PPL'!J10</f>
        <v>9.0771464646464644</v>
      </c>
      <c r="AS16" s="152">
        <f>'2022 Snow PPL'!E10</f>
        <v>3975</v>
      </c>
      <c r="AT16" s="19"/>
    </row>
    <row r="17" spans="1:46" ht="15.75" customHeight="1" x14ac:dyDescent="0.35">
      <c r="A17" s="103"/>
      <c r="B17" s="33" t="s">
        <v>131</v>
      </c>
      <c r="C17" s="74">
        <v>593.9</v>
      </c>
      <c r="D17" s="191">
        <v>7649.9</v>
      </c>
      <c r="E17" s="75">
        <v>425875.46</v>
      </c>
      <c r="F17" s="153">
        <v>30231.38</v>
      </c>
      <c r="G17" s="84">
        <v>2860347.66</v>
      </c>
      <c r="H17" s="190">
        <v>29597.07</v>
      </c>
      <c r="I17" s="75">
        <v>1.583</v>
      </c>
      <c r="J17" s="84">
        <v>2.6560000000000001</v>
      </c>
      <c r="K17" s="75">
        <v>0.88300000000000001</v>
      </c>
      <c r="L17" s="77">
        <v>2.5920000000000001</v>
      </c>
      <c r="M17" s="75">
        <v>1.9239999999999999</v>
      </c>
      <c r="N17" s="75">
        <v>2.931</v>
      </c>
      <c r="O17" s="147">
        <f t="shared" si="21"/>
        <v>63.666732063311557</v>
      </c>
      <c r="P17" s="192">
        <f t="shared" si="1"/>
        <v>678.95819546826522</v>
      </c>
      <c r="Q17" s="148">
        <f t="shared" si="35"/>
        <v>37.540138096044736</v>
      </c>
      <c r="R17" s="148">
        <f t="shared" ref="R17:R18" si="38">(F17*$O$3+$O$4)</f>
        <v>58.84947067763823</v>
      </c>
      <c r="S17" s="148">
        <f t="shared" si="36"/>
        <v>112.18367234303682</v>
      </c>
      <c r="T17" s="148">
        <f t="shared" si="37"/>
        <v>37.15800896312156</v>
      </c>
      <c r="U17" s="149">
        <f t="shared" si="25"/>
        <v>208.1911519837966</v>
      </c>
      <c r="V17" s="147">
        <f t="shared" si="26"/>
        <v>0.73180151796909843</v>
      </c>
      <c r="W17" s="192">
        <f t="shared" si="7"/>
        <v>7.8041171892904062</v>
      </c>
      <c r="X17" s="148">
        <f t="shared" si="27"/>
        <v>0.43149584018442233</v>
      </c>
      <c r="Y17" s="148">
        <f t="shared" ref="Y17:Y18" si="39">R17*AP17/AQ17</f>
        <v>0.67643069744411766</v>
      </c>
      <c r="Z17" s="148">
        <f t="shared" si="28"/>
        <v>1.2894674981958256</v>
      </c>
      <c r="AA17" s="148">
        <f t="shared" si="29"/>
        <v>0.42710355130024791</v>
      </c>
      <c r="AB17" s="149">
        <f t="shared" si="30"/>
        <v>2.3930017469401914</v>
      </c>
      <c r="AC17" s="147">
        <f t="shared" si="12"/>
        <v>1.6505951344691081E-3</v>
      </c>
      <c r="AD17" s="192">
        <f t="shared" si="13"/>
        <v>1.7602365593908782E-2</v>
      </c>
      <c r="AE17" s="148">
        <f t="shared" si="31"/>
        <v>9.7324877970824644E-4</v>
      </c>
      <c r="AF17" s="148">
        <f t="shared" ref="AF17:AF18" si="40">Y17*AP17/AQ17</f>
        <v>7.7750654878634227E-3</v>
      </c>
      <c r="AG17" s="148">
        <f t="shared" si="32"/>
        <v>1.4821465496503745E-2</v>
      </c>
      <c r="AH17" s="148">
        <f t="shared" si="33"/>
        <v>4.9092362218419311E-3</v>
      </c>
      <c r="AI17" s="148">
        <f t="shared" si="34"/>
        <v>2.7505767206209099E-2</v>
      </c>
      <c r="AJ17" s="148">
        <f t="shared" si="18"/>
        <v>1.9252960728377889E-2</v>
      </c>
      <c r="AK17" s="149">
        <f t="shared" si="19"/>
        <v>2.8479015985917344E-2</v>
      </c>
      <c r="AL17" s="71"/>
      <c r="AM17" s="33" t="s">
        <v>131</v>
      </c>
      <c r="AN17" s="147">
        <f t="shared" si="20"/>
        <v>24.44444444444445</v>
      </c>
      <c r="AO17" s="150">
        <f>'2022 Snow PPL'!F11</f>
        <v>0.29333333333333339</v>
      </c>
      <c r="AP17" s="151">
        <f>'2022 Snow PPL'!X11/1000</f>
        <v>0.1</v>
      </c>
      <c r="AQ17" s="189">
        <f>'2022 Snow PPL'!V11</f>
        <v>8.6999999999999993</v>
      </c>
      <c r="AR17" s="150">
        <f>'2022 Snow PPL'!J11</f>
        <v>8.7401515151515152</v>
      </c>
      <c r="AS17" s="152">
        <f>'2022 Snow PPL'!E11</f>
        <v>3875</v>
      </c>
      <c r="AT17" s="19"/>
    </row>
    <row r="18" spans="1:46" ht="15.75" customHeight="1" x14ac:dyDescent="0.35">
      <c r="A18" s="103"/>
      <c r="B18" s="33" t="s">
        <v>72</v>
      </c>
      <c r="C18" s="74">
        <v>300.3</v>
      </c>
      <c r="D18" s="75">
        <v>733.3</v>
      </c>
      <c r="E18" s="75">
        <v>146253.9</v>
      </c>
      <c r="F18" s="153">
        <v>5947.04</v>
      </c>
      <c r="G18" s="84">
        <v>519634.19</v>
      </c>
      <c r="H18" s="190">
        <v>22091.26</v>
      </c>
      <c r="I18" s="75">
        <v>1.569</v>
      </c>
      <c r="J18" s="84">
        <v>2.7349999999999999</v>
      </c>
      <c r="K18" s="75">
        <v>0.88500000000000001</v>
      </c>
      <c r="L18" s="77">
        <v>2.5030000000000001</v>
      </c>
      <c r="M18" s="75">
        <v>1.948</v>
      </c>
      <c r="N18" s="75">
        <v>2.9220000000000002</v>
      </c>
      <c r="O18" s="147">
        <f t="shared" si="21"/>
        <v>38.871212851770537</v>
      </c>
      <c r="P18" s="148">
        <f t="shared" si="1"/>
        <v>74.850573222315873</v>
      </c>
      <c r="Q18" s="148">
        <f t="shared" si="35"/>
        <v>17.226312704622181</v>
      </c>
      <c r="R18" s="148">
        <f t="shared" si="38"/>
        <v>20.207710721291953</v>
      </c>
      <c r="S18" s="148">
        <f t="shared" si="36"/>
        <v>19.086687608074573</v>
      </c>
      <c r="T18" s="148">
        <f t="shared" si="37"/>
        <v>34.891110633678572</v>
      </c>
      <c r="U18" s="149">
        <f t="shared" si="25"/>
        <v>74.185508963045095</v>
      </c>
      <c r="V18" s="147">
        <f t="shared" si="26"/>
        <v>0.42251318317141895</v>
      </c>
      <c r="W18" s="148">
        <f t="shared" si="7"/>
        <v>0.81359318719908569</v>
      </c>
      <c r="X18" s="148">
        <f t="shared" si="27"/>
        <v>0.18724252939806721</v>
      </c>
      <c r="Y18" s="148">
        <f t="shared" si="39"/>
        <v>0.21964902957926039</v>
      </c>
      <c r="Z18" s="148">
        <f t="shared" si="28"/>
        <v>0.20746399573994104</v>
      </c>
      <c r="AA18" s="148">
        <f t="shared" si="29"/>
        <v>0.37925120253998451</v>
      </c>
      <c r="AB18" s="149">
        <f t="shared" si="30"/>
        <v>0.80636422785918582</v>
      </c>
      <c r="AC18" s="147">
        <f t="shared" si="12"/>
        <v>6.6213976769605382E-3</v>
      </c>
      <c r="AD18" s="148">
        <f t="shared" si="13"/>
        <v>1.2750191601773812E-2</v>
      </c>
      <c r="AE18" s="148">
        <f t="shared" si="31"/>
        <v>2.9343634673798377E-3</v>
      </c>
      <c r="AF18" s="148">
        <f t="shared" si="40"/>
        <v>2.3874894519484826E-3</v>
      </c>
      <c r="AG18" s="148">
        <f t="shared" si="32"/>
        <v>2.2550434319558812E-3</v>
      </c>
      <c r="AH18" s="148">
        <f t="shared" si="33"/>
        <v>4.1222956797824411E-3</v>
      </c>
      <c r="AI18" s="148">
        <f t="shared" si="34"/>
        <v>8.7648285636868044E-3</v>
      </c>
      <c r="AJ18" s="148">
        <f t="shared" si="18"/>
        <v>1.937158927873435E-2</v>
      </c>
      <c r="AK18" s="149">
        <f t="shared" si="19"/>
        <v>1.1699192031066643E-2</v>
      </c>
      <c r="AL18" s="71"/>
      <c r="AM18" s="33" t="s">
        <v>72</v>
      </c>
      <c r="AN18" s="147">
        <f t="shared" si="20"/>
        <v>63.055555555555557</v>
      </c>
      <c r="AO18" s="150">
        <f>'2022 Snow PPL'!F12</f>
        <v>0.75666666666666671</v>
      </c>
      <c r="AP18" s="151">
        <f>'2022 Snow PPL'!X12/1000</f>
        <v>0.1</v>
      </c>
      <c r="AQ18" s="189">
        <f>'2022 Snow PPL'!V12</f>
        <v>9.1999999999999993</v>
      </c>
      <c r="AR18" s="150">
        <f>'2022 Snow PPL'!J12</f>
        <v>9.1678030303030322</v>
      </c>
      <c r="AS18" s="152">
        <f>'2022 Snow PPL'!E12</f>
        <v>585</v>
      </c>
      <c r="AT18" s="19"/>
    </row>
    <row r="19" spans="1:46" ht="15.75" customHeight="1" x14ac:dyDescent="0.35">
      <c r="A19" s="103"/>
      <c r="B19" s="33" t="s">
        <v>154</v>
      </c>
      <c r="C19" s="74">
        <v>161.4</v>
      </c>
      <c r="D19" s="75">
        <v>2852.6</v>
      </c>
      <c r="E19" s="75">
        <v>146499.64000000001</v>
      </c>
      <c r="F19" s="153"/>
      <c r="G19" s="84">
        <v>988933.11</v>
      </c>
      <c r="H19" s="190"/>
      <c r="I19" s="75">
        <v>1.617</v>
      </c>
      <c r="J19" s="84">
        <v>2.7810000000000001</v>
      </c>
      <c r="K19" s="75">
        <v>0.88900000000000001</v>
      </c>
      <c r="L19" s="77"/>
      <c r="M19" s="75">
        <v>1.9419999999999999</v>
      </c>
      <c r="N19" s="75"/>
      <c r="O19" s="147">
        <f t="shared" si="21"/>
        <v>27.140635132141632</v>
      </c>
      <c r="P19" s="148">
        <f t="shared" si="1"/>
        <v>259.95384416842239</v>
      </c>
      <c r="Q19" s="148">
        <f t="shared" si="35"/>
        <v>17.244165117188963</v>
      </c>
      <c r="R19" s="148"/>
      <c r="S19" s="148">
        <f t="shared" si="36"/>
        <v>37.752071026991828</v>
      </c>
      <c r="T19" s="148"/>
      <c r="U19" s="149">
        <f t="shared" si="25"/>
        <v>37.752071026991828</v>
      </c>
      <c r="V19" s="147">
        <f t="shared" si="26"/>
        <v>0.87550435910134305</v>
      </c>
      <c r="W19" s="148">
        <f t="shared" si="7"/>
        <v>8.3856078764007229</v>
      </c>
      <c r="X19" s="148">
        <f t="shared" si="27"/>
        <v>0.55626339087706334</v>
      </c>
      <c r="Y19" s="148"/>
      <c r="Z19" s="148">
        <f t="shared" si="28"/>
        <v>1.2178087428061879</v>
      </c>
      <c r="AA19" s="148"/>
      <c r="AB19" s="149">
        <f t="shared" si="30"/>
        <v>1.2178087428061879</v>
      </c>
      <c r="AC19" s="147">
        <f t="shared" si="12"/>
        <v>4.4564383940825791E-3</v>
      </c>
      <c r="AD19" s="148">
        <f t="shared" si="13"/>
        <v>4.2683905008161986E-2</v>
      </c>
      <c r="AE19" s="148">
        <f t="shared" si="31"/>
        <v>2.8314576695787318E-3</v>
      </c>
      <c r="AF19" s="148"/>
      <c r="AG19" s="148">
        <f t="shared" si="32"/>
        <v>3.9284152993747996E-2</v>
      </c>
      <c r="AH19" s="148"/>
      <c r="AI19" s="148">
        <f t="shared" si="34"/>
        <v>3.9284152993747996E-2</v>
      </c>
      <c r="AJ19" s="148">
        <f t="shared" si="18"/>
        <v>4.7140343402244565E-2</v>
      </c>
      <c r="AK19" s="149">
        <f t="shared" si="19"/>
        <v>4.2115610663326725E-2</v>
      </c>
      <c r="AL19" s="71"/>
      <c r="AM19" s="33" t="s">
        <v>154</v>
      </c>
      <c r="AN19" s="147">
        <f t="shared" si="20"/>
        <v>156.88888888888889</v>
      </c>
      <c r="AO19" s="150">
        <f>'2022 Snow PPL'!F13</f>
        <v>1.8826666666666665</v>
      </c>
      <c r="AP19" s="151">
        <f>'2022 Snow PPL'!X13/1000</f>
        <v>0.1</v>
      </c>
      <c r="AQ19" s="189">
        <f>'2022 Snow PPL'!V13</f>
        <v>3.1</v>
      </c>
      <c r="AR19" s="150">
        <f>'2022 Snow PPL'!J13</f>
        <v>9.3404040404040387</v>
      </c>
      <c r="AS19" s="152">
        <f>'2022 Snow PPL'!E13</f>
        <v>1835</v>
      </c>
      <c r="AT19" s="19"/>
    </row>
    <row r="20" spans="1:46" ht="15.75" customHeight="1" x14ac:dyDescent="0.35">
      <c r="A20" s="103"/>
      <c r="B20" s="33" t="s">
        <v>155</v>
      </c>
      <c r="C20" s="74">
        <v>328.6</v>
      </c>
      <c r="D20" s="191">
        <v>6459.4</v>
      </c>
      <c r="E20" s="75">
        <v>266843.8</v>
      </c>
      <c r="F20" s="153"/>
      <c r="G20" s="84">
        <v>1795678</v>
      </c>
      <c r="H20" s="190"/>
      <c r="I20" s="75">
        <v>1.605</v>
      </c>
      <c r="J20" s="84">
        <v>2.7389999999999999</v>
      </c>
      <c r="K20" s="75">
        <v>0.873</v>
      </c>
      <c r="L20" s="77"/>
      <c r="M20" s="75">
        <v>1.9139999999999999</v>
      </c>
      <c r="N20" s="75"/>
      <c r="O20" s="147">
        <f t="shared" si="21"/>
        <v>41.26124416541704</v>
      </c>
      <c r="P20" s="192">
        <f t="shared" si="1"/>
        <v>574.97789817135595</v>
      </c>
      <c r="Q20" s="148">
        <f t="shared" si="35"/>
        <v>25.986875275580967</v>
      </c>
      <c r="R20" s="148"/>
      <c r="S20" s="148">
        <f t="shared" si="36"/>
        <v>69.838662432533994</v>
      </c>
      <c r="T20" s="148"/>
      <c r="U20" s="149">
        <f t="shared" si="25"/>
        <v>69.838662432533994</v>
      </c>
      <c r="V20" s="147">
        <f t="shared" si="26"/>
        <v>1.3310078763037756</v>
      </c>
      <c r="W20" s="192">
        <f t="shared" si="7"/>
        <v>18.54767413455987</v>
      </c>
      <c r="X20" s="148">
        <f t="shared" si="27"/>
        <v>0.83828629921228925</v>
      </c>
      <c r="Y20" s="148"/>
      <c r="Z20" s="148">
        <f t="shared" si="28"/>
        <v>2.2528600784688386</v>
      </c>
      <c r="AA20" s="148"/>
      <c r="AB20" s="149">
        <f t="shared" si="30"/>
        <v>2.2528600784688386</v>
      </c>
      <c r="AC20" s="147">
        <f t="shared" si="12"/>
        <v>6.7750143572955779E-3</v>
      </c>
      <c r="AD20" s="192">
        <f t="shared" si="13"/>
        <v>9.4410229115280922E-2</v>
      </c>
      <c r="AE20" s="148">
        <f t="shared" si="31"/>
        <v>4.2669933167181553E-3</v>
      </c>
      <c r="AF20" s="148"/>
      <c r="AG20" s="148">
        <f t="shared" si="32"/>
        <v>7.2672905757059314E-2</v>
      </c>
      <c r="AH20" s="148"/>
      <c r="AI20" s="148">
        <f t="shared" si="34"/>
        <v>7.2672905757059314E-2</v>
      </c>
      <c r="AJ20" s="148">
        <f t="shared" si="18"/>
        <v>0.1011852434725765</v>
      </c>
      <c r="AK20" s="149">
        <f t="shared" si="19"/>
        <v>7.6939899073777462E-2</v>
      </c>
      <c r="AL20" s="71"/>
      <c r="AM20" s="33" t="s">
        <v>155</v>
      </c>
      <c r="AN20" s="147">
        <f t="shared" si="20"/>
        <v>156.88888888888889</v>
      </c>
      <c r="AO20" s="150">
        <f>'2022 Snow PPL'!F14</f>
        <v>1.8826666666666665</v>
      </c>
      <c r="AP20" s="151">
        <f>'2022 Snow PPL'!X14/1000</f>
        <v>0.1</v>
      </c>
      <c r="AQ20" s="189">
        <f>'2022 Snow PPL'!V14</f>
        <v>3.1</v>
      </c>
      <c r="AR20" s="150">
        <f>'2022 Snow PPL'!J14</f>
        <v>9.3404040404040387</v>
      </c>
      <c r="AS20" s="152">
        <f>'2022 Snow PPL'!E14</f>
        <v>1835</v>
      </c>
      <c r="AT20" s="19"/>
    </row>
    <row r="21" spans="1:46" ht="15.75" customHeight="1" x14ac:dyDescent="0.35">
      <c r="A21" s="103"/>
      <c r="B21" s="33" t="s">
        <v>156</v>
      </c>
      <c r="C21" s="74">
        <v>176.4</v>
      </c>
      <c r="D21" s="75">
        <v>5093</v>
      </c>
      <c r="E21" s="75">
        <v>207699.20000000001</v>
      </c>
      <c r="F21" s="153"/>
      <c r="G21" s="84">
        <v>1547404.56</v>
      </c>
      <c r="H21" s="190">
        <v>16995.55</v>
      </c>
      <c r="I21" s="75">
        <v>1.591</v>
      </c>
      <c r="J21" s="84">
        <v>2.7530000000000001</v>
      </c>
      <c r="K21" s="75">
        <v>0.89</v>
      </c>
      <c r="L21" s="77"/>
      <c r="M21" s="75">
        <v>1.954</v>
      </c>
      <c r="N21" s="75">
        <v>2.927</v>
      </c>
      <c r="O21" s="147">
        <f t="shared" si="21"/>
        <v>28.407436181777584</v>
      </c>
      <c r="P21" s="148">
        <f t="shared" si="1"/>
        <v>455.63419533515531</v>
      </c>
      <c r="Q21" s="148">
        <f t="shared" si="35"/>
        <v>21.690164116235707</v>
      </c>
      <c r="R21" s="148"/>
      <c r="S21" s="148">
        <f t="shared" si="36"/>
        <v>59.964105401093256</v>
      </c>
      <c r="T21" s="148">
        <f t="shared" ref="T21:T22" si="41">(H21*$Q$3+$Q$4)</f>
        <v>33.352108649039216</v>
      </c>
      <c r="U21" s="149">
        <f t="shared" si="25"/>
        <v>93.316214050132473</v>
      </c>
      <c r="V21" s="147">
        <f t="shared" si="26"/>
        <v>0.91636890908959956</v>
      </c>
      <c r="W21" s="148">
        <f t="shared" si="7"/>
        <v>14.697877268875979</v>
      </c>
      <c r="X21" s="148">
        <f t="shared" si="27"/>
        <v>0.69968271342695831</v>
      </c>
      <c r="Y21" s="148"/>
      <c r="Z21" s="148">
        <f t="shared" si="28"/>
        <v>1.9343259806804278</v>
      </c>
      <c r="AA21" s="148">
        <f t="shared" ref="AA21:AA22" si="42">T21*AP21/AQ21</f>
        <v>1.0758744725496521</v>
      </c>
      <c r="AB21" s="149">
        <f t="shared" si="30"/>
        <v>3.0102004532300799</v>
      </c>
      <c r="AC21" s="147">
        <f t="shared" si="12"/>
        <v>4.6644446108780038E-3</v>
      </c>
      <c r="AD21" s="148">
        <f t="shared" si="13"/>
        <v>7.4814230096769421E-2</v>
      </c>
      <c r="AE21" s="148">
        <f t="shared" si="31"/>
        <v>3.5614818765635002E-3</v>
      </c>
      <c r="AF21" s="148"/>
      <c r="AG21" s="148">
        <f t="shared" si="32"/>
        <v>6.2397612280013809E-2</v>
      </c>
      <c r="AH21" s="148">
        <f t="shared" ref="AH21:AH22" si="43">AA21*AP21/AQ21</f>
        <v>3.4705628146762972E-2</v>
      </c>
      <c r="AI21" s="148">
        <f t="shared" si="34"/>
        <v>9.7103240426776774E-2</v>
      </c>
      <c r="AJ21" s="148">
        <f t="shared" si="18"/>
        <v>7.9478674707647426E-2</v>
      </c>
      <c r="AK21" s="149">
        <f t="shared" si="19"/>
        <v>0.10066472230334027</v>
      </c>
      <c r="AL21" s="71"/>
      <c r="AM21" s="33" t="s">
        <v>156</v>
      </c>
      <c r="AN21" s="147">
        <f t="shared" si="20"/>
        <v>156.88888888888889</v>
      </c>
      <c r="AO21" s="150">
        <f>'2022 Snow PPL'!F15</f>
        <v>1.8826666666666665</v>
      </c>
      <c r="AP21" s="151">
        <f>'2022 Snow PPL'!X15/1000</f>
        <v>0.1</v>
      </c>
      <c r="AQ21" s="189">
        <f>'2022 Snow PPL'!V15</f>
        <v>3.1</v>
      </c>
      <c r="AR21" s="150">
        <f>'2022 Snow PPL'!J15</f>
        <v>9.3404040404040387</v>
      </c>
      <c r="AS21" s="152">
        <f>'2022 Snow PPL'!E15</f>
        <v>1835</v>
      </c>
      <c r="AT21" s="19"/>
    </row>
    <row r="22" spans="1:46" ht="15.75" customHeight="1" x14ac:dyDescent="0.35">
      <c r="A22" s="103"/>
      <c r="B22" s="33" t="s">
        <v>157</v>
      </c>
      <c r="C22" s="74">
        <v>207.9</v>
      </c>
      <c r="D22" s="75">
        <v>2912.6</v>
      </c>
      <c r="E22" s="75">
        <v>189079.03</v>
      </c>
      <c r="F22" s="153"/>
      <c r="G22" s="84">
        <v>1095470.8799999999</v>
      </c>
      <c r="H22" s="190">
        <v>11354.45</v>
      </c>
      <c r="I22" s="75">
        <v>1.607</v>
      </c>
      <c r="J22" s="84">
        <v>2.7810000000000001</v>
      </c>
      <c r="K22" s="75">
        <v>0.89100000000000001</v>
      </c>
      <c r="L22" s="77"/>
      <c r="M22" s="75">
        <v>1.944</v>
      </c>
      <c r="N22" s="75">
        <v>2.9169999999999998</v>
      </c>
      <c r="O22" s="147">
        <f t="shared" si="21"/>
        <v>31.06771838601308</v>
      </c>
      <c r="P22" s="148">
        <f t="shared" si="1"/>
        <v>265.19434634214315</v>
      </c>
      <c r="Q22" s="148">
        <f t="shared" si="35"/>
        <v>20.337454110116703</v>
      </c>
      <c r="R22" s="148"/>
      <c r="S22" s="148">
        <f t="shared" si="36"/>
        <v>41.989388099118088</v>
      </c>
      <c r="T22" s="148">
        <f t="shared" si="41"/>
        <v>31.648388442130052</v>
      </c>
      <c r="U22" s="149">
        <f t="shared" si="25"/>
        <v>73.637776541248144</v>
      </c>
      <c r="V22" s="147">
        <f t="shared" si="26"/>
        <v>1.002184464064938</v>
      </c>
      <c r="W22" s="148">
        <f t="shared" si="7"/>
        <v>8.5546563336175208</v>
      </c>
      <c r="X22" s="148">
        <f t="shared" si="27"/>
        <v>0.65604690677795807</v>
      </c>
      <c r="Y22" s="148"/>
      <c r="Z22" s="148">
        <f t="shared" si="28"/>
        <v>1.3544963902941318</v>
      </c>
      <c r="AA22" s="148">
        <f t="shared" si="42"/>
        <v>1.0209157561977436</v>
      </c>
      <c r="AB22" s="149">
        <f t="shared" si="30"/>
        <v>2.3754121464918754</v>
      </c>
      <c r="AC22" s="147">
        <f t="shared" si="12"/>
        <v>1.014197399314044E-2</v>
      </c>
      <c r="AD22" s="148">
        <f t="shared" si="13"/>
        <v>8.6571988657550392E-2</v>
      </c>
      <c r="AE22" s="148">
        <f t="shared" si="31"/>
        <v>6.6391077744657094E-3</v>
      </c>
      <c r="AF22" s="148"/>
      <c r="AG22" s="148">
        <f t="shared" si="32"/>
        <v>4.3693431944971994E-2</v>
      </c>
      <c r="AH22" s="148">
        <f t="shared" si="43"/>
        <v>3.2932766328959473E-2</v>
      </c>
      <c r="AI22" s="148">
        <f t="shared" si="34"/>
        <v>7.6626198273931467E-2</v>
      </c>
      <c r="AJ22" s="148">
        <f t="shared" si="18"/>
        <v>9.6713962650690835E-2</v>
      </c>
      <c r="AK22" s="149">
        <f t="shared" si="19"/>
        <v>8.3265306048397172E-2</v>
      </c>
      <c r="AL22" s="71"/>
      <c r="AM22" s="33" t="s">
        <v>157</v>
      </c>
      <c r="AN22" s="147">
        <f t="shared" si="20"/>
        <v>342.5</v>
      </c>
      <c r="AO22" s="150">
        <f>'2022 Snow PPL'!F16</f>
        <v>4.1100000000000003</v>
      </c>
      <c r="AP22" s="151">
        <f>'2022 Snow PPL'!X16/1000</f>
        <v>0.1</v>
      </c>
      <c r="AQ22" s="189">
        <f>'2022 Snow PPL'!V16</f>
        <v>3.1</v>
      </c>
      <c r="AR22" s="150">
        <f>'2022 Snow PPL'!J16</f>
        <v>9.3507575757575765</v>
      </c>
      <c r="AS22" s="152">
        <f>'2022 Snow PPL'!E16</f>
        <v>924</v>
      </c>
      <c r="AT22" s="19"/>
    </row>
    <row r="23" spans="1:46" ht="15.75" customHeight="1" x14ac:dyDescent="0.35">
      <c r="A23" s="103"/>
      <c r="B23" s="33" t="s">
        <v>158</v>
      </c>
      <c r="C23" s="74">
        <v>72.3</v>
      </c>
      <c r="D23" s="75">
        <v>910.41600000000005</v>
      </c>
      <c r="E23" s="75">
        <v>20860.93</v>
      </c>
      <c r="F23" s="153"/>
      <c r="G23" s="84">
        <v>32149.64</v>
      </c>
      <c r="H23" s="190"/>
      <c r="I23" s="75">
        <v>1.5920000000000001</v>
      </c>
      <c r="J23" s="84">
        <v>2.819</v>
      </c>
      <c r="K23" s="75">
        <v>0.90900000000000003</v>
      </c>
      <c r="L23" s="77"/>
      <c r="M23" s="75">
        <v>1.925</v>
      </c>
      <c r="N23" s="75"/>
      <c r="O23" s="147">
        <f t="shared" si="21"/>
        <v>19.615836897304082</v>
      </c>
      <c r="P23" s="148">
        <f t="shared" si="1"/>
        <v>90.320186272327973</v>
      </c>
      <c r="Q23" s="148">
        <f t="shared" si="35"/>
        <v>8.1168187947395261</v>
      </c>
      <c r="R23" s="148"/>
      <c r="S23" s="148"/>
      <c r="T23" s="148"/>
      <c r="U23" s="149"/>
      <c r="V23" s="147">
        <f t="shared" si="26"/>
        <v>0.63276893217109942</v>
      </c>
      <c r="W23" s="148">
        <f t="shared" si="7"/>
        <v>2.9135543958815475</v>
      </c>
      <c r="X23" s="148">
        <f t="shared" si="27"/>
        <v>0.26183286434643632</v>
      </c>
      <c r="Y23" s="148"/>
      <c r="Z23" s="148"/>
      <c r="AA23" s="148"/>
      <c r="AB23" s="149"/>
      <c r="AC23" s="147">
        <f t="shared" si="12"/>
        <v>6.4035377556308877E-3</v>
      </c>
      <c r="AD23" s="148">
        <f t="shared" si="13"/>
        <v>2.9484784458518581E-2</v>
      </c>
      <c r="AE23" s="148">
        <f t="shared" si="31"/>
        <v>2.6497138959629277E-3</v>
      </c>
      <c r="AF23" s="148"/>
      <c r="AG23" s="148"/>
      <c r="AH23" s="148"/>
      <c r="AI23" s="148"/>
      <c r="AJ23" s="148">
        <f t="shared" si="18"/>
        <v>3.5888322214149469E-2</v>
      </c>
      <c r="AK23" s="149">
        <f t="shared" si="19"/>
        <v>2.6497138959629277E-3</v>
      </c>
      <c r="AL23" s="71"/>
      <c r="AM23" s="33" t="s">
        <v>158</v>
      </c>
      <c r="AN23" s="147">
        <f t="shared" si="20"/>
        <v>342.5</v>
      </c>
      <c r="AO23" s="150">
        <f>'2022 Snow PPL'!F17</f>
        <v>4.1100000000000003</v>
      </c>
      <c r="AP23" s="151">
        <f>'2022 Snow PPL'!X17/1000</f>
        <v>0.1</v>
      </c>
      <c r="AQ23" s="189">
        <f>'2022 Snow PPL'!V17</f>
        <v>3.1</v>
      </c>
      <c r="AR23" s="150">
        <f>'2022 Snow PPL'!J17</f>
        <v>9.3507575757575765</v>
      </c>
      <c r="AS23" s="152">
        <f>'2022 Snow PPL'!E17</f>
        <v>924</v>
      </c>
      <c r="AT23" s="19"/>
    </row>
    <row r="24" spans="1:46" ht="15.75" customHeight="1" x14ac:dyDescent="0.35">
      <c r="A24" s="103"/>
      <c r="B24" s="33" t="s">
        <v>159</v>
      </c>
      <c r="C24" s="74">
        <v>205.3</v>
      </c>
      <c r="D24" s="75">
        <v>2990.4</v>
      </c>
      <c r="E24" s="75">
        <v>15494.74</v>
      </c>
      <c r="F24" s="84"/>
      <c r="G24" s="84">
        <v>28333.57</v>
      </c>
      <c r="H24" s="190">
        <v>3826.55</v>
      </c>
      <c r="I24" s="75">
        <v>1.5940000000000001</v>
      </c>
      <c r="J24" s="84">
        <v>2.7789999999999999</v>
      </c>
      <c r="K24" s="75">
        <v>0.88100000000000001</v>
      </c>
      <c r="L24" s="75"/>
      <c r="M24" s="75">
        <v>1.9219999999999999</v>
      </c>
      <c r="N24" s="75">
        <v>2.9289999999999998</v>
      </c>
      <c r="O24" s="147">
        <f t="shared" si="21"/>
        <v>30.848139537409516</v>
      </c>
      <c r="P24" s="148">
        <f t="shared" si="1"/>
        <v>271.9895308274011</v>
      </c>
      <c r="Q24" s="148">
        <f t="shared" si="35"/>
        <v>7.7269781591419067</v>
      </c>
      <c r="R24" s="148"/>
      <c r="S24" s="148"/>
      <c r="T24" s="148"/>
      <c r="U24" s="149"/>
      <c r="V24" s="147">
        <f t="shared" si="26"/>
        <v>0.99510127540030691</v>
      </c>
      <c r="W24" s="148">
        <f t="shared" si="7"/>
        <v>8.7738558331419707</v>
      </c>
      <c r="X24" s="148">
        <f t="shared" si="27"/>
        <v>0.2492573599723196</v>
      </c>
      <c r="Y24" s="148"/>
      <c r="Z24" s="148"/>
      <c r="AA24" s="148"/>
      <c r="AB24" s="149"/>
      <c r="AC24" s="147">
        <f t="shared" si="12"/>
        <v>1.0070293062332734E-2</v>
      </c>
      <c r="AD24" s="148">
        <f t="shared" si="13"/>
        <v>8.8790258550170004E-2</v>
      </c>
      <c r="AE24" s="148">
        <f t="shared" si="31"/>
        <v>2.5224514578728366E-3</v>
      </c>
      <c r="AF24" s="148"/>
      <c r="AG24" s="148"/>
      <c r="AH24" s="148"/>
      <c r="AI24" s="148"/>
      <c r="AJ24" s="148">
        <f t="shared" si="18"/>
        <v>9.8860551612502734E-2</v>
      </c>
      <c r="AK24" s="149">
        <f t="shared" si="19"/>
        <v>2.5224514578728366E-3</v>
      </c>
      <c r="AL24" s="71"/>
      <c r="AM24" s="33" t="s">
        <v>159</v>
      </c>
      <c r="AN24" s="147">
        <f t="shared" si="20"/>
        <v>342.5</v>
      </c>
      <c r="AO24" s="150">
        <f>'2022 Snow PPL'!F18</f>
        <v>4.1100000000000003</v>
      </c>
      <c r="AP24" s="151">
        <f>'2022 Snow PPL'!X18/1000</f>
        <v>0.1</v>
      </c>
      <c r="AQ24" s="189">
        <f>'2022 Snow PPL'!V18</f>
        <v>3.1</v>
      </c>
      <c r="AR24" s="150">
        <f>'2022 Snow PPL'!J18</f>
        <v>9.3507575757575765</v>
      </c>
      <c r="AS24" s="152">
        <f>'2022 Snow PPL'!E18</f>
        <v>924</v>
      </c>
      <c r="AT24" s="19"/>
    </row>
    <row r="25" spans="1:46" ht="15.75" customHeight="1" x14ac:dyDescent="0.35">
      <c r="A25" s="103"/>
      <c r="B25" s="34" t="s">
        <v>107</v>
      </c>
      <c r="C25" s="86">
        <v>181.9</v>
      </c>
      <c r="D25" s="87">
        <v>1074.2</v>
      </c>
      <c r="E25" s="87">
        <v>188085.37</v>
      </c>
      <c r="F25" s="90">
        <v>9162.2900000000009</v>
      </c>
      <c r="G25" s="90">
        <v>706774.86</v>
      </c>
      <c r="H25" s="193">
        <v>13746.66</v>
      </c>
      <c r="I25" s="87">
        <v>1.595</v>
      </c>
      <c r="J25" s="90">
        <v>2.802</v>
      </c>
      <c r="K25" s="87">
        <v>0.89700000000000002</v>
      </c>
      <c r="L25" s="87">
        <v>2.5150000000000001</v>
      </c>
      <c r="M25" s="87">
        <v>1.9490000000000001</v>
      </c>
      <c r="N25" s="87">
        <v>2.956</v>
      </c>
      <c r="O25" s="160">
        <f t="shared" si="21"/>
        <v>28.871929899977431</v>
      </c>
      <c r="P25" s="161">
        <f t="shared" si="1"/>
        <v>104.6253597393393</v>
      </c>
      <c r="Q25" s="161">
        <f t="shared" si="35"/>
        <v>20.265267130906516</v>
      </c>
      <c r="R25" s="161">
        <f>(F25*$O$3+$O$4)</f>
        <v>25.323885124205205</v>
      </c>
      <c r="S25" s="161">
        <f>(G25*$P$3+$P$4)</f>
        <v>26.529816517945207</v>
      </c>
      <c r="T25" s="161">
        <f>(H25*$Q$3+$Q$4)</f>
        <v>32.370881664404109</v>
      </c>
      <c r="U25" s="162">
        <f>SUM(R25:T25)</f>
        <v>84.224583306554521</v>
      </c>
      <c r="V25" s="160">
        <f t="shared" si="26"/>
        <v>0.30714819042529179</v>
      </c>
      <c r="W25" s="161">
        <f t="shared" si="7"/>
        <v>1.1130357419078649</v>
      </c>
      <c r="X25" s="161">
        <f t="shared" si="27"/>
        <v>0.21558794820113314</v>
      </c>
      <c r="Y25" s="161">
        <f>R25*AP25/AQ25</f>
        <v>0.26940303323622561</v>
      </c>
      <c r="Z25" s="161">
        <f>S25*AP25/AQ25</f>
        <v>0.28223209061643839</v>
      </c>
      <c r="AA25" s="161">
        <f>T25*AP25/AQ25</f>
        <v>0.34437108153621393</v>
      </c>
      <c r="AB25" s="162">
        <f>U25*AP25/AQ25</f>
        <v>0.89600620538887787</v>
      </c>
      <c r="AC25" s="160">
        <f t="shared" si="12"/>
        <v>2.9532684333977029E-3</v>
      </c>
      <c r="AD25" s="161">
        <f t="shared" si="13"/>
        <v>1.0701978472568655E-2</v>
      </c>
      <c r="AE25" s="161">
        <f t="shared" si="31"/>
        <v>2.0729052030610895E-3</v>
      </c>
      <c r="AF25" s="161">
        <f>Y25*AP25/AQ25</f>
        <v>2.865989715278996E-3</v>
      </c>
      <c r="AG25" s="161">
        <f>Z25*AP25/AQ25</f>
        <v>3.0024690491110471E-3</v>
      </c>
      <c r="AH25" s="161">
        <f>AA25*AP25/AQ25</f>
        <v>3.663522144002276E-3</v>
      </c>
      <c r="AI25" s="161">
        <f>AB25*AP25/AQ25</f>
        <v>9.5319809083923169E-3</v>
      </c>
      <c r="AJ25" s="161">
        <f t="shared" si="18"/>
        <v>1.3655246905966359E-2</v>
      </c>
      <c r="AK25" s="162">
        <f t="shared" si="19"/>
        <v>1.1604886111453407E-2</v>
      </c>
      <c r="AL25" s="71"/>
      <c r="AM25" s="34" t="s">
        <v>107</v>
      </c>
      <c r="AN25" s="160">
        <f t="shared" si="20"/>
        <v>31.008333333333333</v>
      </c>
      <c r="AO25" s="165">
        <f>'2022 Snow PPL'!F19</f>
        <v>0.37209999999999999</v>
      </c>
      <c r="AP25" s="194">
        <f>'2022 Snow PPL'!X19/1000</f>
        <v>0.1</v>
      </c>
      <c r="AQ25" s="167">
        <f>'2022 Snow PPL'!V19</f>
        <v>9.4</v>
      </c>
      <c r="AR25" s="165">
        <f>'2022 Snow PPL'!J19</f>
        <v>9.3747474747474744</v>
      </c>
      <c r="AS25" s="168">
        <f>'2022 Snow PPL'!E19</f>
        <v>975</v>
      </c>
      <c r="AT25" s="19"/>
    </row>
    <row r="26" spans="1:46" ht="15.75" customHeight="1" x14ac:dyDescent="0.35">
      <c r="A26" s="19"/>
      <c r="B26" s="19"/>
      <c r="C26" s="10"/>
      <c r="D26" s="10"/>
      <c r="E26" s="10"/>
      <c r="F26" s="54"/>
      <c r="G26" s="54"/>
      <c r="H26" s="54"/>
      <c r="I26" s="10"/>
      <c r="J26" s="54"/>
      <c r="K26" s="10"/>
      <c r="L26" s="10"/>
      <c r="M26" s="10"/>
      <c r="N26" s="10"/>
      <c r="O26" s="195"/>
      <c r="P26" s="195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19"/>
      <c r="AM26" s="7"/>
      <c r="AN26" s="148"/>
      <c r="AO26" s="148"/>
      <c r="AP26" s="4"/>
      <c r="AQ26" s="4"/>
      <c r="AR26" s="148"/>
      <c r="AS26" s="4"/>
      <c r="AT26" s="19"/>
    </row>
    <row r="27" spans="1:46" ht="15.75" customHeight="1" x14ac:dyDescent="0.25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30"/>
      <c r="AQ27" s="130"/>
      <c r="AR27" s="169"/>
      <c r="AS27" s="19"/>
      <c r="AT27" s="19"/>
    </row>
    <row r="28" spans="1:46" ht="15.75" customHeight="1" x14ac:dyDescent="0.35">
      <c r="A28" s="19"/>
      <c r="B28" s="1" t="s">
        <v>298</v>
      </c>
      <c r="C28" s="3"/>
      <c r="D28" s="62" t="s">
        <v>0</v>
      </c>
      <c r="E28" s="7" t="s">
        <v>191</v>
      </c>
      <c r="F28" s="3"/>
      <c r="G28" s="3"/>
      <c r="H28" s="3"/>
      <c r="I28" s="3"/>
      <c r="J28" s="3"/>
      <c r="M28" s="3"/>
      <c r="N28" s="3"/>
      <c r="O28" s="19"/>
      <c r="P28" s="19"/>
      <c r="Q28" s="19"/>
      <c r="T28" s="19"/>
      <c r="U28" s="19"/>
      <c r="X28" s="19"/>
      <c r="Y28" s="19"/>
      <c r="Z28" s="19"/>
      <c r="AA28" s="19"/>
      <c r="AB28" s="19"/>
      <c r="AE28" s="19"/>
      <c r="AF28" s="19"/>
      <c r="AG28" s="19"/>
      <c r="AH28" s="19"/>
      <c r="AI28" s="19"/>
      <c r="AJ28" s="19"/>
      <c r="AK28" s="19"/>
      <c r="AL28" s="19"/>
      <c r="AM28" s="130"/>
      <c r="AN28" s="130"/>
      <c r="AO28" s="130"/>
      <c r="AP28" s="169"/>
      <c r="AQ28" s="19"/>
      <c r="AR28" s="19"/>
      <c r="AS28" s="169"/>
      <c r="AT28" s="19"/>
    </row>
    <row r="29" spans="1:46" ht="15.75" customHeight="1" x14ac:dyDescent="0.35">
      <c r="A29" s="19"/>
      <c r="B29" s="7" t="s">
        <v>299</v>
      </c>
      <c r="C29" s="1"/>
      <c r="D29" s="62" t="s">
        <v>300</v>
      </c>
      <c r="E29" s="7" t="s">
        <v>301</v>
      </c>
      <c r="F29" s="1"/>
      <c r="G29" s="1"/>
      <c r="H29" s="1"/>
      <c r="I29" s="1"/>
      <c r="J29" s="1"/>
      <c r="M29" s="1"/>
      <c r="N29" s="1"/>
      <c r="O29" s="19"/>
      <c r="P29" s="19"/>
      <c r="Q29" s="19"/>
      <c r="T29" s="19"/>
      <c r="U29" s="19"/>
      <c r="X29" s="19"/>
      <c r="Y29" s="19"/>
      <c r="Z29" s="19"/>
      <c r="AA29" s="19"/>
      <c r="AB29" s="19"/>
      <c r="AE29" s="19"/>
      <c r="AF29" s="19"/>
      <c r="AG29" s="19"/>
      <c r="AH29" s="19"/>
      <c r="AI29" s="19"/>
      <c r="AJ29" s="19"/>
      <c r="AK29" s="19"/>
      <c r="AL29" s="19"/>
      <c r="AM29" s="130"/>
      <c r="AN29" s="130"/>
      <c r="AO29" s="130"/>
      <c r="AP29" s="19"/>
      <c r="AQ29" s="19"/>
      <c r="AR29" s="19"/>
      <c r="AS29" s="169"/>
      <c r="AT29" s="19"/>
    </row>
    <row r="30" spans="1:46" ht="15.75" customHeight="1" x14ac:dyDescent="0.35">
      <c r="A30" s="19"/>
      <c r="B30" s="7" t="s">
        <v>302</v>
      </c>
      <c r="C30" s="53"/>
      <c r="D30" s="62" t="s">
        <v>303</v>
      </c>
      <c r="E30" s="7" t="s">
        <v>304</v>
      </c>
      <c r="F30" s="7"/>
      <c r="G30" s="10"/>
      <c r="H30" s="7"/>
      <c r="I30" s="54"/>
      <c r="J30" s="10"/>
      <c r="M30" s="7"/>
      <c r="N30" s="7"/>
      <c r="O30" s="19"/>
      <c r="P30" s="19"/>
      <c r="Q30" s="19"/>
      <c r="T30" s="19"/>
      <c r="U30" s="19"/>
      <c r="X30" s="19"/>
      <c r="Y30" s="19"/>
      <c r="Z30" s="19"/>
      <c r="AA30" s="19"/>
      <c r="AB30" s="19"/>
      <c r="AE30" s="19"/>
      <c r="AF30" s="19"/>
      <c r="AG30" s="19"/>
      <c r="AH30" s="19"/>
      <c r="AI30" s="19"/>
      <c r="AJ30" s="19"/>
      <c r="AK30" s="19"/>
      <c r="AL30" s="19"/>
      <c r="AM30" s="130"/>
      <c r="AN30" s="130"/>
      <c r="AO30" s="130"/>
      <c r="AP30" s="19"/>
      <c r="AQ30" s="19"/>
      <c r="AR30" s="19"/>
      <c r="AS30" s="169"/>
      <c r="AT30" s="19"/>
    </row>
    <row r="31" spans="1:46" ht="15.75" customHeight="1" x14ac:dyDescent="0.35">
      <c r="A31" s="19"/>
      <c r="B31" s="7" t="s">
        <v>305</v>
      </c>
      <c r="C31" s="53"/>
      <c r="D31" s="42" t="s">
        <v>306</v>
      </c>
      <c r="E31" s="7" t="s">
        <v>307</v>
      </c>
      <c r="F31" s="7"/>
      <c r="G31" s="10"/>
      <c r="H31" s="7"/>
      <c r="I31" s="54"/>
      <c r="J31" s="10"/>
      <c r="M31" s="7"/>
      <c r="N31" s="7"/>
      <c r="O31" s="19"/>
      <c r="P31" s="19"/>
      <c r="Q31" s="19"/>
      <c r="T31" s="19"/>
      <c r="U31" s="19"/>
      <c r="X31" s="19"/>
      <c r="Y31" s="19"/>
      <c r="Z31" s="19"/>
      <c r="AA31" s="19"/>
      <c r="AB31" s="19"/>
      <c r="AE31" s="19"/>
      <c r="AF31" s="19"/>
      <c r="AG31" s="19"/>
      <c r="AH31" s="19"/>
      <c r="AI31" s="19"/>
      <c r="AJ31" s="19"/>
      <c r="AK31" s="19"/>
      <c r="AL31" s="19"/>
      <c r="AM31" s="130"/>
      <c r="AN31" s="130"/>
      <c r="AO31" s="130"/>
      <c r="AP31" s="19"/>
      <c r="AQ31" s="19"/>
      <c r="AR31" s="19"/>
      <c r="AS31" s="169"/>
      <c r="AT31" s="19"/>
    </row>
    <row r="32" spans="1:46" ht="15.75" customHeight="1" x14ac:dyDescent="0.35">
      <c r="A32" s="19"/>
      <c r="B32" s="19"/>
      <c r="C32" s="19"/>
      <c r="D32" s="42" t="s">
        <v>308</v>
      </c>
      <c r="E32" s="7" t="s">
        <v>309</v>
      </c>
      <c r="F32" s="19"/>
      <c r="G32" s="19"/>
      <c r="H32" s="19"/>
      <c r="I32" s="19"/>
      <c r="J32" s="19"/>
      <c r="M32" s="19"/>
      <c r="N32" s="19"/>
      <c r="O32" s="19"/>
      <c r="P32" s="19"/>
      <c r="Q32" s="19"/>
      <c r="T32" s="19"/>
      <c r="U32" s="19"/>
      <c r="X32" s="19"/>
      <c r="Y32" s="19"/>
      <c r="Z32" s="19"/>
      <c r="AA32" s="19"/>
      <c r="AB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30"/>
      <c r="AQ32" s="130"/>
      <c r="AR32" s="19"/>
      <c r="AS32" s="19"/>
      <c r="AT32" s="19"/>
    </row>
    <row r="33" spans="1:46" ht="15.75" customHeight="1" x14ac:dyDescent="0.35">
      <c r="A33" s="19"/>
      <c r="C33" s="19"/>
      <c r="D33" s="62" t="s">
        <v>310</v>
      </c>
      <c r="E33" s="7" t="s">
        <v>311</v>
      </c>
      <c r="F33" s="19"/>
      <c r="G33" s="19"/>
      <c r="H33" s="19"/>
      <c r="I33" s="19"/>
      <c r="J33" s="19"/>
      <c r="M33" s="19"/>
      <c r="N33" s="19"/>
      <c r="O33" s="19"/>
      <c r="P33" s="19"/>
      <c r="Q33" s="19"/>
      <c r="T33" s="19"/>
      <c r="U33" s="19"/>
      <c r="X33" s="19"/>
      <c r="Y33" s="19"/>
      <c r="Z33" s="19"/>
      <c r="AA33" s="19"/>
      <c r="AB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30"/>
      <c r="AQ33" s="130"/>
      <c r="AR33" s="19"/>
      <c r="AS33" s="19"/>
      <c r="AT33" s="19"/>
    </row>
    <row r="34" spans="1:46" ht="15.75" customHeight="1" x14ac:dyDescent="0.35">
      <c r="A34" s="19"/>
      <c r="C34" s="19"/>
      <c r="D34" s="62" t="s">
        <v>312</v>
      </c>
      <c r="E34" s="7" t="s">
        <v>313</v>
      </c>
      <c r="F34" s="19"/>
      <c r="G34" s="19"/>
      <c r="H34" s="19"/>
      <c r="I34" s="19"/>
      <c r="J34" s="19"/>
      <c r="M34" s="19"/>
      <c r="N34" s="19"/>
      <c r="O34" s="19"/>
      <c r="P34" s="19"/>
      <c r="Q34" s="19"/>
      <c r="T34" s="19"/>
      <c r="U34" s="19"/>
      <c r="X34" s="19"/>
      <c r="Y34" s="19"/>
      <c r="Z34" s="19"/>
      <c r="AA34" s="19"/>
      <c r="AB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30"/>
      <c r="AQ34" s="130"/>
      <c r="AR34" s="19"/>
      <c r="AS34" s="19"/>
      <c r="AT34" s="19"/>
    </row>
    <row r="35" spans="1:46" ht="15.75" customHeight="1" x14ac:dyDescent="0.35">
      <c r="A35" s="19"/>
      <c r="C35" s="19"/>
      <c r="D35" s="62" t="s">
        <v>314</v>
      </c>
      <c r="E35" s="7" t="s">
        <v>315</v>
      </c>
      <c r="F35" s="19"/>
      <c r="G35" s="19"/>
      <c r="H35" s="19"/>
      <c r="I35" s="19"/>
      <c r="J35" s="19"/>
      <c r="M35" s="19"/>
      <c r="N35" s="19"/>
      <c r="O35" s="19"/>
      <c r="P35" s="19"/>
      <c r="Q35" s="19"/>
      <c r="T35" s="19"/>
      <c r="U35" s="19"/>
      <c r="X35" s="19"/>
      <c r="Y35" s="19"/>
      <c r="Z35" s="19"/>
      <c r="AA35" s="19"/>
      <c r="AB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30"/>
      <c r="AQ35" s="130"/>
      <c r="AR35" s="19"/>
      <c r="AS35" s="19"/>
      <c r="AT35" s="19"/>
    </row>
    <row r="36" spans="1:46" ht="15.75" customHeight="1" x14ac:dyDescent="0.35">
      <c r="A36" s="19"/>
      <c r="C36" s="19"/>
      <c r="D36" s="62" t="s">
        <v>316</v>
      </c>
      <c r="E36" s="7" t="s">
        <v>195</v>
      </c>
      <c r="F36" s="19"/>
      <c r="G36" s="19"/>
      <c r="H36" s="19"/>
      <c r="I36" s="19"/>
      <c r="J36" s="19"/>
      <c r="M36" s="19"/>
      <c r="N36" s="19"/>
      <c r="O36" s="19"/>
      <c r="P36" s="19"/>
      <c r="Q36" s="19"/>
      <c r="T36" s="19"/>
      <c r="U36" s="19"/>
      <c r="X36" s="19"/>
      <c r="Y36" s="19"/>
      <c r="Z36" s="19"/>
      <c r="AA36" s="19"/>
      <c r="AB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30"/>
      <c r="AQ36" s="130"/>
      <c r="AR36" s="19"/>
      <c r="AS36" s="19"/>
      <c r="AT36" s="19"/>
    </row>
    <row r="37" spans="1:46" ht="15.75" customHeight="1" x14ac:dyDescent="0.35">
      <c r="A37" s="19"/>
      <c r="B37" s="19"/>
      <c r="C37" s="19"/>
      <c r="D37" s="43" t="s">
        <v>317</v>
      </c>
      <c r="E37" s="7" t="s">
        <v>318</v>
      </c>
      <c r="F37" s="19"/>
      <c r="G37" s="19"/>
      <c r="H37" s="19"/>
      <c r="I37" s="19"/>
      <c r="J37" s="19"/>
      <c r="M37" s="19"/>
      <c r="N37" s="19"/>
      <c r="O37" s="19"/>
      <c r="P37" s="19"/>
      <c r="Q37" s="19"/>
      <c r="T37" s="19"/>
      <c r="U37" s="19"/>
      <c r="X37" s="19"/>
      <c r="Y37" s="19"/>
      <c r="Z37" s="19"/>
      <c r="AA37" s="19"/>
      <c r="AB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30"/>
      <c r="AQ37" s="130"/>
      <c r="AR37" s="19"/>
      <c r="AS37" s="19"/>
      <c r="AT37" s="19"/>
    </row>
    <row r="38" spans="1:46" ht="15.75" customHeight="1" x14ac:dyDescent="0.35">
      <c r="A38" s="19"/>
      <c r="B38" s="19"/>
      <c r="C38" s="19"/>
      <c r="D38" s="64" t="s">
        <v>319</v>
      </c>
      <c r="E38" s="7" t="s">
        <v>320</v>
      </c>
      <c r="F38" s="19"/>
      <c r="G38" s="19"/>
      <c r="H38" s="19"/>
      <c r="I38" s="19"/>
      <c r="J38" s="19"/>
      <c r="M38" s="19"/>
      <c r="N38" s="19"/>
      <c r="O38" s="19"/>
      <c r="P38" s="19"/>
      <c r="Q38" s="19"/>
      <c r="T38" s="19"/>
      <c r="U38" s="19"/>
      <c r="X38" s="19"/>
      <c r="Y38" s="19"/>
      <c r="Z38" s="19"/>
      <c r="AA38" s="19"/>
      <c r="AB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30"/>
      <c r="AQ38" s="130"/>
      <c r="AR38" s="19"/>
      <c r="AS38" s="19"/>
      <c r="AT38" s="19"/>
    </row>
    <row r="39" spans="1:46" ht="15.75" customHeight="1" x14ac:dyDescent="0.35">
      <c r="A39" s="19"/>
      <c r="B39" s="19"/>
      <c r="C39" s="19"/>
      <c r="D39" s="64" t="s">
        <v>196</v>
      </c>
      <c r="E39" s="7" t="s">
        <v>197</v>
      </c>
      <c r="F39" s="19"/>
      <c r="G39" s="19"/>
      <c r="H39" s="19"/>
      <c r="I39" s="19"/>
      <c r="J39" s="19"/>
      <c r="M39" s="19"/>
      <c r="N39" s="19"/>
      <c r="O39" s="19"/>
      <c r="P39" s="19"/>
      <c r="Q39" s="19"/>
      <c r="T39" s="19"/>
      <c r="U39" s="19"/>
      <c r="X39" s="19"/>
      <c r="Y39" s="19"/>
      <c r="Z39" s="19"/>
      <c r="AA39" s="19"/>
      <c r="AB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30"/>
      <c r="AQ39" s="130"/>
      <c r="AR39" s="19"/>
      <c r="AS39" s="19"/>
      <c r="AT39" s="19"/>
    </row>
    <row r="40" spans="1:46" ht="15.75" customHeight="1" x14ac:dyDescent="0.35">
      <c r="A40" s="19"/>
      <c r="B40" s="19"/>
      <c r="C40" s="19"/>
      <c r="D40" s="64" t="s">
        <v>192</v>
      </c>
      <c r="E40" s="7" t="s">
        <v>193</v>
      </c>
      <c r="F40" s="19"/>
      <c r="G40" s="19"/>
      <c r="H40" s="19"/>
      <c r="I40" s="19"/>
      <c r="J40" s="19"/>
      <c r="M40" s="19"/>
      <c r="N40" s="19"/>
      <c r="O40" s="19"/>
      <c r="P40" s="19"/>
      <c r="Q40" s="19"/>
      <c r="T40" s="19"/>
      <c r="U40" s="19"/>
      <c r="X40" s="19"/>
      <c r="Y40" s="19"/>
      <c r="Z40" s="19"/>
      <c r="AA40" s="19"/>
      <c r="AB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30"/>
      <c r="AQ40" s="130"/>
      <c r="AR40" s="19"/>
      <c r="AS40" s="19"/>
      <c r="AT40" s="19"/>
    </row>
    <row r="41" spans="1:46" ht="15.75" customHeight="1" x14ac:dyDescent="0.25">
      <c r="A41" s="19"/>
      <c r="B41" s="19"/>
      <c r="C41" s="19"/>
      <c r="D41" s="19"/>
      <c r="E41" s="19"/>
      <c r="F41" s="19"/>
      <c r="G41" s="19"/>
      <c r="H41" s="19"/>
      <c r="I41" s="19"/>
      <c r="J41" s="19"/>
      <c r="M41" s="19"/>
      <c r="N41" s="19"/>
      <c r="O41" s="19"/>
      <c r="P41" s="19"/>
      <c r="Q41" s="19"/>
      <c r="T41" s="19"/>
      <c r="U41" s="19"/>
      <c r="X41" s="19"/>
      <c r="Y41" s="19"/>
      <c r="Z41" s="19"/>
      <c r="AA41" s="19"/>
      <c r="AB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30"/>
      <c r="AP41" s="130"/>
      <c r="AQ41" s="19"/>
      <c r="AR41" s="19"/>
      <c r="AS41" s="19"/>
      <c r="AT41" s="19"/>
    </row>
    <row r="42" spans="1:46" ht="15.75" customHeight="1" x14ac:dyDescent="0.35">
      <c r="A42" s="19"/>
      <c r="B42" s="19"/>
      <c r="C42" s="19"/>
      <c r="D42" s="104"/>
      <c r="E42" s="7" t="s">
        <v>208</v>
      </c>
      <c r="F42" s="19"/>
      <c r="G42" s="19"/>
      <c r="H42" s="19"/>
      <c r="I42" s="19"/>
      <c r="J42" s="19"/>
      <c r="M42" s="19"/>
      <c r="N42" s="19"/>
      <c r="O42" s="19"/>
      <c r="P42" s="19"/>
      <c r="Q42" s="19"/>
      <c r="T42" s="19"/>
      <c r="U42" s="19"/>
      <c r="X42" s="19"/>
      <c r="Y42" s="19"/>
      <c r="Z42" s="19"/>
      <c r="AA42" s="19"/>
      <c r="AB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30"/>
      <c r="AP42" s="130"/>
      <c r="AQ42" s="19"/>
      <c r="AR42" s="19"/>
      <c r="AS42" s="19"/>
      <c r="AT42" s="19"/>
    </row>
    <row r="43" spans="1:46" ht="15.75" customHeight="1" x14ac:dyDescent="0.35">
      <c r="A43" s="19"/>
      <c r="B43" s="19"/>
      <c r="C43" s="19"/>
      <c r="D43" s="105"/>
      <c r="E43" s="7" t="s">
        <v>321</v>
      </c>
      <c r="F43" s="19"/>
      <c r="G43" s="19"/>
      <c r="H43" s="19"/>
      <c r="I43" s="19"/>
      <c r="J43" s="19"/>
      <c r="M43" s="19"/>
      <c r="N43" s="19"/>
      <c r="O43" s="19"/>
      <c r="P43" s="19"/>
      <c r="Q43" s="19"/>
      <c r="T43" s="19"/>
      <c r="U43" s="19"/>
      <c r="X43" s="19"/>
      <c r="Y43" s="19"/>
      <c r="Z43" s="19"/>
      <c r="AA43" s="19"/>
      <c r="AB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30"/>
      <c r="AP43" s="130"/>
      <c r="AQ43" s="19"/>
      <c r="AR43" s="19"/>
      <c r="AS43" s="19"/>
      <c r="AT43" s="19"/>
    </row>
    <row r="44" spans="1:46" ht="15.75" customHeight="1" x14ac:dyDescent="0.35">
      <c r="A44" s="19"/>
      <c r="B44" s="19"/>
      <c r="C44" s="19"/>
      <c r="D44" s="170"/>
      <c r="E44" s="7" t="s">
        <v>322</v>
      </c>
      <c r="F44" s="19"/>
      <c r="G44" s="19"/>
      <c r="H44" s="19"/>
      <c r="I44" s="19"/>
      <c r="J44" s="19"/>
      <c r="M44" s="19"/>
      <c r="N44" s="19"/>
      <c r="O44" s="19"/>
      <c r="P44" s="19"/>
      <c r="Q44" s="19"/>
      <c r="T44" s="19"/>
      <c r="U44" s="19"/>
      <c r="X44" s="19"/>
      <c r="Y44" s="19"/>
      <c r="Z44" s="19"/>
      <c r="AA44" s="19"/>
      <c r="AB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30"/>
      <c r="AP44" s="130"/>
      <c r="AQ44" s="19"/>
      <c r="AR44" s="19"/>
      <c r="AS44" s="19"/>
      <c r="AT44" s="19"/>
    </row>
    <row r="45" spans="1:46" ht="15.75" customHeight="1" x14ac:dyDescent="0.35">
      <c r="A45" s="19"/>
      <c r="B45" s="19"/>
      <c r="C45" s="19"/>
      <c r="D45" s="171" t="s">
        <v>323</v>
      </c>
      <c r="E45" s="171" t="s">
        <v>324</v>
      </c>
      <c r="F45" s="19"/>
      <c r="G45" s="19"/>
      <c r="H45" s="19"/>
      <c r="I45" s="19"/>
      <c r="J45" s="19"/>
      <c r="M45" s="19"/>
      <c r="N45" s="19"/>
      <c r="O45" s="19"/>
      <c r="P45" s="19"/>
      <c r="Q45" s="19"/>
      <c r="T45" s="19"/>
      <c r="U45" s="19"/>
      <c r="X45" s="19"/>
      <c r="Y45" s="19"/>
      <c r="Z45" s="19"/>
      <c r="AA45" s="19"/>
      <c r="AB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30"/>
      <c r="AP45" s="130"/>
      <c r="AQ45" s="19"/>
      <c r="AR45" s="19"/>
      <c r="AS45" s="19"/>
      <c r="AT45" s="19"/>
    </row>
    <row r="46" spans="1:46" ht="15.75" customHeight="1" x14ac:dyDescent="0.35">
      <c r="A46" s="19"/>
      <c r="B46" s="19"/>
      <c r="C46" s="19"/>
      <c r="D46" s="19"/>
      <c r="E46" s="171" t="s">
        <v>325</v>
      </c>
      <c r="F46" s="19"/>
      <c r="G46" s="19"/>
      <c r="H46" s="19"/>
      <c r="I46" s="19"/>
      <c r="J46" s="19"/>
      <c r="M46" s="19"/>
      <c r="N46" s="19"/>
      <c r="O46" s="19"/>
      <c r="P46" s="19"/>
      <c r="Q46" s="19"/>
      <c r="T46" s="19"/>
      <c r="U46" s="19"/>
      <c r="X46" s="19"/>
      <c r="Y46" s="19"/>
      <c r="Z46" s="19"/>
      <c r="AA46" s="19"/>
      <c r="AB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30"/>
      <c r="AQ46" s="130"/>
      <c r="AR46" s="19"/>
      <c r="AS46" s="19"/>
      <c r="AT46" s="19"/>
    </row>
    <row r="47" spans="1:46" ht="15.75" customHeight="1" x14ac:dyDescent="0.25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30"/>
      <c r="AQ47" s="130"/>
      <c r="AR47" s="19"/>
      <c r="AS47" s="19"/>
      <c r="AT47" s="19"/>
    </row>
    <row r="48" spans="1:46" ht="15.75" customHeight="1" x14ac:dyDescent="0.25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30"/>
      <c r="AQ48" s="130"/>
      <c r="AR48" s="19"/>
      <c r="AS48" s="19"/>
      <c r="AT48" s="19"/>
    </row>
    <row r="49" spans="1:46" ht="15.75" customHeight="1" x14ac:dyDescent="0.25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30"/>
      <c r="AQ49" s="130"/>
      <c r="AR49" s="19"/>
      <c r="AS49" s="19"/>
      <c r="AT49" s="19"/>
    </row>
    <row r="50" spans="1:46" ht="15.75" customHeight="1" x14ac:dyDescent="0.25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30"/>
      <c r="AQ50" s="130"/>
      <c r="AR50" s="19"/>
      <c r="AS50" s="19"/>
      <c r="AT50" s="19"/>
    </row>
    <row r="51" spans="1:46" ht="15.75" customHeight="1" x14ac:dyDescent="0.2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30"/>
      <c r="AQ51" s="130"/>
      <c r="AR51" s="19"/>
      <c r="AS51" s="19"/>
      <c r="AT51" s="19"/>
    </row>
    <row r="52" spans="1:46" ht="15.75" customHeight="1" x14ac:dyDescent="0.25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30"/>
      <c r="AQ52" s="130"/>
      <c r="AR52" s="19"/>
      <c r="AS52" s="19"/>
      <c r="AT52" s="19"/>
    </row>
    <row r="53" spans="1:46" ht="15.75" customHeight="1" x14ac:dyDescent="0.25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30"/>
      <c r="AQ53" s="130"/>
      <c r="AR53" s="19"/>
      <c r="AS53" s="19"/>
      <c r="AT53" s="19"/>
    </row>
    <row r="54" spans="1:46" ht="15.75" customHeight="1" x14ac:dyDescent="0.25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30"/>
      <c r="AQ54" s="130"/>
      <c r="AR54" s="19"/>
      <c r="AS54" s="19"/>
      <c r="AT54" s="19"/>
    </row>
    <row r="55" spans="1:46" ht="12.5" x14ac:dyDescent="0.25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30"/>
      <c r="AQ55" s="130"/>
      <c r="AR55" s="19"/>
      <c r="AS55" s="19"/>
      <c r="AT55" s="19"/>
    </row>
    <row r="56" spans="1:46" ht="12.5" x14ac:dyDescent="0.25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30"/>
      <c r="AQ56" s="130"/>
      <c r="AR56" s="19"/>
      <c r="AS56" s="19"/>
      <c r="AT56" s="19"/>
    </row>
    <row r="57" spans="1:46" ht="12.5" x14ac:dyDescent="0.25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30"/>
      <c r="AQ57" s="130"/>
      <c r="AR57" s="19"/>
      <c r="AS57" s="19"/>
      <c r="AT57" s="19"/>
    </row>
    <row r="58" spans="1:46" ht="12.5" x14ac:dyDescent="0.25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30"/>
      <c r="AQ58" s="130"/>
      <c r="AR58" s="19"/>
      <c r="AS58" s="19"/>
      <c r="AT58" s="19"/>
    </row>
    <row r="59" spans="1:46" ht="12.5" x14ac:dyDescent="0.25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30"/>
      <c r="AQ59" s="130"/>
      <c r="AR59" s="19"/>
      <c r="AS59" s="19"/>
      <c r="AT59" s="19"/>
    </row>
    <row r="60" spans="1:46" ht="12.5" x14ac:dyDescent="0.25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30"/>
      <c r="AQ60" s="130"/>
      <c r="AR60" s="19"/>
      <c r="AS60" s="19"/>
      <c r="AT60" s="19"/>
    </row>
    <row r="61" spans="1:46" ht="12.5" x14ac:dyDescent="0.25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30"/>
      <c r="AQ61" s="130"/>
      <c r="AR61" s="19"/>
      <c r="AS61" s="19"/>
      <c r="AT61" s="19"/>
    </row>
    <row r="62" spans="1:46" ht="12.5" x14ac:dyDescent="0.25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30"/>
      <c r="AQ62" s="130"/>
      <c r="AR62" s="19"/>
      <c r="AS62" s="19"/>
      <c r="AT62" s="19"/>
    </row>
    <row r="63" spans="1:46" ht="12.5" x14ac:dyDescent="0.25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30"/>
      <c r="AQ63" s="130"/>
      <c r="AR63" s="19"/>
      <c r="AS63" s="19"/>
      <c r="AT63" s="19"/>
    </row>
    <row r="64" spans="1:46" ht="12.5" x14ac:dyDescent="0.25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30"/>
      <c r="AQ64" s="130"/>
      <c r="AR64" s="19"/>
      <c r="AS64" s="19"/>
      <c r="AT64" s="19"/>
    </row>
    <row r="65" spans="1:46" ht="12.5" x14ac:dyDescent="0.25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30"/>
      <c r="AQ65" s="130"/>
      <c r="AR65" s="19"/>
      <c r="AS65" s="19"/>
      <c r="AT65" s="19"/>
    </row>
    <row r="66" spans="1:46" ht="12.5" x14ac:dyDescent="0.25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30"/>
      <c r="AQ66" s="130"/>
      <c r="AR66" s="19"/>
      <c r="AS66" s="19"/>
      <c r="AT66" s="19"/>
    </row>
    <row r="67" spans="1:46" ht="12.5" x14ac:dyDescent="0.25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30"/>
      <c r="AQ67" s="130"/>
      <c r="AR67" s="19"/>
      <c r="AS67" s="19"/>
      <c r="AT67" s="19"/>
    </row>
    <row r="68" spans="1:46" ht="12.5" x14ac:dyDescent="0.25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30"/>
      <c r="AQ68" s="130"/>
      <c r="AR68" s="19"/>
      <c r="AS68" s="19"/>
      <c r="AT68" s="19"/>
    </row>
    <row r="69" spans="1:46" ht="12.5" x14ac:dyDescent="0.25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30"/>
      <c r="AQ69" s="130"/>
      <c r="AR69" s="19"/>
      <c r="AS69" s="19"/>
      <c r="AT69" s="19"/>
    </row>
    <row r="70" spans="1:46" ht="12.5" x14ac:dyDescent="0.25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30"/>
      <c r="AQ70" s="130"/>
      <c r="AR70" s="19"/>
      <c r="AS70" s="19"/>
      <c r="AT70" s="19"/>
    </row>
    <row r="71" spans="1:46" ht="12.5" x14ac:dyDescent="0.25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30"/>
      <c r="AQ71" s="130"/>
      <c r="AR71" s="19"/>
      <c r="AS71" s="19"/>
      <c r="AT71" s="19"/>
    </row>
    <row r="72" spans="1:46" ht="12.5" x14ac:dyDescent="0.25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30"/>
      <c r="AQ72" s="130"/>
      <c r="AR72" s="19"/>
      <c r="AS72" s="19"/>
      <c r="AT72" s="19"/>
    </row>
    <row r="73" spans="1:46" ht="12.5" x14ac:dyDescent="0.25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30"/>
      <c r="AQ73" s="130"/>
      <c r="AR73" s="19"/>
      <c r="AS73" s="19"/>
      <c r="AT73" s="19"/>
    </row>
    <row r="74" spans="1:46" ht="12.5" x14ac:dyDescent="0.25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30"/>
      <c r="AQ74" s="130"/>
      <c r="AR74" s="19"/>
      <c r="AS74" s="19"/>
      <c r="AT74" s="19"/>
    </row>
    <row r="75" spans="1:46" ht="12.5" x14ac:dyDescent="0.25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30"/>
      <c r="AQ75" s="130"/>
      <c r="AR75" s="19"/>
      <c r="AS75" s="19"/>
      <c r="AT75" s="19"/>
    </row>
    <row r="76" spans="1:46" ht="12.5" x14ac:dyDescent="0.25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30"/>
      <c r="AQ76" s="130"/>
      <c r="AR76" s="19"/>
      <c r="AS76" s="19"/>
      <c r="AT76" s="19"/>
    </row>
    <row r="77" spans="1:46" ht="12.5" x14ac:dyDescent="0.25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30"/>
      <c r="AQ77" s="130"/>
      <c r="AR77" s="19"/>
      <c r="AS77" s="19"/>
      <c r="AT77" s="19"/>
    </row>
    <row r="78" spans="1:46" ht="12.5" x14ac:dyDescent="0.25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30"/>
      <c r="AQ78" s="130"/>
      <c r="AR78" s="19"/>
      <c r="AS78" s="19"/>
      <c r="AT78" s="19"/>
    </row>
    <row r="79" spans="1:46" ht="12.5" x14ac:dyDescent="0.25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30"/>
      <c r="AQ79" s="130"/>
      <c r="AR79" s="19"/>
      <c r="AS79" s="19"/>
      <c r="AT79" s="19"/>
    </row>
    <row r="80" spans="1:46" ht="12.5" x14ac:dyDescent="0.25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30"/>
      <c r="AQ80" s="130"/>
      <c r="AR80" s="19"/>
      <c r="AS80" s="19"/>
      <c r="AT80" s="19"/>
    </row>
    <row r="81" spans="1:46" ht="12.5" x14ac:dyDescent="0.25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30"/>
      <c r="AQ81" s="130"/>
      <c r="AR81" s="19"/>
      <c r="AS81" s="19"/>
      <c r="AT81" s="19"/>
    </row>
    <row r="82" spans="1:46" ht="12.5" x14ac:dyDescent="0.25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30"/>
      <c r="AQ82" s="130"/>
      <c r="AR82" s="19"/>
      <c r="AS82" s="19"/>
      <c r="AT82" s="19"/>
    </row>
    <row r="83" spans="1:46" ht="12.5" x14ac:dyDescent="0.25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30"/>
      <c r="AQ83" s="130"/>
      <c r="AR83" s="19"/>
      <c r="AS83" s="19"/>
      <c r="AT83" s="19"/>
    </row>
    <row r="84" spans="1:46" ht="12.5" x14ac:dyDescent="0.25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30"/>
      <c r="AQ84" s="130"/>
      <c r="AR84" s="19"/>
      <c r="AS84" s="19"/>
      <c r="AT84" s="19"/>
    </row>
    <row r="85" spans="1:46" ht="12.5" x14ac:dyDescent="0.25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30"/>
      <c r="AQ85" s="130"/>
      <c r="AR85" s="19"/>
      <c r="AS85" s="19"/>
      <c r="AT85" s="19"/>
    </row>
    <row r="86" spans="1:46" ht="12.5" x14ac:dyDescent="0.25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30"/>
      <c r="AQ86" s="130"/>
      <c r="AR86" s="19"/>
      <c r="AS86" s="19"/>
      <c r="AT86" s="19"/>
    </row>
    <row r="87" spans="1:46" ht="12.5" x14ac:dyDescent="0.25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30"/>
      <c r="AQ87" s="130"/>
      <c r="AR87" s="19"/>
      <c r="AS87" s="19"/>
      <c r="AT87" s="19"/>
    </row>
    <row r="88" spans="1:46" ht="12.5" x14ac:dyDescent="0.25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30"/>
      <c r="AQ88" s="130"/>
      <c r="AR88" s="19"/>
      <c r="AS88" s="19"/>
      <c r="AT88" s="19"/>
    </row>
    <row r="89" spans="1:46" ht="12.5" x14ac:dyDescent="0.25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30"/>
      <c r="AQ89" s="130"/>
      <c r="AR89" s="19"/>
      <c r="AS89" s="19"/>
      <c r="AT89" s="19"/>
    </row>
    <row r="90" spans="1:46" ht="12.5" x14ac:dyDescent="0.25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30"/>
      <c r="AQ90" s="130"/>
      <c r="AR90" s="19"/>
      <c r="AS90" s="19"/>
      <c r="AT90" s="19"/>
    </row>
    <row r="91" spans="1:46" ht="12.5" x14ac:dyDescent="0.25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30"/>
      <c r="AQ91" s="130"/>
      <c r="AR91" s="19"/>
      <c r="AS91" s="19"/>
      <c r="AT91" s="19"/>
    </row>
    <row r="92" spans="1:46" ht="12.5" x14ac:dyDescent="0.25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30"/>
      <c r="AQ92" s="130"/>
      <c r="AR92" s="19"/>
      <c r="AS92" s="19"/>
      <c r="AT92" s="19"/>
    </row>
    <row r="93" spans="1:46" ht="12.5" x14ac:dyDescent="0.25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30"/>
      <c r="AQ93" s="130"/>
      <c r="AR93" s="19"/>
      <c r="AS93" s="19"/>
      <c r="AT93" s="19"/>
    </row>
    <row r="94" spans="1:46" ht="12.5" x14ac:dyDescent="0.25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30"/>
      <c r="AQ94" s="130"/>
      <c r="AR94" s="19"/>
      <c r="AS94" s="19"/>
      <c r="AT94" s="19"/>
    </row>
    <row r="95" spans="1:46" ht="12.5" x14ac:dyDescent="0.25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30"/>
      <c r="AQ95" s="130"/>
      <c r="AR95" s="19"/>
      <c r="AS95" s="19"/>
      <c r="AT95" s="19"/>
    </row>
    <row r="96" spans="1:46" ht="12.5" x14ac:dyDescent="0.25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30"/>
      <c r="AQ96" s="130"/>
      <c r="AR96" s="19"/>
      <c r="AS96" s="19"/>
      <c r="AT96" s="19"/>
    </row>
    <row r="97" spans="1:46" ht="12.5" x14ac:dyDescent="0.25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30"/>
      <c r="AQ97" s="130"/>
      <c r="AR97" s="19"/>
      <c r="AS97" s="19"/>
      <c r="AT97" s="19"/>
    </row>
    <row r="98" spans="1:46" ht="12.5" x14ac:dyDescent="0.25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30"/>
      <c r="AQ98" s="130"/>
      <c r="AR98" s="19"/>
      <c r="AS98" s="19"/>
      <c r="AT98" s="19"/>
    </row>
    <row r="99" spans="1:46" ht="12.5" x14ac:dyDescent="0.25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30"/>
      <c r="AQ99" s="130"/>
      <c r="AR99" s="19"/>
      <c r="AS99" s="19"/>
      <c r="AT99" s="19"/>
    </row>
    <row r="100" spans="1:46" ht="12.5" x14ac:dyDescent="0.25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30"/>
      <c r="AQ100" s="130"/>
      <c r="AR100" s="19"/>
      <c r="AS100" s="19"/>
      <c r="AT100" s="19"/>
    </row>
    <row r="101" spans="1:46" ht="12.5" x14ac:dyDescent="0.25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30"/>
      <c r="AQ101" s="130"/>
      <c r="AR101" s="19"/>
      <c r="AS101" s="19"/>
      <c r="AT101" s="19"/>
    </row>
    <row r="102" spans="1:46" ht="12.5" x14ac:dyDescent="0.25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30"/>
      <c r="AQ102" s="130"/>
      <c r="AR102" s="19"/>
      <c r="AS102" s="19"/>
      <c r="AT102" s="19"/>
    </row>
    <row r="103" spans="1:46" ht="12.5" x14ac:dyDescent="0.25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30"/>
      <c r="AQ103" s="130"/>
      <c r="AR103" s="19"/>
      <c r="AS103" s="19"/>
      <c r="AT103" s="19"/>
    </row>
    <row r="104" spans="1:46" ht="12.5" x14ac:dyDescent="0.25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30"/>
      <c r="AQ104" s="130"/>
      <c r="AR104" s="19"/>
      <c r="AS104" s="19"/>
      <c r="AT104" s="19"/>
    </row>
    <row r="105" spans="1:46" ht="12.5" x14ac:dyDescent="0.2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30"/>
      <c r="AQ105" s="130"/>
      <c r="AR105" s="19"/>
      <c r="AS105" s="19"/>
      <c r="AT105" s="19"/>
    </row>
    <row r="106" spans="1:46" ht="12.5" x14ac:dyDescent="0.25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30"/>
      <c r="AQ106" s="130"/>
      <c r="AR106" s="19"/>
      <c r="AS106" s="19"/>
      <c r="AT106" s="19"/>
    </row>
    <row r="107" spans="1:46" ht="12.5" x14ac:dyDescent="0.25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30"/>
      <c r="AQ107" s="130"/>
      <c r="AR107" s="19"/>
      <c r="AS107" s="19"/>
      <c r="AT107" s="19"/>
    </row>
    <row r="108" spans="1:46" ht="12.5" x14ac:dyDescent="0.25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30"/>
      <c r="AQ108" s="130"/>
      <c r="AR108" s="19"/>
      <c r="AS108" s="19"/>
      <c r="AT108" s="19"/>
    </row>
    <row r="109" spans="1:46" ht="12.5" x14ac:dyDescent="0.25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30"/>
      <c r="AQ109" s="130"/>
      <c r="AR109" s="19"/>
      <c r="AS109" s="19"/>
      <c r="AT109" s="19"/>
    </row>
    <row r="110" spans="1:46" ht="12.5" x14ac:dyDescent="0.25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30"/>
      <c r="AQ110" s="130"/>
      <c r="AR110" s="19"/>
      <c r="AS110" s="19"/>
      <c r="AT110" s="19"/>
    </row>
    <row r="111" spans="1:46" ht="12.5" x14ac:dyDescent="0.25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30"/>
      <c r="AQ111" s="130"/>
      <c r="AR111" s="19"/>
      <c r="AS111" s="19"/>
      <c r="AT111" s="19"/>
    </row>
    <row r="112" spans="1:46" ht="12.5" x14ac:dyDescent="0.25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30"/>
      <c r="AQ112" s="130"/>
      <c r="AR112" s="19"/>
      <c r="AS112" s="19"/>
      <c r="AT112" s="19"/>
    </row>
    <row r="113" spans="1:46" ht="12.5" x14ac:dyDescent="0.25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30"/>
      <c r="AQ113" s="130"/>
      <c r="AR113" s="19"/>
      <c r="AS113" s="19"/>
      <c r="AT113" s="19"/>
    </row>
    <row r="114" spans="1:46" ht="12.5" x14ac:dyDescent="0.25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30"/>
      <c r="AQ114" s="130"/>
      <c r="AR114" s="19"/>
      <c r="AS114" s="19"/>
      <c r="AT114" s="19"/>
    </row>
    <row r="115" spans="1:46" ht="12.5" x14ac:dyDescent="0.2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30"/>
      <c r="AQ115" s="130"/>
      <c r="AR115" s="19"/>
      <c r="AS115" s="19"/>
      <c r="AT115" s="19"/>
    </row>
    <row r="116" spans="1:46" ht="12.5" x14ac:dyDescent="0.25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30"/>
      <c r="AQ116" s="130"/>
      <c r="AR116" s="19"/>
      <c r="AS116" s="19"/>
      <c r="AT116" s="19"/>
    </row>
    <row r="117" spans="1:46" ht="12.5" x14ac:dyDescent="0.25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30"/>
      <c r="AQ117" s="130"/>
      <c r="AR117" s="19"/>
      <c r="AS117" s="19"/>
      <c r="AT117" s="19"/>
    </row>
    <row r="118" spans="1:46" ht="12.5" x14ac:dyDescent="0.25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30"/>
      <c r="AQ118" s="130"/>
      <c r="AR118" s="19"/>
      <c r="AS118" s="19"/>
      <c r="AT118" s="19"/>
    </row>
    <row r="119" spans="1:46" ht="12.5" x14ac:dyDescent="0.25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30"/>
      <c r="AQ119" s="130"/>
      <c r="AR119" s="19"/>
      <c r="AS119" s="19"/>
      <c r="AT119" s="19"/>
    </row>
    <row r="120" spans="1:46" ht="12.5" x14ac:dyDescent="0.25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30"/>
      <c r="AQ120" s="130"/>
      <c r="AR120" s="19"/>
      <c r="AS120" s="19"/>
      <c r="AT120" s="19"/>
    </row>
    <row r="121" spans="1:46" ht="12.5" x14ac:dyDescent="0.25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30"/>
      <c r="AQ121" s="130"/>
      <c r="AR121" s="19"/>
      <c r="AS121" s="19"/>
      <c r="AT121" s="19"/>
    </row>
    <row r="122" spans="1:46" ht="12.5" x14ac:dyDescent="0.25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30"/>
      <c r="AQ122" s="130"/>
      <c r="AR122" s="19"/>
      <c r="AS122" s="19"/>
      <c r="AT122" s="19"/>
    </row>
    <row r="123" spans="1:46" ht="12.5" x14ac:dyDescent="0.25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30"/>
      <c r="AQ123" s="130"/>
      <c r="AR123" s="19"/>
      <c r="AS123" s="19"/>
      <c r="AT123" s="19"/>
    </row>
    <row r="124" spans="1:46" ht="12.5" x14ac:dyDescent="0.25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30"/>
      <c r="AQ124" s="130"/>
      <c r="AR124" s="19"/>
      <c r="AS124" s="19"/>
      <c r="AT124" s="19"/>
    </row>
    <row r="125" spans="1:46" ht="12.5" x14ac:dyDescent="0.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30"/>
      <c r="AQ125" s="130"/>
      <c r="AR125" s="19"/>
      <c r="AS125" s="19"/>
      <c r="AT125" s="19"/>
    </row>
    <row r="126" spans="1:46" ht="12.5" x14ac:dyDescent="0.25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30"/>
      <c r="AQ126" s="130"/>
      <c r="AR126" s="19"/>
      <c r="AS126" s="19"/>
      <c r="AT126" s="19"/>
    </row>
    <row r="127" spans="1:46" ht="12.5" x14ac:dyDescent="0.2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30"/>
      <c r="AQ127" s="130"/>
      <c r="AR127" s="19"/>
      <c r="AS127" s="19"/>
      <c r="AT127" s="19"/>
    </row>
    <row r="128" spans="1:46" ht="12.5" x14ac:dyDescent="0.2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30"/>
      <c r="AQ128" s="130"/>
      <c r="AR128" s="19"/>
      <c r="AS128" s="19"/>
      <c r="AT128" s="19"/>
    </row>
    <row r="129" spans="1:46" ht="12.5" x14ac:dyDescent="0.2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30"/>
      <c r="AQ129" s="130"/>
      <c r="AR129" s="19"/>
      <c r="AS129" s="19"/>
      <c r="AT129" s="19"/>
    </row>
    <row r="130" spans="1:46" ht="12.5" x14ac:dyDescent="0.25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30"/>
      <c r="AQ130" s="130"/>
      <c r="AR130" s="19"/>
      <c r="AS130" s="19"/>
      <c r="AT130" s="19"/>
    </row>
    <row r="131" spans="1:46" ht="12.5" x14ac:dyDescent="0.25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30"/>
      <c r="AQ131" s="130"/>
      <c r="AR131" s="19"/>
      <c r="AS131" s="19"/>
      <c r="AT131" s="19"/>
    </row>
    <row r="132" spans="1:46" ht="12.5" x14ac:dyDescent="0.25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30"/>
      <c r="AQ132" s="130"/>
      <c r="AR132" s="19"/>
      <c r="AS132" s="19"/>
      <c r="AT132" s="19"/>
    </row>
    <row r="133" spans="1:46" ht="12.5" x14ac:dyDescent="0.25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30"/>
      <c r="AQ133" s="130"/>
      <c r="AR133" s="19"/>
      <c r="AS133" s="19"/>
      <c r="AT133" s="19"/>
    </row>
    <row r="134" spans="1:46" ht="12.5" x14ac:dyDescent="0.25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30"/>
      <c r="AQ134" s="130"/>
      <c r="AR134" s="19"/>
      <c r="AS134" s="19"/>
      <c r="AT134" s="19"/>
    </row>
    <row r="135" spans="1:46" ht="12.5" x14ac:dyDescent="0.2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30"/>
      <c r="AQ135" s="130"/>
      <c r="AR135" s="19"/>
      <c r="AS135" s="19"/>
      <c r="AT135" s="19"/>
    </row>
    <row r="136" spans="1:46" ht="12.5" x14ac:dyDescent="0.25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30"/>
      <c r="AQ136" s="130"/>
      <c r="AR136" s="19"/>
      <c r="AS136" s="19"/>
      <c r="AT136" s="19"/>
    </row>
    <row r="137" spans="1:46" ht="12.5" x14ac:dyDescent="0.25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30"/>
      <c r="AQ137" s="130"/>
      <c r="AR137" s="19"/>
      <c r="AS137" s="19"/>
      <c r="AT137" s="19"/>
    </row>
    <row r="138" spans="1:46" ht="12.5" x14ac:dyDescent="0.25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30"/>
      <c r="AQ138" s="130"/>
      <c r="AR138" s="19"/>
      <c r="AS138" s="19"/>
      <c r="AT138" s="19"/>
    </row>
    <row r="139" spans="1:46" ht="12.5" x14ac:dyDescent="0.25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30"/>
      <c r="AQ139" s="130"/>
      <c r="AR139" s="19"/>
      <c r="AS139" s="19"/>
      <c r="AT139" s="19"/>
    </row>
    <row r="140" spans="1:46" ht="12.5" x14ac:dyDescent="0.25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30"/>
      <c r="AQ140" s="130"/>
      <c r="AR140" s="19"/>
      <c r="AS140" s="19"/>
      <c r="AT140" s="19"/>
    </row>
    <row r="141" spans="1:46" ht="12.5" x14ac:dyDescent="0.25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30"/>
      <c r="AQ141" s="130"/>
      <c r="AR141" s="19"/>
      <c r="AS141" s="19"/>
      <c r="AT141" s="19"/>
    </row>
    <row r="142" spans="1:46" ht="12.5" x14ac:dyDescent="0.2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30"/>
      <c r="AQ142" s="130"/>
      <c r="AR142" s="19"/>
      <c r="AS142" s="19"/>
      <c r="AT142" s="19"/>
    </row>
    <row r="143" spans="1:46" ht="12.5" x14ac:dyDescent="0.2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30"/>
      <c r="AQ143" s="130"/>
      <c r="AR143" s="19"/>
      <c r="AS143" s="19"/>
      <c r="AT143" s="19"/>
    </row>
    <row r="144" spans="1:46" ht="12.5" x14ac:dyDescent="0.2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30"/>
      <c r="AQ144" s="130"/>
      <c r="AR144" s="19"/>
      <c r="AS144" s="19"/>
      <c r="AT144" s="19"/>
    </row>
    <row r="145" spans="1:46" ht="12.5" x14ac:dyDescent="0.2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30"/>
      <c r="AQ145" s="130"/>
      <c r="AR145" s="19"/>
      <c r="AS145" s="19"/>
      <c r="AT145" s="19"/>
    </row>
    <row r="146" spans="1:46" ht="12.5" x14ac:dyDescent="0.25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30"/>
      <c r="AQ146" s="130"/>
      <c r="AR146" s="19"/>
      <c r="AS146" s="19"/>
      <c r="AT146" s="19"/>
    </row>
    <row r="147" spans="1:46" ht="12.5" x14ac:dyDescent="0.25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30"/>
      <c r="AQ147" s="130"/>
      <c r="AR147" s="19"/>
      <c r="AS147" s="19"/>
      <c r="AT147" s="19"/>
    </row>
    <row r="148" spans="1:46" ht="12.5" x14ac:dyDescent="0.25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30"/>
      <c r="AQ148" s="130"/>
      <c r="AR148" s="19"/>
      <c r="AS148" s="19"/>
      <c r="AT148" s="19"/>
    </row>
    <row r="149" spans="1:46" ht="12.5" x14ac:dyDescent="0.25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30"/>
      <c r="AQ149" s="130"/>
      <c r="AR149" s="19"/>
      <c r="AS149" s="19"/>
      <c r="AT149" s="19"/>
    </row>
    <row r="150" spans="1:46" ht="12.5" x14ac:dyDescent="0.25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30"/>
      <c r="AQ150" s="130"/>
      <c r="AR150" s="19"/>
      <c r="AS150" s="19"/>
      <c r="AT150" s="19"/>
    </row>
    <row r="151" spans="1:46" ht="12.5" x14ac:dyDescent="0.25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30"/>
      <c r="AQ151" s="130"/>
      <c r="AR151" s="19"/>
      <c r="AS151" s="19"/>
      <c r="AT151" s="19"/>
    </row>
    <row r="152" spans="1:46" ht="12.5" x14ac:dyDescent="0.2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30"/>
      <c r="AQ152" s="130"/>
      <c r="AR152" s="19"/>
      <c r="AS152" s="19"/>
      <c r="AT152" s="19"/>
    </row>
    <row r="153" spans="1:46" ht="12.5" x14ac:dyDescent="0.25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30"/>
      <c r="AQ153" s="130"/>
      <c r="AR153" s="19"/>
      <c r="AS153" s="19"/>
      <c r="AT153" s="19"/>
    </row>
    <row r="154" spans="1:46" ht="12.5" x14ac:dyDescent="0.25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30"/>
      <c r="AQ154" s="130"/>
      <c r="AR154" s="19"/>
      <c r="AS154" s="19"/>
      <c r="AT154" s="19"/>
    </row>
    <row r="155" spans="1:46" ht="12.5" x14ac:dyDescent="0.2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30"/>
      <c r="AQ155" s="130"/>
      <c r="AR155" s="19"/>
      <c r="AS155" s="19"/>
      <c r="AT155" s="19"/>
    </row>
    <row r="156" spans="1:46" ht="12.5" x14ac:dyDescent="0.25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30"/>
      <c r="AQ156" s="130"/>
      <c r="AR156" s="19"/>
      <c r="AS156" s="19"/>
      <c r="AT156" s="19"/>
    </row>
    <row r="157" spans="1:46" ht="12.5" x14ac:dyDescent="0.25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30"/>
      <c r="AQ157" s="130"/>
      <c r="AR157" s="19"/>
      <c r="AS157" s="19"/>
      <c r="AT157" s="19"/>
    </row>
    <row r="158" spans="1:46" ht="12.5" x14ac:dyDescent="0.25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30"/>
      <c r="AQ158" s="130"/>
      <c r="AR158" s="19"/>
      <c r="AS158" s="19"/>
      <c r="AT158" s="19"/>
    </row>
    <row r="159" spans="1:46" ht="12.5" x14ac:dyDescent="0.25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30"/>
      <c r="AQ159" s="130"/>
      <c r="AR159" s="19"/>
      <c r="AS159" s="19"/>
      <c r="AT159" s="19"/>
    </row>
    <row r="160" spans="1:46" ht="12.5" x14ac:dyDescent="0.25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30"/>
      <c r="AQ160" s="130"/>
      <c r="AR160" s="19"/>
      <c r="AS160" s="19"/>
      <c r="AT160" s="19"/>
    </row>
    <row r="161" spans="1:46" ht="12.5" x14ac:dyDescent="0.25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30"/>
      <c r="AQ161" s="130"/>
      <c r="AR161" s="19"/>
      <c r="AS161" s="19"/>
      <c r="AT161" s="19"/>
    </row>
    <row r="162" spans="1:46" ht="12.5" x14ac:dyDescent="0.25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30"/>
      <c r="AQ162" s="130"/>
      <c r="AR162" s="19"/>
      <c r="AS162" s="19"/>
      <c r="AT162" s="19"/>
    </row>
    <row r="163" spans="1:46" ht="12.5" x14ac:dyDescent="0.25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30"/>
      <c r="AQ163" s="130"/>
      <c r="AR163" s="19"/>
      <c r="AS163" s="19"/>
      <c r="AT163" s="19"/>
    </row>
    <row r="164" spans="1:46" ht="12.5" x14ac:dyDescent="0.25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30"/>
      <c r="AQ164" s="130"/>
      <c r="AR164" s="19"/>
      <c r="AS164" s="19"/>
      <c r="AT164" s="19"/>
    </row>
    <row r="165" spans="1:46" ht="12.5" x14ac:dyDescent="0.2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30"/>
      <c r="AQ165" s="130"/>
      <c r="AR165" s="19"/>
      <c r="AS165" s="19"/>
      <c r="AT165" s="19"/>
    </row>
    <row r="166" spans="1:46" ht="12.5" x14ac:dyDescent="0.25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30"/>
      <c r="AQ166" s="130"/>
      <c r="AR166" s="19"/>
      <c r="AS166" s="19"/>
      <c r="AT166" s="19"/>
    </row>
    <row r="167" spans="1:46" ht="12.5" x14ac:dyDescent="0.25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30"/>
      <c r="AQ167" s="130"/>
      <c r="AR167" s="19"/>
      <c r="AS167" s="19"/>
      <c r="AT167" s="19"/>
    </row>
    <row r="168" spans="1:46" ht="12.5" x14ac:dyDescent="0.25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30"/>
      <c r="AQ168" s="130"/>
      <c r="AR168" s="19"/>
      <c r="AS168" s="19"/>
      <c r="AT168" s="19"/>
    </row>
    <row r="169" spans="1:46" ht="12.5" x14ac:dyDescent="0.25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30"/>
      <c r="AQ169" s="130"/>
      <c r="AR169" s="19"/>
      <c r="AS169" s="19"/>
      <c r="AT169" s="19"/>
    </row>
    <row r="170" spans="1:46" ht="12.5" x14ac:dyDescent="0.25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30"/>
      <c r="AQ170" s="130"/>
      <c r="AR170" s="19"/>
      <c r="AS170" s="19"/>
      <c r="AT170" s="19"/>
    </row>
    <row r="171" spans="1:46" ht="12.5" x14ac:dyDescent="0.25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30"/>
      <c r="AQ171" s="130"/>
      <c r="AR171" s="19"/>
      <c r="AS171" s="19"/>
      <c r="AT171" s="19"/>
    </row>
    <row r="172" spans="1:46" ht="12.5" x14ac:dyDescent="0.25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30"/>
      <c r="AQ172" s="130"/>
      <c r="AR172" s="19"/>
      <c r="AS172" s="19"/>
      <c r="AT172" s="19"/>
    </row>
    <row r="173" spans="1:46" ht="12.5" x14ac:dyDescent="0.25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30"/>
      <c r="AQ173" s="130"/>
      <c r="AR173" s="19"/>
      <c r="AS173" s="19"/>
      <c r="AT173" s="19"/>
    </row>
    <row r="174" spans="1:46" ht="12.5" x14ac:dyDescent="0.25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30"/>
      <c r="AQ174" s="130"/>
      <c r="AR174" s="19"/>
      <c r="AS174" s="19"/>
      <c r="AT174" s="19"/>
    </row>
    <row r="175" spans="1:46" ht="12.5" x14ac:dyDescent="0.2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30"/>
      <c r="AQ175" s="130"/>
      <c r="AR175" s="19"/>
      <c r="AS175" s="19"/>
      <c r="AT175" s="19"/>
    </row>
    <row r="176" spans="1:46" ht="12.5" x14ac:dyDescent="0.25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30"/>
      <c r="AQ176" s="130"/>
      <c r="AR176" s="19"/>
      <c r="AS176" s="19"/>
      <c r="AT176" s="19"/>
    </row>
    <row r="177" spans="1:46" ht="12.5" x14ac:dyDescent="0.25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30"/>
      <c r="AQ177" s="130"/>
      <c r="AR177" s="19"/>
      <c r="AS177" s="19"/>
      <c r="AT177" s="19"/>
    </row>
    <row r="178" spans="1:46" ht="12.5" x14ac:dyDescent="0.25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30"/>
      <c r="AQ178" s="130"/>
      <c r="AR178" s="19"/>
      <c r="AS178" s="19"/>
      <c r="AT178" s="19"/>
    </row>
    <row r="179" spans="1:46" ht="12.5" x14ac:dyDescent="0.25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30"/>
      <c r="AQ179" s="130"/>
      <c r="AR179" s="19"/>
      <c r="AS179" s="19"/>
      <c r="AT179" s="19"/>
    </row>
    <row r="180" spans="1:46" ht="12.5" x14ac:dyDescent="0.25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30"/>
      <c r="AQ180" s="130"/>
      <c r="AR180" s="19"/>
      <c r="AS180" s="19"/>
      <c r="AT180" s="19"/>
    </row>
    <row r="181" spans="1:46" ht="12.5" x14ac:dyDescent="0.25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30"/>
      <c r="AQ181" s="130"/>
      <c r="AR181" s="19"/>
      <c r="AS181" s="19"/>
      <c r="AT181" s="19"/>
    </row>
    <row r="182" spans="1:46" ht="12.5" x14ac:dyDescent="0.25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30"/>
      <c r="AQ182" s="130"/>
      <c r="AR182" s="19"/>
      <c r="AS182" s="19"/>
      <c r="AT182" s="19"/>
    </row>
    <row r="183" spans="1:46" ht="12.5" x14ac:dyDescent="0.25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30"/>
      <c r="AQ183" s="130"/>
      <c r="AR183" s="19"/>
      <c r="AS183" s="19"/>
      <c r="AT183" s="19"/>
    </row>
    <row r="184" spans="1:46" ht="12.5" x14ac:dyDescent="0.25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30"/>
      <c r="AQ184" s="130"/>
      <c r="AR184" s="19"/>
      <c r="AS184" s="19"/>
      <c r="AT184" s="19"/>
    </row>
    <row r="185" spans="1:46" ht="12.5" x14ac:dyDescent="0.2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30"/>
      <c r="AQ185" s="130"/>
      <c r="AR185" s="19"/>
      <c r="AS185" s="19"/>
      <c r="AT185" s="19"/>
    </row>
    <row r="186" spans="1:46" ht="12.5" x14ac:dyDescent="0.25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30"/>
      <c r="AQ186" s="130"/>
      <c r="AR186" s="19"/>
      <c r="AS186" s="19"/>
      <c r="AT186" s="19"/>
    </row>
    <row r="187" spans="1:46" ht="12.5" x14ac:dyDescent="0.25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30"/>
      <c r="AQ187" s="130"/>
      <c r="AR187" s="19"/>
      <c r="AS187" s="19"/>
      <c r="AT187" s="19"/>
    </row>
    <row r="188" spans="1:46" ht="12.5" x14ac:dyDescent="0.25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30"/>
      <c r="AQ188" s="130"/>
      <c r="AR188" s="19"/>
      <c r="AS188" s="19"/>
      <c r="AT188" s="19"/>
    </row>
    <row r="189" spans="1:46" ht="12.5" x14ac:dyDescent="0.25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30"/>
      <c r="AQ189" s="130"/>
      <c r="AR189" s="19"/>
      <c r="AS189" s="19"/>
      <c r="AT189" s="19"/>
    </row>
    <row r="190" spans="1:46" ht="12.5" x14ac:dyDescent="0.25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30"/>
      <c r="AQ190" s="130"/>
      <c r="AR190" s="19"/>
      <c r="AS190" s="19"/>
      <c r="AT190" s="19"/>
    </row>
    <row r="191" spans="1:46" ht="12.5" x14ac:dyDescent="0.25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30"/>
      <c r="AQ191" s="130"/>
      <c r="AR191" s="19"/>
      <c r="AS191" s="19"/>
      <c r="AT191" s="19"/>
    </row>
    <row r="192" spans="1:46" ht="12.5" x14ac:dyDescent="0.25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30"/>
      <c r="AQ192" s="130"/>
      <c r="AR192" s="19"/>
      <c r="AS192" s="19"/>
      <c r="AT192" s="19"/>
    </row>
    <row r="193" spans="1:46" ht="12.5" x14ac:dyDescent="0.25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30"/>
      <c r="AQ193" s="130"/>
      <c r="AR193" s="19"/>
      <c r="AS193" s="19"/>
      <c r="AT193" s="19"/>
    </row>
    <row r="194" spans="1:46" ht="12.5" x14ac:dyDescent="0.25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30"/>
      <c r="AQ194" s="130"/>
      <c r="AR194" s="19"/>
      <c r="AS194" s="19"/>
      <c r="AT194" s="19"/>
    </row>
    <row r="195" spans="1:46" ht="12.5" x14ac:dyDescent="0.2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30"/>
      <c r="AQ195" s="130"/>
      <c r="AR195" s="19"/>
      <c r="AS195" s="19"/>
      <c r="AT195" s="19"/>
    </row>
    <row r="196" spans="1:46" ht="12.5" x14ac:dyDescent="0.25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30"/>
      <c r="AQ196" s="130"/>
      <c r="AR196" s="19"/>
      <c r="AS196" s="19"/>
      <c r="AT196" s="19"/>
    </row>
    <row r="197" spans="1:46" ht="12.5" x14ac:dyDescent="0.25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30"/>
      <c r="AQ197" s="130"/>
      <c r="AR197" s="19"/>
      <c r="AS197" s="19"/>
      <c r="AT197" s="19"/>
    </row>
    <row r="198" spans="1:46" ht="12.5" x14ac:dyDescent="0.25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30"/>
      <c r="AQ198" s="130"/>
      <c r="AR198" s="19"/>
      <c r="AS198" s="19"/>
      <c r="AT198" s="19"/>
    </row>
    <row r="199" spans="1:46" ht="12.5" x14ac:dyDescent="0.25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30"/>
      <c r="AQ199" s="130"/>
      <c r="AR199" s="19"/>
      <c r="AS199" s="19"/>
      <c r="AT199" s="19"/>
    </row>
    <row r="200" spans="1:46" ht="12.5" x14ac:dyDescent="0.25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30"/>
      <c r="AQ200" s="130"/>
      <c r="AR200" s="19"/>
      <c r="AS200" s="19"/>
      <c r="AT200" s="19"/>
    </row>
    <row r="201" spans="1:46" ht="12.5" x14ac:dyDescent="0.25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30"/>
      <c r="AQ201" s="130"/>
      <c r="AR201" s="19"/>
      <c r="AS201" s="19"/>
      <c r="AT201" s="19"/>
    </row>
    <row r="202" spans="1:46" ht="12.5" x14ac:dyDescent="0.25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30"/>
      <c r="AQ202" s="130"/>
      <c r="AR202" s="19"/>
      <c r="AS202" s="19"/>
      <c r="AT202" s="19"/>
    </row>
    <row r="203" spans="1:46" ht="12.5" x14ac:dyDescent="0.25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30"/>
      <c r="AQ203" s="130"/>
      <c r="AR203" s="19"/>
      <c r="AS203" s="19"/>
      <c r="AT203" s="19"/>
    </row>
    <row r="204" spans="1:46" ht="12.5" x14ac:dyDescent="0.25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30"/>
      <c r="AQ204" s="130"/>
      <c r="AR204" s="19"/>
      <c r="AS204" s="19"/>
      <c r="AT204" s="19"/>
    </row>
    <row r="205" spans="1:46" ht="12.5" x14ac:dyDescent="0.2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30"/>
      <c r="AQ205" s="130"/>
      <c r="AR205" s="19"/>
      <c r="AS205" s="19"/>
      <c r="AT205" s="19"/>
    </row>
    <row r="206" spans="1:46" ht="12.5" x14ac:dyDescent="0.25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30"/>
      <c r="AQ206" s="130"/>
      <c r="AR206" s="19"/>
      <c r="AS206" s="19"/>
      <c r="AT206" s="19"/>
    </row>
    <row r="207" spans="1:46" ht="12.5" x14ac:dyDescent="0.25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30"/>
      <c r="AQ207" s="130"/>
      <c r="AR207" s="19"/>
      <c r="AS207" s="19"/>
      <c r="AT207" s="19"/>
    </row>
    <row r="208" spans="1:46" ht="12.5" x14ac:dyDescent="0.25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30"/>
      <c r="AQ208" s="130"/>
      <c r="AR208" s="19"/>
      <c r="AS208" s="19"/>
      <c r="AT208" s="19"/>
    </row>
    <row r="209" spans="1:46" ht="12.5" x14ac:dyDescent="0.25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30"/>
      <c r="AQ209" s="130"/>
      <c r="AR209" s="19"/>
      <c r="AS209" s="19"/>
      <c r="AT209" s="19"/>
    </row>
    <row r="210" spans="1:46" ht="12.5" x14ac:dyDescent="0.25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30"/>
      <c r="AQ210" s="130"/>
      <c r="AR210" s="19"/>
      <c r="AS210" s="19"/>
      <c r="AT210" s="19"/>
    </row>
    <row r="211" spans="1:46" ht="12.5" x14ac:dyDescent="0.25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30"/>
      <c r="AQ211" s="130"/>
      <c r="AR211" s="19"/>
      <c r="AS211" s="19"/>
      <c r="AT211" s="19"/>
    </row>
    <row r="212" spans="1:46" ht="12.5" x14ac:dyDescent="0.25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30"/>
      <c r="AQ212" s="130"/>
      <c r="AR212" s="19"/>
      <c r="AS212" s="19"/>
      <c r="AT212" s="19"/>
    </row>
    <row r="213" spans="1:46" ht="12.5" x14ac:dyDescent="0.25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30"/>
      <c r="AQ213" s="130"/>
      <c r="AR213" s="19"/>
      <c r="AS213" s="19"/>
      <c r="AT213" s="19"/>
    </row>
    <row r="214" spans="1:46" ht="12.5" x14ac:dyDescent="0.25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30"/>
      <c r="AQ214" s="130"/>
      <c r="AR214" s="19"/>
      <c r="AS214" s="19"/>
      <c r="AT214" s="19"/>
    </row>
    <row r="215" spans="1:46" ht="12.5" x14ac:dyDescent="0.2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30"/>
      <c r="AQ215" s="130"/>
      <c r="AR215" s="19"/>
      <c r="AS215" s="19"/>
      <c r="AT215" s="19"/>
    </row>
    <row r="216" spans="1:46" ht="12.5" x14ac:dyDescent="0.25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30"/>
      <c r="AQ216" s="130"/>
      <c r="AR216" s="19"/>
      <c r="AS216" s="19"/>
      <c r="AT216" s="19"/>
    </row>
    <row r="217" spans="1:46" ht="12.5" x14ac:dyDescent="0.25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30"/>
      <c r="AQ217" s="130"/>
      <c r="AR217" s="19"/>
      <c r="AS217" s="19"/>
      <c r="AT217" s="19"/>
    </row>
    <row r="218" spans="1:46" ht="12.5" x14ac:dyDescent="0.25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30"/>
      <c r="AQ218" s="130"/>
      <c r="AR218" s="19"/>
      <c r="AS218" s="19"/>
      <c r="AT218" s="19"/>
    </row>
    <row r="219" spans="1:46" ht="12.5" x14ac:dyDescent="0.25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30"/>
      <c r="AQ219" s="130"/>
      <c r="AR219" s="19"/>
      <c r="AS219" s="19"/>
      <c r="AT219" s="19"/>
    </row>
    <row r="220" spans="1:46" ht="12.5" x14ac:dyDescent="0.25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30"/>
      <c r="AQ220" s="130"/>
      <c r="AR220" s="19"/>
      <c r="AS220" s="19"/>
      <c r="AT220" s="19"/>
    </row>
    <row r="221" spans="1:46" ht="12.5" x14ac:dyDescent="0.25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30"/>
      <c r="AQ221" s="130"/>
      <c r="AR221" s="19"/>
      <c r="AS221" s="19"/>
      <c r="AT221" s="19"/>
    </row>
    <row r="222" spans="1:46" ht="12.5" x14ac:dyDescent="0.25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30"/>
      <c r="AQ222" s="130"/>
      <c r="AR222" s="19"/>
      <c r="AS222" s="19"/>
      <c r="AT222" s="19"/>
    </row>
    <row r="223" spans="1:46" ht="12.5" x14ac:dyDescent="0.25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30"/>
      <c r="AQ223" s="130"/>
      <c r="AR223" s="19"/>
      <c r="AS223" s="19"/>
      <c r="AT223" s="19"/>
    </row>
    <row r="224" spans="1:46" ht="12.5" x14ac:dyDescent="0.25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30"/>
      <c r="AQ224" s="130"/>
      <c r="AR224" s="19"/>
      <c r="AS224" s="19"/>
      <c r="AT224" s="19"/>
    </row>
    <row r="225" spans="1:46" ht="12.5" x14ac:dyDescent="0.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30"/>
      <c r="AQ225" s="130"/>
      <c r="AR225" s="19"/>
      <c r="AS225" s="19"/>
      <c r="AT225" s="19"/>
    </row>
    <row r="226" spans="1:46" ht="12.5" x14ac:dyDescent="0.25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30"/>
      <c r="AQ226" s="130"/>
      <c r="AR226" s="19"/>
      <c r="AS226" s="19"/>
      <c r="AT226" s="19"/>
    </row>
    <row r="227" spans="1:46" ht="12.5" x14ac:dyDescent="0.25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30"/>
      <c r="AQ227" s="130"/>
      <c r="AR227" s="19"/>
      <c r="AS227" s="19"/>
      <c r="AT227" s="19"/>
    </row>
    <row r="228" spans="1:46" ht="12.5" x14ac:dyDescent="0.25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30"/>
      <c r="AQ228" s="130"/>
      <c r="AR228" s="19"/>
      <c r="AS228" s="19"/>
      <c r="AT228" s="19"/>
    </row>
    <row r="229" spans="1:46" ht="12.5" x14ac:dyDescent="0.25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30"/>
      <c r="AQ229" s="130"/>
      <c r="AR229" s="19"/>
      <c r="AS229" s="19"/>
      <c r="AT229" s="19"/>
    </row>
    <row r="230" spans="1:46" ht="12.5" x14ac:dyDescent="0.25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30"/>
      <c r="AQ230" s="130"/>
      <c r="AR230" s="19"/>
      <c r="AS230" s="19"/>
      <c r="AT230" s="19"/>
    </row>
    <row r="231" spans="1:46" ht="12.5" x14ac:dyDescent="0.25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30"/>
      <c r="AQ231" s="130"/>
      <c r="AR231" s="19"/>
      <c r="AS231" s="19"/>
      <c r="AT231" s="19"/>
    </row>
    <row r="232" spans="1:46" ht="12.5" x14ac:dyDescent="0.25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30"/>
      <c r="AQ232" s="130"/>
      <c r="AR232" s="19"/>
      <c r="AS232" s="19"/>
      <c r="AT232" s="19"/>
    </row>
    <row r="233" spans="1:46" ht="12.5" x14ac:dyDescent="0.25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30"/>
      <c r="AQ233" s="130"/>
      <c r="AR233" s="19"/>
      <c r="AS233" s="19"/>
      <c r="AT233" s="19"/>
    </row>
    <row r="234" spans="1:46" ht="12.5" x14ac:dyDescent="0.25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30"/>
      <c r="AQ234" s="130"/>
      <c r="AR234" s="19"/>
      <c r="AS234" s="19"/>
      <c r="AT234" s="19"/>
    </row>
    <row r="235" spans="1:46" ht="12.5" x14ac:dyDescent="0.2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30"/>
      <c r="AQ235" s="130"/>
      <c r="AR235" s="19"/>
      <c r="AS235" s="19"/>
      <c r="AT235" s="19"/>
    </row>
    <row r="236" spans="1:46" ht="12.5" x14ac:dyDescent="0.25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30"/>
      <c r="AQ236" s="130"/>
      <c r="AR236" s="19"/>
      <c r="AS236" s="19"/>
      <c r="AT236" s="19"/>
    </row>
    <row r="237" spans="1:46" ht="12.5" x14ac:dyDescent="0.25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30"/>
      <c r="AQ237" s="130"/>
      <c r="AR237" s="19"/>
      <c r="AS237" s="19"/>
      <c r="AT237" s="19"/>
    </row>
    <row r="238" spans="1:46" ht="12.5" x14ac:dyDescent="0.25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30"/>
      <c r="AQ238" s="130"/>
      <c r="AR238" s="19"/>
      <c r="AS238" s="19"/>
      <c r="AT238" s="19"/>
    </row>
    <row r="239" spans="1:46" ht="12.5" x14ac:dyDescent="0.25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30"/>
      <c r="AQ239" s="130"/>
      <c r="AR239" s="19"/>
      <c r="AS239" s="19"/>
      <c r="AT239" s="19"/>
    </row>
    <row r="240" spans="1:46" ht="12.5" x14ac:dyDescent="0.25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30"/>
      <c r="AQ240" s="130"/>
      <c r="AR240" s="19"/>
      <c r="AS240" s="19"/>
      <c r="AT240" s="19"/>
    </row>
    <row r="241" spans="1:46" ht="12.5" x14ac:dyDescent="0.25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30"/>
      <c r="AQ241" s="130"/>
      <c r="AR241" s="19"/>
      <c r="AS241" s="19"/>
      <c r="AT241" s="19"/>
    </row>
    <row r="242" spans="1:46" ht="12.5" x14ac:dyDescent="0.25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30"/>
      <c r="AQ242" s="130"/>
      <c r="AR242" s="19"/>
      <c r="AS242" s="19"/>
      <c r="AT242" s="19"/>
    </row>
    <row r="243" spans="1:46" ht="12.5" x14ac:dyDescent="0.25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30"/>
      <c r="AQ243" s="130"/>
      <c r="AR243" s="19"/>
      <c r="AS243" s="19"/>
      <c r="AT243" s="19"/>
    </row>
    <row r="244" spans="1:46" ht="12.5" x14ac:dyDescent="0.25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30"/>
      <c r="AQ244" s="130"/>
      <c r="AR244" s="19"/>
      <c r="AS244" s="19"/>
      <c r="AT244" s="19"/>
    </row>
    <row r="245" spans="1:46" ht="12.5" x14ac:dyDescent="0.2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30"/>
      <c r="AQ245" s="130"/>
      <c r="AR245" s="19"/>
      <c r="AS245" s="19"/>
      <c r="AT245" s="19"/>
    </row>
    <row r="246" spans="1:46" ht="12.5" x14ac:dyDescent="0.25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30"/>
      <c r="AQ246" s="130"/>
      <c r="AR246" s="19"/>
      <c r="AS246" s="19"/>
      <c r="AT246" s="19"/>
    </row>
    <row r="247" spans="1:46" ht="12.5" x14ac:dyDescent="0.25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30"/>
      <c r="AQ247" s="130"/>
      <c r="AR247" s="19"/>
      <c r="AS247" s="19"/>
      <c r="AT247" s="19"/>
    </row>
    <row r="248" spans="1:46" ht="12.5" x14ac:dyDescent="0.25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30"/>
      <c r="AQ248" s="130"/>
      <c r="AR248" s="19"/>
      <c r="AS248" s="19"/>
      <c r="AT248" s="19"/>
    </row>
    <row r="249" spans="1:46" ht="12.5" x14ac:dyDescent="0.25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30"/>
      <c r="AQ249" s="130"/>
      <c r="AR249" s="19"/>
      <c r="AS249" s="19"/>
      <c r="AT249" s="19"/>
    </row>
    <row r="250" spans="1:46" ht="12.5" x14ac:dyDescent="0.25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30"/>
      <c r="AQ250" s="130"/>
      <c r="AR250" s="19"/>
      <c r="AS250" s="19"/>
      <c r="AT250" s="19"/>
    </row>
    <row r="251" spans="1:46" ht="12.5" x14ac:dyDescent="0.25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30"/>
      <c r="AQ251" s="130"/>
      <c r="AR251" s="19"/>
      <c r="AS251" s="19"/>
      <c r="AT251" s="19"/>
    </row>
    <row r="252" spans="1:46" ht="12.5" x14ac:dyDescent="0.25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30"/>
      <c r="AQ252" s="130"/>
      <c r="AR252" s="19"/>
      <c r="AS252" s="19"/>
      <c r="AT252" s="19"/>
    </row>
    <row r="253" spans="1:46" ht="12.5" x14ac:dyDescent="0.25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30"/>
      <c r="AQ253" s="130"/>
      <c r="AR253" s="19"/>
      <c r="AS253" s="19"/>
      <c r="AT253" s="19"/>
    </row>
    <row r="254" spans="1:46" ht="12.5" x14ac:dyDescent="0.25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30"/>
      <c r="AQ254" s="130"/>
      <c r="AR254" s="19"/>
      <c r="AS254" s="19"/>
      <c r="AT254" s="19"/>
    </row>
    <row r="255" spans="1:46" ht="12.5" x14ac:dyDescent="0.2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30"/>
      <c r="AQ255" s="130"/>
      <c r="AR255" s="19"/>
      <c r="AS255" s="19"/>
      <c r="AT255" s="19"/>
    </row>
    <row r="256" spans="1:46" ht="12.5" x14ac:dyDescent="0.25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30"/>
      <c r="AQ256" s="130"/>
      <c r="AR256" s="19"/>
      <c r="AS256" s="19"/>
      <c r="AT256" s="19"/>
    </row>
    <row r="257" spans="1:46" ht="12.5" x14ac:dyDescent="0.25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30"/>
      <c r="AQ257" s="130"/>
      <c r="AR257" s="19"/>
      <c r="AS257" s="19"/>
      <c r="AT257" s="19"/>
    </row>
    <row r="258" spans="1:46" ht="12.5" x14ac:dyDescent="0.25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30"/>
      <c r="AQ258" s="130"/>
      <c r="AR258" s="19"/>
      <c r="AS258" s="19"/>
      <c r="AT258" s="19"/>
    </row>
    <row r="259" spans="1:46" ht="12.5" x14ac:dyDescent="0.25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30"/>
      <c r="AQ259" s="130"/>
      <c r="AR259" s="19"/>
      <c r="AS259" s="19"/>
      <c r="AT259" s="19"/>
    </row>
    <row r="260" spans="1:46" ht="12.5" x14ac:dyDescent="0.25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30"/>
      <c r="AQ260" s="130"/>
      <c r="AR260" s="19"/>
      <c r="AS260" s="19"/>
      <c r="AT260" s="19"/>
    </row>
    <row r="261" spans="1:46" ht="12.5" x14ac:dyDescent="0.25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30"/>
      <c r="AQ261" s="130"/>
      <c r="AR261" s="19"/>
      <c r="AS261" s="19"/>
      <c r="AT261" s="19"/>
    </row>
    <row r="262" spans="1:46" ht="12.5" x14ac:dyDescent="0.25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30"/>
      <c r="AQ262" s="130"/>
      <c r="AR262" s="19"/>
      <c r="AS262" s="19"/>
      <c r="AT262" s="19"/>
    </row>
    <row r="263" spans="1:46" ht="12.5" x14ac:dyDescent="0.25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30"/>
      <c r="AQ263" s="130"/>
      <c r="AR263" s="19"/>
      <c r="AS263" s="19"/>
      <c r="AT263" s="19"/>
    </row>
    <row r="264" spans="1:46" ht="12.5" x14ac:dyDescent="0.25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30"/>
      <c r="AQ264" s="130"/>
      <c r="AR264" s="19"/>
      <c r="AS264" s="19"/>
      <c r="AT264" s="19"/>
    </row>
    <row r="265" spans="1:46" ht="12.5" x14ac:dyDescent="0.2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30"/>
      <c r="AQ265" s="130"/>
      <c r="AR265" s="19"/>
      <c r="AS265" s="19"/>
      <c r="AT265" s="19"/>
    </row>
    <row r="266" spans="1:46" ht="12.5" x14ac:dyDescent="0.25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30"/>
      <c r="AQ266" s="130"/>
      <c r="AR266" s="19"/>
      <c r="AS266" s="19"/>
      <c r="AT266" s="19"/>
    </row>
    <row r="267" spans="1:46" ht="12.5" x14ac:dyDescent="0.2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30"/>
      <c r="AQ267" s="130"/>
      <c r="AR267" s="19"/>
      <c r="AS267" s="19"/>
      <c r="AT267" s="19"/>
    </row>
    <row r="268" spans="1:46" ht="12.5" x14ac:dyDescent="0.25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30"/>
      <c r="AQ268" s="130"/>
      <c r="AR268" s="19"/>
      <c r="AS268" s="19"/>
      <c r="AT268" s="19"/>
    </row>
    <row r="269" spans="1:46" ht="12.5" x14ac:dyDescent="0.25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30"/>
      <c r="AQ269" s="130"/>
      <c r="AR269" s="19"/>
      <c r="AS269" s="19"/>
      <c r="AT269" s="19"/>
    </row>
    <row r="270" spans="1:46" ht="12.5" x14ac:dyDescent="0.25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30"/>
      <c r="AQ270" s="130"/>
      <c r="AR270" s="19"/>
      <c r="AS270" s="19"/>
      <c r="AT270" s="19"/>
    </row>
    <row r="271" spans="1:46" ht="12.5" x14ac:dyDescent="0.25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30"/>
      <c r="AQ271" s="130"/>
      <c r="AR271" s="19"/>
      <c r="AS271" s="19"/>
      <c r="AT271" s="19"/>
    </row>
    <row r="272" spans="1:46" ht="12.5" x14ac:dyDescent="0.25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30"/>
      <c r="AQ272" s="130"/>
      <c r="AR272" s="19"/>
      <c r="AS272" s="19"/>
      <c r="AT272" s="19"/>
    </row>
    <row r="273" spans="1:46" ht="12.5" x14ac:dyDescent="0.25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30"/>
      <c r="AQ273" s="130"/>
      <c r="AR273" s="19"/>
      <c r="AS273" s="19"/>
      <c r="AT273" s="19"/>
    </row>
    <row r="274" spans="1:46" ht="12.5" x14ac:dyDescent="0.25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30"/>
      <c r="AQ274" s="130"/>
      <c r="AR274" s="19"/>
      <c r="AS274" s="19"/>
      <c r="AT274" s="19"/>
    </row>
    <row r="275" spans="1:46" ht="12.5" x14ac:dyDescent="0.2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30"/>
      <c r="AQ275" s="130"/>
      <c r="AR275" s="19"/>
      <c r="AS275" s="19"/>
      <c r="AT275" s="19"/>
    </row>
    <row r="276" spans="1:46" ht="12.5" x14ac:dyDescent="0.25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30"/>
      <c r="AQ276" s="130"/>
      <c r="AR276" s="19"/>
      <c r="AS276" s="19"/>
      <c r="AT276" s="19"/>
    </row>
    <row r="277" spans="1:46" ht="12.5" x14ac:dyDescent="0.2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30"/>
      <c r="AQ277" s="130"/>
      <c r="AR277" s="19"/>
      <c r="AS277" s="19"/>
      <c r="AT277" s="19"/>
    </row>
    <row r="278" spans="1:46" ht="12.5" x14ac:dyDescent="0.25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30"/>
      <c r="AQ278" s="130"/>
      <c r="AR278" s="19"/>
      <c r="AS278" s="19"/>
      <c r="AT278" s="19"/>
    </row>
    <row r="279" spans="1:46" ht="12.5" x14ac:dyDescent="0.25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30"/>
      <c r="AQ279" s="130"/>
      <c r="AR279" s="19"/>
      <c r="AS279" s="19"/>
      <c r="AT279" s="19"/>
    </row>
    <row r="280" spans="1:46" ht="12.5" x14ac:dyDescent="0.25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30"/>
      <c r="AQ280" s="130"/>
      <c r="AR280" s="19"/>
      <c r="AS280" s="19"/>
      <c r="AT280" s="19"/>
    </row>
    <row r="281" spans="1:46" ht="12.5" x14ac:dyDescent="0.25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30"/>
      <c r="AQ281" s="130"/>
      <c r="AR281" s="19"/>
      <c r="AS281" s="19"/>
      <c r="AT281" s="19"/>
    </row>
    <row r="282" spans="1:46" ht="12.5" x14ac:dyDescent="0.25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30"/>
      <c r="AQ282" s="130"/>
      <c r="AR282" s="19"/>
      <c r="AS282" s="19"/>
      <c r="AT282" s="19"/>
    </row>
    <row r="283" spans="1:46" ht="12.5" x14ac:dyDescent="0.25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30"/>
      <c r="AQ283" s="130"/>
      <c r="AR283" s="19"/>
      <c r="AS283" s="19"/>
      <c r="AT283" s="19"/>
    </row>
    <row r="284" spans="1:46" ht="12.5" x14ac:dyDescent="0.25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30"/>
      <c r="AQ284" s="130"/>
      <c r="AR284" s="19"/>
      <c r="AS284" s="19"/>
      <c r="AT284" s="19"/>
    </row>
    <row r="285" spans="1:46" ht="12.5" x14ac:dyDescent="0.2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30"/>
      <c r="AQ285" s="130"/>
      <c r="AR285" s="19"/>
      <c r="AS285" s="19"/>
      <c r="AT285" s="19"/>
    </row>
    <row r="286" spans="1:46" ht="12.5" x14ac:dyDescent="0.25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30"/>
      <c r="AQ286" s="130"/>
      <c r="AR286" s="19"/>
      <c r="AS286" s="19"/>
      <c r="AT286" s="19"/>
    </row>
    <row r="287" spans="1:46" ht="12.5" x14ac:dyDescent="0.25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30"/>
      <c r="AQ287" s="130"/>
      <c r="AR287" s="19"/>
      <c r="AS287" s="19"/>
      <c r="AT287" s="19"/>
    </row>
    <row r="288" spans="1:46" ht="12.5" x14ac:dyDescent="0.25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30"/>
      <c r="AQ288" s="130"/>
      <c r="AR288" s="19"/>
      <c r="AS288" s="19"/>
      <c r="AT288" s="19"/>
    </row>
    <row r="289" spans="1:46" ht="12.5" x14ac:dyDescent="0.25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30"/>
      <c r="AQ289" s="130"/>
      <c r="AR289" s="19"/>
      <c r="AS289" s="19"/>
      <c r="AT289" s="19"/>
    </row>
    <row r="290" spans="1:46" ht="12.5" x14ac:dyDescent="0.25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30"/>
      <c r="AQ290" s="130"/>
      <c r="AR290" s="19"/>
      <c r="AS290" s="19"/>
      <c r="AT290" s="19"/>
    </row>
    <row r="291" spans="1:46" ht="12.5" x14ac:dyDescent="0.25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30"/>
      <c r="AQ291" s="130"/>
      <c r="AR291" s="19"/>
      <c r="AS291" s="19"/>
      <c r="AT291" s="19"/>
    </row>
    <row r="292" spans="1:46" ht="12.5" x14ac:dyDescent="0.25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30"/>
      <c r="AQ292" s="130"/>
      <c r="AR292" s="19"/>
      <c r="AS292" s="19"/>
      <c r="AT292" s="19"/>
    </row>
    <row r="293" spans="1:46" ht="12.5" x14ac:dyDescent="0.25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30"/>
      <c r="AQ293" s="130"/>
      <c r="AR293" s="19"/>
      <c r="AS293" s="19"/>
      <c r="AT293" s="19"/>
    </row>
    <row r="294" spans="1:46" ht="12.5" x14ac:dyDescent="0.25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30"/>
      <c r="AQ294" s="130"/>
      <c r="AR294" s="19"/>
      <c r="AS294" s="19"/>
      <c r="AT294" s="19"/>
    </row>
    <row r="295" spans="1:46" ht="12.5" x14ac:dyDescent="0.2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30"/>
      <c r="AQ295" s="130"/>
      <c r="AR295" s="19"/>
      <c r="AS295" s="19"/>
      <c r="AT295" s="19"/>
    </row>
    <row r="296" spans="1:46" ht="12.5" x14ac:dyDescent="0.25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30"/>
      <c r="AQ296" s="130"/>
      <c r="AR296" s="19"/>
      <c r="AS296" s="19"/>
      <c r="AT296" s="19"/>
    </row>
    <row r="297" spans="1:46" ht="12.5" x14ac:dyDescent="0.25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30"/>
      <c r="AQ297" s="130"/>
      <c r="AR297" s="19"/>
      <c r="AS297" s="19"/>
      <c r="AT297" s="19"/>
    </row>
    <row r="298" spans="1:46" ht="12.5" x14ac:dyDescent="0.25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30"/>
      <c r="AQ298" s="130"/>
      <c r="AR298" s="19"/>
      <c r="AS298" s="19"/>
      <c r="AT298" s="19"/>
    </row>
    <row r="299" spans="1:46" ht="12.5" x14ac:dyDescent="0.25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30"/>
      <c r="AQ299" s="130"/>
      <c r="AR299" s="19"/>
      <c r="AS299" s="19"/>
      <c r="AT299" s="19"/>
    </row>
    <row r="300" spans="1:46" ht="12.5" x14ac:dyDescent="0.25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30"/>
      <c r="AQ300" s="130"/>
      <c r="AR300" s="19"/>
      <c r="AS300" s="19"/>
      <c r="AT300" s="19"/>
    </row>
    <row r="301" spans="1:46" ht="12.5" x14ac:dyDescent="0.25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30"/>
      <c r="AQ301" s="130"/>
      <c r="AR301" s="19"/>
      <c r="AS301" s="19"/>
      <c r="AT301" s="19"/>
    </row>
    <row r="302" spans="1:46" ht="12.5" x14ac:dyDescent="0.25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30"/>
      <c r="AQ302" s="130"/>
      <c r="AR302" s="19"/>
      <c r="AS302" s="19"/>
      <c r="AT302" s="19"/>
    </row>
    <row r="303" spans="1:46" ht="12.5" x14ac:dyDescent="0.25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30"/>
      <c r="AQ303" s="130"/>
      <c r="AR303" s="19"/>
      <c r="AS303" s="19"/>
      <c r="AT303" s="19"/>
    </row>
    <row r="304" spans="1:46" ht="12.5" x14ac:dyDescent="0.25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30"/>
      <c r="AQ304" s="130"/>
      <c r="AR304" s="19"/>
      <c r="AS304" s="19"/>
      <c r="AT304" s="19"/>
    </row>
    <row r="305" spans="1:46" ht="12.5" x14ac:dyDescent="0.2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30"/>
      <c r="AQ305" s="130"/>
      <c r="AR305" s="19"/>
      <c r="AS305" s="19"/>
      <c r="AT305" s="19"/>
    </row>
    <row r="306" spans="1:46" ht="12.5" x14ac:dyDescent="0.25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30"/>
      <c r="AQ306" s="130"/>
      <c r="AR306" s="19"/>
      <c r="AS306" s="19"/>
      <c r="AT306" s="19"/>
    </row>
    <row r="307" spans="1:46" ht="12.5" x14ac:dyDescent="0.25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30"/>
      <c r="AQ307" s="130"/>
      <c r="AR307" s="19"/>
      <c r="AS307" s="19"/>
      <c r="AT307" s="19"/>
    </row>
    <row r="308" spans="1:46" ht="12.5" x14ac:dyDescent="0.2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30"/>
      <c r="AQ308" s="130"/>
      <c r="AR308" s="19"/>
      <c r="AS308" s="19"/>
      <c r="AT308" s="19"/>
    </row>
    <row r="309" spans="1:46" ht="12.5" x14ac:dyDescent="0.25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30"/>
      <c r="AQ309" s="130"/>
      <c r="AR309" s="19"/>
      <c r="AS309" s="19"/>
      <c r="AT309" s="19"/>
    </row>
    <row r="310" spans="1:46" ht="12.5" x14ac:dyDescent="0.25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30"/>
      <c r="AQ310" s="130"/>
      <c r="AR310" s="19"/>
      <c r="AS310" s="19"/>
      <c r="AT310" s="19"/>
    </row>
    <row r="311" spans="1:46" ht="12.5" x14ac:dyDescent="0.25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30"/>
      <c r="AQ311" s="130"/>
      <c r="AR311" s="19"/>
      <c r="AS311" s="19"/>
      <c r="AT311" s="19"/>
    </row>
    <row r="312" spans="1:46" ht="12.5" x14ac:dyDescent="0.25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30"/>
      <c r="AQ312" s="130"/>
      <c r="AR312" s="19"/>
      <c r="AS312" s="19"/>
      <c r="AT312" s="19"/>
    </row>
    <row r="313" spans="1:46" ht="12.5" x14ac:dyDescent="0.25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30"/>
      <c r="AQ313" s="130"/>
      <c r="AR313" s="19"/>
      <c r="AS313" s="19"/>
      <c r="AT313" s="19"/>
    </row>
    <row r="314" spans="1:46" ht="12.5" x14ac:dyDescent="0.25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30"/>
      <c r="AQ314" s="130"/>
      <c r="AR314" s="19"/>
      <c r="AS314" s="19"/>
      <c r="AT314" s="19"/>
    </row>
    <row r="315" spans="1:46" ht="12.5" x14ac:dyDescent="0.2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30"/>
      <c r="AQ315" s="130"/>
      <c r="AR315" s="19"/>
      <c r="AS315" s="19"/>
      <c r="AT315" s="19"/>
    </row>
    <row r="316" spans="1:46" ht="12.5" x14ac:dyDescent="0.25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30"/>
      <c r="AQ316" s="130"/>
      <c r="AR316" s="19"/>
      <c r="AS316" s="19"/>
      <c r="AT316" s="19"/>
    </row>
    <row r="317" spans="1:46" ht="12.5" x14ac:dyDescent="0.25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30"/>
      <c r="AQ317" s="130"/>
      <c r="AR317" s="19"/>
      <c r="AS317" s="19"/>
      <c r="AT317" s="19"/>
    </row>
    <row r="318" spans="1:46" ht="12.5" x14ac:dyDescent="0.25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30"/>
      <c r="AQ318" s="130"/>
      <c r="AR318" s="19"/>
      <c r="AS318" s="19"/>
      <c r="AT318" s="19"/>
    </row>
    <row r="319" spans="1:46" ht="12.5" x14ac:dyDescent="0.25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30"/>
      <c r="AQ319" s="130"/>
      <c r="AR319" s="19"/>
      <c r="AS319" s="19"/>
      <c r="AT319" s="19"/>
    </row>
    <row r="320" spans="1:46" ht="12.5" x14ac:dyDescent="0.25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30"/>
      <c r="AQ320" s="130"/>
      <c r="AR320" s="19"/>
      <c r="AS320" s="19"/>
      <c r="AT320" s="19"/>
    </row>
    <row r="321" spans="1:46" ht="12.5" x14ac:dyDescent="0.25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30"/>
      <c r="AQ321" s="130"/>
      <c r="AR321" s="19"/>
      <c r="AS321" s="19"/>
      <c r="AT321" s="19"/>
    </row>
    <row r="322" spans="1:46" ht="12.5" x14ac:dyDescent="0.25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30"/>
      <c r="AQ322" s="130"/>
      <c r="AR322" s="19"/>
      <c r="AS322" s="19"/>
      <c r="AT322" s="19"/>
    </row>
    <row r="323" spans="1:46" ht="12.5" x14ac:dyDescent="0.25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30"/>
      <c r="AQ323" s="130"/>
      <c r="AR323" s="19"/>
      <c r="AS323" s="19"/>
      <c r="AT323" s="19"/>
    </row>
    <row r="324" spans="1:46" ht="12.5" x14ac:dyDescent="0.25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30"/>
      <c r="AQ324" s="130"/>
      <c r="AR324" s="19"/>
      <c r="AS324" s="19"/>
      <c r="AT324" s="19"/>
    </row>
    <row r="325" spans="1:46" ht="12.5" x14ac:dyDescent="0.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30"/>
      <c r="AQ325" s="130"/>
      <c r="AR325" s="19"/>
      <c r="AS325" s="19"/>
      <c r="AT325" s="19"/>
    </row>
    <row r="326" spans="1:46" ht="12.5" x14ac:dyDescent="0.25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30"/>
      <c r="AQ326" s="130"/>
      <c r="AR326" s="19"/>
      <c r="AS326" s="19"/>
      <c r="AT326" s="19"/>
    </row>
    <row r="327" spans="1:46" ht="12.5" x14ac:dyDescent="0.25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30"/>
      <c r="AQ327" s="130"/>
      <c r="AR327" s="19"/>
      <c r="AS327" s="19"/>
      <c r="AT327" s="19"/>
    </row>
    <row r="328" spans="1:46" ht="12.5" x14ac:dyDescent="0.25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30"/>
      <c r="AQ328" s="130"/>
      <c r="AR328" s="19"/>
      <c r="AS328" s="19"/>
      <c r="AT328" s="19"/>
    </row>
    <row r="329" spans="1:46" ht="12.5" x14ac:dyDescent="0.25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30"/>
      <c r="AQ329" s="130"/>
      <c r="AR329" s="19"/>
      <c r="AS329" s="19"/>
      <c r="AT329" s="19"/>
    </row>
    <row r="330" spans="1:46" ht="12.5" x14ac:dyDescent="0.25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30"/>
      <c r="AQ330" s="130"/>
      <c r="AR330" s="19"/>
      <c r="AS330" s="19"/>
      <c r="AT330" s="19"/>
    </row>
    <row r="331" spans="1:46" ht="12.5" x14ac:dyDescent="0.25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30"/>
      <c r="AQ331" s="130"/>
      <c r="AR331" s="19"/>
      <c r="AS331" s="19"/>
      <c r="AT331" s="19"/>
    </row>
    <row r="332" spans="1:46" ht="12.5" x14ac:dyDescent="0.25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30"/>
      <c r="AQ332" s="130"/>
      <c r="AR332" s="19"/>
      <c r="AS332" s="19"/>
      <c r="AT332" s="19"/>
    </row>
    <row r="333" spans="1:46" ht="12.5" x14ac:dyDescent="0.25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30"/>
      <c r="AQ333" s="130"/>
      <c r="AR333" s="19"/>
      <c r="AS333" s="19"/>
      <c r="AT333" s="19"/>
    </row>
    <row r="334" spans="1:46" ht="12.5" x14ac:dyDescent="0.2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30"/>
      <c r="AQ334" s="130"/>
      <c r="AR334" s="19"/>
      <c r="AS334" s="19"/>
      <c r="AT334" s="19"/>
    </row>
    <row r="335" spans="1:46" ht="12.5" x14ac:dyDescent="0.2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30"/>
      <c r="AQ335" s="130"/>
      <c r="AR335" s="19"/>
      <c r="AS335" s="19"/>
      <c r="AT335" s="19"/>
    </row>
    <row r="336" spans="1:46" ht="12.5" x14ac:dyDescent="0.25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30"/>
      <c r="AQ336" s="130"/>
      <c r="AR336" s="19"/>
      <c r="AS336" s="19"/>
      <c r="AT336" s="19"/>
    </row>
    <row r="337" spans="1:46" ht="12.5" x14ac:dyDescent="0.25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30"/>
      <c r="AQ337" s="130"/>
      <c r="AR337" s="19"/>
      <c r="AS337" s="19"/>
      <c r="AT337" s="19"/>
    </row>
    <row r="338" spans="1:46" ht="12.5" x14ac:dyDescent="0.25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30"/>
      <c r="AQ338" s="130"/>
      <c r="AR338" s="19"/>
      <c r="AS338" s="19"/>
      <c r="AT338" s="19"/>
    </row>
    <row r="339" spans="1:46" ht="12.5" x14ac:dyDescent="0.25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30"/>
      <c r="AQ339" s="130"/>
      <c r="AR339" s="19"/>
      <c r="AS339" s="19"/>
      <c r="AT339" s="19"/>
    </row>
    <row r="340" spans="1:46" ht="12.5" x14ac:dyDescent="0.25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30"/>
      <c r="AQ340" s="130"/>
      <c r="AR340" s="19"/>
      <c r="AS340" s="19"/>
      <c r="AT340" s="19"/>
    </row>
    <row r="341" spans="1:46" ht="12.5" x14ac:dyDescent="0.25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30"/>
      <c r="AQ341" s="130"/>
      <c r="AR341" s="19"/>
      <c r="AS341" s="19"/>
      <c r="AT341" s="19"/>
    </row>
    <row r="342" spans="1:46" ht="12.5" x14ac:dyDescent="0.25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30"/>
      <c r="AQ342" s="130"/>
      <c r="AR342" s="19"/>
      <c r="AS342" s="19"/>
      <c r="AT342" s="19"/>
    </row>
    <row r="343" spans="1:46" ht="12.5" x14ac:dyDescent="0.25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30"/>
      <c r="AQ343" s="130"/>
      <c r="AR343" s="19"/>
      <c r="AS343" s="19"/>
      <c r="AT343" s="19"/>
    </row>
    <row r="344" spans="1:46" ht="12.5" x14ac:dyDescent="0.25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30"/>
      <c r="AQ344" s="130"/>
      <c r="AR344" s="19"/>
      <c r="AS344" s="19"/>
      <c r="AT344" s="19"/>
    </row>
    <row r="345" spans="1:46" ht="12.5" x14ac:dyDescent="0.2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30"/>
      <c r="AQ345" s="130"/>
      <c r="AR345" s="19"/>
      <c r="AS345" s="19"/>
      <c r="AT345" s="19"/>
    </row>
    <row r="346" spans="1:46" ht="12.5" x14ac:dyDescent="0.25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30"/>
      <c r="AQ346" s="130"/>
      <c r="AR346" s="19"/>
      <c r="AS346" s="19"/>
      <c r="AT346" s="19"/>
    </row>
    <row r="347" spans="1:46" ht="12.5" x14ac:dyDescent="0.25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30"/>
      <c r="AQ347" s="130"/>
      <c r="AR347" s="19"/>
      <c r="AS347" s="19"/>
      <c r="AT347" s="19"/>
    </row>
    <row r="348" spans="1:46" ht="12.5" x14ac:dyDescent="0.25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30"/>
      <c r="AQ348" s="130"/>
      <c r="AR348" s="19"/>
      <c r="AS348" s="19"/>
      <c r="AT348" s="19"/>
    </row>
    <row r="349" spans="1:46" ht="12.5" x14ac:dyDescent="0.25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30"/>
      <c r="AQ349" s="130"/>
      <c r="AR349" s="19"/>
      <c r="AS349" s="19"/>
      <c r="AT349" s="19"/>
    </row>
    <row r="350" spans="1:46" ht="12.5" x14ac:dyDescent="0.2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30"/>
      <c r="AQ350" s="130"/>
      <c r="AR350" s="19"/>
      <c r="AS350" s="19"/>
      <c r="AT350" s="19"/>
    </row>
    <row r="351" spans="1:46" ht="12.5" x14ac:dyDescent="0.25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30"/>
      <c r="AQ351" s="130"/>
      <c r="AR351" s="19"/>
      <c r="AS351" s="19"/>
      <c r="AT351" s="19"/>
    </row>
    <row r="352" spans="1:46" ht="12.5" x14ac:dyDescent="0.25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30"/>
      <c r="AQ352" s="130"/>
      <c r="AR352" s="19"/>
      <c r="AS352" s="19"/>
      <c r="AT352" s="19"/>
    </row>
    <row r="353" spans="1:46" ht="12.5" x14ac:dyDescent="0.25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30"/>
      <c r="AQ353" s="130"/>
      <c r="AR353" s="19"/>
      <c r="AS353" s="19"/>
      <c r="AT353" s="19"/>
    </row>
    <row r="354" spans="1:46" ht="12.5" x14ac:dyDescent="0.25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30"/>
      <c r="AQ354" s="130"/>
      <c r="AR354" s="19"/>
      <c r="AS354" s="19"/>
      <c r="AT354" s="19"/>
    </row>
    <row r="355" spans="1:46" ht="12.5" x14ac:dyDescent="0.2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30"/>
      <c r="AQ355" s="130"/>
      <c r="AR355" s="19"/>
      <c r="AS355" s="19"/>
      <c r="AT355" s="19"/>
    </row>
    <row r="356" spans="1:46" ht="12.5" x14ac:dyDescent="0.25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30"/>
      <c r="AQ356" s="130"/>
      <c r="AR356" s="19"/>
      <c r="AS356" s="19"/>
      <c r="AT356" s="19"/>
    </row>
    <row r="357" spans="1:46" ht="12.5" x14ac:dyDescent="0.25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30"/>
      <c r="AQ357" s="130"/>
      <c r="AR357" s="19"/>
      <c r="AS357" s="19"/>
      <c r="AT357" s="19"/>
    </row>
    <row r="358" spans="1:46" ht="12.5" x14ac:dyDescent="0.25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30"/>
      <c r="AQ358" s="130"/>
      <c r="AR358" s="19"/>
      <c r="AS358" s="19"/>
      <c r="AT358" s="19"/>
    </row>
    <row r="359" spans="1:46" ht="12.5" x14ac:dyDescent="0.25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30"/>
      <c r="AQ359" s="130"/>
      <c r="AR359" s="19"/>
      <c r="AS359" s="19"/>
      <c r="AT359" s="19"/>
    </row>
    <row r="360" spans="1:46" ht="12.5" x14ac:dyDescent="0.25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30"/>
      <c r="AQ360" s="130"/>
      <c r="AR360" s="19"/>
      <c r="AS360" s="19"/>
      <c r="AT360" s="19"/>
    </row>
    <row r="361" spans="1:46" ht="12.5" x14ac:dyDescent="0.25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30"/>
      <c r="AQ361" s="130"/>
      <c r="AR361" s="19"/>
      <c r="AS361" s="19"/>
      <c r="AT361" s="19"/>
    </row>
    <row r="362" spans="1:46" ht="12.5" x14ac:dyDescent="0.25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30"/>
      <c r="AQ362" s="130"/>
      <c r="AR362" s="19"/>
      <c r="AS362" s="19"/>
      <c r="AT362" s="19"/>
    </row>
    <row r="363" spans="1:46" ht="12.5" x14ac:dyDescent="0.25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30"/>
      <c r="AQ363" s="130"/>
      <c r="AR363" s="19"/>
      <c r="AS363" s="19"/>
      <c r="AT363" s="19"/>
    </row>
    <row r="364" spans="1:46" ht="12.5" x14ac:dyDescent="0.25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30"/>
      <c r="AQ364" s="130"/>
      <c r="AR364" s="19"/>
      <c r="AS364" s="19"/>
      <c r="AT364" s="19"/>
    </row>
    <row r="365" spans="1:46" ht="12.5" x14ac:dyDescent="0.2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30"/>
      <c r="AQ365" s="130"/>
      <c r="AR365" s="19"/>
      <c r="AS365" s="19"/>
      <c r="AT365" s="19"/>
    </row>
    <row r="366" spans="1:46" ht="12.5" x14ac:dyDescent="0.25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30"/>
      <c r="AQ366" s="130"/>
      <c r="AR366" s="19"/>
      <c r="AS366" s="19"/>
      <c r="AT366" s="19"/>
    </row>
    <row r="367" spans="1:46" ht="12.5" x14ac:dyDescent="0.25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30"/>
      <c r="AQ367" s="130"/>
      <c r="AR367" s="19"/>
      <c r="AS367" s="19"/>
      <c r="AT367" s="19"/>
    </row>
    <row r="368" spans="1:46" ht="12.5" x14ac:dyDescent="0.25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30"/>
      <c r="AQ368" s="130"/>
      <c r="AR368" s="19"/>
      <c r="AS368" s="19"/>
      <c r="AT368" s="19"/>
    </row>
    <row r="369" spans="1:46" ht="12.5" x14ac:dyDescent="0.25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30"/>
      <c r="AQ369" s="130"/>
      <c r="AR369" s="19"/>
      <c r="AS369" s="19"/>
      <c r="AT369" s="19"/>
    </row>
    <row r="370" spans="1:46" ht="12.5" x14ac:dyDescent="0.25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30"/>
      <c r="AQ370" s="130"/>
      <c r="AR370" s="19"/>
      <c r="AS370" s="19"/>
      <c r="AT370" s="19"/>
    </row>
    <row r="371" spans="1:46" ht="12.5" x14ac:dyDescent="0.25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30"/>
      <c r="AQ371" s="130"/>
      <c r="AR371" s="19"/>
      <c r="AS371" s="19"/>
      <c r="AT371" s="19"/>
    </row>
    <row r="372" spans="1:46" ht="12.5" x14ac:dyDescent="0.25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30"/>
      <c r="AQ372" s="130"/>
      <c r="AR372" s="19"/>
      <c r="AS372" s="19"/>
      <c r="AT372" s="19"/>
    </row>
    <row r="373" spans="1:46" ht="12.5" x14ac:dyDescent="0.25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30"/>
      <c r="AQ373" s="130"/>
      <c r="AR373" s="19"/>
      <c r="AS373" s="19"/>
      <c r="AT373" s="19"/>
    </row>
    <row r="374" spans="1:46" ht="12.5" x14ac:dyDescent="0.25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30"/>
      <c r="AQ374" s="130"/>
      <c r="AR374" s="19"/>
      <c r="AS374" s="19"/>
      <c r="AT374" s="19"/>
    </row>
    <row r="375" spans="1:46" ht="12.5" x14ac:dyDescent="0.2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30"/>
      <c r="AQ375" s="130"/>
      <c r="AR375" s="19"/>
      <c r="AS375" s="19"/>
      <c r="AT375" s="19"/>
    </row>
    <row r="376" spans="1:46" ht="12.5" x14ac:dyDescent="0.25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30"/>
      <c r="AQ376" s="130"/>
      <c r="AR376" s="19"/>
      <c r="AS376" s="19"/>
      <c r="AT376" s="19"/>
    </row>
    <row r="377" spans="1:46" ht="12.5" x14ac:dyDescent="0.25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30"/>
      <c r="AQ377" s="130"/>
      <c r="AR377" s="19"/>
      <c r="AS377" s="19"/>
      <c r="AT377" s="19"/>
    </row>
    <row r="378" spans="1:46" ht="12.5" x14ac:dyDescent="0.25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30"/>
      <c r="AQ378" s="130"/>
      <c r="AR378" s="19"/>
      <c r="AS378" s="19"/>
      <c r="AT378" s="19"/>
    </row>
    <row r="379" spans="1:46" ht="12.5" x14ac:dyDescent="0.25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30"/>
      <c r="AQ379" s="130"/>
      <c r="AR379" s="19"/>
      <c r="AS379" s="19"/>
      <c r="AT379" s="19"/>
    </row>
    <row r="380" spans="1:46" ht="12.5" x14ac:dyDescent="0.25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30"/>
      <c r="AQ380" s="130"/>
      <c r="AR380" s="19"/>
      <c r="AS380" s="19"/>
      <c r="AT380" s="19"/>
    </row>
    <row r="381" spans="1:46" ht="12.5" x14ac:dyDescent="0.25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30"/>
      <c r="AQ381" s="130"/>
      <c r="AR381" s="19"/>
      <c r="AS381" s="19"/>
      <c r="AT381" s="19"/>
    </row>
    <row r="382" spans="1:46" ht="12.5" x14ac:dyDescent="0.25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30"/>
      <c r="AQ382" s="130"/>
      <c r="AR382" s="19"/>
      <c r="AS382" s="19"/>
      <c r="AT382" s="19"/>
    </row>
    <row r="383" spans="1:46" ht="12.5" x14ac:dyDescent="0.25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30"/>
      <c r="AQ383" s="130"/>
      <c r="AR383" s="19"/>
      <c r="AS383" s="19"/>
      <c r="AT383" s="19"/>
    </row>
    <row r="384" spans="1:46" ht="12.5" x14ac:dyDescent="0.25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30"/>
      <c r="AQ384" s="130"/>
      <c r="AR384" s="19"/>
      <c r="AS384" s="19"/>
      <c r="AT384" s="19"/>
    </row>
    <row r="385" spans="1:46" ht="12.5" x14ac:dyDescent="0.2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30"/>
      <c r="AQ385" s="130"/>
      <c r="AR385" s="19"/>
      <c r="AS385" s="19"/>
      <c r="AT385" s="19"/>
    </row>
    <row r="386" spans="1:46" ht="12.5" x14ac:dyDescent="0.25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30"/>
      <c r="AQ386" s="130"/>
      <c r="AR386" s="19"/>
      <c r="AS386" s="19"/>
      <c r="AT386" s="19"/>
    </row>
    <row r="387" spans="1:46" ht="12.5" x14ac:dyDescent="0.25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30"/>
      <c r="AQ387" s="130"/>
      <c r="AR387" s="19"/>
      <c r="AS387" s="19"/>
      <c r="AT387" s="19"/>
    </row>
    <row r="388" spans="1:46" ht="12.5" x14ac:dyDescent="0.25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30"/>
      <c r="AQ388" s="130"/>
      <c r="AR388" s="19"/>
      <c r="AS388" s="19"/>
      <c r="AT388" s="19"/>
    </row>
    <row r="389" spans="1:46" ht="12.5" x14ac:dyDescent="0.25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30"/>
      <c r="AQ389" s="130"/>
      <c r="AR389" s="19"/>
      <c r="AS389" s="19"/>
      <c r="AT389" s="19"/>
    </row>
    <row r="390" spans="1:46" ht="12.5" x14ac:dyDescent="0.25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30"/>
      <c r="AQ390" s="130"/>
      <c r="AR390" s="19"/>
      <c r="AS390" s="19"/>
      <c r="AT390" s="19"/>
    </row>
    <row r="391" spans="1:46" ht="12.5" x14ac:dyDescent="0.25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30"/>
      <c r="AQ391" s="130"/>
      <c r="AR391" s="19"/>
      <c r="AS391" s="19"/>
      <c r="AT391" s="19"/>
    </row>
    <row r="392" spans="1:46" ht="12.5" x14ac:dyDescent="0.25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30"/>
      <c r="AQ392" s="130"/>
      <c r="AR392" s="19"/>
      <c r="AS392" s="19"/>
      <c r="AT392" s="19"/>
    </row>
    <row r="393" spans="1:46" ht="12.5" x14ac:dyDescent="0.25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30"/>
      <c r="AQ393" s="130"/>
      <c r="AR393" s="19"/>
      <c r="AS393" s="19"/>
      <c r="AT393" s="19"/>
    </row>
    <row r="394" spans="1:46" ht="12.5" x14ac:dyDescent="0.25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30"/>
      <c r="AQ394" s="130"/>
      <c r="AR394" s="19"/>
      <c r="AS394" s="19"/>
      <c r="AT394" s="19"/>
    </row>
    <row r="395" spans="1:46" ht="12.5" x14ac:dyDescent="0.2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30"/>
      <c r="AQ395" s="130"/>
      <c r="AR395" s="19"/>
      <c r="AS395" s="19"/>
      <c r="AT395" s="19"/>
    </row>
    <row r="396" spans="1:46" ht="12.5" x14ac:dyDescent="0.2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30"/>
      <c r="AQ396" s="130"/>
      <c r="AR396" s="19"/>
      <c r="AS396" s="19"/>
      <c r="AT396" s="19"/>
    </row>
    <row r="397" spans="1:46" ht="12.5" x14ac:dyDescent="0.25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30"/>
      <c r="AQ397" s="130"/>
      <c r="AR397" s="19"/>
      <c r="AS397" s="19"/>
      <c r="AT397" s="19"/>
    </row>
    <row r="398" spans="1:46" ht="12.5" x14ac:dyDescent="0.25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30"/>
      <c r="AQ398" s="130"/>
      <c r="AR398" s="19"/>
      <c r="AS398" s="19"/>
      <c r="AT398" s="19"/>
    </row>
    <row r="399" spans="1:46" ht="12.5" x14ac:dyDescent="0.25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30"/>
      <c r="AQ399" s="130"/>
      <c r="AR399" s="19"/>
      <c r="AS399" s="19"/>
      <c r="AT399" s="19"/>
    </row>
    <row r="400" spans="1:46" ht="12.5" x14ac:dyDescent="0.25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30"/>
      <c r="AQ400" s="130"/>
      <c r="AR400" s="19"/>
      <c r="AS400" s="19"/>
      <c r="AT400" s="19"/>
    </row>
    <row r="401" spans="1:46" ht="12.5" x14ac:dyDescent="0.25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30"/>
      <c r="AQ401" s="130"/>
      <c r="AR401" s="19"/>
      <c r="AS401" s="19"/>
      <c r="AT401" s="19"/>
    </row>
    <row r="402" spans="1:46" ht="12.5" x14ac:dyDescent="0.25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30"/>
      <c r="AQ402" s="130"/>
      <c r="AR402" s="19"/>
      <c r="AS402" s="19"/>
      <c r="AT402" s="19"/>
    </row>
    <row r="403" spans="1:46" ht="12.5" x14ac:dyDescent="0.2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30"/>
      <c r="AQ403" s="130"/>
      <c r="AR403" s="19"/>
      <c r="AS403" s="19"/>
      <c r="AT403" s="19"/>
    </row>
    <row r="404" spans="1:46" ht="12.5" x14ac:dyDescent="0.25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30"/>
      <c r="AQ404" s="130"/>
      <c r="AR404" s="19"/>
      <c r="AS404" s="19"/>
      <c r="AT404" s="19"/>
    </row>
    <row r="405" spans="1:46" ht="12.5" x14ac:dyDescent="0.2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30"/>
      <c r="AQ405" s="130"/>
      <c r="AR405" s="19"/>
      <c r="AS405" s="19"/>
      <c r="AT405" s="19"/>
    </row>
    <row r="406" spans="1:46" ht="12.5" x14ac:dyDescent="0.25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30"/>
      <c r="AQ406" s="130"/>
      <c r="AR406" s="19"/>
      <c r="AS406" s="19"/>
      <c r="AT406" s="19"/>
    </row>
    <row r="407" spans="1:46" ht="12.5" x14ac:dyDescent="0.25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30"/>
      <c r="AQ407" s="130"/>
      <c r="AR407" s="19"/>
      <c r="AS407" s="19"/>
      <c r="AT407" s="19"/>
    </row>
    <row r="408" spans="1:46" ht="12.5" x14ac:dyDescent="0.25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30"/>
      <c r="AQ408" s="130"/>
      <c r="AR408" s="19"/>
      <c r="AS408" s="19"/>
      <c r="AT408" s="19"/>
    </row>
    <row r="409" spans="1:46" ht="12.5" x14ac:dyDescent="0.25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30"/>
      <c r="AQ409" s="130"/>
      <c r="AR409" s="19"/>
      <c r="AS409" s="19"/>
      <c r="AT409" s="19"/>
    </row>
    <row r="410" spans="1:46" ht="12.5" x14ac:dyDescent="0.25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30"/>
      <c r="AQ410" s="130"/>
      <c r="AR410" s="19"/>
      <c r="AS410" s="19"/>
      <c r="AT410" s="19"/>
    </row>
    <row r="411" spans="1:46" ht="12.5" x14ac:dyDescent="0.25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30"/>
      <c r="AQ411" s="130"/>
      <c r="AR411" s="19"/>
      <c r="AS411" s="19"/>
      <c r="AT411" s="19"/>
    </row>
    <row r="412" spans="1:46" ht="12.5" x14ac:dyDescent="0.25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30"/>
      <c r="AQ412" s="130"/>
      <c r="AR412" s="19"/>
      <c r="AS412" s="19"/>
      <c r="AT412" s="19"/>
    </row>
    <row r="413" spans="1:46" ht="12.5" x14ac:dyDescent="0.25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30"/>
      <c r="AQ413" s="130"/>
      <c r="AR413" s="19"/>
      <c r="AS413" s="19"/>
      <c r="AT413" s="19"/>
    </row>
    <row r="414" spans="1:46" ht="12.5" x14ac:dyDescent="0.25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30"/>
      <c r="AQ414" s="130"/>
      <c r="AR414" s="19"/>
      <c r="AS414" s="19"/>
      <c r="AT414" s="19"/>
    </row>
    <row r="415" spans="1:46" ht="12.5" x14ac:dyDescent="0.2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30"/>
      <c r="AQ415" s="130"/>
      <c r="AR415" s="19"/>
      <c r="AS415" s="19"/>
      <c r="AT415" s="19"/>
    </row>
    <row r="416" spans="1:46" ht="12.5" x14ac:dyDescent="0.25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30"/>
      <c r="AQ416" s="130"/>
      <c r="AR416" s="19"/>
      <c r="AS416" s="19"/>
      <c r="AT416" s="19"/>
    </row>
    <row r="417" spans="1:46" ht="12.5" x14ac:dyDescent="0.25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30"/>
      <c r="AQ417" s="130"/>
      <c r="AR417" s="19"/>
      <c r="AS417" s="19"/>
      <c r="AT417" s="19"/>
    </row>
    <row r="418" spans="1:46" ht="12.5" x14ac:dyDescent="0.25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30"/>
      <c r="AQ418" s="130"/>
      <c r="AR418" s="19"/>
      <c r="AS418" s="19"/>
      <c r="AT418" s="19"/>
    </row>
    <row r="419" spans="1:46" ht="12.5" x14ac:dyDescent="0.2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30"/>
      <c r="AQ419" s="130"/>
      <c r="AR419" s="19"/>
      <c r="AS419" s="19"/>
      <c r="AT419" s="19"/>
    </row>
    <row r="420" spans="1:46" ht="12.5" x14ac:dyDescent="0.25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30"/>
      <c r="AQ420" s="130"/>
      <c r="AR420" s="19"/>
      <c r="AS420" s="19"/>
      <c r="AT420" s="19"/>
    </row>
    <row r="421" spans="1:46" ht="12.5" x14ac:dyDescent="0.25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30"/>
      <c r="AQ421" s="130"/>
      <c r="AR421" s="19"/>
      <c r="AS421" s="19"/>
      <c r="AT421" s="19"/>
    </row>
    <row r="422" spans="1:46" ht="12.5" x14ac:dyDescent="0.25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30"/>
      <c r="AQ422" s="130"/>
      <c r="AR422" s="19"/>
      <c r="AS422" s="19"/>
      <c r="AT422" s="19"/>
    </row>
    <row r="423" spans="1:46" ht="12.5" x14ac:dyDescent="0.25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30"/>
      <c r="AQ423" s="130"/>
      <c r="AR423" s="19"/>
      <c r="AS423" s="19"/>
      <c r="AT423" s="19"/>
    </row>
    <row r="424" spans="1:46" ht="12.5" x14ac:dyDescent="0.25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30"/>
      <c r="AQ424" s="130"/>
      <c r="AR424" s="19"/>
      <c r="AS424" s="19"/>
      <c r="AT424" s="19"/>
    </row>
    <row r="425" spans="1:46" ht="12.5" x14ac:dyDescent="0.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30"/>
      <c r="AQ425" s="130"/>
      <c r="AR425" s="19"/>
      <c r="AS425" s="19"/>
      <c r="AT425" s="19"/>
    </row>
    <row r="426" spans="1:46" ht="12.5" x14ac:dyDescent="0.2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30"/>
      <c r="AQ426" s="130"/>
      <c r="AR426" s="19"/>
      <c r="AS426" s="19"/>
      <c r="AT426" s="19"/>
    </row>
    <row r="427" spans="1:46" ht="12.5" x14ac:dyDescent="0.25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30"/>
      <c r="AQ427" s="130"/>
      <c r="AR427" s="19"/>
      <c r="AS427" s="19"/>
      <c r="AT427" s="19"/>
    </row>
    <row r="428" spans="1:46" ht="12.5" x14ac:dyDescent="0.25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30"/>
      <c r="AQ428" s="130"/>
      <c r="AR428" s="19"/>
      <c r="AS428" s="19"/>
      <c r="AT428" s="19"/>
    </row>
    <row r="429" spans="1:46" ht="12.5" x14ac:dyDescent="0.25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30"/>
      <c r="AQ429" s="130"/>
      <c r="AR429" s="19"/>
      <c r="AS429" s="19"/>
      <c r="AT429" s="19"/>
    </row>
    <row r="430" spans="1:46" ht="12.5" x14ac:dyDescent="0.25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30"/>
      <c r="AQ430" s="130"/>
      <c r="AR430" s="19"/>
      <c r="AS430" s="19"/>
      <c r="AT430" s="19"/>
    </row>
    <row r="431" spans="1:46" ht="12.5" x14ac:dyDescent="0.25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30"/>
      <c r="AQ431" s="130"/>
      <c r="AR431" s="19"/>
      <c r="AS431" s="19"/>
      <c r="AT431" s="19"/>
    </row>
    <row r="432" spans="1:46" ht="12.5" x14ac:dyDescent="0.25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30"/>
      <c r="AQ432" s="130"/>
      <c r="AR432" s="19"/>
      <c r="AS432" s="19"/>
      <c r="AT432" s="19"/>
    </row>
    <row r="433" spans="1:46" ht="12.5" x14ac:dyDescent="0.25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30"/>
      <c r="AQ433" s="130"/>
      <c r="AR433" s="19"/>
      <c r="AS433" s="19"/>
      <c r="AT433" s="19"/>
    </row>
    <row r="434" spans="1:46" ht="12.5" x14ac:dyDescent="0.25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30"/>
      <c r="AQ434" s="130"/>
      <c r="AR434" s="19"/>
      <c r="AS434" s="19"/>
      <c r="AT434" s="19"/>
    </row>
    <row r="435" spans="1:46" ht="12.5" x14ac:dyDescent="0.2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30"/>
      <c r="AQ435" s="130"/>
      <c r="AR435" s="19"/>
      <c r="AS435" s="19"/>
      <c r="AT435" s="19"/>
    </row>
    <row r="436" spans="1:46" ht="12.5" x14ac:dyDescent="0.25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30"/>
      <c r="AQ436" s="130"/>
      <c r="AR436" s="19"/>
      <c r="AS436" s="19"/>
      <c r="AT436" s="19"/>
    </row>
    <row r="437" spans="1:46" ht="12.5" x14ac:dyDescent="0.25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30"/>
      <c r="AQ437" s="130"/>
      <c r="AR437" s="19"/>
      <c r="AS437" s="19"/>
      <c r="AT437" s="19"/>
    </row>
    <row r="438" spans="1:46" ht="12.5" x14ac:dyDescent="0.25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30"/>
      <c r="AQ438" s="130"/>
      <c r="AR438" s="19"/>
      <c r="AS438" s="19"/>
      <c r="AT438" s="19"/>
    </row>
    <row r="439" spans="1:46" ht="12.5" x14ac:dyDescent="0.25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30"/>
      <c r="AQ439" s="130"/>
      <c r="AR439" s="19"/>
      <c r="AS439" s="19"/>
      <c r="AT439" s="19"/>
    </row>
    <row r="440" spans="1:46" ht="12.5" x14ac:dyDescent="0.2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30"/>
      <c r="AQ440" s="130"/>
      <c r="AR440" s="19"/>
      <c r="AS440" s="19"/>
      <c r="AT440" s="19"/>
    </row>
    <row r="441" spans="1:46" ht="12.5" x14ac:dyDescent="0.25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30"/>
      <c r="AQ441" s="130"/>
      <c r="AR441" s="19"/>
      <c r="AS441" s="19"/>
      <c r="AT441" s="19"/>
    </row>
    <row r="442" spans="1:46" ht="12.5" x14ac:dyDescent="0.25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30"/>
      <c r="AQ442" s="130"/>
      <c r="AR442" s="19"/>
      <c r="AS442" s="19"/>
      <c r="AT442" s="19"/>
    </row>
    <row r="443" spans="1:46" ht="12.5" x14ac:dyDescent="0.2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30"/>
      <c r="AQ443" s="130"/>
      <c r="AR443" s="19"/>
      <c r="AS443" s="19"/>
      <c r="AT443" s="19"/>
    </row>
    <row r="444" spans="1:46" ht="12.5" x14ac:dyDescent="0.25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30"/>
      <c r="AQ444" s="130"/>
      <c r="AR444" s="19"/>
      <c r="AS444" s="19"/>
      <c r="AT444" s="19"/>
    </row>
    <row r="445" spans="1:46" ht="12.5" x14ac:dyDescent="0.2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30"/>
      <c r="AQ445" s="130"/>
      <c r="AR445" s="19"/>
      <c r="AS445" s="19"/>
      <c r="AT445" s="19"/>
    </row>
    <row r="446" spans="1:46" ht="12.5" x14ac:dyDescent="0.25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30"/>
      <c r="AQ446" s="130"/>
      <c r="AR446" s="19"/>
      <c r="AS446" s="19"/>
      <c r="AT446" s="19"/>
    </row>
    <row r="447" spans="1:46" ht="12.5" x14ac:dyDescent="0.25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30"/>
      <c r="AQ447" s="130"/>
      <c r="AR447" s="19"/>
      <c r="AS447" s="19"/>
      <c r="AT447" s="19"/>
    </row>
    <row r="448" spans="1:46" ht="12.5" x14ac:dyDescent="0.25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30"/>
      <c r="AQ448" s="130"/>
      <c r="AR448" s="19"/>
      <c r="AS448" s="19"/>
      <c r="AT448" s="19"/>
    </row>
    <row r="449" spans="1:46" ht="12.5" x14ac:dyDescent="0.25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30"/>
      <c r="AQ449" s="130"/>
      <c r="AR449" s="19"/>
      <c r="AS449" s="19"/>
      <c r="AT449" s="19"/>
    </row>
    <row r="450" spans="1:46" ht="12.5" x14ac:dyDescent="0.25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30"/>
      <c r="AQ450" s="130"/>
      <c r="AR450" s="19"/>
      <c r="AS450" s="19"/>
      <c r="AT450" s="19"/>
    </row>
    <row r="451" spans="1:46" ht="12.5" x14ac:dyDescent="0.25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30"/>
      <c r="AQ451" s="130"/>
      <c r="AR451" s="19"/>
      <c r="AS451" s="19"/>
      <c r="AT451" s="19"/>
    </row>
    <row r="452" spans="1:46" ht="12.5" x14ac:dyDescent="0.25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30"/>
      <c r="AQ452" s="130"/>
      <c r="AR452" s="19"/>
      <c r="AS452" s="19"/>
      <c r="AT452" s="19"/>
    </row>
    <row r="453" spans="1:46" ht="12.5" x14ac:dyDescent="0.25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30"/>
      <c r="AQ453" s="130"/>
      <c r="AR453" s="19"/>
      <c r="AS453" s="19"/>
      <c r="AT453" s="19"/>
    </row>
    <row r="454" spans="1:46" ht="12.5" x14ac:dyDescent="0.25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30"/>
      <c r="AQ454" s="130"/>
      <c r="AR454" s="19"/>
      <c r="AS454" s="19"/>
      <c r="AT454" s="19"/>
    </row>
    <row r="455" spans="1:46" ht="12.5" x14ac:dyDescent="0.2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30"/>
      <c r="AQ455" s="130"/>
      <c r="AR455" s="19"/>
      <c r="AS455" s="19"/>
      <c r="AT455" s="19"/>
    </row>
    <row r="456" spans="1:46" ht="12.5" x14ac:dyDescent="0.25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30"/>
      <c r="AQ456" s="130"/>
      <c r="AR456" s="19"/>
      <c r="AS456" s="19"/>
      <c r="AT456" s="19"/>
    </row>
    <row r="457" spans="1:46" ht="12.5" x14ac:dyDescent="0.2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30"/>
      <c r="AQ457" s="130"/>
      <c r="AR457" s="19"/>
      <c r="AS457" s="19"/>
      <c r="AT457" s="19"/>
    </row>
    <row r="458" spans="1:46" ht="12.5" x14ac:dyDescent="0.25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30"/>
      <c r="AQ458" s="130"/>
      <c r="AR458" s="19"/>
      <c r="AS458" s="19"/>
      <c r="AT458" s="19"/>
    </row>
    <row r="459" spans="1:46" ht="12.5" x14ac:dyDescent="0.25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30"/>
      <c r="AQ459" s="130"/>
      <c r="AR459" s="19"/>
      <c r="AS459" s="19"/>
      <c r="AT459" s="19"/>
    </row>
    <row r="460" spans="1:46" ht="12.5" x14ac:dyDescent="0.25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30"/>
      <c r="AQ460" s="130"/>
      <c r="AR460" s="19"/>
      <c r="AS460" s="19"/>
      <c r="AT460" s="19"/>
    </row>
    <row r="461" spans="1:46" ht="12.5" x14ac:dyDescent="0.25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30"/>
      <c r="AQ461" s="130"/>
      <c r="AR461" s="19"/>
      <c r="AS461" s="19"/>
      <c r="AT461" s="19"/>
    </row>
    <row r="462" spans="1:46" ht="12.5" x14ac:dyDescent="0.25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30"/>
      <c r="AQ462" s="130"/>
      <c r="AR462" s="19"/>
      <c r="AS462" s="19"/>
      <c r="AT462" s="19"/>
    </row>
    <row r="463" spans="1:46" ht="12.5" x14ac:dyDescent="0.25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30"/>
      <c r="AQ463" s="130"/>
      <c r="AR463" s="19"/>
      <c r="AS463" s="19"/>
      <c r="AT463" s="19"/>
    </row>
    <row r="464" spans="1:46" ht="12.5" x14ac:dyDescent="0.25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30"/>
      <c r="AQ464" s="130"/>
      <c r="AR464" s="19"/>
      <c r="AS464" s="19"/>
      <c r="AT464" s="19"/>
    </row>
    <row r="465" spans="1:46" ht="12.5" x14ac:dyDescent="0.2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30"/>
      <c r="AQ465" s="130"/>
      <c r="AR465" s="19"/>
      <c r="AS465" s="19"/>
      <c r="AT465" s="19"/>
    </row>
    <row r="466" spans="1:46" ht="12.5" x14ac:dyDescent="0.25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30"/>
      <c r="AQ466" s="130"/>
      <c r="AR466" s="19"/>
      <c r="AS466" s="19"/>
      <c r="AT466" s="19"/>
    </row>
    <row r="467" spans="1:46" ht="12.5" x14ac:dyDescent="0.25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30"/>
      <c r="AQ467" s="130"/>
      <c r="AR467" s="19"/>
      <c r="AS467" s="19"/>
      <c r="AT467" s="19"/>
    </row>
    <row r="468" spans="1:46" ht="12.5" x14ac:dyDescent="0.25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30"/>
      <c r="AQ468" s="130"/>
      <c r="AR468" s="19"/>
      <c r="AS468" s="19"/>
      <c r="AT468" s="19"/>
    </row>
    <row r="469" spans="1:46" ht="12.5" x14ac:dyDescent="0.25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30"/>
      <c r="AQ469" s="130"/>
      <c r="AR469" s="19"/>
      <c r="AS469" s="19"/>
      <c r="AT469" s="19"/>
    </row>
    <row r="470" spans="1:46" ht="12.5" x14ac:dyDescent="0.25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30"/>
      <c r="AQ470" s="130"/>
      <c r="AR470" s="19"/>
      <c r="AS470" s="19"/>
      <c r="AT470" s="19"/>
    </row>
    <row r="471" spans="1:46" ht="12.5" x14ac:dyDescent="0.25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30"/>
      <c r="AQ471" s="130"/>
      <c r="AR471" s="19"/>
      <c r="AS471" s="19"/>
      <c r="AT471" s="19"/>
    </row>
    <row r="472" spans="1:46" ht="12.5" x14ac:dyDescent="0.25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30"/>
      <c r="AQ472" s="130"/>
      <c r="AR472" s="19"/>
      <c r="AS472" s="19"/>
      <c r="AT472" s="19"/>
    </row>
    <row r="473" spans="1:46" ht="12.5" x14ac:dyDescent="0.25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30"/>
      <c r="AQ473" s="130"/>
      <c r="AR473" s="19"/>
      <c r="AS473" s="19"/>
      <c r="AT473" s="19"/>
    </row>
    <row r="474" spans="1:46" ht="12.5" x14ac:dyDescent="0.25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30"/>
      <c r="AQ474" s="130"/>
      <c r="AR474" s="19"/>
      <c r="AS474" s="19"/>
      <c r="AT474" s="19"/>
    </row>
    <row r="475" spans="1:46" ht="12.5" x14ac:dyDescent="0.2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30"/>
      <c r="AQ475" s="130"/>
      <c r="AR475" s="19"/>
      <c r="AS475" s="19"/>
      <c r="AT475" s="19"/>
    </row>
    <row r="476" spans="1:46" ht="12.5" x14ac:dyDescent="0.25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30"/>
      <c r="AQ476" s="130"/>
      <c r="AR476" s="19"/>
      <c r="AS476" s="19"/>
      <c r="AT476" s="19"/>
    </row>
    <row r="477" spans="1:46" ht="12.5" x14ac:dyDescent="0.25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30"/>
      <c r="AQ477" s="130"/>
      <c r="AR477" s="19"/>
      <c r="AS477" s="19"/>
      <c r="AT477" s="19"/>
    </row>
    <row r="478" spans="1:46" ht="12.5" x14ac:dyDescent="0.25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30"/>
      <c r="AQ478" s="130"/>
      <c r="AR478" s="19"/>
      <c r="AS478" s="19"/>
      <c r="AT478" s="19"/>
    </row>
    <row r="479" spans="1:46" ht="12.5" x14ac:dyDescent="0.25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30"/>
      <c r="AQ479" s="130"/>
      <c r="AR479" s="19"/>
      <c r="AS479" s="19"/>
      <c r="AT479" s="19"/>
    </row>
    <row r="480" spans="1:46" ht="12.5" x14ac:dyDescent="0.25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30"/>
      <c r="AQ480" s="130"/>
      <c r="AR480" s="19"/>
      <c r="AS480" s="19"/>
      <c r="AT480" s="19"/>
    </row>
    <row r="481" spans="1:46" ht="12.5" x14ac:dyDescent="0.25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30"/>
      <c r="AQ481" s="130"/>
      <c r="AR481" s="19"/>
      <c r="AS481" s="19"/>
      <c r="AT481" s="19"/>
    </row>
    <row r="482" spans="1:46" ht="12.5" x14ac:dyDescent="0.25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30"/>
      <c r="AQ482" s="130"/>
      <c r="AR482" s="19"/>
      <c r="AS482" s="19"/>
      <c r="AT482" s="19"/>
    </row>
    <row r="483" spans="1:46" ht="12.5" x14ac:dyDescent="0.25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30"/>
      <c r="AQ483" s="130"/>
      <c r="AR483" s="19"/>
      <c r="AS483" s="19"/>
      <c r="AT483" s="19"/>
    </row>
    <row r="484" spans="1:46" ht="12.5" x14ac:dyDescent="0.25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30"/>
      <c r="AQ484" s="130"/>
      <c r="AR484" s="19"/>
      <c r="AS484" s="19"/>
      <c r="AT484" s="19"/>
    </row>
    <row r="485" spans="1:46" ht="12.5" x14ac:dyDescent="0.2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30"/>
      <c r="AQ485" s="130"/>
      <c r="AR485" s="19"/>
      <c r="AS485" s="19"/>
      <c r="AT485" s="19"/>
    </row>
    <row r="486" spans="1:46" ht="12.5" x14ac:dyDescent="0.25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30"/>
      <c r="AQ486" s="130"/>
      <c r="AR486" s="19"/>
      <c r="AS486" s="19"/>
      <c r="AT486" s="19"/>
    </row>
    <row r="487" spans="1:46" ht="12.5" x14ac:dyDescent="0.25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30"/>
      <c r="AQ487" s="130"/>
      <c r="AR487" s="19"/>
      <c r="AS487" s="19"/>
      <c r="AT487" s="19"/>
    </row>
    <row r="488" spans="1:46" ht="12.5" x14ac:dyDescent="0.25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30"/>
      <c r="AQ488" s="130"/>
      <c r="AR488" s="19"/>
      <c r="AS488" s="19"/>
      <c r="AT488" s="19"/>
    </row>
    <row r="489" spans="1:46" ht="12.5" x14ac:dyDescent="0.25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30"/>
      <c r="AQ489" s="130"/>
      <c r="AR489" s="19"/>
      <c r="AS489" s="19"/>
      <c r="AT489" s="19"/>
    </row>
    <row r="490" spans="1:46" ht="12.5" x14ac:dyDescent="0.25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30"/>
      <c r="AQ490" s="130"/>
      <c r="AR490" s="19"/>
      <c r="AS490" s="19"/>
      <c r="AT490" s="19"/>
    </row>
    <row r="491" spans="1:46" ht="12.5" x14ac:dyDescent="0.25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30"/>
      <c r="AQ491" s="130"/>
      <c r="AR491" s="19"/>
      <c r="AS491" s="19"/>
      <c r="AT491" s="19"/>
    </row>
    <row r="492" spans="1:46" ht="12.5" x14ac:dyDescent="0.25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30"/>
      <c r="AQ492" s="130"/>
      <c r="AR492" s="19"/>
      <c r="AS492" s="19"/>
      <c r="AT492" s="19"/>
    </row>
    <row r="493" spans="1:46" ht="12.5" x14ac:dyDescent="0.25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30"/>
      <c r="AQ493" s="130"/>
      <c r="AR493" s="19"/>
      <c r="AS493" s="19"/>
      <c r="AT493" s="19"/>
    </row>
    <row r="494" spans="1:46" ht="12.5" x14ac:dyDescent="0.25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30"/>
      <c r="AQ494" s="130"/>
      <c r="AR494" s="19"/>
      <c r="AS494" s="19"/>
      <c r="AT494" s="19"/>
    </row>
    <row r="495" spans="1:46" ht="12.5" x14ac:dyDescent="0.2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30"/>
      <c r="AQ495" s="130"/>
      <c r="AR495" s="19"/>
      <c r="AS495" s="19"/>
      <c r="AT495" s="19"/>
    </row>
    <row r="496" spans="1:46" ht="12.5" x14ac:dyDescent="0.25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30"/>
      <c r="AQ496" s="130"/>
      <c r="AR496" s="19"/>
      <c r="AS496" s="19"/>
      <c r="AT496" s="19"/>
    </row>
    <row r="497" spans="1:46" ht="12.5" x14ac:dyDescent="0.25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30"/>
      <c r="AQ497" s="130"/>
      <c r="AR497" s="19"/>
      <c r="AS497" s="19"/>
      <c r="AT497" s="19"/>
    </row>
    <row r="498" spans="1:46" ht="12.5" x14ac:dyDescent="0.25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30"/>
      <c r="AQ498" s="130"/>
      <c r="AR498" s="19"/>
      <c r="AS498" s="19"/>
      <c r="AT498" s="19"/>
    </row>
    <row r="499" spans="1:46" ht="12.5" x14ac:dyDescent="0.25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30"/>
      <c r="AQ499" s="130"/>
      <c r="AR499" s="19"/>
      <c r="AS499" s="19"/>
      <c r="AT499" s="19"/>
    </row>
    <row r="500" spans="1:46" ht="12.5" x14ac:dyDescent="0.25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30"/>
      <c r="AQ500" s="130"/>
      <c r="AR500" s="19"/>
      <c r="AS500" s="19"/>
      <c r="AT500" s="19"/>
    </row>
    <row r="501" spans="1:46" ht="12.5" x14ac:dyDescent="0.2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30"/>
      <c r="AQ501" s="130"/>
      <c r="AR501" s="19"/>
      <c r="AS501" s="19"/>
      <c r="AT501" s="19"/>
    </row>
    <row r="502" spans="1:46" ht="12.5" x14ac:dyDescent="0.25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30"/>
      <c r="AQ502" s="130"/>
      <c r="AR502" s="19"/>
      <c r="AS502" s="19"/>
      <c r="AT502" s="19"/>
    </row>
    <row r="503" spans="1:46" ht="12.5" x14ac:dyDescent="0.25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30"/>
      <c r="AQ503" s="130"/>
      <c r="AR503" s="19"/>
      <c r="AS503" s="19"/>
      <c r="AT503" s="19"/>
    </row>
    <row r="504" spans="1:46" ht="12.5" x14ac:dyDescent="0.25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30"/>
      <c r="AQ504" s="130"/>
      <c r="AR504" s="19"/>
      <c r="AS504" s="19"/>
      <c r="AT504" s="19"/>
    </row>
    <row r="505" spans="1:46" ht="12.5" x14ac:dyDescent="0.2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30"/>
      <c r="AQ505" s="130"/>
      <c r="AR505" s="19"/>
      <c r="AS505" s="19"/>
      <c r="AT505" s="19"/>
    </row>
    <row r="506" spans="1:46" ht="12.5" x14ac:dyDescent="0.25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30"/>
      <c r="AQ506" s="130"/>
      <c r="AR506" s="19"/>
      <c r="AS506" s="19"/>
      <c r="AT506" s="19"/>
    </row>
    <row r="507" spans="1:46" ht="12.5" x14ac:dyDescent="0.25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30"/>
      <c r="AQ507" s="130"/>
      <c r="AR507" s="19"/>
      <c r="AS507" s="19"/>
      <c r="AT507" s="19"/>
    </row>
    <row r="508" spans="1:46" ht="12.5" x14ac:dyDescent="0.25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30"/>
      <c r="AQ508" s="130"/>
      <c r="AR508" s="19"/>
      <c r="AS508" s="19"/>
      <c r="AT508" s="19"/>
    </row>
    <row r="509" spans="1:46" ht="12.5" x14ac:dyDescent="0.25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30"/>
      <c r="AQ509" s="130"/>
      <c r="AR509" s="19"/>
      <c r="AS509" s="19"/>
      <c r="AT509" s="19"/>
    </row>
    <row r="510" spans="1:46" ht="12.5" x14ac:dyDescent="0.25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30"/>
      <c r="AQ510" s="130"/>
      <c r="AR510" s="19"/>
      <c r="AS510" s="19"/>
      <c r="AT510" s="19"/>
    </row>
    <row r="511" spans="1:46" ht="12.5" x14ac:dyDescent="0.25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30"/>
      <c r="AQ511" s="130"/>
      <c r="AR511" s="19"/>
      <c r="AS511" s="19"/>
      <c r="AT511" s="19"/>
    </row>
    <row r="512" spans="1:46" ht="12.5" x14ac:dyDescent="0.25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30"/>
      <c r="AQ512" s="130"/>
      <c r="AR512" s="19"/>
      <c r="AS512" s="19"/>
      <c r="AT512" s="19"/>
    </row>
    <row r="513" spans="1:46" ht="12.5" x14ac:dyDescent="0.25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30"/>
      <c r="AQ513" s="130"/>
      <c r="AR513" s="19"/>
      <c r="AS513" s="19"/>
      <c r="AT513" s="19"/>
    </row>
    <row r="514" spans="1:46" ht="12.5" x14ac:dyDescent="0.25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30"/>
      <c r="AQ514" s="130"/>
      <c r="AR514" s="19"/>
      <c r="AS514" s="19"/>
      <c r="AT514" s="19"/>
    </row>
    <row r="515" spans="1:46" ht="12.5" x14ac:dyDescent="0.2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30"/>
      <c r="AQ515" s="130"/>
      <c r="AR515" s="19"/>
      <c r="AS515" s="19"/>
      <c r="AT515" s="19"/>
    </row>
    <row r="516" spans="1:46" ht="12.5" x14ac:dyDescent="0.25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30"/>
      <c r="AQ516" s="130"/>
      <c r="AR516" s="19"/>
      <c r="AS516" s="19"/>
      <c r="AT516" s="19"/>
    </row>
    <row r="517" spans="1:46" ht="12.5" x14ac:dyDescent="0.25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30"/>
      <c r="AQ517" s="130"/>
      <c r="AR517" s="19"/>
      <c r="AS517" s="19"/>
      <c r="AT517" s="19"/>
    </row>
    <row r="518" spans="1:46" ht="12.5" x14ac:dyDescent="0.25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30"/>
      <c r="AQ518" s="130"/>
      <c r="AR518" s="19"/>
      <c r="AS518" s="19"/>
      <c r="AT518" s="19"/>
    </row>
    <row r="519" spans="1:46" ht="12.5" x14ac:dyDescent="0.25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30"/>
      <c r="AQ519" s="130"/>
      <c r="AR519" s="19"/>
      <c r="AS519" s="19"/>
      <c r="AT519" s="19"/>
    </row>
    <row r="520" spans="1:46" ht="12.5" x14ac:dyDescent="0.25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30"/>
      <c r="AQ520" s="130"/>
      <c r="AR520" s="19"/>
      <c r="AS520" s="19"/>
      <c r="AT520" s="19"/>
    </row>
    <row r="521" spans="1:46" ht="12.5" x14ac:dyDescent="0.25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30"/>
      <c r="AQ521" s="130"/>
      <c r="AR521" s="19"/>
      <c r="AS521" s="19"/>
      <c r="AT521" s="19"/>
    </row>
    <row r="522" spans="1:46" ht="12.5" x14ac:dyDescent="0.25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30"/>
      <c r="AQ522" s="130"/>
      <c r="AR522" s="19"/>
      <c r="AS522" s="19"/>
      <c r="AT522" s="19"/>
    </row>
    <row r="523" spans="1:46" ht="12.5" x14ac:dyDescent="0.25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30"/>
      <c r="AQ523" s="130"/>
      <c r="AR523" s="19"/>
      <c r="AS523" s="19"/>
      <c r="AT523" s="19"/>
    </row>
    <row r="524" spans="1:46" ht="12.5" x14ac:dyDescent="0.25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30"/>
      <c r="AQ524" s="130"/>
      <c r="AR524" s="19"/>
      <c r="AS524" s="19"/>
      <c r="AT524" s="19"/>
    </row>
    <row r="525" spans="1:46" ht="12.5" x14ac:dyDescent="0.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30"/>
      <c r="AQ525" s="130"/>
      <c r="AR525" s="19"/>
      <c r="AS525" s="19"/>
      <c r="AT525" s="19"/>
    </row>
    <row r="526" spans="1:46" ht="12.5" x14ac:dyDescent="0.25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30"/>
      <c r="AQ526" s="130"/>
      <c r="AR526" s="19"/>
      <c r="AS526" s="19"/>
      <c r="AT526" s="19"/>
    </row>
    <row r="527" spans="1:46" ht="12.5" x14ac:dyDescent="0.25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30"/>
      <c r="AQ527" s="130"/>
      <c r="AR527" s="19"/>
      <c r="AS527" s="19"/>
      <c r="AT527" s="19"/>
    </row>
    <row r="528" spans="1:46" ht="12.5" x14ac:dyDescent="0.25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30"/>
      <c r="AQ528" s="130"/>
      <c r="AR528" s="19"/>
      <c r="AS528" s="19"/>
      <c r="AT528" s="19"/>
    </row>
    <row r="529" spans="1:46" ht="12.5" x14ac:dyDescent="0.25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30"/>
      <c r="AQ529" s="130"/>
      <c r="AR529" s="19"/>
      <c r="AS529" s="19"/>
      <c r="AT529" s="19"/>
    </row>
    <row r="530" spans="1:46" ht="12.5" x14ac:dyDescent="0.25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30"/>
      <c r="AQ530" s="130"/>
      <c r="AR530" s="19"/>
      <c r="AS530" s="19"/>
      <c r="AT530" s="19"/>
    </row>
    <row r="531" spans="1:46" ht="12.5" x14ac:dyDescent="0.25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30"/>
      <c r="AQ531" s="130"/>
      <c r="AR531" s="19"/>
      <c r="AS531" s="19"/>
      <c r="AT531" s="19"/>
    </row>
    <row r="532" spans="1:46" ht="12.5" x14ac:dyDescent="0.25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30"/>
      <c r="AQ532" s="130"/>
      <c r="AR532" s="19"/>
      <c r="AS532" s="19"/>
      <c r="AT532" s="19"/>
    </row>
    <row r="533" spans="1:46" ht="12.5" x14ac:dyDescent="0.25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30"/>
      <c r="AQ533" s="130"/>
      <c r="AR533" s="19"/>
      <c r="AS533" s="19"/>
      <c r="AT533" s="19"/>
    </row>
    <row r="534" spans="1:46" ht="12.5" x14ac:dyDescent="0.25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30"/>
      <c r="AQ534" s="130"/>
      <c r="AR534" s="19"/>
      <c r="AS534" s="19"/>
      <c r="AT534" s="19"/>
    </row>
    <row r="535" spans="1:46" ht="12.5" x14ac:dyDescent="0.2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30"/>
      <c r="AQ535" s="130"/>
      <c r="AR535" s="19"/>
      <c r="AS535" s="19"/>
      <c r="AT535" s="19"/>
    </row>
    <row r="536" spans="1:46" ht="12.5" x14ac:dyDescent="0.25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30"/>
      <c r="AQ536" s="130"/>
      <c r="AR536" s="19"/>
      <c r="AS536" s="19"/>
      <c r="AT536" s="19"/>
    </row>
    <row r="537" spans="1:46" ht="12.5" x14ac:dyDescent="0.25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30"/>
      <c r="AQ537" s="130"/>
      <c r="AR537" s="19"/>
      <c r="AS537" s="19"/>
      <c r="AT537" s="19"/>
    </row>
    <row r="538" spans="1:46" ht="12.5" x14ac:dyDescent="0.25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30"/>
      <c r="AQ538" s="130"/>
      <c r="AR538" s="19"/>
      <c r="AS538" s="19"/>
      <c r="AT538" s="19"/>
    </row>
    <row r="539" spans="1:46" ht="12.5" x14ac:dyDescent="0.25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30"/>
      <c r="AQ539" s="130"/>
      <c r="AR539" s="19"/>
      <c r="AS539" s="19"/>
      <c r="AT539" s="19"/>
    </row>
    <row r="540" spans="1:46" ht="12.5" x14ac:dyDescent="0.25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30"/>
      <c r="AQ540" s="130"/>
      <c r="AR540" s="19"/>
      <c r="AS540" s="19"/>
      <c r="AT540" s="19"/>
    </row>
    <row r="541" spans="1:46" ht="12.5" x14ac:dyDescent="0.25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30"/>
      <c r="AQ541" s="130"/>
      <c r="AR541" s="19"/>
      <c r="AS541" s="19"/>
      <c r="AT541" s="19"/>
    </row>
    <row r="542" spans="1:46" ht="12.5" x14ac:dyDescent="0.25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30"/>
      <c r="AQ542" s="130"/>
      <c r="AR542" s="19"/>
      <c r="AS542" s="19"/>
      <c r="AT542" s="19"/>
    </row>
    <row r="543" spans="1:46" ht="12.5" x14ac:dyDescent="0.25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30"/>
      <c r="AQ543" s="130"/>
      <c r="AR543" s="19"/>
      <c r="AS543" s="19"/>
      <c r="AT543" s="19"/>
    </row>
    <row r="544" spans="1:46" ht="12.5" x14ac:dyDescent="0.25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30"/>
      <c r="AQ544" s="130"/>
      <c r="AR544" s="19"/>
      <c r="AS544" s="19"/>
      <c r="AT544" s="19"/>
    </row>
    <row r="545" spans="1:46" ht="12.5" x14ac:dyDescent="0.2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30"/>
      <c r="AQ545" s="130"/>
      <c r="AR545" s="19"/>
      <c r="AS545" s="19"/>
      <c r="AT545" s="19"/>
    </row>
    <row r="546" spans="1:46" ht="12.5" x14ac:dyDescent="0.25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30"/>
      <c r="AQ546" s="130"/>
      <c r="AR546" s="19"/>
      <c r="AS546" s="19"/>
      <c r="AT546" s="19"/>
    </row>
    <row r="547" spans="1:46" ht="12.5" x14ac:dyDescent="0.25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30"/>
      <c r="AQ547" s="130"/>
      <c r="AR547" s="19"/>
      <c r="AS547" s="19"/>
      <c r="AT547" s="19"/>
    </row>
    <row r="548" spans="1:46" ht="12.5" x14ac:dyDescent="0.25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30"/>
      <c r="AQ548" s="130"/>
      <c r="AR548" s="19"/>
      <c r="AS548" s="19"/>
      <c r="AT548" s="19"/>
    </row>
    <row r="549" spans="1:46" ht="12.5" x14ac:dyDescent="0.25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30"/>
      <c r="AQ549" s="130"/>
      <c r="AR549" s="19"/>
      <c r="AS549" s="19"/>
      <c r="AT549" s="19"/>
    </row>
    <row r="550" spans="1:46" ht="12.5" x14ac:dyDescent="0.25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30"/>
      <c r="AQ550" s="130"/>
      <c r="AR550" s="19"/>
      <c r="AS550" s="19"/>
      <c r="AT550" s="19"/>
    </row>
    <row r="551" spans="1:46" ht="12.5" x14ac:dyDescent="0.25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30"/>
      <c r="AQ551" s="130"/>
      <c r="AR551" s="19"/>
      <c r="AS551" s="19"/>
      <c r="AT551" s="19"/>
    </row>
    <row r="552" spans="1:46" ht="12.5" x14ac:dyDescent="0.25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30"/>
      <c r="AQ552" s="130"/>
      <c r="AR552" s="19"/>
      <c r="AS552" s="19"/>
      <c r="AT552" s="19"/>
    </row>
    <row r="553" spans="1:46" ht="12.5" x14ac:dyDescent="0.25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30"/>
      <c r="AQ553" s="130"/>
      <c r="AR553" s="19"/>
      <c r="AS553" s="19"/>
      <c r="AT553" s="19"/>
    </row>
    <row r="554" spans="1:46" ht="12.5" x14ac:dyDescent="0.25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30"/>
      <c r="AQ554" s="130"/>
      <c r="AR554" s="19"/>
      <c r="AS554" s="19"/>
      <c r="AT554" s="19"/>
    </row>
    <row r="555" spans="1:46" ht="12.5" x14ac:dyDescent="0.2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30"/>
      <c r="AQ555" s="130"/>
      <c r="AR555" s="19"/>
      <c r="AS555" s="19"/>
      <c r="AT555" s="19"/>
    </row>
    <row r="556" spans="1:46" ht="12.5" x14ac:dyDescent="0.25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30"/>
      <c r="AQ556" s="130"/>
      <c r="AR556" s="19"/>
      <c r="AS556" s="19"/>
      <c r="AT556" s="19"/>
    </row>
    <row r="557" spans="1:46" ht="12.5" x14ac:dyDescent="0.25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30"/>
      <c r="AQ557" s="130"/>
      <c r="AR557" s="19"/>
      <c r="AS557" s="19"/>
      <c r="AT557" s="19"/>
    </row>
    <row r="558" spans="1:46" ht="12.5" x14ac:dyDescent="0.25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30"/>
      <c r="AQ558" s="130"/>
      <c r="AR558" s="19"/>
      <c r="AS558" s="19"/>
      <c r="AT558" s="19"/>
    </row>
    <row r="559" spans="1:46" ht="12.5" x14ac:dyDescent="0.25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30"/>
      <c r="AQ559" s="130"/>
      <c r="AR559" s="19"/>
      <c r="AS559" s="19"/>
      <c r="AT559" s="19"/>
    </row>
    <row r="560" spans="1:46" ht="12.5" x14ac:dyDescent="0.25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30"/>
      <c r="AQ560" s="130"/>
      <c r="AR560" s="19"/>
      <c r="AS560" s="19"/>
      <c r="AT560" s="19"/>
    </row>
    <row r="561" spans="1:46" ht="12.5" x14ac:dyDescent="0.25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30"/>
      <c r="AQ561" s="130"/>
      <c r="AR561" s="19"/>
      <c r="AS561" s="19"/>
      <c r="AT561" s="19"/>
    </row>
    <row r="562" spans="1:46" ht="12.5" x14ac:dyDescent="0.25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30"/>
      <c r="AQ562" s="130"/>
      <c r="AR562" s="19"/>
      <c r="AS562" s="19"/>
      <c r="AT562" s="19"/>
    </row>
    <row r="563" spans="1:46" ht="12.5" x14ac:dyDescent="0.25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30"/>
      <c r="AQ563" s="130"/>
      <c r="AR563" s="19"/>
      <c r="AS563" s="19"/>
      <c r="AT563" s="19"/>
    </row>
    <row r="564" spans="1:46" ht="12.5" x14ac:dyDescent="0.25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30"/>
      <c r="AQ564" s="130"/>
      <c r="AR564" s="19"/>
      <c r="AS564" s="19"/>
      <c r="AT564" s="19"/>
    </row>
    <row r="565" spans="1:46" ht="12.5" x14ac:dyDescent="0.2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30"/>
      <c r="AQ565" s="130"/>
      <c r="AR565" s="19"/>
      <c r="AS565" s="19"/>
      <c r="AT565" s="19"/>
    </row>
    <row r="566" spans="1:46" ht="12.5" x14ac:dyDescent="0.25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30"/>
      <c r="AQ566" s="130"/>
      <c r="AR566" s="19"/>
      <c r="AS566" s="19"/>
      <c r="AT566" s="19"/>
    </row>
    <row r="567" spans="1:46" ht="12.5" x14ac:dyDescent="0.25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30"/>
      <c r="AQ567" s="130"/>
      <c r="AR567" s="19"/>
      <c r="AS567" s="19"/>
      <c r="AT567" s="19"/>
    </row>
    <row r="568" spans="1:46" ht="12.5" x14ac:dyDescent="0.25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30"/>
      <c r="AQ568" s="130"/>
      <c r="AR568" s="19"/>
      <c r="AS568" s="19"/>
      <c r="AT568" s="19"/>
    </row>
    <row r="569" spans="1:46" ht="12.5" x14ac:dyDescent="0.25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30"/>
      <c r="AQ569" s="130"/>
      <c r="AR569" s="19"/>
      <c r="AS569" s="19"/>
      <c r="AT569" s="19"/>
    </row>
    <row r="570" spans="1:46" ht="12.5" x14ac:dyDescent="0.25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30"/>
      <c r="AQ570" s="130"/>
      <c r="AR570" s="19"/>
      <c r="AS570" s="19"/>
      <c r="AT570" s="19"/>
    </row>
    <row r="571" spans="1:46" ht="12.5" x14ac:dyDescent="0.25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30"/>
      <c r="AQ571" s="130"/>
      <c r="AR571" s="19"/>
      <c r="AS571" s="19"/>
      <c r="AT571" s="19"/>
    </row>
    <row r="572" spans="1:46" ht="12.5" x14ac:dyDescent="0.25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30"/>
      <c r="AQ572" s="130"/>
      <c r="AR572" s="19"/>
      <c r="AS572" s="19"/>
      <c r="AT572" s="19"/>
    </row>
    <row r="573" spans="1:46" ht="12.5" x14ac:dyDescent="0.25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30"/>
      <c r="AQ573" s="130"/>
      <c r="AR573" s="19"/>
      <c r="AS573" s="19"/>
      <c r="AT573" s="19"/>
    </row>
    <row r="574" spans="1:46" ht="12.5" x14ac:dyDescent="0.25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30"/>
      <c r="AQ574" s="130"/>
      <c r="AR574" s="19"/>
      <c r="AS574" s="19"/>
      <c r="AT574" s="19"/>
    </row>
    <row r="575" spans="1:46" ht="12.5" x14ac:dyDescent="0.2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30"/>
      <c r="AQ575" s="130"/>
      <c r="AR575" s="19"/>
      <c r="AS575" s="19"/>
      <c r="AT575" s="19"/>
    </row>
    <row r="576" spans="1:46" ht="12.5" x14ac:dyDescent="0.25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30"/>
      <c r="AQ576" s="130"/>
      <c r="AR576" s="19"/>
      <c r="AS576" s="19"/>
      <c r="AT576" s="19"/>
    </row>
    <row r="577" spans="1:46" ht="12.5" x14ac:dyDescent="0.25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30"/>
      <c r="AQ577" s="130"/>
      <c r="AR577" s="19"/>
      <c r="AS577" s="19"/>
      <c r="AT577" s="19"/>
    </row>
    <row r="578" spans="1:46" ht="12.5" x14ac:dyDescent="0.25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30"/>
      <c r="AQ578" s="130"/>
      <c r="AR578" s="19"/>
      <c r="AS578" s="19"/>
      <c r="AT578" s="19"/>
    </row>
    <row r="579" spans="1:46" ht="12.5" x14ac:dyDescent="0.25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30"/>
      <c r="AQ579" s="130"/>
      <c r="AR579" s="19"/>
      <c r="AS579" s="19"/>
      <c r="AT579" s="19"/>
    </row>
    <row r="580" spans="1:46" ht="12.5" x14ac:dyDescent="0.25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30"/>
      <c r="AQ580" s="130"/>
      <c r="AR580" s="19"/>
      <c r="AS580" s="19"/>
      <c r="AT580" s="19"/>
    </row>
    <row r="581" spans="1:46" ht="12.5" x14ac:dyDescent="0.25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30"/>
      <c r="AQ581" s="130"/>
      <c r="AR581" s="19"/>
      <c r="AS581" s="19"/>
      <c r="AT581" s="19"/>
    </row>
    <row r="582" spans="1:46" ht="12.5" x14ac:dyDescent="0.25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30"/>
      <c r="AQ582" s="130"/>
      <c r="AR582" s="19"/>
      <c r="AS582" s="19"/>
      <c r="AT582" s="19"/>
    </row>
    <row r="583" spans="1:46" ht="12.5" x14ac:dyDescent="0.25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30"/>
      <c r="AQ583" s="130"/>
      <c r="AR583" s="19"/>
      <c r="AS583" s="19"/>
      <c r="AT583" s="19"/>
    </row>
    <row r="584" spans="1:46" ht="12.5" x14ac:dyDescent="0.25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30"/>
      <c r="AQ584" s="130"/>
      <c r="AR584" s="19"/>
      <c r="AS584" s="19"/>
      <c r="AT584" s="19"/>
    </row>
    <row r="585" spans="1:46" ht="12.5" x14ac:dyDescent="0.2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30"/>
      <c r="AQ585" s="130"/>
      <c r="AR585" s="19"/>
      <c r="AS585" s="19"/>
      <c r="AT585" s="19"/>
    </row>
    <row r="586" spans="1:46" ht="12.5" x14ac:dyDescent="0.25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30"/>
      <c r="AQ586" s="130"/>
      <c r="AR586" s="19"/>
      <c r="AS586" s="19"/>
      <c r="AT586" s="19"/>
    </row>
    <row r="587" spans="1:46" ht="12.5" x14ac:dyDescent="0.25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30"/>
      <c r="AQ587" s="130"/>
      <c r="AR587" s="19"/>
      <c r="AS587" s="19"/>
      <c r="AT587" s="19"/>
    </row>
    <row r="588" spans="1:46" ht="12.5" x14ac:dyDescent="0.25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30"/>
      <c r="AQ588" s="130"/>
      <c r="AR588" s="19"/>
      <c r="AS588" s="19"/>
      <c r="AT588" s="19"/>
    </row>
    <row r="589" spans="1:46" ht="12.5" x14ac:dyDescent="0.25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30"/>
      <c r="AQ589" s="130"/>
      <c r="AR589" s="19"/>
      <c r="AS589" s="19"/>
      <c r="AT589" s="19"/>
    </row>
    <row r="590" spans="1:46" ht="12.5" x14ac:dyDescent="0.25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30"/>
      <c r="AQ590" s="130"/>
      <c r="AR590" s="19"/>
      <c r="AS590" s="19"/>
      <c r="AT590" s="19"/>
    </row>
    <row r="591" spans="1:46" ht="12.5" x14ac:dyDescent="0.25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30"/>
      <c r="AQ591" s="130"/>
      <c r="AR591" s="19"/>
      <c r="AS591" s="19"/>
      <c r="AT591" s="19"/>
    </row>
    <row r="592" spans="1:46" ht="12.5" x14ac:dyDescent="0.2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30"/>
      <c r="AQ592" s="130"/>
      <c r="AR592" s="19"/>
      <c r="AS592" s="19"/>
      <c r="AT592" s="19"/>
    </row>
    <row r="593" spans="1:46" ht="12.5" x14ac:dyDescent="0.25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30"/>
      <c r="AQ593" s="130"/>
      <c r="AR593" s="19"/>
      <c r="AS593" s="19"/>
      <c r="AT593" s="19"/>
    </row>
    <row r="594" spans="1:46" ht="12.5" x14ac:dyDescent="0.25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30"/>
      <c r="AQ594" s="130"/>
      <c r="AR594" s="19"/>
      <c r="AS594" s="19"/>
      <c r="AT594" s="19"/>
    </row>
    <row r="595" spans="1:46" ht="12.5" x14ac:dyDescent="0.2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30"/>
      <c r="AQ595" s="130"/>
      <c r="AR595" s="19"/>
      <c r="AS595" s="19"/>
      <c r="AT595" s="19"/>
    </row>
    <row r="596" spans="1:46" ht="12.5" x14ac:dyDescent="0.25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30"/>
      <c r="AQ596" s="130"/>
      <c r="AR596" s="19"/>
      <c r="AS596" s="19"/>
      <c r="AT596" s="19"/>
    </row>
    <row r="597" spans="1:46" ht="12.5" x14ac:dyDescent="0.25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30"/>
      <c r="AQ597" s="130"/>
      <c r="AR597" s="19"/>
      <c r="AS597" s="19"/>
      <c r="AT597" s="19"/>
    </row>
    <row r="598" spans="1:46" ht="12.5" x14ac:dyDescent="0.25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30"/>
      <c r="AQ598" s="130"/>
      <c r="AR598" s="19"/>
      <c r="AS598" s="19"/>
      <c r="AT598" s="19"/>
    </row>
    <row r="599" spans="1:46" ht="12.5" x14ac:dyDescent="0.25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30"/>
      <c r="AQ599" s="130"/>
      <c r="AR599" s="19"/>
      <c r="AS599" s="19"/>
      <c r="AT599" s="19"/>
    </row>
    <row r="600" spans="1:46" ht="12.5" x14ac:dyDescent="0.25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30"/>
      <c r="AQ600" s="130"/>
      <c r="AR600" s="19"/>
      <c r="AS600" s="19"/>
      <c r="AT600" s="19"/>
    </row>
    <row r="601" spans="1:46" ht="12.5" x14ac:dyDescent="0.25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30"/>
      <c r="AQ601" s="130"/>
      <c r="AR601" s="19"/>
      <c r="AS601" s="19"/>
      <c r="AT601" s="19"/>
    </row>
    <row r="602" spans="1:46" ht="12.5" x14ac:dyDescent="0.25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30"/>
      <c r="AQ602" s="130"/>
      <c r="AR602" s="19"/>
      <c r="AS602" s="19"/>
      <c r="AT602" s="19"/>
    </row>
    <row r="603" spans="1:46" ht="12.5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30"/>
      <c r="AQ603" s="130"/>
      <c r="AR603" s="19"/>
      <c r="AS603" s="19"/>
      <c r="AT603" s="19"/>
    </row>
    <row r="604" spans="1:46" ht="12.5" x14ac:dyDescent="0.25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30"/>
      <c r="AQ604" s="130"/>
      <c r="AR604" s="19"/>
      <c r="AS604" s="19"/>
      <c r="AT604" s="19"/>
    </row>
    <row r="605" spans="1:46" ht="12.5" x14ac:dyDescent="0.2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30"/>
      <c r="AQ605" s="130"/>
      <c r="AR605" s="19"/>
      <c r="AS605" s="19"/>
      <c r="AT605" s="19"/>
    </row>
    <row r="606" spans="1:46" ht="12.5" x14ac:dyDescent="0.25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30"/>
      <c r="AQ606" s="130"/>
      <c r="AR606" s="19"/>
      <c r="AS606" s="19"/>
      <c r="AT606" s="19"/>
    </row>
    <row r="607" spans="1:46" ht="12.5" x14ac:dyDescent="0.25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30"/>
      <c r="AQ607" s="130"/>
      <c r="AR607" s="19"/>
      <c r="AS607" s="19"/>
      <c r="AT607" s="19"/>
    </row>
    <row r="608" spans="1:46" ht="12.5" x14ac:dyDescent="0.25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30"/>
      <c r="AQ608" s="130"/>
      <c r="AR608" s="19"/>
      <c r="AS608" s="19"/>
      <c r="AT608" s="19"/>
    </row>
    <row r="609" spans="1:46" ht="12.5" x14ac:dyDescent="0.25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30"/>
      <c r="AQ609" s="130"/>
      <c r="AR609" s="19"/>
      <c r="AS609" s="19"/>
      <c r="AT609" s="19"/>
    </row>
    <row r="610" spans="1:46" ht="12.5" x14ac:dyDescent="0.25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30"/>
      <c r="AQ610" s="130"/>
      <c r="AR610" s="19"/>
      <c r="AS610" s="19"/>
      <c r="AT610" s="19"/>
    </row>
    <row r="611" spans="1:46" ht="12.5" x14ac:dyDescent="0.25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30"/>
      <c r="AQ611" s="130"/>
      <c r="AR611" s="19"/>
      <c r="AS611" s="19"/>
      <c r="AT611" s="19"/>
    </row>
    <row r="612" spans="1:46" ht="12.5" x14ac:dyDescent="0.2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30"/>
      <c r="AQ612" s="130"/>
      <c r="AR612" s="19"/>
      <c r="AS612" s="19"/>
      <c r="AT612" s="19"/>
    </row>
    <row r="613" spans="1:46" ht="12.5" x14ac:dyDescent="0.25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30"/>
      <c r="AQ613" s="130"/>
      <c r="AR613" s="19"/>
      <c r="AS613" s="19"/>
      <c r="AT613" s="19"/>
    </row>
    <row r="614" spans="1:46" ht="12.5" x14ac:dyDescent="0.25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30"/>
      <c r="AQ614" s="130"/>
      <c r="AR614" s="19"/>
      <c r="AS614" s="19"/>
      <c r="AT614" s="19"/>
    </row>
    <row r="615" spans="1:46" ht="12.5" x14ac:dyDescent="0.2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30"/>
      <c r="AQ615" s="130"/>
      <c r="AR615" s="19"/>
      <c r="AS615" s="19"/>
      <c r="AT615" s="19"/>
    </row>
    <row r="616" spans="1:46" ht="12.5" x14ac:dyDescent="0.25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30"/>
      <c r="AQ616" s="130"/>
      <c r="AR616" s="19"/>
      <c r="AS616" s="19"/>
      <c r="AT616" s="19"/>
    </row>
    <row r="617" spans="1:46" ht="12.5" x14ac:dyDescent="0.25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30"/>
      <c r="AQ617" s="130"/>
      <c r="AR617" s="19"/>
      <c r="AS617" s="19"/>
      <c r="AT617" s="19"/>
    </row>
    <row r="618" spans="1:46" ht="12.5" x14ac:dyDescent="0.25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30"/>
      <c r="AQ618" s="130"/>
      <c r="AR618" s="19"/>
      <c r="AS618" s="19"/>
      <c r="AT618" s="19"/>
    </row>
    <row r="619" spans="1:46" ht="12.5" x14ac:dyDescent="0.25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30"/>
      <c r="AQ619" s="130"/>
      <c r="AR619" s="19"/>
      <c r="AS619" s="19"/>
      <c r="AT619" s="19"/>
    </row>
    <row r="620" spans="1:46" ht="12.5" x14ac:dyDescent="0.25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30"/>
      <c r="AQ620" s="130"/>
      <c r="AR620" s="19"/>
      <c r="AS620" s="19"/>
      <c r="AT620" s="19"/>
    </row>
    <row r="621" spans="1:46" ht="12.5" x14ac:dyDescent="0.25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30"/>
      <c r="AQ621" s="130"/>
      <c r="AR621" s="19"/>
      <c r="AS621" s="19"/>
      <c r="AT621" s="19"/>
    </row>
    <row r="622" spans="1:46" ht="12.5" x14ac:dyDescent="0.25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30"/>
      <c r="AQ622" s="130"/>
      <c r="AR622" s="19"/>
      <c r="AS622" s="19"/>
      <c r="AT622" s="19"/>
    </row>
    <row r="623" spans="1:46" ht="12.5" x14ac:dyDescent="0.25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30"/>
      <c r="AQ623" s="130"/>
      <c r="AR623" s="19"/>
      <c r="AS623" s="19"/>
      <c r="AT623" s="19"/>
    </row>
    <row r="624" spans="1:46" ht="12.5" x14ac:dyDescent="0.25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30"/>
      <c r="AQ624" s="130"/>
      <c r="AR624" s="19"/>
      <c r="AS624" s="19"/>
      <c r="AT624" s="19"/>
    </row>
    <row r="625" spans="1:46" ht="12.5" x14ac:dyDescent="0.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30"/>
      <c r="AQ625" s="130"/>
      <c r="AR625" s="19"/>
      <c r="AS625" s="19"/>
      <c r="AT625" s="19"/>
    </row>
    <row r="626" spans="1:46" ht="12.5" x14ac:dyDescent="0.25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30"/>
      <c r="AQ626" s="130"/>
      <c r="AR626" s="19"/>
      <c r="AS626" s="19"/>
      <c r="AT626" s="19"/>
    </row>
    <row r="627" spans="1:46" ht="12.5" x14ac:dyDescent="0.25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30"/>
      <c r="AQ627" s="130"/>
      <c r="AR627" s="19"/>
      <c r="AS627" s="19"/>
      <c r="AT627" s="19"/>
    </row>
    <row r="628" spans="1:46" ht="12.5" x14ac:dyDescent="0.25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30"/>
      <c r="AQ628" s="130"/>
      <c r="AR628" s="19"/>
      <c r="AS628" s="19"/>
      <c r="AT628" s="19"/>
    </row>
    <row r="629" spans="1:46" ht="12.5" x14ac:dyDescent="0.25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30"/>
      <c r="AQ629" s="130"/>
      <c r="AR629" s="19"/>
      <c r="AS629" s="19"/>
      <c r="AT629" s="19"/>
    </row>
    <row r="630" spans="1:46" ht="12.5" x14ac:dyDescent="0.25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30"/>
      <c r="AQ630" s="130"/>
      <c r="AR630" s="19"/>
      <c r="AS630" s="19"/>
      <c r="AT630" s="19"/>
    </row>
    <row r="631" spans="1:46" ht="12.5" x14ac:dyDescent="0.25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30"/>
      <c r="AQ631" s="130"/>
      <c r="AR631" s="19"/>
      <c r="AS631" s="19"/>
      <c r="AT631" s="19"/>
    </row>
    <row r="632" spans="1:46" ht="12.5" x14ac:dyDescent="0.25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30"/>
      <c r="AQ632" s="130"/>
      <c r="AR632" s="19"/>
      <c r="AS632" s="19"/>
      <c r="AT632" s="19"/>
    </row>
    <row r="633" spans="1:46" ht="12.5" x14ac:dyDescent="0.25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30"/>
      <c r="AQ633" s="130"/>
      <c r="AR633" s="19"/>
      <c r="AS633" s="19"/>
      <c r="AT633" s="19"/>
    </row>
    <row r="634" spans="1:46" ht="12.5" x14ac:dyDescent="0.25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30"/>
      <c r="AQ634" s="130"/>
      <c r="AR634" s="19"/>
      <c r="AS634" s="19"/>
      <c r="AT634" s="19"/>
    </row>
    <row r="635" spans="1:46" ht="12.5" x14ac:dyDescent="0.2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30"/>
      <c r="AQ635" s="130"/>
      <c r="AR635" s="19"/>
      <c r="AS635" s="19"/>
      <c r="AT635" s="19"/>
    </row>
    <row r="636" spans="1:46" ht="12.5" x14ac:dyDescent="0.2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30"/>
      <c r="AQ636" s="130"/>
      <c r="AR636" s="19"/>
      <c r="AS636" s="19"/>
      <c r="AT636" s="19"/>
    </row>
    <row r="637" spans="1:46" ht="12.5" x14ac:dyDescent="0.25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30"/>
      <c r="AQ637" s="130"/>
      <c r="AR637" s="19"/>
      <c r="AS637" s="19"/>
      <c r="AT637" s="19"/>
    </row>
    <row r="638" spans="1:46" ht="12.5" x14ac:dyDescent="0.25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30"/>
      <c r="AQ638" s="130"/>
      <c r="AR638" s="19"/>
      <c r="AS638" s="19"/>
      <c r="AT638" s="19"/>
    </row>
    <row r="639" spans="1:46" ht="12.5" x14ac:dyDescent="0.25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30"/>
      <c r="AQ639" s="130"/>
      <c r="AR639" s="19"/>
      <c r="AS639" s="19"/>
      <c r="AT639" s="19"/>
    </row>
    <row r="640" spans="1:46" ht="12.5" x14ac:dyDescent="0.25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30"/>
      <c r="AQ640" s="130"/>
      <c r="AR640" s="19"/>
      <c r="AS640" s="19"/>
      <c r="AT640" s="19"/>
    </row>
    <row r="641" spans="1:46" ht="12.5" x14ac:dyDescent="0.25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30"/>
      <c r="AQ641" s="130"/>
      <c r="AR641" s="19"/>
      <c r="AS641" s="19"/>
      <c r="AT641" s="19"/>
    </row>
    <row r="642" spans="1:46" ht="12.5" x14ac:dyDescent="0.25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30"/>
      <c r="AQ642" s="130"/>
      <c r="AR642" s="19"/>
      <c r="AS642" s="19"/>
      <c r="AT642" s="19"/>
    </row>
    <row r="643" spans="1:46" ht="12.5" x14ac:dyDescent="0.25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30"/>
      <c r="AQ643" s="130"/>
      <c r="AR643" s="19"/>
      <c r="AS643" s="19"/>
      <c r="AT643" s="19"/>
    </row>
    <row r="644" spans="1:46" ht="12.5" x14ac:dyDescent="0.25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30"/>
      <c r="AQ644" s="130"/>
      <c r="AR644" s="19"/>
      <c r="AS644" s="19"/>
      <c r="AT644" s="19"/>
    </row>
    <row r="645" spans="1:46" ht="12.5" x14ac:dyDescent="0.2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30"/>
      <c r="AQ645" s="130"/>
      <c r="AR645" s="19"/>
      <c r="AS645" s="19"/>
      <c r="AT645" s="19"/>
    </row>
    <row r="646" spans="1:46" ht="12.5" x14ac:dyDescent="0.25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30"/>
      <c r="AQ646" s="130"/>
      <c r="AR646" s="19"/>
      <c r="AS646" s="19"/>
      <c r="AT646" s="19"/>
    </row>
    <row r="647" spans="1:46" ht="12.5" x14ac:dyDescent="0.25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30"/>
      <c r="AQ647" s="130"/>
      <c r="AR647" s="19"/>
      <c r="AS647" s="19"/>
      <c r="AT647" s="19"/>
    </row>
    <row r="648" spans="1:46" ht="12.5" x14ac:dyDescent="0.25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30"/>
      <c r="AQ648" s="130"/>
      <c r="AR648" s="19"/>
      <c r="AS648" s="19"/>
      <c r="AT648" s="19"/>
    </row>
    <row r="649" spans="1:46" ht="12.5" x14ac:dyDescent="0.25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30"/>
      <c r="AQ649" s="130"/>
      <c r="AR649" s="19"/>
      <c r="AS649" s="19"/>
      <c r="AT649" s="19"/>
    </row>
    <row r="650" spans="1:46" ht="12.5" x14ac:dyDescent="0.25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30"/>
      <c r="AQ650" s="130"/>
      <c r="AR650" s="19"/>
      <c r="AS650" s="19"/>
      <c r="AT650" s="19"/>
    </row>
    <row r="651" spans="1:46" ht="12.5" x14ac:dyDescent="0.25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30"/>
      <c r="AQ651" s="130"/>
      <c r="AR651" s="19"/>
      <c r="AS651" s="19"/>
      <c r="AT651" s="19"/>
    </row>
    <row r="652" spans="1:46" ht="12.5" x14ac:dyDescent="0.25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30"/>
      <c r="AQ652" s="130"/>
      <c r="AR652" s="19"/>
      <c r="AS652" s="19"/>
      <c r="AT652" s="19"/>
    </row>
    <row r="653" spans="1:46" ht="12.5" x14ac:dyDescent="0.25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30"/>
      <c r="AQ653" s="130"/>
      <c r="AR653" s="19"/>
      <c r="AS653" s="19"/>
      <c r="AT653" s="19"/>
    </row>
    <row r="654" spans="1:46" ht="12.5" x14ac:dyDescent="0.25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30"/>
      <c r="AQ654" s="130"/>
      <c r="AR654" s="19"/>
      <c r="AS654" s="19"/>
      <c r="AT654" s="19"/>
    </row>
    <row r="655" spans="1:46" ht="12.5" x14ac:dyDescent="0.2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30"/>
      <c r="AQ655" s="130"/>
      <c r="AR655" s="19"/>
      <c r="AS655" s="19"/>
      <c r="AT655" s="19"/>
    </row>
    <row r="656" spans="1:46" ht="12.5" x14ac:dyDescent="0.25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30"/>
      <c r="AQ656" s="130"/>
      <c r="AR656" s="19"/>
      <c r="AS656" s="19"/>
      <c r="AT656" s="19"/>
    </row>
    <row r="657" spans="1:46" ht="12.5" x14ac:dyDescent="0.25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30"/>
      <c r="AQ657" s="130"/>
      <c r="AR657" s="19"/>
      <c r="AS657" s="19"/>
      <c r="AT657" s="19"/>
    </row>
    <row r="658" spans="1:46" ht="12.5" x14ac:dyDescent="0.25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30"/>
      <c r="AQ658" s="130"/>
      <c r="AR658" s="19"/>
      <c r="AS658" s="19"/>
      <c r="AT658" s="19"/>
    </row>
    <row r="659" spans="1:46" ht="12.5" x14ac:dyDescent="0.25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30"/>
      <c r="AQ659" s="130"/>
      <c r="AR659" s="19"/>
      <c r="AS659" s="19"/>
      <c r="AT659" s="19"/>
    </row>
    <row r="660" spans="1:46" ht="12.5" x14ac:dyDescent="0.25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30"/>
      <c r="AQ660" s="130"/>
      <c r="AR660" s="19"/>
      <c r="AS660" s="19"/>
      <c r="AT660" s="19"/>
    </row>
    <row r="661" spans="1:46" ht="12.5" x14ac:dyDescent="0.25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30"/>
      <c r="AQ661" s="130"/>
      <c r="AR661" s="19"/>
      <c r="AS661" s="19"/>
      <c r="AT661" s="19"/>
    </row>
    <row r="662" spans="1:46" ht="12.5" x14ac:dyDescent="0.25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30"/>
      <c r="AQ662" s="130"/>
      <c r="AR662" s="19"/>
      <c r="AS662" s="19"/>
      <c r="AT662" s="19"/>
    </row>
    <row r="663" spans="1:46" ht="12.5" x14ac:dyDescent="0.25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30"/>
      <c r="AQ663" s="130"/>
      <c r="AR663" s="19"/>
      <c r="AS663" s="19"/>
      <c r="AT663" s="19"/>
    </row>
    <row r="664" spans="1:46" ht="12.5" x14ac:dyDescent="0.25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30"/>
      <c r="AQ664" s="130"/>
      <c r="AR664" s="19"/>
      <c r="AS664" s="19"/>
      <c r="AT664" s="19"/>
    </row>
    <row r="665" spans="1:46" ht="12.5" x14ac:dyDescent="0.2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30"/>
      <c r="AQ665" s="130"/>
      <c r="AR665" s="19"/>
      <c r="AS665" s="19"/>
      <c r="AT665" s="19"/>
    </row>
    <row r="666" spans="1:46" ht="12.5" x14ac:dyDescent="0.25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30"/>
      <c r="AQ666" s="130"/>
      <c r="AR666" s="19"/>
      <c r="AS666" s="19"/>
      <c r="AT666" s="19"/>
    </row>
    <row r="667" spans="1:46" ht="12.5" x14ac:dyDescent="0.25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30"/>
      <c r="AQ667" s="130"/>
      <c r="AR667" s="19"/>
      <c r="AS667" s="19"/>
      <c r="AT667" s="19"/>
    </row>
    <row r="668" spans="1:46" ht="12.5" x14ac:dyDescent="0.25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30"/>
      <c r="AQ668" s="130"/>
      <c r="AR668" s="19"/>
      <c r="AS668" s="19"/>
      <c r="AT668" s="19"/>
    </row>
    <row r="669" spans="1:46" ht="12.5" x14ac:dyDescent="0.25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30"/>
      <c r="AQ669" s="130"/>
      <c r="AR669" s="19"/>
      <c r="AS669" s="19"/>
      <c r="AT669" s="19"/>
    </row>
    <row r="670" spans="1:46" ht="12.5" x14ac:dyDescent="0.25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30"/>
      <c r="AQ670" s="130"/>
      <c r="AR670" s="19"/>
      <c r="AS670" s="19"/>
      <c r="AT670" s="19"/>
    </row>
    <row r="671" spans="1:46" ht="12.5" x14ac:dyDescent="0.25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30"/>
      <c r="AQ671" s="130"/>
      <c r="AR671" s="19"/>
      <c r="AS671" s="19"/>
      <c r="AT671" s="19"/>
    </row>
    <row r="672" spans="1:46" ht="12.5" x14ac:dyDescent="0.25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30"/>
      <c r="AQ672" s="130"/>
      <c r="AR672" s="19"/>
      <c r="AS672" s="19"/>
      <c r="AT672" s="19"/>
    </row>
    <row r="673" spans="1:46" ht="12.5" x14ac:dyDescent="0.25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30"/>
      <c r="AQ673" s="130"/>
      <c r="AR673" s="19"/>
      <c r="AS673" s="19"/>
      <c r="AT673" s="19"/>
    </row>
    <row r="674" spans="1:46" ht="12.5" x14ac:dyDescent="0.25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30"/>
      <c r="AQ674" s="130"/>
      <c r="AR674" s="19"/>
      <c r="AS674" s="19"/>
      <c r="AT674" s="19"/>
    </row>
    <row r="675" spans="1:46" ht="12.5" x14ac:dyDescent="0.2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30"/>
      <c r="AQ675" s="130"/>
      <c r="AR675" s="19"/>
      <c r="AS675" s="19"/>
      <c r="AT675" s="19"/>
    </row>
    <row r="676" spans="1:46" ht="12.5" x14ac:dyDescent="0.25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30"/>
      <c r="AQ676" s="130"/>
      <c r="AR676" s="19"/>
      <c r="AS676" s="19"/>
      <c r="AT676" s="19"/>
    </row>
    <row r="677" spans="1:46" ht="12.5" x14ac:dyDescent="0.25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30"/>
      <c r="AQ677" s="130"/>
      <c r="AR677" s="19"/>
      <c r="AS677" s="19"/>
      <c r="AT677" s="19"/>
    </row>
    <row r="678" spans="1:46" ht="12.5" x14ac:dyDescent="0.25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30"/>
      <c r="AQ678" s="130"/>
      <c r="AR678" s="19"/>
      <c r="AS678" s="19"/>
      <c r="AT678" s="19"/>
    </row>
    <row r="679" spans="1:46" ht="12.5" x14ac:dyDescent="0.25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30"/>
      <c r="AQ679" s="130"/>
      <c r="AR679" s="19"/>
      <c r="AS679" s="19"/>
      <c r="AT679" s="19"/>
    </row>
    <row r="680" spans="1:46" ht="12.5" x14ac:dyDescent="0.25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30"/>
      <c r="AQ680" s="130"/>
      <c r="AR680" s="19"/>
      <c r="AS680" s="19"/>
      <c r="AT680" s="19"/>
    </row>
    <row r="681" spans="1:46" ht="12.5" x14ac:dyDescent="0.25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30"/>
      <c r="AQ681" s="130"/>
      <c r="AR681" s="19"/>
      <c r="AS681" s="19"/>
      <c r="AT681" s="19"/>
    </row>
    <row r="682" spans="1:46" ht="12.5" x14ac:dyDescent="0.25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30"/>
      <c r="AQ682" s="130"/>
      <c r="AR682" s="19"/>
      <c r="AS682" s="19"/>
      <c r="AT682" s="19"/>
    </row>
    <row r="683" spans="1:46" ht="12.5" x14ac:dyDescent="0.25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30"/>
      <c r="AQ683" s="130"/>
      <c r="AR683" s="19"/>
      <c r="AS683" s="19"/>
      <c r="AT683" s="19"/>
    </row>
    <row r="684" spans="1:46" ht="12.5" x14ac:dyDescent="0.25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30"/>
      <c r="AQ684" s="130"/>
      <c r="AR684" s="19"/>
      <c r="AS684" s="19"/>
      <c r="AT684" s="19"/>
    </row>
    <row r="685" spans="1:46" ht="12.5" x14ac:dyDescent="0.2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30"/>
      <c r="AQ685" s="130"/>
      <c r="AR685" s="19"/>
      <c r="AS685" s="19"/>
      <c r="AT685" s="19"/>
    </row>
    <row r="686" spans="1:46" ht="12.5" x14ac:dyDescent="0.25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30"/>
      <c r="AQ686" s="130"/>
      <c r="AR686" s="19"/>
      <c r="AS686" s="19"/>
      <c r="AT686" s="19"/>
    </row>
    <row r="687" spans="1:46" ht="12.5" x14ac:dyDescent="0.25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30"/>
      <c r="AQ687" s="130"/>
      <c r="AR687" s="19"/>
      <c r="AS687" s="19"/>
      <c r="AT687" s="19"/>
    </row>
    <row r="688" spans="1:46" ht="12.5" x14ac:dyDescent="0.25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30"/>
      <c r="AQ688" s="130"/>
      <c r="AR688" s="19"/>
      <c r="AS688" s="19"/>
      <c r="AT688" s="19"/>
    </row>
    <row r="689" spans="1:46" ht="12.5" x14ac:dyDescent="0.25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30"/>
      <c r="AQ689" s="130"/>
      <c r="AR689" s="19"/>
      <c r="AS689" s="19"/>
      <c r="AT689" s="19"/>
    </row>
    <row r="690" spans="1:46" ht="12.5" x14ac:dyDescent="0.25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30"/>
      <c r="AQ690" s="130"/>
      <c r="AR690" s="19"/>
      <c r="AS690" s="19"/>
      <c r="AT690" s="19"/>
    </row>
    <row r="691" spans="1:46" ht="12.5" x14ac:dyDescent="0.25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30"/>
      <c r="AQ691" s="130"/>
      <c r="AR691" s="19"/>
      <c r="AS691" s="19"/>
      <c r="AT691" s="19"/>
    </row>
    <row r="692" spans="1:46" ht="12.5" x14ac:dyDescent="0.25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30"/>
      <c r="AQ692" s="130"/>
      <c r="AR692" s="19"/>
      <c r="AS692" s="19"/>
      <c r="AT692" s="19"/>
    </row>
    <row r="693" spans="1:46" ht="12.5" x14ac:dyDescent="0.25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30"/>
      <c r="AQ693" s="130"/>
      <c r="AR693" s="19"/>
      <c r="AS693" s="19"/>
      <c r="AT693" s="19"/>
    </row>
    <row r="694" spans="1:46" ht="12.5" x14ac:dyDescent="0.25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30"/>
      <c r="AQ694" s="130"/>
      <c r="AR694" s="19"/>
      <c r="AS694" s="19"/>
      <c r="AT694" s="19"/>
    </row>
    <row r="695" spans="1:46" ht="12.5" x14ac:dyDescent="0.2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30"/>
      <c r="AQ695" s="130"/>
      <c r="AR695" s="19"/>
      <c r="AS695" s="19"/>
      <c r="AT695" s="19"/>
    </row>
    <row r="696" spans="1:46" ht="12.5" x14ac:dyDescent="0.25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30"/>
      <c r="AQ696" s="130"/>
      <c r="AR696" s="19"/>
      <c r="AS696" s="19"/>
      <c r="AT696" s="19"/>
    </row>
    <row r="697" spans="1:46" ht="12.5" x14ac:dyDescent="0.25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30"/>
      <c r="AQ697" s="130"/>
      <c r="AR697" s="19"/>
      <c r="AS697" s="19"/>
      <c r="AT697" s="19"/>
    </row>
    <row r="698" spans="1:46" ht="12.5" x14ac:dyDescent="0.25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30"/>
      <c r="AQ698" s="130"/>
      <c r="AR698" s="19"/>
      <c r="AS698" s="19"/>
      <c r="AT698" s="19"/>
    </row>
    <row r="699" spans="1:46" ht="12.5" x14ac:dyDescent="0.25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30"/>
      <c r="AQ699" s="130"/>
      <c r="AR699" s="19"/>
      <c r="AS699" s="19"/>
      <c r="AT699" s="19"/>
    </row>
    <row r="700" spans="1:46" ht="12.5" x14ac:dyDescent="0.25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30"/>
      <c r="AQ700" s="130"/>
      <c r="AR700" s="19"/>
      <c r="AS700" s="19"/>
      <c r="AT700" s="19"/>
    </row>
    <row r="701" spans="1:46" ht="12.5" x14ac:dyDescent="0.25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30"/>
      <c r="AQ701" s="130"/>
      <c r="AR701" s="19"/>
      <c r="AS701" s="19"/>
      <c r="AT701" s="19"/>
    </row>
    <row r="702" spans="1:46" ht="12.5" x14ac:dyDescent="0.25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30"/>
      <c r="AQ702" s="130"/>
      <c r="AR702" s="19"/>
      <c r="AS702" s="19"/>
      <c r="AT702" s="19"/>
    </row>
    <row r="703" spans="1:46" ht="12.5" x14ac:dyDescent="0.2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30"/>
      <c r="AQ703" s="130"/>
      <c r="AR703" s="19"/>
      <c r="AS703" s="19"/>
      <c r="AT703" s="19"/>
    </row>
    <row r="704" spans="1:46" ht="12.5" x14ac:dyDescent="0.25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30"/>
      <c r="AQ704" s="130"/>
      <c r="AR704" s="19"/>
      <c r="AS704" s="19"/>
      <c r="AT704" s="19"/>
    </row>
    <row r="705" spans="1:46" ht="12.5" x14ac:dyDescent="0.2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30"/>
      <c r="AQ705" s="130"/>
      <c r="AR705" s="19"/>
      <c r="AS705" s="19"/>
      <c r="AT705" s="19"/>
    </row>
    <row r="706" spans="1:46" ht="12.5" x14ac:dyDescent="0.25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30"/>
      <c r="AQ706" s="130"/>
      <c r="AR706" s="19"/>
      <c r="AS706" s="19"/>
      <c r="AT706" s="19"/>
    </row>
    <row r="707" spans="1:46" ht="12.5" x14ac:dyDescent="0.25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30"/>
      <c r="AQ707" s="130"/>
      <c r="AR707" s="19"/>
      <c r="AS707" s="19"/>
      <c r="AT707" s="19"/>
    </row>
    <row r="708" spans="1:46" ht="12.5" x14ac:dyDescent="0.25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30"/>
      <c r="AQ708" s="130"/>
      <c r="AR708" s="19"/>
      <c r="AS708" s="19"/>
      <c r="AT708" s="19"/>
    </row>
    <row r="709" spans="1:46" ht="12.5" x14ac:dyDescent="0.25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30"/>
      <c r="AQ709" s="130"/>
      <c r="AR709" s="19"/>
      <c r="AS709" s="19"/>
      <c r="AT709" s="19"/>
    </row>
    <row r="710" spans="1:46" ht="12.5" x14ac:dyDescent="0.25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30"/>
      <c r="AQ710" s="130"/>
      <c r="AR710" s="19"/>
      <c r="AS710" s="19"/>
      <c r="AT710" s="19"/>
    </row>
    <row r="711" spans="1:46" ht="12.5" x14ac:dyDescent="0.25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30"/>
      <c r="AQ711" s="130"/>
      <c r="AR711" s="19"/>
      <c r="AS711" s="19"/>
      <c r="AT711" s="19"/>
    </row>
    <row r="712" spans="1:46" ht="12.5" x14ac:dyDescent="0.25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30"/>
      <c r="AQ712" s="130"/>
      <c r="AR712" s="19"/>
      <c r="AS712" s="19"/>
      <c r="AT712" s="19"/>
    </row>
    <row r="713" spans="1:46" ht="12.5" x14ac:dyDescent="0.25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30"/>
      <c r="AQ713" s="130"/>
      <c r="AR713" s="19"/>
      <c r="AS713" s="19"/>
      <c r="AT713" s="19"/>
    </row>
    <row r="714" spans="1:46" ht="12.5" x14ac:dyDescent="0.25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30"/>
      <c r="AQ714" s="130"/>
      <c r="AR714" s="19"/>
      <c r="AS714" s="19"/>
      <c r="AT714" s="19"/>
    </row>
    <row r="715" spans="1:46" ht="12.5" x14ac:dyDescent="0.2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30"/>
      <c r="AQ715" s="130"/>
      <c r="AR715" s="19"/>
      <c r="AS715" s="19"/>
      <c r="AT715" s="19"/>
    </row>
    <row r="716" spans="1:46" ht="12.5" x14ac:dyDescent="0.25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30"/>
      <c r="AQ716" s="130"/>
      <c r="AR716" s="19"/>
      <c r="AS716" s="19"/>
      <c r="AT716" s="19"/>
    </row>
    <row r="717" spans="1:46" ht="12.5" x14ac:dyDescent="0.25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30"/>
      <c r="AQ717" s="130"/>
      <c r="AR717" s="19"/>
      <c r="AS717" s="19"/>
      <c r="AT717" s="19"/>
    </row>
    <row r="718" spans="1:46" ht="12.5" x14ac:dyDescent="0.25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30"/>
      <c r="AQ718" s="130"/>
      <c r="AR718" s="19"/>
      <c r="AS718" s="19"/>
      <c r="AT718" s="19"/>
    </row>
    <row r="719" spans="1:46" ht="12.5" x14ac:dyDescent="0.25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30"/>
      <c r="AQ719" s="130"/>
      <c r="AR719" s="19"/>
      <c r="AS719" s="19"/>
      <c r="AT719" s="19"/>
    </row>
    <row r="720" spans="1:46" ht="12.5" x14ac:dyDescent="0.25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30"/>
      <c r="AQ720" s="130"/>
      <c r="AR720" s="19"/>
      <c r="AS720" s="19"/>
      <c r="AT720" s="19"/>
    </row>
    <row r="721" spans="1:46" ht="12.5" x14ac:dyDescent="0.25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30"/>
      <c r="AQ721" s="130"/>
      <c r="AR721" s="19"/>
      <c r="AS721" s="19"/>
      <c r="AT721" s="19"/>
    </row>
    <row r="722" spans="1:46" ht="12.5" x14ac:dyDescent="0.25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30"/>
      <c r="AQ722" s="130"/>
      <c r="AR722" s="19"/>
      <c r="AS722" s="19"/>
      <c r="AT722" s="19"/>
    </row>
    <row r="723" spans="1:46" ht="12.5" x14ac:dyDescent="0.25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30"/>
      <c r="AQ723" s="130"/>
      <c r="AR723" s="19"/>
      <c r="AS723" s="19"/>
      <c r="AT723" s="19"/>
    </row>
    <row r="724" spans="1:46" ht="12.5" x14ac:dyDescent="0.25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30"/>
      <c r="AQ724" s="130"/>
      <c r="AR724" s="19"/>
      <c r="AS724" s="19"/>
      <c r="AT724" s="19"/>
    </row>
    <row r="725" spans="1:46" ht="12.5" x14ac:dyDescent="0.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30"/>
      <c r="AQ725" s="130"/>
      <c r="AR725" s="19"/>
      <c r="AS725" s="19"/>
      <c r="AT725" s="19"/>
    </row>
    <row r="726" spans="1:46" ht="12.5" x14ac:dyDescent="0.25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30"/>
      <c r="AQ726" s="130"/>
      <c r="AR726" s="19"/>
      <c r="AS726" s="19"/>
      <c r="AT726" s="19"/>
    </row>
    <row r="727" spans="1:46" ht="12.5" x14ac:dyDescent="0.25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30"/>
      <c r="AQ727" s="130"/>
      <c r="AR727" s="19"/>
      <c r="AS727" s="19"/>
      <c r="AT727" s="19"/>
    </row>
    <row r="728" spans="1:46" ht="12.5" x14ac:dyDescent="0.25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30"/>
      <c r="AQ728" s="130"/>
      <c r="AR728" s="19"/>
      <c r="AS728" s="19"/>
      <c r="AT728" s="19"/>
    </row>
    <row r="729" spans="1:46" ht="12.5" x14ac:dyDescent="0.25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30"/>
      <c r="AQ729" s="130"/>
      <c r="AR729" s="19"/>
      <c r="AS729" s="19"/>
      <c r="AT729" s="19"/>
    </row>
    <row r="730" spans="1:46" ht="12.5" x14ac:dyDescent="0.25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30"/>
      <c r="AQ730" s="130"/>
      <c r="AR730" s="19"/>
      <c r="AS730" s="19"/>
      <c r="AT730" s="19"/>
    </row>
    <row r="731" spans="1:46" ht="12.5" x14ac:dyDescent="0.25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30"/>
      <c r="AQ731" s="130"/>
      <c r="AR731" s="19"/>
      <c r="AS731" s="19"/>
      <c r="AT731" s="19"/>
    </row>
    <row r="732" spans="1:46" ht="12.5" x14ac:dyDescent="0.25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30"/>
      <c r="AQ732" s="130"/>
      <c r="AR732" s="19"/>
      <c r="AS732" s="19"/>
      <c r="AT732" s="19"/>
    </row>
    <row r="733" spans="1:46" ht="12.5" x14ac:dyDescent="0.25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30"/>
      <c r="AQ733" s="130"/>
      <c r="AR733" s="19"/>
      <c r="AS733" s="19"/>
      <c r="AT733" s="19"/>
    </row>
    <row r="734" spans="1:46" ht="12.5" x14ac:dyDescent="0.25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30"/>
      <c r="AQ734" s="130"/>
      <c r="AR734" s="19"/>
      <c r="AS734" s="19"/>
      <c r="AT734" s="19"/>
    </row>
    <row r="735" spans="1:46" ht="12.5" x14ac:dyDescent="0.2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30"/>
      <c r="AQ735" s="130"/>
      <c r="AR735" s="19"/>
      <c r="AS735" s="19"/>
      <c r="AT735" s="19"/>
    </row>
    <row r="736" spans="1:46" ht="12.5" x14ac:dyDescent="0.25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30"/>
      <c r="AQ736" s="130"/>
      <c r="AR736" s="19"/>
      <c r="AS736" s="19"/>
      <c r="AT736" s="19"/>
    </row>
    <row r="737" spans="1:46" ht="12.5" x14ac:dyDescent="0.25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30"/>
      <c r="AQ737" s="130"/>
      <c r="AR737" s="19"/>
      <c r="AS737" s="19"/>
      <c r="AT737" s="19"/>
    </row>
    <row r="738" spans="1:46" ht="12.5" x14ac:dyDescent="0.25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30"/>
      <c r="AQ738" s="130"/>
      <c r="AR738" s="19"/>
      <c r="AS738" s="19"/>
      <c r="AT738" s="19"/>
    </row>
    <row r="739" spans="1:46" ht="12.5" x14ac:dyDescent="0.25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30"/>
      <c r="AQ739" s="130"/>
      <c r="AR739" s="19"/>
      <c r="AS739" s="19"/>
      <c r="AT739" s="19"/>
    </row>
    <row r="740" spans="1:46" ht="12.5" x14ac:dyDescent="0.25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30"/>
      <c r="AQ740" s="130"/>
      <c r="AR740" s="19"/>
      <c r="AS740" s="19"/>
      <c r="AT740" s="19"/>
    </row>
    <row r="741" spans="1:46" ht="12.5" x14ac:dyDescent="0.25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30"/>
      <c r="AQ741" s="130"/>
      <c r="AR741" s="19"/>
      <c r="AS741" s="19"/>
      <c r="AT741" s="19"/>
    </row>
    <row r="742" spans="1:46" ht="12.5" x14ac:dyDescent="0.25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30"/>
      <c r="AQ742" s="130"/>
      <c r="AR742" s="19"/>
      <c r="AS742" s="19"/>
      <c r="AT742" s="19"/>
    </row>
    <row r="743" spans="1:46" ht="12.5" x14ac:dyDescent="0.25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30"/>
      <c r="AQ743" s="130"/>
      <c r="AR743" s="19"/>
      <c r="AS743" s="19"/>
      <c r="AT743" s="19"/>
    </row>
    <row r="744" spans="1:46" ht="12.5" x14ac:dyDescent="0.25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30"/>
      <c r="AQ744" s="130"/>
      <c r="AR744" s="19"/>
      <c r="AS744" s="19"/>
      <c r="AT744" s="19"/>
    </row>
    <row r="745" spans="1:46" ht="12.5" x14ac:dyDescent="0.2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30"/>
      <c r="AQ745" s="130"/>
      <c r="AR745" s="19"/>
      <c r="AS745" s="19"/>
      <c r="AT745" s="19"/>
    </row>
    <row r="746" spans="1:46" ht="12.5" x14ac:dyDescent="0.25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30"/>
      <c r="AQ746" s="130"/>
      <c r="AR746" s="19"/>
      <c r="AS746" s="19"/>
      <c r="AT746" s="19"/>
    </row>
    <row r="747" spans="1:46" ht="12.5" x14ac:dyDescent="0.25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30"/>
      <c r="AQ747" s="130"/>
      <c r="AR747" s="19"/>
      <c r="AS747" s="19"/>
      <c r="AT747" s="19"/>
    </row>
    <row r="748" spans="1:46" ht="12.5" x14ac:dyDescent="0.25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30"/>
      <c r="AQ748" s="130"/>
      <c r="AR748" s="19"/>
      <c r="AS748" s="19"/>
      <c r="AT748" s="19"/>
    </row>
    <row r="749" spans="1:46" ht="12.5" x14ac:dyDescent="0.25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30"/>
      <c r="AQ749" s="130"/>
      <c r="AR749" s="19"/>
      <c r="AS749" s="19"/>
      <c r="AT749" s="19"/>
    </row>
    <row r="750" spans="1:46" ht="12.5" x14ac:dyDescent="0.25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30"/>
      <c r="AQ750" s="130"/>
      <c r="AR750" s="19"/>
      <c r="AS750" s="19"/>
      <c r="AT750" s="19"/>
    </row>
    <row r="751" spans="1:46" ht="12.5" x14ac:dyDescent="0.25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30"/>
      <c r="AQ751" s="130"/>
      <c r="AR751" s="19"/>
      <c r="AS751" s="19"/>
      <c r="AT751" s="19"/>
    </row>
    <row r="752" spans="1:46" ht="12.5" x14ac:dyDescent="0.25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30"/>
      <c r="AQ752" s="130"/>
      <c r="AR752" s="19"/>
      <c r="AS752" s="19"/>
      <c r="AT752" s="19"/>
    </row>
    <row r="753" spans="1:46" ht="12.5" x14ac:dyDescent="0.25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30"/>
      <c r="AQ753" s="130"/>
      <c r="AR753" s="19"/>
      <c r="AS753" s="19"/>
      <c r="AT753" s="19"/>
    </row>
    <row r="754" spans="1:46" ht="12.5" x14ac:dyDescent="0.25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30"/>
      <c r="AQ754" s="130"/>
      <c r="AR754" s="19"/>
      <c r="AS754" s="19"/>
      <c r="AT754" s="19"/>
    </row>
    <row r="755" spans="1:46" ht="12.5" x14ac:dyDescent="0.2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30"/>
      <c r="AQ755" s="130"/>
      <c r="AR755" s="19"/>
      <c r="AS755" s="19"/>
      <c r="AT755" s="19"/>
    </row>
    <row r="756" spans="1:46" ht="12.5" x14ac:dyDescent="0.25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30"/>
      <c r="AQ756" s="130"/>
      <c r="AR756" s="19"/>
      <c r="AS756" s="19"/>
      <c r="AT756" s="19"/>
    </row>
    <row r="757" spans="1:46" ht="12.5" x14ac:dyDescent="0.25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30"/>
      <c r="AQ757" s="130"/>
      <c r="AR757" s="19"/>
      <c r="AS757" s="19"/>
      <c r="AT757" s="19"/>
    </row>
    <row r="758" spans="1:46" ht="12.5" x14ac:dyDescent="0.25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30"/>
      <c r="AQ758" s="130"/>
      <c r="AR758" s="19"/>
      <c r="AS758" s="19"/>
      <c r="AT758" s="19"/>
    </row>
    <row r="759" spans="1:46" ht="12.5" x14ac:dyDescent="0.25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30"/>
      <c r="AQ759" s="130"/>
      <c r="AR759" s="19"/>
      <c r="AS759" s="19"/>
      <c r="AT759" s="19"/>
    </row>
    <row r="760" spans="1:46" ht="12.5" x14ac:dyDescent="0.25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30"/>
      <c r="AQ760" s="130"/>
      <c r="AR760" s="19"/>
      <c r="AS760" s="19"/>
      <c r="AT760" s="19"/>
    </row>
    <row r="761" spans="1:46" ht="12.5" x14ac:dyDescent="0.25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30"/>
      <c r="AQ761" s="130"/>
      <c r="AR761" s="19"/>
      <c r="AS761" s="19"/>
      <c r="AT761" s="19"/>
    </row>
    <row r="762" spans="1:46" ht="12.5" x14ac:dyDescent="0.25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30"/>
      <c r="AQ762" s="130"/>
      <c r="AR762" s="19"/>
      <c r="AS762" s="19"/>
      <c r="AT762" s="19"/>
    </row>
    <row r="763" spans="1:46" ht="12.5" x14ac:dyDescent="0.25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30"/>
      <c r="AQ763" s="130"/>
      <c r="AR763" s="19"/>
      <c r="AS763" s="19"/>
      <c r="AT763" s="19"/>
    </row>
    <row r="764" spans="1:46" ht="12.5" x14ac:dyDescent="0.25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30"/>
      <c r="AQ764" s="130"/>
      <c r="AR764" s="19"/>
      <c r="AS764" s="19"/>
      <c r="AT764" s="19"/>
    </row>
    <row r="765" spans="1:46" ht="12.5" x14ac:dyDescent="0.2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30"/>
      <c r="AQ765" s="130"/>
      <c r="AR765" s="19"/>
      <c r="AS765" s="19"/>
      <c r="AT765" s="19"/>
    </row>
    <row r="766" spans="1:46" ht="12.5" x14ac:dyDescent="0.25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30"/>
      <c r="AQ766" s="130"/>
      <c r="AR766" s="19"/>
      <c r="AS766" s="19"/>
      <c r="AT766" s="19"/>
    </row>
    <row r="767" spans="1:46" ht="12.5" x14ac:dyDescent="0.25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30"/>
      <c r="AQ767" s="130"/>
      <c r="AR767" s="19"/>
      <c r="AS767" s="19"/>
      <c r="AT767" s="19"/>
    </row>
    <row r="768" spans="1:46" ht="12.5" x14ac:dyDescent="0.25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30"/>
      <c r="AQ768" s="130"/>
      <c r="AR768" s="19"/>
      <c r="AS768" s="19"/>
      <c r="AT768" s="19"/>
    </row>
    <row r="769" spans="1:46" ht="12.5" x14ac:dyDescent="0.25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30"/>
      <c r="AQ769" s="130"/>
      <c r="AR769" s="19"/>
      <c r="AS769" s="19"/>
      <c r="AT769" s="19"/>
    </row>
    <row r="770" spans="1:46" ht="12.5" x14ac:dyDescent="0.25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30"/>
      <c r="AQ770" s="130"/>
      <c r="AR770" s="19"/>
      <c r="AS770" s="19"/>
      <c r="AT770" s="19"/>
    </row>
    <row r="771" spans="1:46" ht="12.5" x14ac:dyDescent="0.25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30"/>
      <c r="AQ771" s="130"/>
      <c r="AR771" s="19"/>
      <c r="AS771" s="19"/>
      <c r="AT771" s="19"/>
    </row>
    <row r="772" spans="1:46" ht="12.5" x14ac:dyDescent="0.25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30"/>
      <c r="AQ772" s="130"/>
      <c r="AR772" s="19"/>
      <c r="AS772" s="19"/>
      <c r="AT772" s="19"/>
    </row>
    <row r="773" spans="1:46" ht="12.5" x14ac:dyDescent="0.25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30"/>
      <c r="AQ773" s="130"/>
      <c r="AR773" s="19"/>
      <c r="AS773" s="19"/>
      <c r="AT773" s="19"/>
    </row>
    <row r="774" spans="1:46" ht="12.5" x14ac:dyDescent="0.25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30"/>
      <c r="AQ774" s="130"/>
      <c r="AR774" s="19"/>
      <c r="AS774" s="19"/>
      <c r="AT774" s="19"/>
    </row>
    <row r="775" spans="1:46" ht="12.5" x14ac:dyDescent="0.2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30"/>
      <c r="AQ775" s="130"/>
      <c r="AR775" s="19"/>
      <c r="AS775" s="19"/>
      <c r="AT775" s="19"/>
    </row>
    <row r="776" spans="1:46" ht="12.5" x14ac:dyDescent="0.25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30"/>
      <c r="AQ776" s="130"/>
      <c r="AR776" s="19"/>
      <c r="AS776" s="19"/>
      <c r="AT776" s="19"/>
    </row>
    <row r="777" spans="1:46" ht="12.5" x14ac:dyDescent="0.25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30"/>
      <c r="AQ777" s="130"/>
      <c r="AR777" s="19"/>
      <c r="AS777" s="19"/>
      <c r="AT777" s="19"/>
    </row>
    <row r="778" spans="1:46" ht="12.5" x14ac:dyDescent="0.25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30"/>
      <c r="AQ778" s="130"/>
      <c r="AR778" s="19"/>
      <c r="AS778" s="19"/>
      <c r="AT778" s="19"/>
    </row>
    <row r="779" spans="1:46" ht="12.5" x14ac:dyDescent="0.25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30"/>
      <c r="AQ779" s="130"/>
      <c r="AR779" s="19"/>
      <c r="AS779" s="19"/>
      <c r="AT779" s="19"/>
    </row>
    <row r="780" spans="1:46" ht="12.5" x14ac:dyDescent="0.25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30"/>
      <c r="AQ780" s="130"/>
      <c r="AR780" s="19"/>
      <c r="AS780" s="19"/>
      <c r="AT780" s="19"/>
    </row>
    <row r="781" spans="1:46" ht="12.5" x14ac:dyDescent="0.25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30"/>
      <c r="AQ781" s="130"/>
      <c r="AR781" s="19"/>
      <c r="AS781" s="19"/>
      <c r="AT781" s="19"/>
    </row>
    <row r="782" spans="1:46" ht="12.5" x14ac:dyDescent="0.25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30"/>
      <c r="AQ782" s="130"/>
      <c r="AR782" s="19"/>
      <c r="AS782" s="19"/>
      <c r="AT782" s="19"/>
    </row>
    <row r="783" spans="1:46" ht="12.5" x14ac:dyDescent="0.25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30"/>
      <c r="AQ783" s="130"/>
      <c r="AR783" s="19"/>
      <c r="AS783" s="19"/>
      <c r="AT783" s="19"/>
    </row>
    <row r="784" spans="1:46" ht="12.5" x14ac:dyDescent="0.25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30"/>
      <c r="AQ784" s="130"/>
      <c r="AR784" s="19"/>
      <c r="AS784" s="19"/>
      <c r="AT784" s="19"/>
    </row>
    <row r="785" spans="1:46" ht="12.5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30"/>
      <c r="AQ785" s="130"/>
      <c r="AR785" s="19"/>
      <c r="AS785" s="19"/>
      <c r="AT785" s="19"/>
    </row>
    <row r="786" spans="1:46" ht="12.5" x14ac:dyDescent="0.25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30"/>
      <c r="AQ786" s="130"/>
      <c r="AR786" s="19"/>
      <c r="AS786" s="19"/>
      <c r="AT786" s="19"/>
    </row>
    <row r="787" spans="1:46" ht="12.5" x14ac:dyDescent="0.25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30"/>
      <c r="AQ787" s="130"/>
      <c r="AR787" s="19"/>
      <c r="AS787" s="19"/>
      <c r="AT787" s="19"/>
    </row>
    <row r="788" spans="1:46" ht="12.5" x14ac:dyDescent="0.25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30"/>
      <c r="AQ788" s="130"/>
      <c r="AR788" s="19"/>
      <c r="AS788" s="19"/>
      <c r="AT788" s="19"/>
    </row>
    <row r="789" spans="1:46" ht="12.5" x14ac:dyDescent="0.25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30"/>
      <c r="AQ789" s="130"/>
      <c r="AR789" s="19"/>
      <c r="AS789" s="19"/>
      <c r="AT789" s="19"/>
    </row>
    <row r="790" spans="1:46" ht="12.5" x14ac:dyDescent="0.25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30"/>
      <c r="AQ790" s="130"/>
      <c r="AR790" s="19"/>
      <c r="AS790" s="19"/>
      <c r="AT790" s="19"/>
    </row>
    <row r="791" spans="1:46" ht="12.5" x14ac:dyDescent="0.25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30"/>
      <c r="AQ791" s="130"/>
      <c r="AR791" s="19"/>
      <c r="AS791" s="19"/>
      <c r="AT791" s="19"/>
    </row>
    <row r="792" spans="1:46" ht="12.5" x14ac:dyDescent="0.25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30"/>
      <c r="AQ792" s="130"/>
      <c r="AR792" s="19"/>
      <c r="AS792" s="19"/>
      <c r="AT792" s="19"/>
    </row>
    <row r="793" spans="1:46" ht="12.5" x14ac:dyDescent="0.25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30"/>
      <c r="AQ793" s="130"/>
      <c r="AR793" s="19"/>
      <c r="AS793" s="19"/>
      <c r="AT793" s="19"/>
    </row>
    <row r="794" spans="1:46" ht="12.5" x14ac:dyDescent="0.25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30"/>
      <c r="AQ794" s="130"/>
      <c r="AR794" s="19"/>
      <c r="AS794" s="19"/>
      <c r="AT794" s="19"/>
    </row>
    <row r="795" spans="1:46" ht="12.5" x14ac:dyDescent="0.2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30"/>
      <c r="AQ795" s="130"/>
      <c r="AR795" s="19"/>
      <c r="AS795" s="19"/>
      <c r="AT795" s="19"/>
    </row>
    <row r="796" spans="1:46" ht="12.5" x14ac:dyDescent="0.25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30"/>
      <c r="AQ796" s="130"/>
      <c r="AR796" s="19"/>
      <c r="AS796" s="19"/>
      <c r="AT796" s="19"/>
    </row>
    <row r="797" spans="1:46" ht="12.5" x14ac:dyDescent="0.25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30"/>
      <c r="AQ797" s="130"/>
      <c r="AR797" s="19"/>
      <c r="AS797" s="19"/>
      <c r="AT797" s="19"/>
    </row>
    <row r="798" spans="1:46" ht="12.5" x14ac:dyDescent="0.25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30"/>
      <c r="AQ798" s="130"/>
      <c r="AR798" s="19"/>
      <c r="AS798" s="19"/>
      <c r="AT798" s="19"/>
    </row>
    <row r="799" spans="1:46" ht="12.5" x14ac:dyDescent="0.25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30"/>
      <c r="AQ799" s="130"/>
      <c r="AR799" s="19"/>
      <c r="AS799" s="19"/>
      <c r="AT799" s="19"/>
    </row>
    <row r="800" spans="1:46" ht="12.5" x14ac:dyDescent="0.2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30"/>
      <c r="AQ800" s="130"/>
      <c r="AR800" s="19"/>
      <c r="AS800" s="19"/>
      <c r="AT800" s="19"/>
    </row>
    <row r="801" spans="1:46" ht="12.5" x14ac:dyDescent="0.25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30"/>
      <c r="AQ801" s="130"/>
      <c r="AR801" s="19"/>
      <c r="AS801" s="19"/>
      <c r="AT801" s="19"/>
    </row>
    <row r="802" spans="1:46" ht="12.5" x14ac:dyDescent="0.25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30"/>
      <c r="AQ802" s="130"/>
      <c r="AR802" s="19"/>
      <c r="AS802" s="19"/>
      <c r="AT802" s="19"/>
    </row>
    <row r="803" spans="1:46" ht="12.5" x14ac:dyDescent="0.25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30"/>
      <c r="AQ803" s="130"/>
      <c r="AR803" s="19"/>
      <c r="AS803" s="19"/>
      <c r="AT803" s="19"/>
    </row>
    <row r="804" spans="1:46" ht="12.5" x14ac:dyDescent="0.25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30"/>
      <c r="AQ804" s="130"/>
      <c r="AR804" s="19"/>
      <c r="AS804" s="19"/>
      <c r="AT804" s="19"/>
    </row>
    <row r="805" spans="1:46" ht="12.5" x14ac:dyDescent="0.2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30"/>
      <c r="AQ805" s="130"/>
      <c r="AR805" s="19"/>
      <c r="AS805" s="19"/>
      <c r="AT805" s="19"/>
    </row>
    <row r="806" spans="1:46" ht="12.5" x14ac:dyDescent="0.25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30"/>
      <c r="AQ806" s="130"/>
      <c r="AR806" s="19"/>
      <c r="AS806" s="19"/>
      <c r="AT806" s="19"/>
    </row>
    <row r="807" spans="1:46" ht="12.5" x14ac:dyDescent="0.2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30"/>
      <c r="AQ807" s="130"/>
      <c r="AR807" s="19"/>
      <c r="AS807" s="19"/>
      <c r="AT807" s="19"/>
    </row>
    <row r="808" spans="1:46" ht="12.5" x14ac:dyDescent="0.25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30"/>
      <c r="AQ808" s="130"/>
      <c r="AR808" s="19"/>
      <c r="AS808" s="19"/>
      <c r="AT808" s="19"/>
    </row>
    <row r="809" spans="1:46" ht="12.5" x14ac:dyDescent="0.25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30"/>
      <c r="AQ809" s="130"/>
      <c r="AR809" s="19"/>
      <c r="AS809" s="19"/>
      <c r="AT809" s="19"/>
    </row>
    <row r="810" spans="1:46" ht="12.5" x14ac:dyDescent="0.25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30"/>
      <c r="AQ810" s="130"/>
      <c r="AR810" s="19"/>
      <c r="AS810" s="19"/>
      <c r="AT810" s="19"/>
    </row>
    <row r="811" spans="1:46" ht="12.5" x14ac:dyDescent="0.2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30"/>
      <c r="AQ811" s="130"/>
      <c r="AR811" s="19"/>
      <c r="AS811" s="19"/>
      <c r="AT811" s="19"/>
    </row>
    <row r="812" spans="1:46" ht="12.5" x14ac:dyDescent="0.25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30"/>
      <c r="AQ812" s="130"/>
      <c r="AR812" s="19"/>
      <c r="AS812" s="19"/>
      <c r="AT812" s="19"/>
    </row>
    <row r="813" spans="1:46" ht="12.5" x14ac:dyDescent="0.25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30"/>
      <c r="AQ813" s="130"/>
      <c r="AR813" s="19"/>
      <c r="AS813" s="19"/>
      <c r="AT813" s="19"/>
    </row>
    <row r="814" spans="1:46" ht="12.5" x14ac:dyDescent="0.25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30"/>
      <c r="AQ814" s="130"/>
      <c r="AR814" s="19"/>
      <c r="AS814" s="19"/>
      <c r="AT814" s="19"/>
    </row>
    <row r="815" spans="1:46" ht="12.5" x14ac:dyDescent="0.2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30"/>
      <c r="AQ815" s="130"/>
      <c r="AR815" s="19"/>
      <c r="AS815" s="19"/>
      <c r="AT815" s="19"/>
    </row>
    <row r="816" spans="1:46" ht="12.5" x14ac:dyDescent="0.25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30"/>
      <c r="AQ816" s="130"/>
      <c r="AR816" s="19"/>
      <c r="AS816" s="19"/>
      <c r="AT816" s="19"/>
    </row>
    <row r="817" spans="1:46" ht="12.5" x14ac:dyDescent="0.25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30"/>
      <c r="AQ817" s="130"/>
      <c r="AR817" s="19"/>
      <c r="AS817" s="19"/>
      <c r="AT817" s="19"/>
    </row>
    <row r="818" spans="1:46" ht="12.5" x14ac:dyDescent="0.25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30"/>
      <c r="AQ818" s="130"/>
      <c r="AR818" s="19"/>
      <c r="AS818" s="19"/>
      <c r="AT818" s="19"/>
    </row>
    <row r="819" spans="1:46" ht="12.5" x14ac:dyDescent="0.25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30"/>
      <c r="AQ819" s="130"/>
      <c r="AR819" s="19"/>
      <c r="AS819" s="19"/>
      <c r="AT819" s="19"/>
    </row>
    <row r="820" spans="1:46" ht="12.5" x14ac:dyDescent="0.25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30"/>
      <c r="AQ820" s="130"/>
      <c r="AR820" s="19"/>
      <c r="AS820" s="19"/>
      <c r="AT820" s="19"/>
    </row>
    <row r="821" spans="1:46" ht="12.5" x14ac:dyDescent="0.25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30"/>
      <c r="AQ821" s="130"/>
      <c r="AR821" s="19"/>
      <c r="AS821" s="19"/>
      <c r="AT821" s="19"/>
    </row>
    <row r="822" spans="1:46" ht="12.5" x14ac:dyDescent="0.25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30"/>
      <c r="AQ822" s="130"/>
      <c r="AR822" s="19"/>
      <c r="AS822" s="19"/>
      <c r="AT822" s="19"/>
    </row>
    <row r="823" spans="1:46" ht="12.5" x14ac:dyDescent="0.25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30"/>
      <c r="AQ823" s="130"/>
      <c r="AR823" s="19"/>
      <c r="AS823" s="19"/>
      <c r="AT823" s="19"/>
    </row>
    <row r="824" spans="1:46" ht="12.5" x14ac:dyDescent="0.25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30"/>
      <c r="AQ824" s="130"/>
      <c r="AR824" s="19"/>
      <c r="AS824" s="19"/>
      <c r="AT824" s="19"/>
    </row>
    <row r="825" spans="1:46" ht="12.5" x14ac:dyDescent="0.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30"/>
      <c r="AQ825" s="130"/>
      <c r="AR825" s="19"/>
      <c r="AS825" s="19"/>
      <c r="AT825" s="19"/>
    </row>
    <row r="826" spans="1:46" ht="12.5" x14ac:dyDescent="0.25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30"/>
      <c r="AQ826" s="130"/>
      <c r="AR826" s="19"/>
      <c r="AS826" s="19"/>
      <c r="AT826" s="19"/>
    </row>
    <row r="827" spans="1:46" ht="12.5" x14ac:dyDescent="0.25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30"/>
      <c r="AQ827" s="130"/>
      <c r="AR827" s="19"/>
      <c r="AS827" s="19"/>
      <c r="AT827" s="19"/>
    </row>
    <row r="828" spans="1:46" ht="12.5" x14ac:dyDescent="0.25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30"/>
      <c r="AQ828" s="130"/>
      <c r="AR828" s="19"/>
      <c r="AS828" s="19"/>
      <c r="AT828" s="19"/>
    </row>
    <row r="829" spans="1:46" ht="12.5" x14ac:dyDescent="0.25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30"/>
      <c r="AQ829" s="130"/>
      <c r="AR829" s="19"/>
      <c r="AS829" s="19"/>
      <c r="AT829" s="19"/>
    </row>
    <row r="830" spans="1:46" ht="12.5" x14ac:dyDescent="0.25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30"/>
      <c r="AQ830" s="130"/>
      <c r="AR830" s="19"/>
      <c r="AS830" s="19"/>
      <c r="AT830" s="19"/>
    </row>
    <row r="831" spans="1:46" ht="12.5" x14ac:dyDescent="0.25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30"/>
      <c r="AQ831" s="130"/>
      <c r="AR831" s="19"/>
      <c r="AS831" s="19"/>
      <c r="AT831" s="19"/>
    </row>
    <row r="832" spans="1:46" ht="12.5" x14ac:dyDescent="0.25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30"/>
      <c r="AQ832" s="130"/>
      <c r="AR832" s="19"/>
      <c r="AS832" s="19"/>
      <c r="AT832" s="19"/>
    </row>
    <row r="833" spans="1:46" ht="12.5" x14ac:dyDescent="0.25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30"/>
      <c r="AQ833" s="130"/>
      <c r="AR833" s="19"/>
      <c r="AS833" s="19"/>
      <c r="AT833" s="19"/>
    </row>
    <row r="834" spans="1:46" ht="12.5" x14ac:dyDescent="0.25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30"/>
      <c r="AQ834" s="130"/>
      <c r="AR834" s="19"/>
      <c r="AS834" s="19"/>
      <c r="AT834" s="19"/>
    </row>
    <row r="835" spans="1:46" ht="12.5" x14ac:dyDescent="0.2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30"/>
      <c r="AQ835" s="130"/>
      <c r="AR835" s="19"/>
      <c r="AS835" s="19"/>
      <c r="AT835" s="19"/>
    </row>
    <row r="836" spans="1:46" ht="12.5" x14ac:dyDescent="0.25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30"/>
      <c r="AQ836" s="130"/>
      <c r="AR836" s="19"/>
      <c r="AS836" s="19"/>
      <c r="AT836" s="19"/>
    </row>
    <row r="837" spans="1:46" ht="12.5" x14ac:dyDescent="0.25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30"/>
      <c r="AQ837" s="130"/>
      <c r="AR837" s="19"/>
      <c r="AS837" s="19"/>
      <c r="AT837" s="19"/>
    </row>
    <row r="838" spans="1:46" ht="12.5" x14ac:dyDescent="0.25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30"/>
      <c r="AQ838" s="130"/>
      <c r="AR838" s="19"/>
      <c r="AS838" s="19"/>
      <c r="AT838" s="19"/>
    </row>
    <row r="839" spans="1:46" ht="12.5" x14ac:dyDescent="0.25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30"/>
      <c r="AQ839" s="130"/>
      <c r="AR839" s="19"/>
      <c r="AS839" s="19"/>
      <c r="AT839" s="19"/>
    </row>
    <row r="840" spans="1:46" ht="12.5" x14ac:dyDescent="0.25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30"/>
      <c r="AQ840" s="130"/>
      <c r="AR840" s="19"/>
      <c r="AS840" s="19"/>
      <c r="AT840" s="19"/>
    </row>
    <row r="841" spans="1:46" ht="12.5" x14ac:dyDescent="0.25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30"/>
      <c r="AQ841" s="130"/>
      <c r="AR841" s="19"/>
      <c r="AS841" s="19"/>
      <c r="AT841" s="19"/>
    </row>
    <row r="842" spans="1:46" ht="12.5" x14ac:dyDescent="0.25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30"/>
      <c r="AQ842" s="130"/>
      <c r="AR842" s="19"/>
      <c r="AS842" s="19"/>
      <c r="AT842" s="19"/>
    </row>
    <row r="843" spans="1:46" ht="12.5" x14ac:dyDescent="0.25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30"/>
      <c r="AQ843" s="130"/>
      <c r="AR843" s="19"/>
      <c r="AS843" s="19"/>
      <c r="AT843" s="19"/>
    </row>
    <row r="844" spans="1:46" ht="12.5" x14ac:dyDescent="0.25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30"/>
      <c r="AQ844" s="130"/>
      <c r="AR844" s="19"/>
      <c r="AS844" s="19"/>
      <c r="AT844" s="19"/>
    </row>
    <row r="845" spans="1:46" ht="12.5" x14ac:dyDescent="0.2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30"/>
      <c r="AQ845" s="130"/>
      <c r="AR845" s="19"/>
      <c r="AS845" s="19"/>
      <c r="AT845" s="19"/>
    </row>
    <row r="846" spans="1:46" ht="12.5" x14ac:dyDescent="0.25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30"/>
      <c r="AQ846" s="130"/>
      <c r="AR846" s="19"/>
      <c r="AS846" s="19"/>
      <c r="AT846" s="19"/>
    </row>
    <row r="847" spans="1:46" ht="12.5" x14ac:dyDescent="0.25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30"/>
      <c r="AQ847" s="130"/>
      <c r="AR847" s="19"/>
      <c r="AS847" s="19"/>
      <c r="AT847" s="19"/>
    </row>
    <row r="848" spans="1:46" ht="12.5" x14ac:dyDescent="0.25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30"/>
      <c r="AQ848" s="130"/>
      <c r="AR848" s="19"/>
      <c r="AS848" s="19"/>
      <c r="AT848" s="19"/>
    </row>
    <row r="849" spans="1:46" ht="12.5" x14ac:dyDescent="0.25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30"/>
      <c r="AQ849" s="130"/>
      <c r="AR849" s="19"/>
      <c r="AS849" s="19"/>
      <c r="AT849" s="19"/>
    </row>
    <row r="850" spans="1:46" ht="12.5" x14ac:dyDescent="0.25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30"/>
      <c r="AQ850" s="130"/>
      <c r="AR850" s="19"/>
      <c r="AS850" s="19"/>
      <c r="AT850" s="19"/>
    </row>
    <row r="851" spans="1:46" ht="12.5" x14ac:dyDescent="0.25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30"/>
      <c r="AQ851" s="130"/>
      <c r="AR851" s="19"/>
      <c r="AS851" s="19"/>
      <c r="AT851" s="19"/>
    </row>
    <row r="852" spans="1:46" ht="12.5" x14ac:dyDescent="0.25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30"/>
      <c r="AQ852" s="130"/>
      <c r="AR852" s="19"/>
      <c r="AS852" s="19"/>
      <c r="AT852" s="19"/>
    </row>
    <row r="853" spans="1:46" ht="12.5" x14ac:dyDescent="0.25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30"/>
      <c r="AQ853" s="130"/>
      <c r="AR853" s="19"/>
      <c r="AS853" s="19"/>
      <c r="AT853" s="19"/>
    </row>
    <row r="854" spans="1:46" ht="12.5" x14ac:dyDescent="0.25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30"/>
      <c r="AQ854" s="130"/>
      <c r="AR854" s="19"/>
      <c r="AS854" s="19"/>
      <c r="AT854" s="19"/>
    </row>
    <row r="855" spans="1:46" ht="12.5" x14ac:dyDescent="0.2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30"/>
      <c r="AQ855" s="130"/>
      <c r="AR855" s="19"/>
      <c r="AS855" s="19"/>
      <c r="AT855" s="19"/>
    </row>
    <row r="856" spans="1:46" ht="12.5" x14ac:dyDescent="0.25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30"/>
      <c r="AQ856" s="130"/>
      <c r="AR856" s="19"/>
      <c r="AS856" s="19"/>
      <c r="AT856" s="19"/>
    </row>
    <row r="857" spans="1:46" ht="12.5" x14ac:dyDescent="0.25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30"/>
      <c r="AQ857" s="130"/>
      <c r="AR857" s="19"/>
      <c r="AS857" s="19"/>
      <c r="AT857" s="19"/>
    </row>
    <row r="858" spans="1:46" ht="12.5" x14ac:dyDescent="0.25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30"/>
      <c r="AQ858" s="130"/>
      <c r="AR858" s="19"/>
      <c r="AS858" s="19"/>
      <c r="AT858" s="19"/>
    </row>
    <row r="859" spans="1:46" ht="12.5" x14ac:dyDescent="0.25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30"/>
      <c r="AQ859" s="130"/>
      <c r="AR859" s="19"/>
      <c r="AS859" s="19"/>
      <c r="AT859" s="19"/>
    </row>
    <row r="860" spans="1:46" ht="12.5" x14ac:dyDescent="0.25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30"/>
      <c r="AQ860" s="130"/>
      <c r="AR860" s="19"/>
      <c r="AS860" s="19"/>
      <c r="AT860" s="19"/>
    </row>
    <row r="861" spans="1:46" ht="12.5" x14ac:dyDescent="0.25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30"/>
      <c r="AQ861" s="130"/>
      <c r="AR861" s="19"/>
      <c r="AS861" s="19"/>
      <c r="AT861" s="19"/>
    </row>
    <row r="862" spans="1:46" ht="12.5" x14ac:dyDescent="0.25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30"/>
      <c r="AQ862" s="130"/>
      <c r="AR862" s="19"/>
      <c r="AS862" s="19"/>
      <c r="AT862" s="19"/>
    </row>
    <row r="863" spans="1:46" ht="12.5" x14ac:dyDescent="0.25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30"/>
      <c r="AQ863" s="130"/>
      <c r="AR863" s="19"/>
      <c r="AS863" s="19"/>
      <c r="AT863" s="19"/>
    </row>
    <row r="864" spans="1:46" ht="12.5" x14ac:dyDescent="0.25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30"/>
      <c r="AQ864" s="130"/>
      <c r="AR864" s="19"/>
      <c r="AS864" s="19"/>
      <c r="AT864" s="19"/>
    </row>
    <row r="865" spans="1:46" ht="12.5" x14ac:dyDescent="0.2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30"/>
      <c r="AQ865" s="130"/>
      <c r="AR865" s="19"/>
      <c r="AS865" s="19"/>
      <c r="AT865" s="19"/>
    </row>
    <row r="866" spans="1:46" ht="12.5" x14ac:dyDescent="0.25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30"/>
      <c r="AQ866" s="130"/>
      <c r="AR866" s="19"/>
      <c r="AS866" s="19"/>
      <c r="AT866" s="19"/>
    </row>
    <row r="867" spans="1:46" ht="12.5" x14ac:dyDescent="0.25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30"/>
      <c r="AQ867" s="130"/>
      <c r="AR867" s="19"/>
      <c r="AS867" s="19"/>
      <c r="AT867" s="19"/>
    </row>
    <row r="868" spans="1:46" ht="12.5" x14ac:dyDescent="0.25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30"/>
      <c r="AQ868" s="130"/>
      <c r="AR868" s="19"/>
      <c r="AS868" s="19"/>
      <c r="AT868" s="19"/>
    </row>
    <row r="869" spans="1:46" ht="12.5" x14ac:dyDescent="0.25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30"/>
      <c r="AQ869" s="130"/>
      <c r="AR869" s="19"/>
      <c r="AS869" s="19"/>
      <c r="AT869" s="19"/>
    </row>
    <row r="870" spans="1:46" ht="12.5" x14ac:dyDescent="0.25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30"/>
      <c r="AQ870" s="130"/>
      <c r="AR870" s="19"/>
      <c r="AS870" s="19"/>
      <c r="AT870" s="19"/>
    </row>
    <row r="871" spans="1:46" ht="12.5" x14ac:dyDescent="0.25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30"/>
      <c r="AQ871" s="130"/>
      <c r="AR871" s="19"/>
      <c r="AS871" s="19"/>
      <c r="AT871" s="19"/>
    </row>
    <row r="872" spans="1:46" ht="12.5" x14ac:dyDescent="0.25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30"/>
      <c r="AQ872" s="130"/>
      <c r="AR872" s="19"/>
      <c r="AS872" s="19"/>
      <c r="AT872" s="19"/>
    </row>
    <row r="873" spans="1:46" ht="12.5" x14ac:dyDescent="0.25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30"/>
      <c r="AQ873" s="130"/>
      <c r="AR873" s="19"/>
      <c r="AS873" s="19"/>
      <c r="AT873" s="19"/>
    </row>
    <row r="874" spans="1:46" ht="12.5" x14ac:dyDescent="0.25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30"/>
      <c r="AQ874" s="130"/>
      <c r="AR874" s="19"/>
      <c r="AS874" s="19"/>
      <c r="AT874" s="19"/>
    </row>
    <row r="875" spans="1:46" ht="12.5" x14ac:dyDescent="0.2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30"/>
      <c r="AQ875" s="130"/>
      <c r="AR875" s="19"/>
      <c r="AS875" s="19"/>
      <c r="AT875" s="19"/>
    </row>
    <row r="876" spans="1:46" ht="12.5" x14ac:dyDescent="0.25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30"/>
      <c r="AQ876" s="130"/>
      <c r="AR876" s="19"/>
      <c r="AS876" s="19"/>
      <c r="AT876" s="19"/>
    </row>
    <row r="877" spans="1:46" ht="12.5" x14ac:dyDescent="0.25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30"/>
      <c r="AQ877" s="130"/>
      <c r="AR877" s="19"/>
      <c r="AS877" s="19"/>
      <c r="AT877" s="19"/>
    </row>
    <row r="878" spans="1:46" ht="12.5" x14ac:dyDescent="0.25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30"/>
      <c r="AQ878" s="130"/>
      <c r="AR878" s="19"/>
      <c r="AS878" s="19"/>
      <c r="AT878" s="19"/>
    </row>
    <row r="879" spans="1:46" ht="12.5" x14ac:dyDescent="0.25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30"/>
      <c r="AQ879" s="130"/>
      <c r="AR879" s="19"/>
      <c r="AS879" s="19"/>
      <c r="AT879" s="19"/>
    </row>
    <row r="880" spans="1:46" ht="12.5" x14ac:dyDescent="0.25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30"/>
      <c r="AQ880" s="130"/>
      <c r="AR880" s="19"/>
      <c r="AS880" s="19"/>
      <c r="AT880" s="19"/>
    </row>
    <row r="881" spans="1:46" ht="12.5" x14ac:dyDescent="0.25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30"/>
      <c r="AQ881" s="130"/>
      <c r="AR881" s="19"/>
      <c r="AS881" s="19"/>
      <c r="AT881" s="19"/>
    </row>
    <row r="882" spans="1:46" ht="12.5" x14ac:dyDescent="0.25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30"/>
      <c r="AQ882" s="130"/>
      <c r="AR882" s="19"/>
      <c r="AS882" s="19"/>
      <c r="AT882" s="19"/>
    </row>
    <row r="883" spans="1:46" ht="12.5" x14ac:dyDescent="0.25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30"/>
      <c r="AQ883" s="130"/>
      <c r="AR883" s="19"/>
      <c r="AS883" s="19"/>
      <c r="AT883" s="19"/>
    </row>
    <row r="884" spans="1:46" ht="12.5" x14ac:dyDescent="0.25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30"/>
      <c r="AQ884" s="130"/>
      <c r="AR884" s="19"/>
      <c r="AS884" s="19"/>
      <c r="AT884" s="19"/>
    </row>
    <row r="885" spans="1:46" ht="12.5" x14ac:dyDescent="0.2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30"/>
      <c r="AQ885" s="130"/>
      <c r="AR885" s="19"/>
      <c r="AS885" s="19"/>
      <c r="AT885" s="19"/>
    </row>
    <row r="886" spans="1:46" ht="12.5" x14ac:dyDescent="0.25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30"/>
      <c r="AQ886" s="130"/>
      <c r="AR886" s="19"/>
      <c r="AS886" s="19"/>
      <c r="AT886" s="19"/>
    </row>
    <row r="887" spans="1:46" ht="12.5" x14ac:dyDescent="0.25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30"/>
      <c r="AQ887" s="130"/>
      <c r="AR887" s="19"/>
      <c r="AS887" s="19"/>
      <c r="AT887" s="19"/>
    </row>
    <row r="888" spans="1:46" ht="12.5" x14ac:dyDescent="0.25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30"/>
      <c r="AQ888" s="130"/>
      <c r="AR888" s="19"/>
      <c r="AS888" s="19"/>
      <c r="AT888" s="19"/>
    </row>
    <row r="889" spans="1:46" ht="12.5" x14ac:dyDescent="0.25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30"/>
      <c r="AQ889" s="130"/>
      <c r="AR889" s="19"/>
      <c r="AS889" s="19"/>
      <c r="AT889" s="19"/>
    </row>
    <row r="890" spans="1:46" ht="12.5" x14ac:dyDescent="0.25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30"/>
      <c r="AQ890" s="130"/>
      <c r="AR890" s="19"/>
      <c r="AS890" s="19"/>
      <c r="AT890" s="19"/>
    </row>
    <row r="891" spans="1:46" ht="12.5" x14ac:dyDescent="0.25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30"/>
      <c r="AQ891" s="130"/>
      <c r="AR891" s="19"/>
      <c r="AS891" s="19"/>
      <c r="AT891" s="19"/>
    </row>
    <row r="892" spans="1:46" ht="12.5" x14ac:dyDescent="0.25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30"/>
      <c r="AQ892" s="130"/>
      <c r="AR892" s="19"/>
      <c r="AS892" s="19"/>
      <c r="AT892" s="19"/>
    </row>
    <row r="893" spans="1:46" ht="12.5" x14ac:dyDescent="0.25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30"/>
      <c r="AQ893" s="130"/>
      <c r="AR893" s="19"/>
      <c r="AS893" s="19"/>
      <c r="AT893" s="19"/>
    </row>
    <row r="894" spans="1:46" ht="12.5" x14ac:dyDescent="0.25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30"/>
      <c r="AQ894" s="130"/>
      <c r="AR894" s="19"/>
      <c r="AS894" s="19"/>
      <c r="AT894" s="19"/>
    </row>
    <row r="895" spans="1:46" ht="12.5" x14ac:dyDescent="0.2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30"/>
      <c r="AQ895" s="130"/>
      <c r="AR895" s="19"/>
      <c r="AS895" s="19"/>
      <c r="AT895" s="19"/>
    </row>
    <row r="896" spans="1:46" ht="12.5" x14ac:dyDescent="0.25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30"/>
      <c r="AQ896" s="130"/>
      <c r="AR896" s="19"/>
      <c r="AS896" s="19"/>
      <c r="AT896" s="19"/>
    </row>
    <row r="897" spans="1:46" ht="12.5" x14ac:dyDescent="0.25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30"/>
      <c r="AQ897" s="130"/>
      <c r="AR897" s="19"/>
      <c r="AS897" s="19"/>
      <c r="AT897" s="19"/>
    </row>
    <row r="898" spans="1:46" ht="12.5" x14ac:dyDescent="0.25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30"/>
      <c r="AQ898" s="130"/>
      <c r="AR898" s="19"/>
      <c r="AS898" s="19"/>
      <c r="AT898" s="19"/>
    </row>
    <row r="899" spans="1:46" ht="12.5" x14ac:dyDescent="0.25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30"/>
      <c r="AQ899" s="130"/>
      <c r="AR899" s="19"/>
      <c r="AS899" s="19"/>
      <c r="AT899" s="19"/>
    </row>
    <row r="900" spans="1:46" ht="12.5" x14ac:dyDescent="0.25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30"/>
      <c r="AQ900" s="130"/>
      <c r="AR900" s="19"/>
      <c r="AS900" s="19"/>
      <c r="AT900" s="19"/>
    </row>
    <row r="901" spans="1:46" ht="12.5" x14ac:dyDescent="0.25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30"/>
      <c r="AQ901" s="130"/>
      <c r="AR901" s="19"/>
      <c r="AS901" s="19"/>
      <c r="AT901" s="19"/>
    </row>
    <row r="902" spans="1:46" ht="12.5" x14ac:dyDescent="0.25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30"/>
      <c r="AQ902" s="130"/>
      <c r="AR902" s="19"/>
      <c r="AS902" s="19"/>
      <c r="AT902" s="19"/>
    </row>
    <row r="903" spans="1:46" ht="12.5" x14ac:dyDescent="0.25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30"/>
      <c r="AQ903" s="130"/>
      <c r="AR903" s="19"/>
      <c r="AS903" s="19"/>
      <c r="AT903" s="19"/>
    </row>
    <row r="904" spans="1:46" ht="12.5" x14ac:dyDescent="0.25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30"/>
      <c r="AQ904" s="130"/>
      <c r="AR904" s="19"/>
      <c r="AS904" s="19"/>
      <c r="AT904" s="19"/>
    </row>
    <row r="905" spans="1:46" ht="12.5" x14ac:dyDescent="0.2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30"/>
      <c r="AQ905" s="130"/>
      <c r="AR905" s="19"/>
      <c r="AS905" s="19"/>
      <c r="AT905" s="19"/>
    </row>
    <row r="906" spans="1:46" ht="12.5" x14ac:dyDescent="0.25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30"/>
      <c r="AQ906" s="130"/>
      <c r="AR906" s="19"/>
      <c r="AS906" s="19"/>
      <c r="AT906" s="19"/>
    </row>
    <row r="907" spans="1:46" ht="12.5" x14ac:dyDescent="0.25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30"/>
      <c r="AQ907" s="130"/>
      <c r="AR907" s="19"/>
      <c r="AS907" s="19"/>
      <c r="AT907" s="19"/>
    </row>
    <row r="908" spans="1:46" ht="12.5" x14ac:dyDescent="0.25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30"/>
      <c r="AQ908" s="130"/>
      <c r="AR908" s="19"/>
      <c r="AS908" s="19"/>
      <c r="AT908" s="19"/>
    </row>
    <row r="909" spans="1:46" ht="12.5" x14ac:dyDescent="0.25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30"/>
      <c r="AQ909" s="130"/>
      <c r="AR909" s="19"/>
      <c r="AS909" s="19"/>
      <c r="AT909" s="19"/>
    </row>
    <row r="910" spans="1:46" ht="12.5" x14ac:dyDescent="0.25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30"/>
      <c r="AQ910" s="130"/>
      <c r="AR910" s="19"/>
      <c r="AS910" s="19"/>
      <c r="AT910" s="19"/>
    </row>
    <row r="911" spans="1:46" ht="12.5" x14ac:dyDescent="0.25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30"/>
      <c r="AQ911" s="130"/>
      <c r="AR911" s="19"/>
      <c r="AS911" s="19"/>
      <c r="AT911" s="19"/>
    </row>
    <row r="912" spans="1:46" ht="12.5" x14ac:dyDescent="0.25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30"/>
      <c r="AQ912" s="130"/>
      <c r="AR912" s="19"/>
      <c r="AS912" s="19"/>
      <c r="AT912" s="19"/>
    </row>
    <row r="913" spans="1:46" ht="12.5" x14ac:dyDescent="0.25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30"/>
      <c r="AQ913" s="130"/>
      <c r="AR913" s="19"/>
      <c r="AS913" s="19"/>
      <c r="AT913" s="19"/>
    </row>
    <row r="914" spans="1:46" ht="12.5" x14ac:dyDescent="0.25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30"/>
      <c r="AQ914" s="130"/>
      <c r="AR914" s="19"/>
      <c r="AS914" s="19"/>
      <c r="AT914" s="19"/>
    </row>
    <row r="915" spans="1:46" ht="12.5" x14ac:dyDescent="0.2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30"/>
      <c r="AQ915" s="130"/>
      <c r="AR915" s="19"/>
      <c r="AS915" s="19"/>
      <c r="AT915" s="19"/>
    </row>
    <row r="916" spans="1:46" ht="12.5" x14ac:dyDescent="0.25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30"/>
      <c r="AQ916" s="130"/>
      <c r="AR916" s="19"/>
      <c r="AS916" s="19"/>
      <c r="AT916" s="19"/>
    </row>
    <row r="917" spans="1:46" ht="12.5" x14ac:dyDescent="0.25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30"/>
      <c r="AQ917" s="130"/>
      <c r="AR917" s="19"/>
      <c r="AS917" s="19"/>
      <c r="AT917" s="19"/>
    </row>
    <row r="918" spans="1:46" ht="12.5" x14ac:dyDescent="0.25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30"/>
      <c r="AQ918" s="130"/>
      <c r="AR918" s="19"/>
      <c r="AS918" s="19"/>
      <c r="AT918" s="19"/>
    </row>
    <row r="919" spans="1:46" ht="12.5" x14ac:dyDescent="0.25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30"/>
      <c r="AQ919" s="130"/>
      <c r="AR919" s="19"/>
      <c r="AS919" s="19"/>
      <c r="AT919" s="19"/>
    </row>
    <row r="920" spans="1:46" ht="12.5" x14ac:dyDescent="0.25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30"/>
      <c r="AQ920" s="130"/>
      <c r="AR920" s="19"/>
      <c r="AS920" s="19"/>
      <c r="AT920" s="19"/>
    </row>
    <row r="921" spans="1:46" ht="12.5" x14ac:dyDescent="0.25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30"/>
      <c r="AQ921" s="130"/>
      <c r="AR921" s="19"/>
      <c r="AS921" s="19"/>
      <c r="AT921" s="19"/>
    </row>
    <row r="922" spans="1:46" ht="12.5" x14ac:dyDescent="0.25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30"/>
      <c r="AQ922" s="130"/>
      <c r="AR922" s="19"/>
      <c r="AS922" s="19"/>
      <c r="AT922" s="19"/>
    </row>
    <row r="923" spans="1:46" ht="12.5" x14ac:dyDescent="0.25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30"/>
      <c r="AQ923" s="130"/>
      <c r="AR923" s="19"/>
      <c r="AS923" s="19"/>
      <c r="AT923" s="19"/>
    </row>
    <row r="924" spans="1:46" ht="12.5" x14ac:dyDescent="0.25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30"/>
      <c r="AQ924" s="130"/>
      <c r="AR924" s="19"/>
      <c r="AS924" s="19"/>
      <c r="AT924" s="19"/>
    </row>
    <row r="925" spans="1:46" ht="12.5" x14ac:dyDescent="0.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30"/>
      <c r="AQ925" s="130"/>
      <c r="AR925" s="19"/>
      <c r="AS925" s="19"/>
      <c r="AT925" s="19"/>
    </row>
    <row r="926" spans="1:46" ht="12.5" x14ac:dyDescent="0.25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30"/>
      <c r="AQ926" s="130"/>
      <c r="AR926" s="19"/>
      <c r="AS926" s="19"/>
      <c r="AT926" s="19"/>
    </row>
    <row r="927" spans="1:46" ht="12.5" x14ac:dyDescent="0.25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30"/>
      <c r="AQ927" s="130"/>
      <c r="AR927" s="19"/>
      <c r="AS927" s="19"/>
      <c r="AT927" s="19"/>
    </row>
    <row r="928" spans="1:46" ht="12.5" x14ac:dyDescent="0.25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30"/>
      <c r="AQ928" s="130"/>
      <c r="AR928" s="19"/>
      <c r="AS928" s="19"/>
      <c r="AT928" s="19"/>
    </row>
    <row r="929" spans="1:46" ht="12.5" x14ac:dyDescent="0.25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30"/>
      <c r="AQ929" s="130"/>
      <c r="AR929" s="19"/>
      <c r="AS929" s="19"/>
      <c r="AT929" s="19"/>
    </row>
    <row r="930" spans="1:46" ht="12.5" x14ac:dyDescent="0.25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30"/>
      <c r="AQ930" s="130"/>
      <c r="AR930" s="19"/>
      <c r="AS930" s="19"/>
      <c r="AT930" s="19"/>
    </row>
    <row r="931" spans="1:46" ht="12.5" x14ac:dyDescent="0.25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30"/>
      <c r="AQ931" s="130"/>
      <c r="AR931" s="19"/>
      <c r="AS931" s="19"/>
      <c r="AT931" s="19"/>
    </row>
    <row r="932" spans="1:46" ht="12.5" x14ac:dyDescent="0.25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30"/>
      <c r="AQ932" s="130"/>
      <c r="AR932" s="19"/>
      <c r="AS932" s="19"/>
      <c r="AT932" s="19"/>
    </row>
    <row r="933" spans="1:46" ht="12.5" x14ac:dyDescent="0.25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30"/>
      <c r="AQ933" s="130"/>
      <c r="AR933" s="19"/>
      <c r="AS933" s="19"/>
      <c r="AT933" s="19"/>
    </row>
    <row r="934" spans="1:46" ht="12.5" x14ac:dyDescent="0.25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30"/>
      <c r="AQ934" s="130"/>
      <c r="AR934" s="19"/>
      <c r="AS934" s="19"/>
      <c r="AT934" s="19"/>
    </row>
    <row r="935" spans="1:46" ht="12.5" x14ac:dyDescent="0.2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30"/>
      <c r="AQ935" s="130"/>
      <c r="AR935" s="19"/>
      <c r="AS935" s="19"/>
      <c r="AT935" s="19"/>
    </row>
    <row r="936" spans="1:46" ht="12.5" x14ac:dyDescent="0.25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30"/>
      <c r="AQ936" s="130"/>
      <c r="AR936" s="19"/>
      <c r="AS936" s="19"/>
      <c r="AT936" s="19"/>
    </row>
    <row r="937" spans="1:46" ht="12.5" x14ac:dyDescent="0.25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30"/>
      <c r="AQ937" s="130"/>
      <c r="AR937" s="19"/>
      <c r="AS937" s="19"/>
      <c r="AT937" s="19"/>
    </row>
    <row r="938" spans="1:46" ht="12.5" x14ac:dyDescent="0.25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30"/>
      <c r="AQ938" s="130"/>
      <c r="AR938" s="19"/>
      <c r="AS938" s="19"/>
      <c r="AT938" s="19"/>
    </row>
    <row r="939" spans="1:46" ht="12.5" x14ac:dyDescent="0.25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30"/>
      <c r="AQ939" s="130"/>
      <c r="AR939" s="19"/>
      <c r="AS939" s="19"/>
      <c r="AT939" s="19"/>
    </row>
    <row r="940" spans="1:46" ht="12.5" x14ac:dyDescent="0.25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30"/>
      <c r="AQ940" s="130"/>
      <c r="AR940" s="19"/>
      <c r="AS940" s="19"/>
      <c r="AT940" s="19"/>
    </row>
    <row r="941" spans="1:46" ht="12.5" x14ac:dyDescent="0.25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30"/>
      <c r="AQ941" s="130"/>
      <c r="AR941" s="19"/>
      <c r="AS941" s="19"/>
      <c r="AT941" s="19"/>
    </row>
    <row r="942" spans="1:46" ht="12.5" x14ac:dyDescent="0.25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30"/>
      <c r="AQ942" s="130"/>
      <c r="AR942" s="19"/>
      <c r="AS942" s="19"/>
      <c r="AT942" s="19"/>
    </row>
    <row r="943" spans="1:46" ht="12.5" x14ac:dyDescent="0.25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30"/>
      <c r="AQ943" s="130"/>
      <c r="AR943" s="19"/>
      <c r="AS943" s="19"/>
      <c r="AT943" s="19"/>
    </row>
    <row r="944" spans="1:46" ht="12.5" x14ac:dyDescent="0.25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30"/>
      <c r="AQ944" s="130"/>
      <c r="AR944" s="19"/>
      <c r="AS944" s="19"/>
      <c r="AT944" s="19"/>
    </row>
    <row r="945" spans="1:46" ht="12.5" x14ac:dyDescent="0.2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30"/>
      <c r="AQ945" s="130"/>
      <c r="AR945" s="19"/>
      <c r="AS945" s="19"/>
      <c r="AT945" s="19"/>
    </row>
    <row r="946" spans="1:46" ht="12.5" x14ac:dyDescent="0.25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30"/>
      <c r="AQ946" s="130"/>
      <c r="AR946" s="19"/>
      <c r="AS946" s="19"/>
      <c r="AT946" s="19"/>
    </row>
    <row r="947" spans="1:46" ht="12.5" x14ac:dyDescent="0.25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30"/>
      <c r="AQ947" s="130"/>
      <c r="AR947" s="19"/>
      <c r="AS947" s="19"/>
      <c r="AT947" s="19"/>
    </row>
    <row r="948" spans="1:46" ht="12.5" x14ac:dyDescent="0.25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30"/>
      <c r="AQ948" s="130"/>
      <c r="AR948" s="19"/>
      <c r="AS948" s="19"/>
      <c r="AT948" s="19"/>
    </row>
    <row r="949" spans="1:46" ht="12.5" x14ac:dyDescent="0.25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30"/>
      <c r="AQ949" s="130"/>
      <c r="AR949" s="19"/>
      <c r="AS949" s="19"/>
      <c r="AT949" s="19"/>
    </row>
    <row r="950" spans="1:46" ht="12.5" x14ac:dyDescent="0.25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30"/>
      <c r="AQ950" s="130"/>
      <c r="AR950" s="19"/>
      <c r="AS950" s="19"/>
      <c r="AT950" s="19"/>
    </row>
    <row r="951" spans="1:46" ht="12.5" x14ac:dyDescent="0.25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30"/>
      <c r="AQ951" s="130"/>
      <c r="AR951" s="19"/>
      <c r="AS951" s="19"/>
      <c r="AT951" s="19"/>
    </row>
    <row r="952" spans="1:46" ht="12.5" x14ac:dyDescent="0.25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30"/>
      <c r="AQ952" s="130"/>
      <c r="AR952" s="19"/>
      <c r="AS952" s="19"/>
      <c r="AT952" s="19"/>
    </row>
    <row r="953" spans="1:46" ht="12.5" x14ac:dyDescent="0.25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30"/>
      <c r="AQ953" s="130"/>
      <c r="AR953" s="19"/>
      <c r="AS953" s="19"/>
      <c r="AT953" s="19"/>
    </row>
    <row r="954" spans="1:46" ht="12.5" x14ac:dyDescent="0.25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30"/>
      <c r="AQ954" s="130"/>
      <c r="AR954" s="19"/>
      <c r="AS954" s="19"/>
      <c r="AT954" s="19"/>
    </row>
    <row r="955" spans="1:46" ht="12.5" x14ac:dyDescent="0.2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30"/>
      <c r="AQ955" s="130"/>
      <c r="AR955" s="19"/>
      <c r="AS955" s="19"/>
      <c r="AT955" s="19"/>
    </row>
    <row r="956" spans="1:46" ht="12.5" x14ac:dyDescent="0.25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30"/>
      <c r="AQ956" s="130"/>
      <c r="AR956" s="19"/>
      <c r="AS956" s="19"/>
      <c r="AT956" s="19"/>
    </row>
    <row r="957" spans="1:46" ht="12.5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30"/>
      <c r="AQ957" s="130"/>
      <c r="AR957" s="19"/>
      <c r="AS957" s="19"/>
      <c r="AT957" s="19"/>
    </row>
    <row r="958" spans="1:46" ht="12.5" x14ac:dyDescent="0.25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30"/>
      <c r="AQ958" s="130"/>
      <c r="AR958" s="19"/>
      <c r="AS958" s="19"/>
      <c r="AT958" s="19"/>
    </row>
    <row r="959" spans="1:46" ht="12.5" x14ac:dyDescent="0.25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30"/>
      <c r="AQ959" s="130"/>
      <c r="AR959" s="19"/>
      <c r="AS959" s="19"/>
      <c r="AT959" s="19"/>
    </row>
    <row r="960" spans="1:46" ht="12.5" x14ac:dyDescent="0.25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30"/>
      <c r="AQ960" s="130"/>
      <c r="AR960" s="19"/>
      <c r="AS960" s="19"/>
      <c r="AT960" s="19"/>
    </row>
    <row r="961" spans="1:46" ht="12.5" x14ac:dyDescent="0.25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30"/>
      <c r="AQ961" s="130"/>
      <c r="AR961" s="19"/>
      <c r="AS961" s="19"/>
      <c r="AT961" s="19"/>
    </row>
    <row r="962" spans="1:46" ht="12.5" x14ac:dyDescent="0.25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30"/>
      <c r="AQ962" s="130"/>
      <c r="AR962" s="19"/>
      <c r="AS962" s="19"/>
      <c r="AT962" s="19"/>
    </row>
    <row r="963" spans="1:46" ht="12.5" x14ac:dyDescent="0.25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30"/>
      <c r="AQ963" s="130"/>
      <c r="AR963" s="19"/>
      <c r="AS963" s="19"/>
      <c r="AT963" s="19"/>
    </row>
    <row r="964" spans="1:46" ht="12.5" x14ac:dyDescent="0.25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30"/>
      <c r="AQ964" s="130"/>
      <c r="AR964" s="19"/>
      <c r="AS964" s="19"/>
      <c r="AT964" s="19"/>
    </row>
    <row r="965" spans="1:46" ht="12.5" x14ac:dyDescent="0.2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30"/>
      <c r="AQ965" s="130"/>
      <c r="AR965" s="19"/>
      <c r="AS965" s="19"/>
      <c r="AT965" s="19"/>
    </row>
    <row r="966" spans="1:46" ht="12.5" x14ac:dyDescent="0.25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30"/>
      <c r="AQ966" s="130"/>
      <c r="AR966" s="19"/>
      <c r="AS966" s="19"/>
      <c r="AT966" s="19"/>
    </row>
    <row r="967" spans="1:46" ht="12.5" x14ac:dyDescent="0.25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30"/>
      <c r="AQ967" s="130"/>
      <c r="AR967" s="19"/>
      <c r="AS967" s="19"/>
      <c r="AT967" s="19"/>
    </row>
    <row r="968" spans="1:46" ht="12.5" x14ac:dyDescent="0.25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30"/>
      <c r="AQ968" s="130"/>
      <c r="AR968" s="19"/>
      <c r="AS968" s="19"/>
      <c r="AT968" s="19"/>
    </row>
    <row r="969" spans="1:46" ht="12.5" x14ac:dyDescent="0.25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30"/>
      <c r="AQ969" s="130"/>
      <c r="AR969" s="19"/>
      <c r="AS969" s="19"/>
      <c r="AT969" s="19"/>
    </row>
    <row r="970" spans="1:46" ht="12.5" x14ac:dyDescent="0.25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30"/>
      <c r="AQ970" s="130"/>
      <c r="AR970" s="19"/>
      <c r="AS970" s="19"/>
      <c r="AT970" s="19"/>
    </row>
    <row r="971" spans="1:46" ht="12.5" x14ac:dyDescent="0.25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30"/>
      <c r="AQ971" s="130"/>
      <c r="AR971" s="19"/>
      <c r="AS971" s="19"/>
      <c r="AT971" s="19"/>
    </row>
    <row r="972" spans="1:46" ht="12.5" x14ac:dyDescent="0.25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30"/>
      <c r="AQ972" s="130"/>
      <c r="AR972" s="19"/>
      <c r="AS972" s="19"/>
      <c r="AT972" s="19"/>
    </row>
    <row r="973" spans="1:46" ht="12.5" x14ac:dyDescent="0.25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30"/>
      <c r="AQ973" s="130"/>
      <c r="AR973" s="19"/>
      <c r="AS973" s="19"/>
      <c r="AT973" s="19"/>
    </row>
    <row r="974" spans="1:46" ht="12.5" x14ac:dyDescent="0.25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30"/>
      <c r="AQ974" s="130"/>
      <c r="AR974" s="19"/>
      <c r="AS974" s="19"/>
      <c r="AT974" s="19"/>
    </row>
    <row r="975" spans="1:46" ht="12.5" x14ac:dyDescent="0.2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30"/>
      <c r="AQ975" s="130"/>
      <c r="AR975" s="19"/>
      <c r="AS975" s="19"/>
      <c r="AT975" s="19"/>
    </row>
    <row r="976" spans="1:46" ht="12.5" x14ac:dyDescent="0.25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30"/>
      <c r="AQ976" s="130"/>
      <c r="AR976" s="19"/>
      <c r="AS976" s="19"/>
      <c r="AT976" s="19"/>
    </row>
    <row r="977" spans="1:46" ht="12.5" x14ac:dyDescent="0.25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30"/>
      <c r="AQ977" s="130"/>
      <c r="AR977" s="19"/>
      <c r="AS977" s="19"/>
      <c r="AT977" s="19"/>
    </row>
    <row r="978" spans="1:46" ht="12.5" x14ac:dyDescent="0.25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30"/>
      <c r="AQ978" s="130"/>
      <c r="AR978" s="19"/>
      <c r="AS978" s="19"/>
      <c r="AT978" s="19"/>
    </row>
    <row r="979" spans="1:46" ht="12.5" x14ac:dyDescent="0.25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30"/>
      <c r="AQ979" s="130"/>
      <c r="AR979" s="19"/>
      <c r="AS979" s="19"/>
      <c r="AT979" s="19"/>
    </row>
    <row r="980" spans="1:46" ht="12.5" x14ac:dyDescent="0.25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30"/>
      <c r="AQ980" s="130"/>
      <c r="AR980" s="19"/>
      <c r="AS980" s="19"/>
      <c r="AT980" s="19"/>
    </row>
    <row r="981" spans="1:46" ht="12.5" x14ac:dyDescent="0.25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30"/>
      <c r="AQ981" s="130"/>
      <c r="AR981" s="19"/>
      <c r="AS981" s="19"/>
      <c r="AT981" s="19"/>
    </row>
    <row r="982" spans="1:46" ht="12.5" x14ac:dyDescent="0.25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30"/>
      <c r="AQ982" s="130"/>
      <c r="AR982" s="19"/>
      <c r="AS982" s="19"/>
      <c r="AT982" s="19"/>
    </row>
    <row r="983" spans="1:46" ht="12.5" x14ac:dyDescent="0.25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30"/>
      <c r="AQ983" s="130"/>
      <c r="AR983" s="19"/>
      <c r="AS983" s="19"/>
      <c r="AT983" s="19"/>
    </row>
    <row r="984" spans="1:46" ht="12.5" x14ac:dyDescent="0.25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30"/>
      <c r="AQ984" s="130"/>
      <c r="AR984" s="19"/>
      <c r="AS984" s="19"/>
      <c r="AT984" s="19"/>
    </row>
    <row r="985" spans="1:46" ht="12.5" x14ac:dyDescent="0.2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30"/>
      <c r="AQ985" s="130"/>
      <c r="AR985" s="19"/>
      <c r="AS985" s="19"/>
      <c r="AT985" s="19"/>
    </row>
    <row r="986" spans="1:46" ht="12.5" x14ac:dyDescent="0.2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30"/>
      <c r="AQ986" s="130"/>
      <c r="AR986" s="19"/>
      <c r="AS986" s="19"/>
      <c r="AT986" s="19"/>
    </row>
    <row r="987" spans="1:46" ht="12.5" x14ac:dyDescent="0.25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30"/>
      <c r="AQ987" s="130"/>
      <c r="AR987" s="19"/>
      <c r="AS987" s="19"/>
      <c r="AT987" s="19"/>
    </row>
    <row r="988" spans="1:46" ht="12.5" x14ac:dyDescent="0.25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30"/>
      <c r="AQ988" s="130"/>
      <c r="AR988" s="19"/>
      <c r="AS988" s="19"/>
      <c r="AT988" s="19"/>
    </row>
    <row r="989" spans="1:46" ht="12.5" x14ac:dyDescent="0.25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30"/>
      <c r="AQ989" s="130"/>
      <c r="AR989" s="19"/>
      <c r="AS989" s="19"/>
      <c r="AT989" s="19"/>
    </row>
    <row r="990" spans="1:46" ht="12.5" x14ac:dyDescent="0.25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30"/>
      <c r="AQ990" s="130"/>
      <c r="AR990" s="19"/>
      <c r="AS990" s="19"/>
      <c r="AT990" s="19"/>
    </row>
    <row r="991" spans="1:46" ht="12.5" x14ac:dyDescent="0.25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30"/>
      <c r="AQ991" s="130"/>
      <c r="AR991" s="19"/>
      <c r="AS991" s="19"/>
      <c r="AT991" s="19"/>
    </row>
    <row r="992" spans="1:46" ht="12.5" x14ac:dyDescent="0.25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30"/>
      <c r="AQ992" s="130"/>
      <c r="AR992" s="19"/>
      <c r="AS992" s="19"/>
      <c r="AT992" s="19"/>
    </row>
    <row r="993" spans="1:46" ht="12.5" x14ac:dyDescent="0.25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30"/>
      <c r="AQ993" s="130"/>
      <c r="AR993" s="19"/>
      <c r="AS993" s="19"/>
      <c r="AT993" s="19"/>
    </row>
    <row r="994" spans="1:46" ht="12.5" x14ac:dyDescent="0.25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  <c r="AP994" s="130"/>
      <c r="AQ994" s="130"/>
      <c r="AR994" s="19"/>
      <c r="AS994" s="19"/>
      <c r="AT994" s="19"/>
    </row>
    <row r="995" spans="1:46" ht="12.5" x14ac:dyDescent="0.2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  <c r="AP995" s="130"/>
      <c r="AQ995" s="130"/>
      <c r="AR995" s="19"/>
      <c r="AS995" s="19"/>
      <c r="AT995" s="19"/>
    </row>
    <row r="996" spans="1:46" ht="12.5" x14ac:dyDescent="0.25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  <c r="AP996" s="130"/>
      <c r="AQ996" s="130"/>
      <c r="AR996" s="19"/>
      <c r="AS996" s="19"/>
      <c r="AT996" s="19"/>
    </row>
    <row r="997" spans="1:46" ht="12.5" x14ac:dyDescent="0.25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  <c r="AP997" s="130"/>
      <c r="AQ997" s="130"/>
      <c r="AR997" s="19"/>
      <c r="AS997" s="19"/>
      <c r="AT997" s="19"/>
    </row>
    <row r="998" spans="1:46" ht="12.5" x14ac:dyDescent="0.25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30"/>
      <c r="AQ998" s="130"/>
      <c r="AR998" s="19"/>
      <c r="AS998" s="19"/>
      <c r="AT998" s="19"/>
    </row>
    <row r="999" spans="1:46" ht="12.5" x14ac:dyDescent="0.25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</row>
    <row r="1000" spans="1:46" ht="12.5" x14ac:dyDescent="0.25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</row>
    <row r="1001" spans="1:46" ht="12.5" x14ac:dyDescent="0.25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19"/>
      <c r="AF1001" s="19"/>
      <c r="AG1001" s="19"/>
      <c r="AH1001" s="19"/>
      <c r="AI1001" s="19"/>
      <c r="AJ1001" s="19"/>
      <c r="AK1001" s="19"/>
      <c r="AL1001" s="19"/>
      <c r="AM1001" s="19"/>
      <c r="AN1001" s="19"/>
      <c r="AO1001" s="19"/>
      <c r="AP1001" s="19"/>
      <c r="AQ1001" s="19"/>
      <c r="AR1001" s="19"/>
      <c r="AS1001" s="19"/>
      <c r="AT1001" s="19"/>
    </row>
    <row r="1002" spans="1:46" ht="12.5" x14ac:dyDescent="0.25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</row>
  </sheetData>
  <mergeCells count="5">
    <mergeCell ref="C6:N6"/>
    <mergeCell ref="O6:U6"/>
    <mergeCell ref="V6:AB6"/>
    <mergeCell ref="AC6:AK6"/>
    <mergeCell ref="AN6:AS6"/>
  </mergeCells>
  <conditionalFormatting sqref="C8:C25">
    <cfRule type="cellIs" dxfId="40" priority="1" operator="greaterThan">
      <formula>4809.8</formula>
    </cfRule>
    <cfRule type="cellIs" dxfId="39" priority="2" operator="lessThan">
      <formula>10.5</formula>
    </cfRule>
  </conditionalFormatting>
  <conditionalFormatting sqref="D8:D25">
    <cfRule type="cellIs" dxfId="38" priority="3" operator="greaterThan">
      <formula>5182.9</formula>
    </cfRule>
    <cfRule type="cellIs" dxfId="37" priority="4" operator="lessThan">
      <formula>10.1</formula>
    </cfRule>
  </conditionalFormatting>
  <conditionalFormatting sqref="E8:E25">
    <cfRule type="cellIs" dxfId="36" priority="5" operator="greaterThan">
      <formula>6254391.86</formula>
    </cfRule>
    <cfRule type="cellIs" dxfId="35" priority="6" operator="lessThan">
      <formula>9039.65</formula>
    </cfRule>
  </conditionalFormatting>
  <conditionalFormatting sqref="F8:F15">
    <cfRule type="cellIs" dxfId="34" priority="9" operator="greaterThan">
      <formula>339440.36</formula>
    </cfRule>
    <cfRule type="cellIs" dxfId="33" priority="10" operator="lessThan">
      <formula>1911.17</formula>
    </cfRule>
  </conditionalFormatting>
  <conditionalFormatting sqref="F16:F25">
    <cfRule type="cellIs" dxfId="32" priority="7" operator="greaterThan">
      <formula>251958.17</formula>
    </cfRule>
    <cfRule type="cellIs" dxfId="31" priority="8" operator="lessThan">
      <formula>1798.69</formula>
    </cfRule>
  </conditionalFormatting>
  <conditionalFormatting sqref="G8:G15">
    <cfRule type="cellIs" dxfId="30" priority="11" operator="greaterThan">
      <formula>12813582.51</formula>
    </cfRule>
    <cfRule type="cellIs" dxfId="29" priority="12" operator="lessThan">
      <formula>28911.25</formula>
    </cfRule>
  </conditionalFormatting>
  <conditionalFormatting sqref="H8:H15">
    <cfRule type="cellIs" dxfId="28" priority="13" operator="greaterThan">
      <formula>505590.63</formula>
    </cfRule>
    <cfRule type="cellIs" dxfId="27" priority="14" operator="lessThan">
      <formula>3744.55</formula>
    </cfRule>
  </conditionalFormatting>
  <conditionalFormatting sqref="H16:H25">
    <cfRule type="cellIs" dxfId="26" priority="15" operator="greaterThan">
      <formula>1817058.22</formula>
    </cfRule>
    <cfRule type="cellIs" dxfId="25" priority="16" operator="lessThan">
      <formula>8429.82</formula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G99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328125" defaultRowHeight="15.75" customHeight="1" x14ac:dyDescent="0.25"/>
  <cols>
    <col min="2" max="2" width="21.7265625" customWidth="1"/>
    <col min="4" max="4" width="14" customWidth="1"/>
    <col min="10" max="11" width="18.6328125" customWidth="1"/>
    <col min="14" max="14" width="16.08984375" customWidth="1"/>
    <col min="15" max="15" width="23.453125" customWidth="1"/>
    <col min="16" max="16" width="16.90625" customWidth="1"/>
    <col min="17" max="17" width="19.7265625" customWidth="1"/>
    <col min="18" max="18" width="20" customWidth="1"/>
    <col min="19" max="19" width="19.453125" customWidth="1"/>
    <col min="20" max="21" width="21.453125" customWidth="1"/>
    <col min="22" max="22" width="19.26953125" customWidth="1"/>
    <col min="24" max="24" width="33.90625" customWidth="1"/>
  </cols>
  <sheetData>
    <row r="1" spans="1:33" ht="15.75" customHeight="1" x14ac:dyDescent="0.35">
      <c r="A1" s="1" t="s">
        <v>162</v>
      </c>
      <c r="B1" s="1" t="s">
        <v>0</v>
      </c>
      <c r="C1" s="41" t="s">
        <v>163</v>
      </c>
      <c r="D1" s="41" t="s">
        <v>164</v>
      </c>
      <c r="E1" s="41" t="s">
        <v>165</v>
      </c>
      <c r="F1" s="42" t="s">
        <v>166</v>
      </c>
      <c r="G1" s="41" t="s">
        <v>167</v>
      </c>
      <c r="H1" s="43" t="s">
        <v>168</v>
      </c>
      <c r="I1" s="43" t="s">
        <v>169</v>
      </c>
      <c r="J1" s="41" t="s">
        <v>170</v>
      </c>
      <c r="K1" s="41" t="s">
        <v>171</v>
      </c>
      <c r="L1" s="41" t="s">
        <v>172</v>
      </c>
      <c r="M1" s="44" t="s">
        <v>173</v>
      </c>
      <c r="N1" s="41" t="s">
        <v>174</v>
      </c>
      <c r="O1" s="45" t="s">
        <v>175</v>
      </c>
      <c r="P1" s="45" t="s">
        <v>326</v>
      </c>
      <c r="Q1" s="1" t="s">
        <v>177</v>
      </c>
      <c r="R1" s="1" t="s">
        <v>178</v>
      </c>
      <c r="S1" s="1" t="s">
        <v>179</v>
      </c>
      <c r="T1" s="1" t="s">
        <v>180</v>
      </c>
      <c r="U1" s="1" t="s">
        <v>182</v>
      </c>
      <c r="V1" s="1" t="s">
        <v>183</v>
      </c>
      <c r="W1" s="1" t="s">
        <v>184</v>
      </c>
      <c r="X1" s="41" t="s">
        <v>185</v>
      </c>
      <c r="Y1" s="1" t="s">
        <v>186</v>
      </c>
      <c r="Z1" s="7"/>
      <c r="AA1" s="7"/>
      <c r="AB1" s="7"/>
      <c r="AC1" s="7"/>
      <c r="AD1" s="7"/>
      <c r="AE1" s="7"/>
      <c r="AF1" s="7"/>
      <c r="AG1" s="7"/>
    </row>
    <row r="2" spans="1:33" ht="15.75" customHeight="1" x14ac:dyDescent="0.35">
      <c r="A2" s="196" t="s">
        <v>60</v>
      </c>
      <c r="B2" s="196" t="s">
        <v>59</v>
      </c>
      <c r="C2" s="48">
        <v>45019</v>
      </c>
      <c r="D2" s="48">
        <v>45023</v>
      </c>
      <c r="E2" s="49">
        <f>SUM(20.5,510)</f>
        <v>530.5</v>
      </c>
      <c r="F2" s="197">
        <v>0.25</v>
      </c>
      <c r="G2" s="51">
        <f t="shared" ref="G2:G13" si="0">F2*83.333</f>
        <v>20.83325</v>
      </c>
      <c r="H2" s="49">
        <v>10.6783</v>
      </c>
      <c r="I2" s="49">
        <v>17.862100000000002</v>
      </c>
      <c r="J2" s="53">
        <f t="shared" ref="J2:J13" si="1">(I2-H2)/$B$25</f>
        <v>9.0704545454545471</v>
      </c>
      <c r="K2" s="51">
        <v>11</v>
      </c>
      <c r="L2" s="51">
        <f t="shared" ref="L2:L13" si="2">E2*G2/J2*$B$24</f>
        <v>487.38634076672497</v>
      </c>
      <c r="M2" s="54">
        <f t="shared" ref="M2:M13" si="3">L2/1000</f>
        <v>0.48738634076672499</v>
      </c>
      <c r="N2" s="54">
        <f t="shared" ref="N2:N13" si="4">M2*12</f>
        <v>5.8486360892007001</v>
      </c>
      <c r="O2" s="173">
        <v>0.2</v>
      </c>
      <c r="P2" s="55">
        <f t="shared" ref="P2:P13" si="5">O2/1000/12*1000*1000/L2*1000</f>
        <v>34.196006889416999</v>
      </c>
      <c r="Q2" s="52">
        <v>2.5</v>
      </c>
      <c r="R2" s="52">
        <v>2.5</v>
      </c>
      <c r="S2" s="52">
        <v>2.5</v>
      </c>
      <c r="T2" s="49">
        <v>1.7</v>
      </c>
      <c r="U2" s="56">
        <f t="shared" ref="U2:U13" si="6">SUM(Q2:T2)</f>
        <v>9.1999999999999993</v>
      </c>
      <c r="V2" s="56">
        <f t="shared" ref="V2:V13" si="7">N2*U2/1000</f>
        <v>5.3807452020646435E-2</v>
      </c>
      <c r="W2" s="49">
        <v>100</v>
      </c>
      <c r="X2" s="175">
        <f t="shared" ref="X2:X13" si="8">L2*U2/W2</f>
        <v>44.839543350538698</v>
      </c>
      <c r="Y2" s="1"/>
      <c r="Z2" s="7"/>
      <c r="AA2" s="7"/>
      <c r="AB2" s="7"/>
      <c r="AC2" s="7"/>
      <c r="AD2" s="7"/>
      <c r="AE2" s="7"/>
      <c r="AF2" s="7"/>
      <c r="AG2" s="7"/>
    </row>
    <row r="3" spans="1:33" ht="15.75" customHeight="1" x14ac:dyDescent="0.35">
      <c r="A3" s="196" t="s">
        <v>60</v>
      </c>
      <c r="B3" s="196" t="s">
        <v>160</v>
      </c>
      <c r="C3" s="48">
        <v>45201</v>
      </c>
      <c r="D3" s="48">
        <v>45205</v>
      </c>
      <c r="E3" s="49">
        <f t="shared" ref="E3:E4" si="9">SUM(520,1000,22,1000,990,510,1000)</f>
        <v>5042</v>
      </c>
      <c r="F3" s="173">
        <f t="shared" ref="F3:F4" si="10">AVERAGE(0.7326,0.3938)</f>
        <v>0.56320000000000003</v>
      </c>
      <c r="G3" s="51">
        <f t="shared" si="0"/>
        <v>46.933145600000003</v>
      </c>
      <c r="H3" s="52">
        <v>10.7165</v>
      </c>
      <c r="I3" s="52">
        <v>17.889099999999999</v>
      </c>
      <c r="J3" s="53">
        <f t="shared" si="1"/>
        <v>9.0563131313131304</v>
      </c>
      <c r="K3" s="51">
        <v>11</v>
      </c>
      <c r="L3" s="51">
        <f t="shared" si="2"/>
        <v>10451.799388296487</v>
      </c>
      <c r="M3" s="54">
        <f t="shared" si="3"/>
        <v>10.451799388296488</v>
      </c>
      <c r="N3" s="54">
        <f t="shared" si="4"/>
        <v>125.42159265955786</v>
      </c>
      <c r="O3" s="173">
        <v>0.2</v>
      </c>
      <c r="P3" s="174">
        <f t="shared" si="5"/>
        <v>1.5946217533919895</v>
      </c>
      <c r="Q3" s="52">
        <v>2.5</v>
      </c>
      <c r="R3" s="52">
        <v>2.5</v>
      </c>
      <c r="S3" s="52"/>
      <c r="T3" s="49"/>
      <c r="U3" s="56">
        <f t="shared" si="6"/>
        <v>5</v>
      </c>
      <c r="V3" s="56">
        <f t="shared" si="7"/>
        <v>0.62710796329778928</v>
      </c>
      <c r="W3" s="49">
        <v>100</v>
      </c>
      <c r="X3" s="175">
        <f t="shared" si="8"/>
        <v>522.5899694148244</v>
      </c>
      <c r="Y3" s="7"/>
      <c r="Z3" s="7"/>
      <c r="AA3" s="7"/>
      <c r="AB3" s="7"/>
      <c r="AC3" s="7"/>
      <c r="AD3" s="7"/>
      <c r="AE3" s="7"/>
      <c r="AF3" s="7"/>
      <c r="AG3" s="7"/>
    </row>
    <row r="4" spans="1:33" ht="15.75" customHeight="1" x14ac:dyDescent="0.35">
      <c r="A4" s="196" t="s">
        <v>60</v>
      </c>
      <c r="B4" s="196" t="s">
        <v>161</v>
      </c>
      <c r="C4" s="48">
        <v>45201</v>
      </c>
      <c r="D4" s="48">
        <v>45205</v>
      </c>
      <c r="E4" s="49">
        <f t="shared" si="9"/>
        <v>5042</v>
      </c>
      <c r="F4" s="173">
        <f t="shared" si="10"/>
        <v>0.56320000000000003</v>
      </c>
      <c r="G4" s="51">
        <f t="shared" si="0"/>
        <v>46.933145600000003</v>
      </c>
      <c r="H4" s="52">
        <v>10.7165</v>
      </c>
      <c r="I4" s="52">
        <v>17.889099999999999</v>
      </c>
      <c r="J4" s="53">
        <f t="shared" si="1"/>
        <v>9.0563131313131304</v>
      </c>
      <c r="K4" s="51">
        <v>11</v>
      </c>
      <c r="L4" s="51">
        <f t="shared" si="2"/>
        <v>10451.799388296487</v>
      </c>
      <c r="M4" s="54">
        <f t="shared" si="3"/>
        <v>10.451799388296488</v>
      </c>
      <c r="N4" s="54">
        <f t="shared" si="4"/>
        <v>125.42159265955786</v>
      </c>
      <c r="O4" s="173">
        <v>0.2</v>
      </c>
      <c r="P4" s="174">
        <f t="shared" si="5"/>
        <v>1.5946217533919895</v>
      </c>
      <c r="Q4" s="52">
        <v>2.5</v>
      </c>
      <c r="R4" s="52">
        <v>1.6</v>
      </c>
      <c r="S4" s="52"/>
      <c r="T4" s="49"/>
      <c r="U4" s="56">
        <f t="shared" si="6"/>
        <v>4.0999999999999996</v>
      </c>
      <c r="V4" s="56">
        <f t="shared" si="7"/>
        <v>0.51422852990418721</v>
      </c>
      <c r="W4" s="49">
        <v>100</v>
      </c>
      <c r="X4" s="175">
        <f t="shared" si="8"/>
        <v>428.52377492015592</v>
      </c>
      <c r="Y4" s="7"/>
      <c r="Z4" s="7"/>
      <c r="AA4" s="7"/>
      <c r="AB4" s="7"/>
      <c r="AC4" s="7"/>
      <c r="AD4" s="7"/>
      <c r="AE4" s="7"/>
      <c r="AF4" s="7"/>
      <c r="AG4" s="7"/>
    </row>
    <row r="5" spans="1:33" ht="15.75" customHeight="1" x14ac:dyDescent="0.35">
      <c r="A5" s="196" t="s">
        <v>52</v>
      </c>
      <c r="B5" s="196" t="s">
        <v>50</v>
      </c>
      <c r="C5" s="48">
        <v>45230</v>
      </c>
      <c r="D5" s="48">
        <v>45231</v>
      </c>
      <c r="E5" s="49">
        <f>SUM(23.5,990,1000,640)</f>
        <v>2653.5</v>
      </c>
      <c r="F5" s="198">
        <v>0.1</v>
      </c>
      <c r="G5" s="51">
        <f t="shared" si="0"/>
        <v>8.3332999999999995</v>
      </c>
      <c r="H5" s="52">
        <v>10.7554</v>
      </c>
      <c r="I5" s="52">
        <v>17.9451</v>
      </c>
      <c r="J5" s="53">
        <f t="shared" si="1"/>
        <v>9.0779040404040394</v>
      </c>
      <c r="K5" s="51">
        <v>11</v>
      </c>
      <c r="L5" s="51">
        <f t="shared" si="2"/>
        <v>974.33995563653559</v>
      </c>
      <c r="M5" s="54">
        <f t="shared" si="3"/>
        <v>0.97433995563653564</v>
      </c>
      <c r="N5" s="54">
        <f t="shared" si="4"/>
        <v>11.692079467638427</v>
      </c>
      <c r="O5" s="173">
        <v>0.2</v>
      </c>
      <c r="P5" s="55">
        <f t="shared" si="5"/>
        <v>17.105597045723478</v>
      </c>
      <c r="Q5" s="52">
        <v>2.5</v>
      </c>
      <c r="R5" s="52">
        <v>2.5</v>
      </c>
      <c r="S5" s="52">
        <v>2.5</v>
      </c>
      <c r="T5" s="49">
        <v>1.8</v>
      </c>
      <c r="U5" s="56">
        <f t="shared" si="6"/>
        <v>9.3000000000000007</v>
      </c>
      <c r="V5" s="56">
        <f t="shared" si="7"/>
        <v>0.10873633904903739</v>
      </c>
      <c r="W5" s="49">
        <v>100</v>
      </c>
      <c r="X5" s="175">
        <f t="shared" si="8"/>
        <v>90.613615874197819</v>
      </c>
      <c r="Y5" s="7"/>
      <c r="Z5" s="7"/>
      <c r="AA5" s="7"/>
      <c r="AB5" s="7"/>
      <c r="AC5" s="7"/>
      <c r="AD5" s="7"/>
      <c r="AE5" s="7"/>
      <c r="AF5" s="7"/>
      <c r="AG5" s="7"/>
    </row>
    <row r="6" spans="1:33" ht="15.75" customHeight="1" x14ac:dyDescent="0.35">
      <c r="A6" s="196" t="s">
        <v>60</v>
      </c>
      <c r="B6" s="196" t="s">
        <v>64</v>
      </c>
      <c r="C6" s="48">
        <v>45230</v>
      </c>
      <c r="D6" s="48">
        <v>45231</v>
      </c>
      <c r="E6" s="49">
        <f>SUM(23.5,1000,880,180)</f>
        <v>2083.5</v>
      </c>
      <c r="F6" s="50">
        <v>0.20080000000000001</v>
      </c>
      <c r="G6" s="51">
        <f t="shared" si="0"/>
        <v>16.733266400000002</v>
      </c>
      <c r="H6" s="52">
        <v>10.7294</v>
      </c>
      <c r="I6" s="52">
        <v>17.9114</v>
      </c>
      <c r="J6" s="53">
        <f t="shared" si="1"/>
        <v>9.0681818181818183</v>
      </c>
      <c r="K6" s="51">
        <v>11</v>
      </c>
      <c r="L6" s="51">
        <f t="shared" si="2"/>
        <v>1537.8500891765416</v>
      </c>
      <c r="M6" s="54">
        <f t="shared" si="3"/>
        <v>1.5378500891765416</v>
      </c>
      <c r="N6" s="54">
        <f t="shared" si="4"/>
        <v>18.454201070118501</v>
      </c>
      <c r="O6" s="173">
        <v>0.2</v>
      </c>
      <c r="P6" s="55">
        <f t="shared" si="5"/>
        <v>10.837640667297432</v>
      </c>
      <c r="Q6" s="52">
        <v>2.5</v>
      </c>
      <c r="R6" s="52">
        <v>2.5</v>
      </c>
      <c r="S6" s="52">
        <v>2.5</v>
      </c>
      <c r="T6" s="49">
        <v>1.8</v>
      </c>
      <c r="U6" s="56">
        <f t="shared" si="6"/>
        <v>9.3000000000000007</v>
      </c>
      <c r="V6" s="56">
        <f t="shared" si="7"/>
        <v>0.17162406995210208</v>
      </c>
      <c r="W6" s="49">
        <v>100</v>
      </c>
      <c r="X6" s="175">
        <f t="shared" si="8"/>
        <v>143.0200582934184</v>
      </c>
      <c r="Y6" s="7"/>
      <c r="Z6" s="7"/>
      <c r="AA6" s="7"/>
      <c r="AB6" s="7"/>
      <c r="AC6" s="7"/>
      <c r="AD6" s="7"/>
      <c r="AE6" s="7"/>
      <c r="AF6" s="7"/>
      <c r="AG6" s="7"/>
    </row>
    <row r="7" spans="1:33" ht="15.75" customHeight="1" x14ac:dyDescent="0.35">
      <c r="A7" s="196" t="s">
        <v>60</v>
      </c>
      <c r="B7" s="196" t="s">
        <v>67</v>
      </c>
      <c r="C7" s="48">
        <v>45201</v>
      </c>
      <c r="D7" s="48">
        <v>45202</v>
      </c>
      <c r="E7" s="49">
        <f>SUM(24.5,1000,750,590)</f>
        <v>2364.5</v>
      </c>
      <c r="F7" s="198">
        <v>0.1</v>
      </c>
      <c r="G7" s="51">
        <f t="shared" si="0"/>
        <v>8.3332999999999995</v>
      </c>
      <c r="H7" s="52">
        <v>10.7098</v>
      </c>
      <c r="I7" s="52">
        <v>17.7789</v>
      </c>
      <c r="J7" s="53">
        <f t="shared" si="1"/>
        <v>8.9256313131313139</v>
      </c>
      <c r="K7" s="51">
        <v>11</v>
      </c>
      <c r="L7" s="51">
        <f t="shared" si="2"/>
        <v>883.0339125037134</v>
      </c>
      <c r="M7" s="54">
        <f t="shared" si="3"/>
        <v>0.88303391250371344</v>
      </c>
      <c r="N7" s="54">
        <f t="shared" si="4"/>
        <v>10.59640695004456</v>
      </c>
      <c r="O7" s="173">
        <v>0.2</v>
      </c>
      <c r="P7" s="55">
        <f t="shared" si="5"/>
        <v>18.874322300273583</v>
      </c>
      <c r="Q7" s="52">
        <v>2.5</v>
      </c>
      <c r="R7" s="52">
        <v>2.5</v>
      </c>
      <c r="S7" s="52">
        <v>2.5</v>
      </c>
      <c r="T7" s="49">
        <v>1.55</v>
      </c>
      <c r="U7" s="56">
        <f t="shared" si="6"/>
        <v>9.0500000000000007</v>
      </c>
      <c r="V7" s="56">
        <f t="shared" si="7"/>
        <v>9.5897482897903272E-2</v>
      </c>
      <c r="W7" s="49">
        <v>100</v>
      </c>
      <c r="X7" s="175">
        <f t="shared" si="8"/>
        <v>79.914569081586066</v>
      </c>
      <c r="Y7" s="7" t="s">
        <v>342</v>
      </c>
      <c r="Z7" s="7"/>
      <c r="AA7" s="7"/>
      <c r="AB7" s="7"/>
      <c r="AC7" s="7"/>
      <c r="AD7" s="7"/>
      <c r="AE7" s="7"/>
      <c r="AF7" s="7"/>
      <c r="AG7" s="7"/>
    </row>
    <row r="8" spans="1:33" ht="15.75" customHeight="1" x14ac:dyDescent="0.35">
      <c r="A8" s="196" t="s">
        <v>60</v>
      </c>
      <c r="B8" s="196" t="s">
        <v>69</v>
      </c>
      <c r="C8" s="48">
        <v>45201</v>
      </c>
      <c r="D8" s="48">
        <v>45202</v>
      </c>
      <c r="E8" s="49">
        <f>SUM(23,990,1000,320)</f>
        <v>2333</v>
      </c>
      <c r="F8" s="198">
        <v>0.1</v>
      </c>
      <c r="G8" s="51">
        <f t="shared" si="0"/>
        <v>8.3332999999999995</v>
      </c>
      <c r="H8" s="52">
        <v>10.7094</v>
      </c>
      <c r="I8" s="52">
        <v>18.304400000000001</v>
      </c>
      <c r="J8" s="53">
        <f t="shared" si="1"/>
        <v>9.5896464646464654</v>
      </c>
      <c r="K8" s="51">
        <v>11</v>
      </c>
      <c r="L8" s="51">
        <f t="shared" si="2"/>
        <v>810.94079835681362</v>
      </c>
      <c r="M8" s="54">
        <f t="shared" si="3"/>
        <v>0.81094079835681365</v>
      </c>
      <c r="N8" s="54">
        <f t="shared" si="4"/>
        <v>9.7312895802817643</v>
      </c>
      <c r="O8" s="173">
        <v>0.2</v>
      </c>
      <c r="P8" s="55">
        <f t="shared" si="5"/>
        <v>20.552260658777882</v>
      </c>
      <c r="Q8" s="52">
        <v>2.5</v>
      </c>
      <c r="R8" s="52">
        <v>2.5</v>
      </c>
      <c r="S8" s="52">
        <v>2.5</v>
      </c>
      <c r="T8" s="49">
        <v>2.25</v>
      </c>
      <c r="U8" s="56">
        <f t="shared" si="6"/>
        <v>9.75</v>
      </c>
      <c r="V8" s="56">
        <f t="shared" si="7"/>
        <v>9.4880073407747206E-2</v>
      </c>
      <c r="W8" s="49">
        <v>100</v>
      </c>
      <c r="X8" s="175">
        <f t="shared" si="8"/>
        <v>79.066727839789323</v>
      </c>
      <c r="Y8" s="7"/>
      <c r="Z8" s="7"/>
      <c r="AA8" s="7"/>
      <c r="AB8" s="7"/>
      <c r="AC8" s="7"/>
      <c r="AD8" s="7"/>
      <c r="AE8" s="7"/>
      <c r="AF8" s="7"/>
      <c r="AG8" s="7"/>
    </row>
    <row r="9" spans="1:33" ht="15.75" customHeight="1" x14ac:dyDescent="0.35">
      <c r="A9" s="196" t="s">
        <v>60</v>
      </c>
      <c r="B9" s="196" t="s">
        <v>70</v>
      </c>
      <c r="C9" s="48">
        <v>45232</v>
      </c>
      <c r="D9" s="48">
        <v>45236</v>
      </c>
      <c r="E9" s="49">
        <f>SUM(650,21.5,990,990,590,450,600)</f>
        <v>4291.5</v>
      </c>
      <c r="F9" s="50">
        <v>0.2722</v>
      </c>
      <c r="G9" s="51">
        <f t="shared" si="0"/>
        <v>22.6832426</v>
      </c>
      <c r="H9" s="52">
        <v>10.7021</v>
      </c>
      <c r="I9" s="52">
        <v>18.054600000000001</v>
      </c>
      <c r="J9" s="53">
        <f t="shared" si="1"/>
        <v>9.2834595959595969</v>
      </c>
      <c r="K9" s="51">
        <v>11</v>
      </c>
      <c r="L9" s="51">
        <f t="shared" si="2"/>
        <v>4194.3473599116924</v>
      </c>
      <c r="M9" s="54">
        <f t="shared" si="3"/>
        <v>4.1943473599116921</v>
      </c>
      <c r="N9" s="54">
        <f t="shared" si="4"/>
        <v>50.332168318940305</v>
      </c>
      <c r="O9" s="173">
        <v>0.2</v>
      </c>
      <c r="P9" s="174">
        <f t="shared" si="5"/>
        <v>3.9736019066903334</v>
      </c>
      <c r="Q9" s="52">
        <v>2.5</v>
      </c>
      <c r="R9" s="49">
        <v>2.5</v>
      </c>
      <c r="S9" s="52">
        <v>2.5</v>
      </c>
      <c r="T9" s="49">
        <v>1.9</v>
      </c>
      <c r="U9" s="56">
        <f t="shared" si="6"/>
        <v>9.4</v>
      </c>
      <c r="V9" s="56">
        <f t="shared" si="7"/>
        <v>0.47312238219803893</v>
      </c>
      <c r="W9" s="49">
        <v>100</v>
      </c>
      <c r="X9" s="175">
        <f t="shared" si="8"/>
        <v>394.26865183169912</v>
      </c>
      <c r="Y9" s="7"/>
      <c r="Z9" s="7"/>
      <c r="AA9" s="7"/>
      <c r="AB9" s="7"/>
      <c r="AC9" s="7"/>
      <c r="AD9" s="7"/>
      <c r="AE9" s="7"/>
      <c r="AF9" s="7"/>
      <c r="AG9" s="7"/>
    </row>
    <row r="10" spans="1:33" ht="15.75" customHeight="1" x14ac:dyDescent="0.35">
      <c r="A10" s="196" t="s">
        <v>60</v>
      </c>
      <c r="B10" s="196" t="s">
        <v>71</v>
      </c>
      <c r="C10" s="48">
        <v>45236</v>
      </c>
      <c r="D10" s="48">
        <v>45238</v>
      </c>
      <c r="E10" s="49">
        <f>SUM(25,990,1000,680,950)</f>
        <v>3645</v>
      </c>
      <c r="F10" s="198">
        <v>0.1</v>
      </c>
      <c r="G10" s="51">
        <f t="shared" si="0"/>
        <v>8.3332999999999995</v>
      </c>
      <c r="H10" s="52">
        <v>10.7232</v>
      </c>
      <c r="I10" s="52">
        <v>18.007999999999999</v>
      </c>
      <c r="J10" s="53">
        <f t="shared" si="1"/>
        <v>9.1979797979797961</v>
      </c>
      <c r="K10" s="51">
        <v>11</v>
      </c>
      <c r="L10" s="51">
        <f t="shared" si="2"/>
        <v>1320.9369521194819</v>
      </c>
      <c r="M10" s="54">
        <f t="shared" si="3"/>
        <v>1.320936952119482</v>
      </c>
      <c r="N10" s="54">
        <f t="shared" si="4"/>
        <v>15.851243425433784</v>
      </c>
      <c r="O10" s="173">
        <v>0.2</v>
      </c>
      <c r="P10" s="55">
        <f t="shared" si="5"/>
        <v>12.617306707882246</v>
      </c>
      <c r="Q10" s="52">
        <v>2.5</v>
      </c>
      <c r="R10" s="49">
        <v>2.5</v>
      </c>
      <c r="S10" s="52">
        <v>2.5</v>
      </c>
      <c r="T10" s="49">
        <v>1.8</v>
      </c>
      <c r="U10" s="56">
        <f t="shared" si="6"/>
        <v>9.3000000000000007</v>
      </c>
      <c r="V10" s="56">
        <f t="shared" si="7"/>
        <v>0.14741656385653421</v>
      </c>
      <c r="W10" s="49">
        <v>100</v>
      </c>
      <c r="X10" s="175">
        <f t="shared" si="8"/>
        <v>122.84713654711182</v>
      </c>
      <c r="Y10" s="7"/>
      <c r="Z10" s="7"/>
      <c r="AA10" s="7"/>
      <c r="AB10" s="7"/>
      <c r="AC10" s="7"/>
      <c r="AD10" s="7"/>
      <c r="AE10" s="7"/>
      <c r="AF10" s="7"/>
      <c r="AG10" s="7"/>
    </row>
    <row r="11" spans="1:33" ht="15.75" customHeight="1" x14ac:dyDescent="0.35">
      <c r="A11" s="196" t="s">
        <v>52</v>
      </c>
      <c r="B11" s="196" t="s">
        <v>57</v>
      </c>
      <c r="C11" s="48">
        <v>45236</v>
      </c>
      <c r="D11" s="48">
        <v>45240</v>
      </c>
      <c r="E11" s="49">
        <f>SUM(23.5,710,620,1000,960,820)</f>
        <v>4133.5</v>
      </c>
      <c r="F11" s="49">
        <f>AVERAGE(0.3281,0.3139)</f>
        <v>0.32100000000000001</v>
      </c>
      <c r="G11" s="51">
        <f t="shared" si="0"/>
        <v>26.749893</v>
      </c>
      <c r="H11" s="52">
        <v>10.776899999999999</v>
      </c>
      <c r="I11" s="52">
        <v>18.046399999999998</v>
      </c>
      <c r="J11" s="53">
        <f t="shared" si="1"/>
        <v>9.1786616161616141</v>
      </c>
      <c r="K11" s="51">
        <v>11</v>
      </c>
      <c r="L11" s="51">
        <f t="shared" si="2"/>
        <v>4818.5971915909495</v>
      </c>
      <c r="M11" s="54">
        <f t="shared" si="3"/>
        <v>4.8185971915909498</v>
      </c>
      <c r="N11" s="54">
        <f t="shared" si="4"/>
        <v>57.823166299091397</v>
      </c>
      <c r="O11" s="173">
        <v>0.2</v>
      </c>
      <c r="P11" s="174">
        <f t="shared" si="5"/>
        <v>3.4588213133382619</v>
      </c>
      <c r="Q11" s="52">
        <v>2.5</v>
      </c>
      <c r="R11" s="49">
        <v>2.5</v>
      </c>
      <c r="S11" s="52">
        <v>2.5</v>
      </c>
      <c r="T11" s="49">
        <v>1.75</v>
      </c>
      <c r="U11" s="56">
        <f t="shared" si="6"/>
        <v>9.25</v>
      </c>
      <c r="V11" s="56">
        <f t="shared" si="7"/>
        <v>0.53486428826659538</v>
      </c>
      <c r="W11" s="49">
        <v>100</v>
      </c>
      <c r="X11" s="175">
        <f t="shared" si="8"/>
        <v>445.72024022216283</v>
      </c>
      <c r="Y11" s="7"/>
      <c r="Z11" s="7"/>
      <c r="AA11" s="7"/>
      <c r="AB11" s="7"/>
      <c r="AC11" s="7"/>
      <c r="AD11" s="7"/>
      <c r="AE11" s="7"/>
      <c r="AF11" s="7"/>
      <c r="AG11" s="7"/>
    </row>
    <row r="12" spans="1:33" ht="15.75" customHeight="1" x14ac:dyDescent="0.35">
      <c r="A12" s="196" t="s">
        <v>79</v>
      </c>
      <c r="B12" s="196" t="s">
        <v>78</v>
      </c>
      <c r="C12" s="48">
        <v>45236</v>
      </c>
      <c r="D12" s="48">
        <v>45237</v>
      </c>
      <c r="E12" s="49">
        <f>SUM(23.5,1000,750)</f>
        <v>1773.5</v>
      </c>
      <c r="F12" s="50">
        <v>0.2863</v>
      </c>
      <c r="G12" s="51">
        <f t="shared" si="0"/>
        <v>23.858237899999999</v>
      </c>
      <c r="H12" s="52">
        <v>10.7706</v>
      </c>
      <c r="I12" s="52">
        <v>17.908799999999999</v>
      </c>
      <c r="J12" s="53">
        <f t="shared" si="1"/>
        <v>9.0128787878787868</v>
      </c>
      <c r="K12" s="51">
        <v>11</v>
      </c>
      <c r="L12" s="51">
        <f t="shared" si="2"/>
        <v>1877.8721388134154</v>
      </c>
      <c r="M12" s="54">
        <f t="shared" si="3"/>
        <v>1.8778721388134154</v>
      </c>
      <c r="N12" s="54">
        <f t="shared" si="4"/>
        <v>22.534465665760983</v>
      </c>
      <c r="O12" s="173">
        <v>0.2</v>
      </c>
      <c r="P12" s="55">
        <f t="shared" si="5"/>
        <v>8.8752936486921605</v>
      </c>
      <c r="Q12" s="52">
        <v>2.5</v>
      </c>
      <c r="R12" s="49">
        <v>2.5</v>
      </c>
      <c r="S12" s="52">
        <v>2.5</v>
      </c>
      <c r="T12" s="49">
        <v>1.55</v>
      </c>
      <c r="U12" s="56">
        <f t="shared" si="6"/>
        <v>9.0500000000000007</v>
      </c>
      <c r="V12" s="56">
        <f t="shared" si="7"/>
        <v>0.20393691427513694</v>
      </c>
      <c r="W12" s="49">
        <v>100</v>
      </c>
      <c r="X12" s="175">
        <f t="shared" si="8"/>
        <v>169.94742856261411</v>
      </c>
      <c r="Y12" s="7"/>
      <c r="Z12" s="7"/>
      <c r="AA12" s="7"/>
      <c r="AB12" s="7"/>
      <c r="AC12" s="7"/>
      <c r="AD12" s="7"/>
      <c r="AE12" s="7"/>
      <c r="AF12" s="7"/>
      <c r="AG12" s="7"/>
    </row>
    <row r="13" spans="1:33" ht="15.75" customHeight="1" x14ac:dyDescent="0.35">
      <c r="A13" s="196" t="s">
        <v>79</v>
      </c>
      <c r="B13" s="196" t="s">
        <v>82</v>
      </c>
      <c r="C13" s="48">
        <v>45237</v>
      </c>
      <c r="D13" s="48">
        <v>45239</v>
      </c>
      <c r="E13" s="49">
        <f>SUM(21.5,1000,920,440,610,990)</f>
        <v>3981.5</v>
      </c>
      <c r="F13" s="50">
        <v>0.2298</v>
      </c>
      <c r="G13" s="51">
        <f t="shared" si="0"/>
        <v>19.149923399999999</v>
      </c>
      <c r="H13" s="52">
        <v>10.7704</v>
      </c>
      <c r="I13" s="52">
        <v>17.8568</v>
      </c>
      <c r="J13" s="53">
        <f t="shared" si="1"/>
        <v>8.9474747474747467</v>
      </c>
      <c r="K13" s="51">
        <v>11</v>
      </c>
      <c r="L13" s="51">
        <f t="shared" si="2"/>
        <v>3408.5782712544142</v>
      </c>
      <c r="M13" s="54">
        <f t="shared" si="3"/>
        <v>3.4085782712544144</v>
      </c>
      <c r="N13" s="54">
        <f t="shared" si="4"/>
        <v>40.902939255052971</v>
      </c>
      <c r="O13" s="173">
        <v>0.2</v>
      </c>
      <c r="P13" s="174">
        <f t="shared" si="5"/>
        <v>4.889624160085094</v>
      </c>
      <c r="Q13" s="52">
        <v>2.5</v>
      </c>
      <c r="R13" s="49">
        <v>2.5</v>
      </c>
      <c r="S13" s="52">
        <v>2.5</v>
      </c>
      <c r="T13" s="49">
        <v>1.55</v>
      </c>
      <c r="U13" s="56">
        <f t="shared" si="6"/>
        <v>9.0500000000000007</v>
      </c>
      <c r="V13" s="56">
        <f t="shared" si="7"/>
        <v>0.37017160025822943</v>
      </c>
      <c r="W13" s="49">
        <v>100</v>
      </c>
      <c r="X13" s="175">
        <f t="shared" si="8"/>
        <v>308.47633354852451</v>
      </c>
      <c r="Y13" s="7"/>
      <c r="Z13" s="7"/>
      <c r="AA13" s="7"/>
      <c r="AB13" s="7"/>
      <c r="AC13" s="7"/>
      <c r="AD13" s="7"/>
      <c r="AE13" s="7"/>
      <c r="AF13" s="7"/>
      <c r="AG13" s="7"/>
    </row>
    <row r="14" spans="1:33" ht="15.75" customHeight="1" x14ac:dyDescent="0.3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ht="15.75" customHeight="1" x14ac:dyDescent="0.3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ht="15.75" customHeight="1" x14ac:dyDescent="0.35">
      <c r="A16" s="62" t="s">
        <v>0</v>
      </c>
      <c r="B16" s="63" t="s">
        <v>191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ht="15.75" customHeight="1" x14ac:dyDescent="0.35">
      <c r="A17" s="64" t="s">
        <v>192</v>
      </c>
      <c r="B17" s="63" t="s">
        <v>193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</row>
    <row r="18" spans="1:33" ht="15.75" customHeight="1" x14ac:dyDescent="0.35">
      <c r="A18" s="43" t="s">
        <v>194</v>
      </c>
      <c r="B18" s="63" t="s">
        <v>195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ht="15.75" customHeight="1" x14ac:dyDescent="0.35">
      <c r="A19" s="64" t="s">
        <v>196</v>
      </c>
      <c r="B19" s="63" t="s">
        <v>197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</row>
    <row r="20" spans="1:33" ht="15.75" customHeight="1" x14ac:dyDescent="0.35">
      <c r="A20" s="43" t="s">
        <v>172</v>
      </c>
      <c r="B20" s="63" t="s">
        <v>198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ht="15.75" customHeight="1" x14ac:dyDescent="0.35">
      <c r="A21" s="64" t="s">
        <v>199</v>
      </c>
      <c r="B21" s="63" t="s">
        <v>200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</row>
    <row r="22" spans="1:33" ht="15.75" customHeight="1" x14ac:dyDescent="0.35">
      <c r="A22" s="64" t="s">
        <v>201</v>
      </c>
      <c r="B22" s="63" t="s">
        <v>202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ht="15.75" customHeight="1" x14ac:dyDescent="0.35">
      <c r="A23" s="43" t="s">
        <v>203</v>
      </c>
      <c r="B23" s="63" t="s">
        <v>204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</row>
    <row r="24" spans="1:33" ht="15.75" customHeight="1" x14ac:dyDescent="0.35">
      <c r="A24" s="1" t="s">
        <v>205</v>
      </c>
      <c r="B24" s="65">
        <v>0.4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ht="15.75" customHeight="1" x14ac:dyDescent="0.35">
      <c r="A25" s="66" t="s">
        <v>343</v>
      </c>
      <c r="B25" s="67">
        <v>0.79200000000000004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</row>
    <row r="26" spans="1:33" ht="15.75" customHeight="1" x14ac:dyDescent="0.35">
      <c r="A26" s="41" t="s">
        <v>185</v>
      </c>
      <c r="B26" s="63" t="s">
        <v>207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</row>
    <row r="27" spans="1:33" ht="15.75" customHeight="1" x14ac:dyDescent="0.35">
      <c r="A27" s="41" t="s">
        <v>185</v>
      </c>
      <c r="B27" s="63" t="s">
        <v>207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</row>
    <row r="28" spans="1:33" ht="15.75" customHeight="1" x14ac:dyDescent="0.35">
      <c r="A28" s="52"/>
      <c r="B28" s="68" t="s">
        <v>208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</row>
    <row r="29" spans="1:33" ht="15.75" customHeight="1" x14ac:dyDescent="0.35">
      <c r="A29" s="46"/>
      <c r="B29" s="69" t="s">
        <v>335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</row>
    <row r="30" spans="1:33" ht="15.75" customHeight="1" x14ac:dyDescent="0.3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5.75" customHeight="1" x14ac:dyDescent="0.3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15.75" customHeight="1" x14ac:dyDescent="0.3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3" ht="15.75" customHeight="1" x14ac:dyDescent="0.3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3" ht="15.75" customHeight="1" x14ac:dyDescent="0.3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</row>
    <row r="35" spans="1:33" ht="15.75" customHeight="1" x14ac:dyDescent="0.3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</row>
    <row r="36" spans="1:33" ht="15.75" customHeight="1" x14ac:dyDescent="0.3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ht="15.75" customHeight="1" x14ac:dyDescent="0.3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ht="15.75" customHeight="1" x14ac:dyDescent="0.3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ht="15.75" customHeight="1" x14ac:dyDescent="0.3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ht="15.75" customHeight="1" x14ac:dyDescent="0.3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</row>
    <row r="41" spans="1:33" ht="15.75" customHeight="1" x14ac:dyDescent="0.3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ht="15.75" customHeight="1" x14ac:dyDescent="0.3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</row>
    <row r="43" spans="1:33" ht="15.75" customHeight="1" x14ac:dyDescent="0.3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ht="15.75" customHeight="1" x14ac:dyDescent="0.3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</row>
    <row r="45" spans="1:33" ht="15.75" customHeight="1" x14ac:dyDescent="0.3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ht="15.75" customHeight="1" x14ac:dyDescent="0.3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</row>
    <row r="47" spans="1:33" ht="15.75" customHeight="1" x14ac:dyDescent="0.3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ht="15.75" customHeight="1" x14ac:dyDescent="0.3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</row>
    <row r="49" spans="1:33" ht="15.75" customHeight="1" x14ac:dyDescent="0.3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ht="15.75" customHeight="1" x14ac:dyDescent="0.3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ht="15.75" customHeight="1" x14ac:dyDescent="0.3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ht="15.75" customHeight="1" x14ac:dyDescent="0.3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ht="15.75" customHeight="1" x14ac:dyDescent="0.3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</row>
    <row r="54" spans="1:33" ht="15.75" customHeight="1" x14ac:dyDescent="0.3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ht="15.75" customHeight="1" x14ac:dyDescent="0.3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ht="15.75" customHeight="1" x14ac:dyDescent="0.3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ht="14.5" x14ac:dyDescent="0.3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ht="14.5" x14ac:dyDescent="0.3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</row>
    <row r="59" spans="1:33" ht="14.5" x14ac:dyDescent="0.3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ht="14.5" x14ac:dyDescent="0.3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</row>
    <row r="61" spans="1:33" ht="14.5" x14ac:dyDescent="0.3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ht="14.5" x14ac:dyDescent="0.3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</row>
    <row r="63" spans="1:33" ht="14.5" x14ac:dyDescent="0.3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ht="14.5" x14ac:dyDescent="0.3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</row>
    <row r="65" spans="1:33" ht="14.5" x14ac:dyDescent="0.3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ht="14.5" x14ac:dyDescent="0.3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</row>
    <row r="67" spans="1:33" ht="14.5" x14ac:dyDescent="0.3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ht="14.5" x14ac:dyDescent="0.3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ht="14.5" x14ac:dyDescent="0.3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ht="14.5" x14ac:dyDescent="0.3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ht="14.5" x14ac:dyDescent="0.3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 ht="14.5" x14ac:dyDescent="0.3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ht="14.5" x14ac:dyDescent="0.3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 ht="14.5" x14ac:dyDescent="0.3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ht="14.5" x14ac:dyDescent="0.3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 ht="14.5" x14ac:dyDescent="0.3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ht="14.5" x14ac:dyDescent="0.3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</row>
    <row r="78" spans="1:33" ht="14.5" x14ac:dyDescent="0.3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ht="14.5" x14ac:dyDescent="0.3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 ht="14.5" x14ac:dyDescent="0.3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ht="14.5" x14ac:dyDescent="0.3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 ht="14.5" x14ac:dyDescent="0.3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ht="14.5" x14ac:dyDescent="0.3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 ht="14.5" x14ac:dyDescent="0.3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ht="14.5" x14ac:dyDescent="0.3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 ht="14.5" x14ac:dyDescent="0.3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ht="14.5" x14ac:dyDescent="0.3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ht="14.5" x14ac:dyDescent="0.3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ht="14.5" x14ac:dyDescent="0.3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 ht="14.5" x14ac:dyDescent="0.3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ht="14.5" x14ac:dyDescent="0.3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 ht="14.5" x14ac:dyDescent="0.3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 ht="14.5" x14ac:dyDescent="0.3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 ht="14.5" x14ac:dyDescent="0.3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ht="14.5" x14ac:dyDescent="0.3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</row>
    <row r="96" spans="1:33" ht="14.5" x14ac:dyDescent="0.3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 ht="14.5" x14ac:dyDescent="0.3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 ht="14.5" x14ac:dyDescent="0.3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ht="14.5" x14ac:dyDescent="0.3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 ht="14.5" x14ac:dyDescent="0.3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ht="14.5" x14ac:dyDescent="0.3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 ht="14.5" x14ac:dyDescent="0.3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 ht="14.5" x14ac:dyDescent="0.3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 ht="14.5" x14ac:dyDescent="0.3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 ht="14.5" x14ac:dyDescent="0.3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 ht="14.5" x14ac:dyDescent="0.3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 ht="14.5" x14ac:dyDescent="0.3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</row>
    <row r="108" spans="1:33" ht="14.5" x14ac:dyDescent="0.3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</row>
    <row r="109" spans="1:33" ht="14.5" x14ac:dyDescent="0.3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</row>
    <row r="110" spans="1:33" ht="14.5" x14ac:dyDescent="0.3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</row>
    <row r="111" spans="1:33" ht="14.5" x14ac:dyDescent="0.3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</row>
    <row r="112" spans="1:33" ht="14.5" x14ac:dyDescent="0.3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</row>
    <row r="113" spans="1:33" ht="14.5" x14ac:dyDescent="0.3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</row>
    <row r="114" spans="1:33" ht="14.5" x14ac:dyDescent="0.3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 ht="14.5" x14ac:dyDescent="0.3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 ht="14.5" x14ac:dyDescent="0.3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 ht="14.5" x14ac:dyDescent="0.3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 ht="14.5" x14ac:dyDescent="0.3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</row>
    <row r="119" spans="1:33" ht="14.5" x14ac:dyDescent="0.3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</row>
    <row r="120" spans="1:33" ht="14.5" x14ac:dyDescent="0.3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spans="1:33" ht="14.5" x14ac:dyDescent="0.3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spans="1:33" ht="14.5" x14ac:dyDescent="0.3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spans="1:33" ht="14.5" x14ac:dyDescent="0.3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 ht="14.5" x14ac:dyDescent="0.3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</row>
    <row r="125" spans="1:33" ht="14.5" x14ac:dyDescent="0.3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</row>
    <row r="126" spans="1:33" ht="14.5" x14ac:dyDescent="0.3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</row>
    <row r="127" spans="1:33" ht="14.5" x14ac:dyDescent="0.3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</row>
    <row r="128" spans="1:33" ht="14.5" x14ac:dyDescent="0.3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</row>
    <row r="129" spans="1:33" ht="14.5" x14ac:dyDescent="0.3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</row>
    <row r="130" spans="1:33" ht="14.5" x14ac:dyDescent="0.3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</row>
    <row r="131" spans="1:33" ht="14.5" x14ac:dyDescent="0.3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</row>
    <row r="132" spans="1:33" ht="14.5" x14ac:dyDescent="0.3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</row>
    <row r="133" spans="1:33" ht="14.5" x14ac:dyDescent="0.3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</row>
    <row r="134" spans="1:33" ht="14.5" x14ac:dyDescent="0.3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</row>
    <row r="135" spans="1:33" ht="14.5" x14ac:dyDescent="0.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</row>
    <row r="136" spans="1:33" ht="14.5" x14ac:dyDescent="0.3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</row>
    <row r="137" spans="1:33" ht="14.5" x14ac:dyDescent="0.3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</row>
    <row r="138" spans="1:33" ht="14.5" x14ac:dyDescent="0.3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</row>
    <row r="139" spans="1:33" ht="14.5" x14ac:dyDescent="0.3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</row>
    <row r="140" spans="1:33" ht="14.5" x14ac:dyDescent="0.3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</row>
    <row r="141" spans="1:33" ht="14.5" x14ac:dyDescent="0.3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</row>
    <row r="142" spans="1:33" ht="14.5" x14ac:dyDescent="0.3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</row>
    <row r="143" spans="1:33" ht="14.5" x14ac:dyDescent="0.3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</row>
    <row r="144" spans="1:33" ht="14.5" x14ac:dyDescent="0.3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</row>
    <row r="145" spans="1:33" ht="14.5" x14ac:dyDescent="0.3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</row>
    <row r="146" spans="1:33" ht="14.5" x14ac:dyDescent="0.3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</row>
    <row r="147" spans="1:33" ht="14.5" x14ac:dyDescent="0.3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</row>
    <row r="148" spans="1:33" ht="14.5" x14ac:dyDescent="0.3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</row>
    <row r="149" spans="1:33" ht="14.5" x14ac:dyDescent="0.3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</row>
    <row r="150" spans="1:33" ht="14.5" x14ac:dyDescent="0.3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</row>
    <row r="151" spans="1:33" ht="14.5" x14ac:dyDescent="0.3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</row>
    <row r="152" spans="1:33" ht="14.5" x14ac:dyDescent="0.3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</row>
    <row r="153" spans="1:33" ht="14.5" x14ac:dyDescent="0.3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</row>
    <row r="154" spans="1:33" ht="14.5" x14ac:dyDescent="0.3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</row>
    <row r="155" spans="1:33" ht="14.5" x14ac:dyDescent="0.3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</row>
    <row r="156" spans="1:33" ht="14.5" x14ac:dyDescent="0.3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</row>
    <row r="157" spans="1:33" ht="14.5" x14ac:dyDescent="0.3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</row>
    <row r="158" spans="1:33" ht="14.5" x14ac:dyDescent="0.3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</row>
    <row r="159" spans="1:33" ht="14.5" x14ac:dyDescent="0.3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</row>
    <row r="160" spans="1:33" ht="14.5" x14ac:dyDescent="0.3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</row>
    <row r="161" spans="1:33" ht="14.5" x14ac:dyDescent="0.3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</row>
    <row r="162" spans="1:33" ht="14.5" x14ac:dyDescent="0.3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</row>
    <row r="163" spans="1:33" ht="14.5" x14ac:dyDescent="0.3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</row>
    <row r="164" spans="1:33" ht="14.5" x14ac:dyDescent="0.3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</row>
    <row r="165" spans="1:33" ht="14.5" x14ac:dyDescent="0.3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</row>
    <row r="166" spans="1:33" ht="14.5" x14ac:dyDescent="0.3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</row>
    <row r="167" spans="1:33" ht="14.5" x14ac:dyDescent="0.3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</row>
    <row r="168" spans="1:33" ht="14.5" x14ac:dyDescent="0.3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</row>
    <row r="169" spans="1:33" ht="14.5" x14ac:dyDescent="0.3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</row>
    <row r="170" spans="1:33" ht="14.5" x14ac:dyDescent="0.3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</row>
    <row r="171" spans="1:33" ht="14.5" x14ac:dyDescent="0.3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</row>
    <row r="172" spans="1:33" ht="14.5" x14ac:dyDescent="0.3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</row>
    <row r="173" spans="1:33" ht="14.5" x14ac:dyDescent="0.3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</row>
    <row r="174" spans="1:33" ht="14.5" x14ac:dyDescent="0.3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</row>
    <row r="175" spans="1:33" ht="14.5" x14ac:dyDescent="0.3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</row>
    <row r="176" spans="1:33" ht="14.5" x14ac:dyDescent="0.3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</row>
    <row r="177" spans="1:33" ht="14.5" x14ac:dyDescent="0.3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</row>
    <row r="178" spans="1:33" ht="14.5" x14ac:dyDescent="0.3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</row>
    <row r="179" spans="1:33" ht="14.5" x14ac:dyDescent="0.3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</row>
    <row r="180" spans="1:33" ht="14.5" x14ac:dyDescent="0.3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</row>
    <row r="181" spans="1:33" ht="14.5" x14ac:dyDescent="0.3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</row>
    <row r="182" spans="1:33" ht="14.5" x14ac:dyDescent="0.3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</row>
    <row r="183" spans="1:33" ht="14.5" x14ac:dyDescent="0.3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</row>
    <row r="184" spans="1:33" ht="14.5" x14ac:dyDescent="0.3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</row>
    <row r="185" spans="1:33" ht="14.5" x14ac:dyDescent="0.3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</row>
    <row r="186" spans="1:33" ht="14.5" x14ac:dyDescent="0.3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</row>
    <row r="187" spans="1:33" ht="14.5" x14ac:dyDescent="0.3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</row>
    <row r="188" spans="1:33" ht="14.5" x14ac:dyDescent="0.3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</row>
    <row r="189" spans="1:33" ht="14.5" x14ac:dyDescent="0.3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</row>
    <row r="190" spans="1:33" ht="14.5" x14ac:dyDescent="0.3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</row>
    <row r="191" spans="1:33" ht="14.5" x14ac:dyDescent="0.3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</row>
    <row r="192" spans="1:33" ht="14.5" x14ac:dyDescent="0.3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</row>
    <row r="193" spans="1:33" ht="14.5" x14ac:dyDescent="0.3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</row>
    <row r="194" spans="1:33" ht="14.5" x14ac:dyDescent="0.3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</row>
    <row r="195" spans="1:33" ht="14.5" x14ac:dyDescent="0.3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</row>
    <row r="196" spans="1:33" ht="14.5" x14ac:dyDescent="0.3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</row>
    <row r="197" spans="1:33" ht="14.5" x14ac:dyDescent="0.3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</row>
    <row r="198" spans="1:33" ht="14.5" x14ac:dyDescent="0.3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</row>
    <row r="199" spans="1:33" ht="14.5" x14ac:dyDescent="0.3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</row>
    <row r="200" spans="1:33" ht="14.5" x14ac:dyDescent="0.3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</row>
    <row r="201" spans="1:33" ht="14.5" x14ac:dyDescent="0.3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</row>
    <row r="202" spans="1:33" ht="14.5" x14ac:dyDescent="0.3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</row>
    <row r="203" spans="1:33" ht="14.5" x14ac:dyDescent="0.3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</row>
    <row r="204" spans="1:33" ht="14.5" x14ac:dyDescent="0.3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</row>
    <row r="205" spans="1:33" ht="14.5" x14ac:dyDescent="0.3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</row>
    <row r="206" spans="1:33" ht="14.5" x14ac:dyDescent="0.3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</row>
    <row r="207" spans="1:33" ht="14.5" x14ac:dyDescent="0.3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</row>
    <row r="208" spans="1:33" ht="14.5" x14ac:dyDescent="0.3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</row>
    <row r="209" spans="1:33" ht="14.5" x14ac:dyDescent="0.3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</row>
    <row r="210" spans="1:33" ht="14.5" x14ac:dyDescent="0.3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</row>
    <row r="211" spans="1:33" ht="14.5" x14ac:dyDescent="0.3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</row>
    <row r="212" spans="1:33" ht="14.5" x14ac:dyDescent="0.3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</row>
    <row r="213" spans="1:33" ht="14.5" x14ac:dyDescent="0.3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</row>
    <row r="214" spans="1:33" ht="14.5" x14ac:dyDescent="0.3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</row>
    <row r="215" spans="1:33" ht="14.5" x14ac:dyDescent="0.3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</row>
    <row r="216" spans="1:33" ht="14.5" x14ac:dyDescent="0.3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</row>
    <row r="217" spans="1:33" ht="14.5" x14ac:dyDescent="0.3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</row>
    <row r="218" spans="1:33" ht="14.5" x14ac:dyDescent="0.3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</row>
    <row r="219" spans="1:33" ht="14.5" x14ac:dyDescent="0.3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</row>
    <row r="220" spans="1:33" ht="14.5" x14ac:dyDescent="0.3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</row>
    <row r="221" spans="1:33" ht="14.5" x14ac:dyDescent="0.3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</row>
    <row r="222" spans="1:33" ht="14.5" x14ac:dyDescent="0.3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</row>
    <row r="223" spans="1:33" ht="14.5" x14ac:dyDescent="0.3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</row>
    <row r="224" spans="1:33" ht="14.5" x14ac:dyDescent="0.3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</row>
    <row r="225" spans="1:33" ht="14.5" x14ac:dyDescent="0.3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</row>
    <row r="226" spans="1:33" ht="14.5" x14ac:dyDescent="0.3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</row>
    <row r="227" spans="1:33" ht="14.5" x14ac:dyDescent="0.3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</row>
    <row r="228" spans="1:33" ht="14.5" x14ac:dyDescent="0.3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</row>
    <row r="229" spans="1:33" ht="14.5" x14ac:dyDescent="0.3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</row>
    <row r="230" spans="1:33" ht="14.5" x14ac:dyDescent="0.3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</row>
    <row r="231" spans="1:33" ht="14.5" x14ac:dyDescent="0.3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</row>
    <row r="232" spans="1:33" ht="14.5" x14ac:dyDescent="0.3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</row>
    <row r="233" spans="1:33" ht="14.5" x14ac:dyDescent="0.3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</row>
    <row r="234" spans="1:33" ht="14.5" x14ac:dyDescent="0.3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</row>
    <row r="235" spans="1:33" ht="14.5" x14ac:dyDescent="0.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</row>
    <row r="236" spans="1:33" ht="14.5" x14ac:dyDescent="0.3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</row>
    <row r="237" spans="1:33" ht="14.5" x14ac:dyDescent="0.3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</row>
    <row r="238" spans="1:33" ht="14.5" x14ac:dyDescent="0.3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</row>
    <row r="239" spans="1:33" ht="14.5" x14ac:dyDescent="0.3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</row>
    <row r="240" spans="1:33" ht="14.5" x14ac:dyDescent="0.3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</row>
    <row r="241" spans="1:33" ht="14.5" x14ac:dyDescent="0.3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</row>
    <row r="242" spans="1:33" ht="14.5" x14ac:dyDescent="0.3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</row>
    <row r="243" spans="1:33" ht="14.5" x14ac:dyDescent="0.3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</row>
    <row r="244" spans="1:33" ht="14.5" x14ac:dyDescent="0.3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</row>
    <row r="245" spans="1:33" ht="14.5" x14ac:dyDescent="0.3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</row>
    <row r="246" spans="1:33" ht="14.5" x14ac:dyDescent="0.3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</row>
    <row r="247" spans="1:33" ht="14.5" x14ac:dyDescent="0.3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</row>
    <row r="248" spans="1:33" ht="14.5" x14ac:dyDescent="0.3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</row>
    <row r="249" spans="1:33" ht="14.5" x14ac:dyDescent="0.3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</row>
    <row r="250" spans="1:33" ht="14.5" x14ac:dyDescent="0.3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</row>
    <row r="251" spans="1:33" ht="14.5" x14ac:dyDescent="0.3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</row>
    <row r="252" spans="1:33" ht="14.5" x14ac:dyDescent="0.3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</row>
    <row r="253" spans="1:33" ht="14.5" x14ac:dyDescent="0.3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</row>
    <row r="254" spans="1:33" ht="14.5" x14ac:dyDescent="0.3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</row>
    <row r="255" spans="1:33" ht="14.5" x14ac:dyDescent="0.3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</row>
    <row r="256" spans="1:33" ht="14.5" x14ac:dyDescent="0.3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</row>
    <row r="257" spans="1:33" ht="14.5" x14ac:dyDescent="0.3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</row>
    <row r="258" spans="1:33" ht="14.5" x14ac:dyDescent="0.3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</row>
    <row r="259" spans="1:33" ht="14.5" x14ac:dyDescent="0.3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</row>
    <row r="260" spans="1:33" ht="14.5" x14ac:dyDescent="0.3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</row>
    <row r="261" spans="1:33" ht="14.5" x14ac:dyDescent="0.3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</row>
    <row r="262" spans="1:33" ht="14.5" x14ac:dyDescent="0.3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</row>
    <row r="263" spans="1:33" ht="14.5" x14ac:dyDescent="0.3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</row>
    <row r="264" spans="1:33" ht="14.5" x14ac:dyDescent="0.3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</row>
    <row r="265" spans="1:33" ht="14.5" x14ac:dyDescent="0.3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</row>
    <row r="266" spans="1:33" ht="14.5" x14ac:dyDescent="0.3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</row>
    <row r="267" spans="1:33" ht="14.5" x14ac:dyDescent="0.3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</row>
    <row r="268" spans="1:33" ht="14.5" x14ac:dyDescent="0.3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</row>
    <row r="269" spans="1:33" ht="14.5" x14ac:dyDescent="0.3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</row>
    <row r="270" spans="1:33" ht="14.5" x14ac:dyDescent="0.3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</row>
    <row r="271" spans="1:33" ht="14.5" x14ac:dyDescent="0.3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</row>
    <row r="272" spans="1:33" ht="14.5" x14ac:dyDescent="0.3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</row>
    <row r="273" spans="1:33" ht="14.5" x14ac:dyDescent="0.3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</row>
    <row r="274" spans="1:33" ht="14.5" x14ac:dyDescent="0.3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</row>
    <row r="275" spans="1:33" ht="14.5" x14ac:dyDescent="0.3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</row>
    <row r="276" spans="1:33" ht="14.5" x14ac:dyDescent="0.3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</row>
    <row r="277" spans="1:33" ht="14.5" x14ac:dyDescent="0.3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</row>
    <row r="278" spans="1:33" ht="14.5" x14ac:dyDescent="0.3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</row>
    <row r="279" spans="1:33" ht="14.5" x14ac:dyDescent="0.3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</row>
    <row r="280" spans="1:33" ht="14.5" x14ac:dyDescent="0.3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</row>
    <row r="281" spans="1:33" ht="14.5" x14ac:dyDescent="0.3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</row>
    <row r="282" spans="1:33" ht="14.5" x14ac:dyDescent="0.3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</row>
    <row r="283" spans="1:33" ht="14.5" x14ac:dyDescent="0.3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</row>
    <row r="284" spans="1:33" ht="14.5" x14ac:dyDescent="0.3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</row>
    <row r="285" spans="1:33" ht="14.5" x14ac:dyDescent="0.3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</row>
    <row r="286" spans="1:33" ht="14.5" x14ac:dyDescent="0.3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</row>
    <row r="287" spans="1:33" ht="14.5" x14ac:dyDescent="0.3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</row>
    <row r="288" spans="1:33" ht="14.5" x14ac:dyDescent="0.3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</row>
    <row r="289" spans="1:33" ht="14.5" x14ac:dyDescent="0.3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</row>
    <row r="290" spans="1:33" ht="14.5" x14ac:dyDescent="0.3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</row>
    <row r="291" spans="1:33" ht="14.5" x14ac:dyDescent="0.3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</row>
    <row r="292" spans="1:33" ht="14.5" x14ac:dyDescent="0.3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</row>
    <row r="293" spans="1:33" ht="14.5" x14ac:dyDescent="0.3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</row>
    <row r="294" spans="1:33" ht="14.5" x14ac:dyDescent="0.3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</row>
    <row r="295" spans="1:33" ht="14.5" x14ac:dyDescent="0.3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</row>
    <row r="296" spans="1:33" ht="14.5" x14ac:dyDescent="0.3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</row>
    <row r="297" spans="1:33" ht="14.5" x14ac:dyDescent="0.3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</row>
    <row r="298" spans="1:33" ht="14.5" x14ac:dyDescent="0.3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</row>
    <row r="299" spans="1:33" ht="14.5" x14ac:dyDescent="0.3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</row>
    <row r="300" spans="1:33" ht="14.5" x14ac:dyDescent="0.3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</row>
    <row r="301" spans="1:33" ht="14.5" x14ac:dyDescent="0.3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</row>
    <row r="302" spans="1:33" ht="14.5" x14ac:dyDescent="0.3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</row>
    <row r="303" spans="1:33" ht="14.5" x14ac:dyDescent="0.3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</row>
    <row r="304" spans="1:33" ht="14.5" x14ac:dyDescent="0.3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</row>
    <row r="305" spans="1:33" ht="14.5" x14ac:dyDescent="0.3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</row>
    <row r="306" spans="1:33" ht="14.5" x14ac:dyDescent="0.3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</row>
    <row r="307" spans="1:33" ht="14.5" x14ac:dyDescent="0.3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</row>
    <row r="308" spans="1:33" ht="14.5" x14ac:dyDescent="0.3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</row>
    <row r="309" spans="1:33" ht="14.5" x14ac:dyDescent="0.3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</row>
    <row r="310" spans="1:33" ht="14.5" x14ac:dyDescent="0.3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</row>
    <row r="311" spans="1:33" ht="14.5" x14ac:dyDescent="0.3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</row>
    <row r="312" spans="1:33" ht="14.5" x14ac:dyDescent="0.3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</row>
    <row r="313" spans="1:33" ht="14.5" x14ac:dyDescent="0.3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</row>
    <row r="314" spans="1:33" ht="14.5" x14ac:dyDescent="0.3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</row>
    <row r="315" spans="1:33" ht="14.5" x14ac:dyDescent="0.3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</row>
    <row r="316" spans="1:33" ht="14.5" x14ac:dyDescent="0.3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</row>
    <row r="317" spans="1:33" ht="14.5" x14ac:dyDescent="0.3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</row>
    <row r="318" spans="1:33" ht="14.5" x14ac:dyDescent="0.3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</row>
    <row r="319" spans="1:33" ht="14.5" x14ac:dyDescent="0.3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</row>
    <row r="320" spans="1:33" ht="14.5" x14ac:dyDescent="0.3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</row>
    <row r="321" spans="1:33" ht="14.5" x14ac:dyDescent="0.3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</row>
    <row r="322" spans="1:33" ht="14.5" x14ac:dyDescent="0.3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</row>
    <row r="323" spans="1:33" ht="14.5" x14ac:dyDescent="0.3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</row>
    <row r="324" spans="1:33" ht="14.5" x14ac:dyDescent="0.3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</row>
    <row r="325" spans="1:33" ht="14.5" x14ac:dyDescent="0.3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</row>
    <row r="326" spans="1:33" ht="14.5" x14ac:dyDescent="0.3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</row>
    <row r="327" spans="1:33" ht="14.5" x14ac:dyDescent="0.3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</row>
    <row r="328" spans="1:33" ht="14.5" x14ac:dyDescent="0.3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</row>
    <row r="329" spans="1:33" ht="14.5" x14ac:dyDescent="0.3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</row>
    <row r="330" spans="1:33" ht="14.5" x14ac:dyDescent="0.3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</row>
    <row r="331" spans="1:33" ht="14.5" x14ac:dyDescent="0.3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</row>
    <row r="332" spans="1:33" ht="14.5" x14ac:dyDescent="0.3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</row>
    <row r="333" spans="1:33" ht="14.5" x14ac:dyDescent="0.3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</row>
    <row r="334" spans="1:33" ht="14.5" x14ac:dyDescent="0.3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</row>
    <row r="335" spans="1:33" ht="14.5" x14ac:dyDescent="0.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</row>
    <row r="336" spans="1:33" ht="14.5" x14ac:dyDescent="0.3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</row>
    <row r="337" spans="1:33" ht="14.5" x14ac:dyDescent="0.3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</row>
    <row r="338" spans="1:33" ht="14.5" x14ac:dyDescent="0.3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</row>
    <row r="339" spans="1:33" ht="14.5" x14ac:dyDescent="0.3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</row>
    <row r="340" spans="1:33" ht="14.5" x14ac:dyDescent="0.3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</row>
    <row r="341" spans="1:33" ht="14.5" x14ac:dyDescent="0.3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</row>
    <row r="342" spans="1:33" ht="14.5" x14ac:dyDescent="0.3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</row>
    <row r="343" spans="1:33" ht="14.5" x14ac:dyDescent="0.3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</row>
    <row r="344" spans="1:33" ht="14.5" x14ac:dyDescent="0.3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</row>
    <row r="345" spans="1:33" ht="14.5" x14ac:dyDescent="0.3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</row>
    <row r="346" spans="1:33" ht="14.5" x14ac:dyDescent="0.3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</row>
    <row r="347" spans="1:33" ht="14.5" x14ac:dyDescent="0.3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</row>
    <row r="348" spans="1:33" ht="14.5" x14ac:dyDescent="0.3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</row>
    <row r="349" spans="1:33" ht="14.5" x14ac:dyDescent="0.3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</row>
    <row r="350" spans="1:33" ht="14.5" x14ac:dyDescent="0.3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</row>
    <row r="351" spans="1:33" ht="14.5" x14ac:dyDescent="0.3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</row>
    <row r="352" spans="1:33" ht="14.5" x14ac:dyDescent="0.3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</row>
    <row r="353" spans="1:33" ht="14.5" x14ac:dyDescent="0.3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</row>
    <row r="354" spans="1:33" ht="14.5" x14ac:dyDescent="0.3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</row>
    <row r="355" spans="1:33" ht="14.5" x14ac:dyDescent="0.3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</row>
    <row r="356" spans="1:33" ht="14.5" x14ac:dyDescent="0.3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</row>
    <row r="357" spans="1:33" ht="14.5" x14ac:dyDescent="0.3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</row>
    <row r="358" spans="1:33" ht="14.5" x14ac:dyDescent="0.3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</row>
    <row r="359" spans="1:33" ht="14.5" x14ac:dyDescent="0.3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</row>
    <row r="360" spans="1:33" ht="14.5" x14ac:dyDescent="0.3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</row>
    <row r="361" spans="1:33" ht="14.5" x14ac:dyDescent="0.3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</row>
    <row r="362" spans="1:33" ht="14.5" x14ac:dyDescent="0.3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</row>
    <row r="363" spans="1:33" ht="14.5" x14ac:dyDescent="0.3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</row>
    <row r="364" spans="1:33" ht="14.5" x14ac:dyDescent="0.3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</row>
    <row r="365" spans="1:33" ht="14.5" x14ac:dyDescent="0.3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</row>
    <row r="366" spans="1:33" ht="14.5" x14ac:dyDescent="0.3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</row>
    <row r="367" spans="1:33" ht="14.5" x14ac:dyDescent="0.3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</row>
    <row r="368" spans="1:33" ht="14.5" x14ac:dyDescent="0.3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</row>
    <row r="369" spans="1:33" ht="14.5" x14ac:dyDescent="0.3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</row>
    <row r="370" spans="1:33" ht="14.5" x14ac:dyDescent="0.3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</row>
    <row r="371" spans="1:33" ht="14.5" x14ac:dyDescent="0.3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</row>
    <row r="372" spans="1:33" ht="14.5" x14ac:dyDescent="0.3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</row>
    <row r="373" spans="1:33" ht="14.5" x14ac:dyDescent="0.3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</row>
    <row r="374" spans="1:33" ht="14.5" x14ac:dyDescent="0.3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</row>
    <row r="375" spans="1:33" ht="14.5" x14ac:dyDescent="0.3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</row>
    <row r="376" spans="1:33" ht="14.5" x14ac:dyDescent="0.3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</row>
    <row r="377" spans="1:33" ht="14.5" x14ac:dyDescent="0.3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</row>
    <row r="378" spans="1:33" ht="14.5" x14ac:dyDescent="0.3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</row>
    <row r="379" spans="1:33" ht="14.5" x14ac:dyDescent="0.3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</row>
    <row r="380" spans="1:33" ht="14.5" x14ac:dyDescent="0.3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</row>
    <row r="381" spans="1:33" ht="14.5" x14ac:dyDescent="0.3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</row>
    <row r="382" spans="1:33" ht="14.5" x14ac:dyDescent="0.3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</row>
    <row r="383" spans="1:33" ht="14.5" x14ac:dyDescent="0.3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</row>
    <row r="384" spans="1:33" ht="14.5" x14ac:dyDescent="0.3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</row>
    <row r="385" spans="1:33" ht="14.5" x14ac:dyDescent="0.3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</row>
    <row r="386" spans="1:33" ht="14.5" x14ac:dyDescent="0.3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</row>
    <row r="387" spans="1:33" ht="14.5" x14ac:dyDescent="0.3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</row>
    <row r="388" spans="1:33" ht="14.5" x14ac:dyDescent="0.3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</row>
    <row r="389" spans="1:33" ht="14.5" x14ac:dyDescent="0.3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</row>
    <row r="390" spans="1:33" ht="14.5" x14ac:dyDescent="0.3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</row>
    <row r="391" spans="1:33" ht="14.5" x14ac:dyDescent="0.3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</row>
    <row r="392" spans="1:33" ht="14.5" x14ac:dyDescent="0.3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</row>
    <row r="393" spans="1:33" ht="14.5" x14ac:dyDescent="0.3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</row>
    <row r="394" spans="1:33" ht="14.5" x14ac:dyDescent="0.3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</row>
    <row r="395" spans="1:33" ht="14.5" x14ac:dyDescent="0.3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</row>
    <row r="396" spans="1:33" ht="14.5" x14ac:dyDescent="0.3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</row>
    <row r="397" spans="1:33" ht="14.5" x14ac:dyDescent="0.3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</row>
    <row r="398" spans="1:33" ht="14.5" x14ac:dyDescent="0.3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</row>
    <row r="399" spans="1:33" ht="14.5" x14ac:dyDescent="0.3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</row>
    <row r="400" spans="1:33" ht="14.5" x14ac:dyDescent="0.3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</row>
    <row r="401" spans="1:33" ht="14.5" x14ac:dyDescent="0.3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</row>
    <row r="402" spans="1:33" ht="14.5" x14ac:dyDescent="0.3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</row>
    <row r="403" spans="1:33" ht="14.5" x14ac:dyDescent="0.3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</row>
    <row r="404" spans="1:33" ht="14.5" x14ac:dyDescent="0.3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</row>
    <row r="405" spans="1:33" ht="14.5" x14ac:dyDescent="0.3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</row>
    <row r="406" spans="1:33" ht="14.5" x14ac:dyDescent="0.3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</row>
    <row r="407" spans="1:33" ht="14.5" x14ac:dyDescent="0.3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</row>
    <row r="408" spans="1:33" ht="14.5" x14ac:dyDescent="0.3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</row>
    <row r="409" spans="1:33" ht="14.5" x14ac:dyDescent="0.3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</row>
    <row r="410" spans="1:33" ht="14.5" x14ac:dyDescent="0.3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</row>
    <row r="411" spans="1:33" ht="14.5" x14ac:dyDescent="0.3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</row>
    <row r="412" spans="1:33" ht="14.5" x14ac:dyDescent="0.3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</row>
    <row r="413" spans="1:33" ht="14.5" x14ac:dyDescent="0.3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</row>
    <row r="414" spans="1:33" ht="14.5" x14ac:dyDescent="0.3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</row>
    <row r="415" spans="1:33" ht="14.5" x14ac:dyDescent="0.3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</row>
    <row r="416" spans="1:33" ht="14.5" x14ac:dyDescent="0.3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</row>
    <row r="417" spans="1:33" ht="14.5" x14ac:dyDescent="0.3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</row>
    <row r="418" spans="1:33" ht="14.5" x14ac:dyDescent="0.3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</row>
    <row r="419" spans="1:33" ht="14.5" x14ac:dyDescent="0.3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</row>
    <row r="420" spans="1:33" ht="14.5" x14ac:dyDescent="0.3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</row>
    <row r="421" spans="1:33" ht="14.5" x14ac:dyDescent="0.3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</row>
    <row r="422" spans="1:33" ht="14.5" x14ac:dyDescent="0.3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</row>
    <row r="423" spans="1:33" ht="14.5" x14ac:dyDescent="0.3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</row>
    <row r="424" spans="1:33" ht="14.5" x14ac:dyDescent="0.3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</row>
    <row r="425" spans="1:33" ht="14.5" x14ac:dyDescent="0.3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</row>
    <row r="426" spans="1:33" ht="14.5" x14ac:dyDescent="0.3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</row>
    <row r="427" spans="1:33" ht="14.5" x14ac:dyDescent="0.3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</row>
    <row r="428" spans="1:33" ht="14.5" x14ac:dyDescent="0.3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</row>
    <row r="429" spans="1:33" ht="14.5" x14ac:dyDescent="0.3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</row>
    <row r="430" spans="1:33" ht="14.5" x14ac:dyDescent="0.3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</row>
    <row r="431" spans="1:33" ht="14.5" x14ac:dyDescent="0.3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</row>
    <row r="432" spans="1:33" ht="14.5" x14ac:dyDescent="0.3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</row>
    <row r="433" spans="1:33" ht="14.5" x14ac:dyDescent="0.3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</row>
    <row r="434" spans="1:33" ht="14.5" x14ac:dyDescent="0.3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</row>
    <row r="435" spans="1:33" ht="14.5" x14ac:dyDescent="0.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</row>
    <row r="436" spans="1:33" ht="14.5" x14ac:dyDescent="0.3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</row>
    <row r="437" spans="1:33" ht="14.5" x14ac:dyDescent="0.3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</row>
    <row r="438" spans="1:33" ht="14.5" x14ac:dyDescent="0.3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</row>
    <row r="439" spans="1:33" ht="14.5" x14ac:dyDescent="0.3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</row>
    <row r="440" spans="1:33" ht="14.5" x14ac:dyDescent="0.3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</row>
    <row r="441" spans="1:33" ht="14.5" x14ac:dyDescent="0.3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</row>
    <row r="442" spans="1:33" ht="14.5" x14ac:dyDescent="0.3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</row>
    <row r="443" spans="1:33" ht="14.5" x14ac:dyDescent="0.3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</row>
    <row r="444" spans="1:33" ht="14.5" x14ac:dyDescent="0.3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</row>
    <row r="445" spans="1:33" ht="14.5" x14ac:dyDescent="0.3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</row>
    <row r="446" spans="1:33" ht="14.5" x14ac:dyDescent="0.3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</row>
    <row r="447" spans="1:33" ht="14.5" x14ac:dyDescent="0.3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</row>
    <row r="448" spans="1:33" ht="14.5" x14ac:dyDescent="0.3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</row>
    <row r="449" spans="1:33" ht="14.5" x14ac:dyDescent="0.3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</row>
    <row r="450" spans="1:33" ht="14.5" x14ac:dyDescent="0.3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</row>
    <row r="451" spans="1:33" ht="14.5" x14ac:dyDescent="0.3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</row>
    <row r="452" spans="1:33" ht="14.5" x14ac:dyDescent="0.3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</row>
    <row r="453" spans="1:33" ht="14.5" x14ac:dyDescent="0.3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</row>
    <row r="454" spans="1:33" ht="14.5" x14ac:dyDescent="0.3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</row>
    <row r="455" spans="1:33" ht="14.5" x14ac:dyDescent="0.3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</row>
    <row r="456" spans="1:33" ht="14.5" x14ac:dyDescent="0.3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</row>
    <row r="457" spans="1:33" ht="14.5" x14ac:dyDescent="0.3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</row>
    <row r="458" spans="1:33" ht="14.5" x14ac:dyDescent="0.3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</row>
    <row r="459" spans="1:33" ht="14.5" x14ac:dyDescent="0.3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</row>
    <row r="460" spans="1:33" ht="14.5" x14ac:dyDescent="0.3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</row>
    <row r="461" spans="1:33" ht="14.5" x14ac:dyDescent="0.3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</row>
    <row r="462" spans="1:33" ht="14.5" x14ac:dyDescent="0.3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</row>
    <row r="463" spans="1:33" ht="14.5" x14ac:dyDescent="0.3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</row>
    <row r="464" spans="1:33" ht="14.5" x14ac:dyDescent="0.3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</row>
    <row r="465" spans="1:33" ht="14.5" x14ac:dyDescent="0.3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</row>
    <row r="466" spans="1:33" ht="14.5" x14ac:dyDescent="0.3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</row>
    <row r="467" spans="1:33" ht="14.5" x14ac:dyDescent="0.3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</row>
    <row r="468" spans="1:33" ht="14.5" x14ac:dyDescent="0.3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</row>
    <row r="469" spans="1:33" ht="14.5" x14ac:dyDescent="0.3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</row>
    <row r="470" spans="1:33" ht="14.5" x14ac:dyDescent="0.3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</row>
    <row r="471" spans="1:33" ht="14.5" x14ac:dyDescent="0.3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</row>
    <row r="472" spans="1:33" ht="14.5" x14ac:dyDescent="0.3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</row>
    <row r="473" spans="1:33" ht="14.5" x14ac:dyDescent="0.3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</row>
    <row r="474" spans="1:33" ht="14.5" x14ac:dyDescent="0.3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</row>
    <row r="475" spans="1:33" ht="14.5" x14ac:dyDescent="0.3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</row>
    <row r="476" spans="1:33" ht="14.5" x14ac:dyDescent="0.3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</row>
    <row r="477" spans="1:33" ht="14.5" x14ac:dyDescent="0.3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</row>
    <row r="478" spans="1:33" ht="14.5" x14ac:dyDescent="0.3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</row>
    <row r="479" spans="1:33" ht="14.5" x14ac:dyDescent="0.3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</row>
    <row r="480" spans="1:33" ht="14.5" x14ac:dyDescent="0.3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</row>
    <row r="481" spans="1:33" ht="14.5" x14ac:dyDescent="0.3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</row>
    <row r="482" spans="1:33" ht="14.5" x14ac:dyDescent="0.3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</row>
    <row r="483" spans="1:33" ht="14.5" x14ac:dyDescent="0.3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</row>
    <row r="484" spans="1:33" ht="14.5" x14ac:dyDescent="0.3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</row>
    <row r="485" spans="1:33" ht="14.5" x14ac:dyDescent="0.3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</row>
    <row r="486" spans="1:33" ht="14.5" x14ac:dyDescent="0.3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</row>
    <row r="487" spans="1:33" ht="14.5" x14ac:dyDescent="0.3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</row>
    <row r="488" spans="1:33" ht="14.5" x14ac:dyDescent="0.3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</row>
    <row r="489" spans="1:33" ht="14.5" x14ac:dyDescent="0.3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</row>
    <row r="490" spans="1:33" ht="14.5" x14ac:dyDescent="0.3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</row>
    <row r="491" spans="1:33" ht="14.5" x14ac:dyDescent="0.3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</row>
    <row r="492" spans="1:33" ht="14.5" x14ac:dyDescent="0.3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</row>
    <row r="493" spans="1:33" ht="14.5" x14ac:dyDescent="0.3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</row>
    <row r="494" spans="1:33" ht="14.5" x14ac:dyDescent="0.3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</row>
    <row r="495" spans="1:33" ht="14.5" x14ac:dyDescent="0.3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</row>
    <row r="496" spans="1:33" ht="14.5" x14ac:dyDescent="0.3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</row>
    <row r="497" spans="1:33" ht="14.5" x14ac:dyDescent="0.3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</row>
    <row r="498" spans="1:33" ht="14.5" x14ac:dyDescent="0.3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</row>
    <row r="499" spans="1:33" ht="14.5" x14ac:dyDescent="0.3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</row>
    <row r="500" spans="1:33" ht="14.5" x14ac:dyDescent="0.3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</row>
    <row r="501" spans="1:33" ht="14.5" x14ac:dyDescent="0.3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</row>
    <row r="502" spans="1:33" ht="14.5" x14ac:dyDescent="0.3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</row>
    <row r="503" spans="1:33" ht="14.5" x14ac:dyDescent="0.3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</row>
    <row r="504" spans="1:33" ht="14.5" x14ac:dyDescent="0.3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</row>
    <row r="505" spans="1:33" ht="14.5" x14ac:dyDescent="0.3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</row>
    <row r="506" spans="1:33" ht="14.5" x14ac:dyDescent="0.3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</row>
    <row r="507" spans="1:33" ht="14.5" x14ac:dyDescent="0.3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</row>
    <row r="508" spans="1:33" ht="14.5" x14ac:dyDescent="0.3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</row>
    <row r="509" spans="1:33" ht="14.5" x14ac:dyDescent="0.3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</row>
    <row r="510" spans="1:33" ht="14.5" x14ac:dyDescent="0.3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</row>
    <row r="511" spans="1:33" ht="14.5" x14ac:dyDescent="0.3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</row>
    <row r="512" spans="1:33" ht="14.5" x14ac:dyDescent="0.3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</row>
    <row r="513" spans="1:33" ht="14.5" x14ac:dyDescent="0.3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</row>
    <row r="514" spans="1:33" ht="14.5" x14ac:dyDescent="0.3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</row>
    <row r="515" spans="1:33" ht="14.5" x14ac:dyDescent="0.3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</row>
    <row r="516" spans="1:33" ht="14.5" x14ac:dyDescent="0.3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</row>
    <row r="517" spans="1:33" ht="14.5" x14ac:dyDescent="0.3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</row>
    <row r="518" spans="1:33" ht="14.5" x14ac:dyDescent="0.3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</row>
    <row r="519" spans="1:33" ht="14.5" x14ac:dyDescent="0.3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</row>
    <row r="520" spans="1:33" ht="14.5" x14ac:dyDescent="0.3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</row>
    <row r="521" spans="1:33" ht="14.5" x14ac:dyDescent="0.3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</row>
    <row r="522" spans="1:33" ht="14.5" x14ac:dyDescent="0.3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</row>
    <row r="523" spans="1:33" ht="14.5" x14ac:dyDescent="0.3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</row>
    <row r="524" spans="1:33" ht="14.5" x14ac:dyDescent="0.3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</row>
    <row r="525" spans="1:33" ht="14.5" x14ac:dyDescent="0.3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</row>
    <row r="526" spans="1:33" ht="14.5" x14ac:dyDescent="0.3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</row>
    <row r="527" spans="1:33" ht="14.5" x14ac:dyDescent="0.3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</row>
    <row r="528" spans="1:33" ht="14.5" x14ac:dyDescent="0.3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</row>
    <row r="529" spans="1:33" ht="14.5" x14ac:dyDescent="0.3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</row>
    <row r="530" spans="1:33" ht="14.5" x14ac:dyDescent="0.3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</row>
    <row r="531" spans="1:33" ht="14.5" x14ac:dyDescent="0.3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</row>
    <row r="532" spans="1:33" ht="14.5" x14ac:dyDescent="0.3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</row>
    <row r="533" spans="1:33" ht="14.5" x14ac:dyDescent="0.3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</row>
    <row r="534" spans="1:33" ht="14.5" x14ac:dyDescent="0.3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</row>
    <row r="535" spans="1:33" ht="14.5" x14ac:dyDescent="0.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</row>
    <row r="536" spans="1:33" ht="14.5" x14ac:dyDescent="0.3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</row>
    <row r="537" spans="1:33" ht="14.5" x14ac:dyDescent="0.3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</row>
    <row r="538" spans="1:33" ht="14.5" x14ac:dyDescent="0.3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</row>
    <row r="539" spans="1:33" ht="14.5" x14ac:dyDescent="0.3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</row>
    <row r="540" spans="1:33" ht="14.5" x14ac:dyDescent="0.3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</row>
    <row r="541" spans="1:33" ht="14.5" x14ac:dyDescent="0.3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</row>
    <row r="542" spans="1:33" ht="14.5" x14ac:dyDescent="0.3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</row>
    <row r="543" spans="1:33" ht="14.5" x14ac:dyDescent="0.3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</row>
    <row r="544" spans="1:33" ht="14.5" x14ac:dyDescent="0.3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</row>
    <row r="545" spans="1:33" ht="14.5" x14ac:dyDescent="0.3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</row>
    <row r="546" spans="1:33" ht="14.5" x14ac:dyDescent="0.3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</row>
    <row r="547" spans="1:33" ht="14.5" x14ac:dyDescent="0.3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</row>
    <row r="548" spans="1:33" ht="14.5" x14ac:dyDescent="0.3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</row>
    <row r="549" spans="1:33" ht="14.5" x14ac:dyDescent="0.3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</row>
    <row r="550" spans="1:33" ht="14.5" x14ac:dyDescent="0.3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</row>
    <row r="551" spans="1:33" ht="14.5" x14ac:dyDescent="0.3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</row>
    <row r="552" spans="1:33" ht="14.5" x14ac:dyDescent="0.3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</row>
    <row r="553" spans="1:33" ht="14.5" x14ac:dyDescent="0.3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</row>
    <row r="554" spans="1:33" ht="14.5" x14ac:dyDescent="0.3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</row>
    <row r="555" spans="1:33" ht="14.5" x14ac:dyDescent="0.3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</row>
    <row r="556" spans="1:33" ht="14.5" x14ac:dyDescent="0.3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</row>
    <row r="557" spans="1:33" ht="14.5" x14ac:dyDescent="0.3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</row>
    <row r="558" spans="1:33" ht="14.5" x14ac:dyDescent="0.3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</row>
    <row r="559" spans="1:33" ht="14.5" x14ac:dyDescent="0.3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</row>
    <row r="560" spans="1:33" ht="14.5" x14ac:dyDescent="0.3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</row>
    <row r="561" spans="1:33" ht="14.5" x14ac:dyDescent="0.3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</row>
    <row r="562" spans="1:33" ht="14.5" x14ac:dyDescent="0.3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</row>
    <row r="563" spans="1:33" ht="14.5" x14ac:dyDescent="0.3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</row>
    <row r="564" spans="1:33" ht="14.5" x14ac:dyDescent="0.3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</row>
    <row r="565" spans="1:33" ht="14.5" x14ac:dyDescent="0.3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</row>
    <row r="566" spans="1:33" ht="14.5" x14ac:dyDescent="0.3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</row>
    <row r="567" spans="1:33" ht="14.5" x14ac:dyDescent="0.3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</row>
    <row r="568" spans="1:33" ht="14.5" x14ac:dyDescent="0.3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</row>
    <row r="569" spans="1:33" ht="14.5" x14ac:dyDescent="0.3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</row>
    <row r="570" spans="1:33" ht="14.5" x14ac:dyDescent="0.3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</row>
    <row r="571" spans="1:33" ht="14.5" x14ac:dyDescent="0.3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</row>
    <row r="572" spans="1:33" ht="14.5" x14ac:dyDescent="0.3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</row>
    <row r="573" spans="1:33" ht="14.5" x14ac:dyDescent="0.3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</row>
    <row r="574" spans="1:33" ht="14.5" x14ac:dyDescent="0.3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</row>
    <row r="575" spans="1:33" ht="14.5" x14ac:dyDescent="0.3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</row>
    <row r="576" spans="1:33" ht="14.5" x14ac:dyDescent="0.3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</row>
    <row r="577" spans="1:33" ht="14.5" x14ac:dyDescent="0.3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</row>
    <row r="578" spans="1:33" ht="14.5" x14ac:dyDescent="0.3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</row>
    <row r="579" spans="1:33" ht="14.5" x14ac:dyDescent="0.3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</row>
    <row r="580" spans="1:33" ht="14.5" x14ac:dyDescent="0.3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</row>
    <row r="581" spans="1:33" ht="14.5" x14ac:dyDescent="0.3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</row>
    <row r="582" spans="1:33" ht="14.5" x14ac:dyDescent="0.3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</row>
    <row r="583" spans="1:33" ht="14.5" x14ac:dyDescent="0.3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</row>
    <row r="584" spans="1:33" ht="14.5" x14ac:dyDescent="0.3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</row>
    <row r="585" spans="1:33" ht="14.5" x14ac:dyDescent="0.3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</row>
    <row r="586" spans="1:33" ht="14.5" x14ac:dyDescent="0.3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</row>
    <row r="587" spans="1:33" ht="14.5" x14ac:dyDescent="0.3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</row>
    <row r="588" spans="1:33" ht="14.5" x14ac:dyDescent="0.3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</row>
    <row r="589" spans="1:33" ht="14.5" x14ac:dyDescent="0.3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</row>
    <row r="590" spans="1:33" ht="14.5" x14ac:dyDescent="0.3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</row>
    <row r="591" spans="1:33" ht="14.5" x14ac:dyDescent="0.3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</row>
    <row r="592" spans="1:33" ht="14.5" x14ac:dyDescent="0.3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</row>
    <row r="593" spans="1:33" ht="14.5" x14ac:dyDescent="0.3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</row>
    <row r="594" spans="1:33" ht="14.5" x14ac:dyDescent="0.3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</row>
    <row r="595" spans="1:33" ht="14.5" x14ac:dyDescent="0.3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</row>
    <row r="596" spans="1:33" ht="14.5" x14ac:dyDescent="0.3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</row>
    <row r="597" spans="1:33" ht="14.5" x14ac:dyDescent="0.3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</row>
    <row r="598" spans="1:33" ht="14.5" x14ac:dyDescent="0.3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</row>
    <row r="599" spans="1:33" ht="14.5" x14ac:dyDescent="0.3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</row>
    <row r="600" spans="1:33" ht="14.5" x14ac:dyDescent="0.3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</row>
    <row r="601" spans="1:33" ht="14.5" x14ac:dyDescent="0.3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</row>
    <row r="602" spans="1:33" ht="14.5" x14ac:dyDescent="0.3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</row>
    <row r="603" spans="1:33" ht="14.5" x14ac:dyDescent="0.3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</row>
    <row r="604" spans="1:33" ht="14.5" x14ac:dyDescent="0.3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</row>
    <row r="605" spans="1:33" ht="14.5" x14ac:dyDescent="0.3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</row>
    <row r="606" spans="1:33" ht="14.5" x14ac:dyDescent="0.3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</row>
    <row r="607" spans="1:33" ht="14.5" x14ac:dyDescent="0.3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</row>
    <row r="608" spans="1:33" ht="14.5" x14ac:dyDescent="0.3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</row>
    <row r="609" spans="1:33" ht="14.5" x14ac:dyDescent="0.3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</row>
    <row r="610" spans="1:33" ht="14.5" x14ac:dyDescent="0.3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</row>
    <row r="611" spans="1:33" ht="14.5" x14ac:dyDescent="0.3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</row>
    <row r="612" spans="1:33" ht="14.5" x14ac:dyDescent="0.3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</row>
    <row r="613" spans="1:33" ht="14.5" x14ac:dyDescent="0.3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</row>
    <row r="614" spans="1:33" ht="14.5" x14ac:dyDescent="0.3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</row>
    <row r="615" spans="1:33" ht="14.5" x14ac:dyDescent="0.3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</row>
    <row r="616" spans="1:33" ht="14.5" x14ac:dyDescent="0.3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</row>
    <row r="617" spans="1:33" ht="14.5" x14ac:dyDescent="0.3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</row>
    <row r="618" spans="1:33" ht="14.5" x14ac:dyDescent="0.3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</row>
    <row r="619" spans="1:33" ht="14.5" x14ac:dyDescent="0.3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</row>
    <row r="620" spans="1:33" ht="14.5" x14ac:dyDescent="0.3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</row>
    <row r="621" spans="1:33" ht="14.5" x14ac:dyDescent="0.3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</row>
    <row r="622" spans="1:33" ht="14.5" x14ac:dyDescent="0.3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</row>
    <row r="623" spans="1:33" ht="14.5" x14ac:dyDescent="0.3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</row>
    <row r="624" spans="1:33" ht="14.5" x14ac:dyDescent="0.3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</row>
    <row r="625" spans="1:33" ht="14.5" x14ac:dyDescent="0.3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</row>
    <row r="626" spans="1:33" ht="14.5" x14ac:dyDescent="0.3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</row>
    <row r="627" spans="1:33" ht="14.5" x14ac:dyDescent="0.3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</row>
    <row r="628" spans="1:33" ht="14.5" x14ac:dyDescent="0.3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</row>
    <row r="629" spans="1:33" ht="14.5" x14ac:dyDescent="0.3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</row>
    <row r="630" spans="1:33" ht="14.5" x14ac:dyDescent="0.3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</row>
    <row r="631" spans="1:33" ht="14.5" x14ac:dyDescent="0.3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</row>
    <row r="632" spans="1:33" ht="14.5" x14ac:dyDescent="0.3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</row>
    <row r="633" spans="1:33" ht="14.5" x14ac:dyDescent="0.3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</row>
    <row r="634" spans="1:33" ht="14.5" x14ac:dyDescent="0.3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</row>
    <row r="635" spans="1:33" ht="14.5" x14ac:dyDescent="0.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</row>
    <row r="636" spans="1:33" ht="14.5" x14ac:dyDescent="0.3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</row>
    <row r="637" spans="1:33" ht="14.5" x14ac:dyDescent="0.3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</row>
    <row r="638" spans="1:33" ht="14.5" x14ac:dyDescent="0.3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</row>
    <row r="639" spans="1:33" ht="14.5" x14ac:dyDescent="0.3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</row>
    <row r="640" spans="1:33" ht="14.5" x14ac:dyDescent="0.3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</row>
    <row r="641" spans="1:33" ht="14.5" x14ac:dyDescent="0.3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</row>
    <row r="642" spans="1:33" ht="14.5" x14ac:dyDescent="0.3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</row>
    <row r="643" spans="1:33" ht="14.5" x14ac:dyDescent="0.3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</row>
    <row r="644" spans="1:33" ht="14.5" x14ac:dyDescent="0.3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</row>
    <row r="645" spans="1:33" ht="14.5" x14ac:dyDescent="0.3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</row>
    <row r="646" spans="1:33" ht="14.5" x14ac:dyDescent="0.3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</row>
    <row r="647" spans="1:33" ht="14.5" x14ac:dyDescent="0.3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</row>
    <row r="648" spans="1:33" ht="14.5" x14ac:dyDescent="0.3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</row>
    <row r="649" spans="1:33" ht="14.5" x14ac:dyDescent="0.3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</row>
    <row r="650" spans="1:33" ht="14.5" x14ac:dyDescent="0.3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</row>
    <row r="651" spans="1:33" ht="14.5" x14ac:dyDescent="0.3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</row>
    <row r="652" spans="1:33" ht="14.5" x14ac:dyDescent="0.3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</row>
    <row r="653" spans="1:33" ht="14.5" x14ac:dyDescent="0.3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</row>
    <row r="654" spans="1:33" ht="14.5" x14ac:dyDescent="0.3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</row>
    <row r="655" spans="1:33" ht="14.5" x14ac:dyDescent="0.3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</row>
    <row r="656" spans="1:33" ht="14.5" x14ac:dyDescent="0.3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</row>
    <row r="657" spans="1:33" ht="14.5" x14ac:dyDescent="0.3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</row>
    <row r="658" spans="1:33" ht="14.5" x14ac:dyDescent="0.3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</row>
    <row r="659" spans="1:33" ht="14.5" x14ac:dyDescent="0.3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</row>
    <row r="660" spans="1:33" ht="14.5" x14ac:dyDescent="0.3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</row>
    <row r="661" spans="1:33" ht="14.5" x14ac:dyDescent="0.3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</row>
    <row r="662" spans="1:33" ht="14.5" x14ac:dyDescent="0.3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</row>
    <row r="663" spans="1:33" ht="14.5" x14ac:dyDescent="0.3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</row>
    <row r="664" spans="1:33" ht="14.5" x14ac:dyDescent="0.3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</row>
    <row r="665" spans="1:33" ht="14.5" x14ac:dyDescent="0.3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</row>
    <row r="666" spans="1:33" ht="14.5" x14ac:dyDescent="0.3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</row>
    <row r="667" spans="1:33" ht="14.5" x14ac:dyDescent="0.3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</row>
    <row r="668" spans="1:33" ht="14.5" x14ac:dyDescent="0.3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</row>
    <row r="669" spans="1:33" ht="14.5" x14ac:dyDescent="0.3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</row>
    <row r="670" spans="1:33" ht="14.5" x14ac:dyDescent="0.3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</row>
    <row r="671" spans="1:33" ht="14.5" x14ac:dyDescent="0.3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</row>
    <row r="672" spans="1:33" ht="14.5" x14ac:dyDescent="0.3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</row>
    <row r="673" spans="1:33" ht="14.5" x14ac:dyDescent="0.3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</row>
    <row r="674" spans="1:33" ht="14.5" x14ac:dyDescent="0.3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</row>
    <row r="675" spans="1:33" ht="14.5" x14ac:dyDescent="0.3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</row>
    <row r="676" spans="1:33" ht="14.5" x14ac:dyDescent="0.3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</row>
    <row r="677" spans="1:33" ht="14.5" x14ac:dyDescent="0.3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</row>
    <row r="678" spans="1:33" ht="14.5" x14ac:dyDescent="0.3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</row>
    <row r="679" spans="1:33" ht="14.5" x14ac:dyDescent="0.3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</row>
    <row r="680" spans="1:33" ht="14.5" x14ac:dyDescent="0.3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</row>
    <row r="681" spans="1:33" ht="14.5" x14ac:dyDescent="0.3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</row>
    <row r="682" spans="1:33" ht="14.5" x14ac:dyDescent="0.3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</row>
    <row r="683" spans="1:33" ht="14.5" x14ac:dyDescent="0.3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</row>
    <row r="684" spans="1:33" ht="14.5" x14ac:dyDescent="0.3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</row>
    <row r="685" spans="1:33" ht="14.5" x14ac:dyDescent="0.3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</row>
    <row r="686" spans="1:33" ht="14.5" x14ac:dyDescent="0.3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</row>
    <row r="687" spans="1:33" ht="14.5" x14ac:dyDescent="0.3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</row>
    <row r="688" spans="1:33" ht="14.5" x14ac:dyDescent="0.3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</row>
    <row r="689" spans="1:33" ht="14.5" x14ac:dyDescent="0.3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</row>
    <row r="690" spans="1:33" ht="14.5" x14ac:dyDescent="0.3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</row>
    <row r="691" spans="1:33" ht="14.5" x14ac:dyDescent="0.3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</row>
    <row r="692" spans="1:33" ht="14.5" x14ac:dyDescent="0.3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</row>
    <row r="693" spans="1:33" ht="14.5" x14ac:dyDescent="0.3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</row>
    <row r="694" spans="1:33" ht="14.5" x14ac:dyDescent="0.3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</row>
    <row r="695" spans="1:33" ht="14.5" x14ac:dyDescent="0.3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</row>
    <row r="696" spans="1:33" ht="14.5" x14ac:dyDescent="0.3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</row>
    <row r="697" spans="1:33" ht="14.5" x14ac:dyDescent="0.3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</row>
    <row r="698" spans="1:33" ht="14.5" x14ac:dyDescent="0.3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</row>
    <row r="699" spans="1:33" ht="14.5" x14ac:dyDescent="0.3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</row>
    <row r="700" spans="1:33" ht="14.5" x14ac:dyDescent="0.3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</row>
    <row r="701" spans="1:33" ht="14.5" x14ac:dyDescent="0.3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</row>
    <row r="702" spans="1:33" ht="14.5" x14ac:dyDescent="0.3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</row>
    <row r="703" spans="1:33" ht="14.5" x14ac:dyDescent="0.3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</row>
    <row r="704" spans="1:33" ht="14.5" x14ac:dyDescent="0.3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</row>
    <row r="705" spans="1:33" ht="14.5" x14ac:dyDescent="0.3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</row>
    <row r="706" spans="1:33" ht="14.5" x14ac:dyDescent="0.3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</row>
    <row r="707" spans="1:33" ht="14.5" x14ac:dyDescent="0.3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</row>
    <row r="708" spans="1:33" ht="14.5" x14ac:dyDescent="0.3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</row>
    <row r="709" spans="1:33" ht="14.5" x14ac:dyDescent="0.3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</row>
    <row r="710" spans="1:33" ht="14.5" x14ac:dyDescent="0.3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</row>
    <row r="711" spans="1:33" ht="14.5" x14ac:dyDescent="0.3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</row>
    <row r="712" spans="1:33" ht="14.5" x14ac:dyDescent="0.3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</row>
    <row r="713" spans="1:33" ht="14.5" x14ac:dyDescent="0.3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</row>
    <row r="714" spans="1:33" ht="14.5" x14ac:dyDescent="0.3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</row>
    <row r="715" spans="1:33" ht="14.5" x14ac:dyDescent="0.3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</row>
    <row r="716" spans="1:33" ht="14.5" x14ac:dyDescent="0.3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</row>
    <row r="717" spans="1:33" ht="14.5" x14ac:dyDescent="0.3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</row>
    <row r="718" spans="1:33" ht="14.5" x14ac:dyDescent="0.3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</row>
    <row r="719" spans="1:33" ht="14.5" x14ac:dyDescent="0.3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</row>
    <row r="720" spans="1:33" ht="14.5" x14ac:dyDescent="0.3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</row>
    <row r="721" spans="1:33" ht="14.5" x14ac:dyDescent="0.3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</row>
    <row r="722" spans="1:33" ht="14.5" x14ac:dyDescent="0.3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</row>
    <row r="723" spans="1:33" ht="14.5" x14ac:dyDescent="0.3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</row>
    <row r="724" spans="1:33" ht="14.5" x14ac:dyDescent="0.3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</row>
    <row r="725" spans="1:33" ht="14.5" x14ac:dyDescent="0.3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</row>
    <row r="726" spans="1:33" ht="14.5" x14ac:dyDescent="0.3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</row>
    <row r="727" spans="1:33" ht="14.5" x14ac:dyDescent="0.3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</row>
    <row r="728" spans="1:33" ht="14.5" x14ac:dyDescent="0.3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</row>
    <row r="729" spans="1:33" ht="14.5" x14ac:dyDescent="0.3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</row>
    <row r="730" spans="1:33" ht="14.5" x14ac:dyDescent="0.3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</row>
    <row r="731" spans="1:33" ht="14.5" x14ac:dyDescent="0.3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</row>
    <row r="732" spans="1:33" ht="14.5" x14ac:dyDescent="0.3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</row>
    <row r="733" spans="1:33" ht="14.5" x14ac:dyDescent="0.3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</row>
    <row r="734" spans="1:33" ht="14.5" x14ac:dyDescent="0.3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</row>
    <row r="735" spans="1:33" ht="14.5" x14ac:dyDescent="0.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</row>
    <row r="736" spans="1:33" ht="14.5" x14ac:dyDescent="0.3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</row>
    <row r="737" spans="1:33" ht="14.5" x14ac:dyDescent="0.3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</row>
    <row r="738" spans="1:33" ht="14.5" x14ac:dyDescent="0.3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</row>
    <row r="739" spans="1:33" ht="14.5" x14ac:dyDescent="0.3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</row>
    <row r="740" spans="1:33" ht="14.5" x14ac:dyDescent="0.3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</row>
    <row r="741" spans="1:33" ht="14.5" x14ac:dyDescent="0.3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</row>
    <row r="742" spans="1:33" ht="14.5" x14ac:dyDescent="0.3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</row>
    <row r="743" spans="1:33" ht="14.5" x14ac:dyDescent="0.3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</row>
    <row r="744" spans="1:33" ht="14.5" x14ac:dyDescent="0.3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</row>
    <row r="745" spans="1:33" ht="14.5" x14ac:dyDescent="0.3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</row>
    <row r="746" spans="1:33" ht="14.5" x14ac:dyDescent="0.3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</row>
    <row r="747" spans="1:33" ht="14.5" x14ac:dyDescent="0.3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</row>
    <row r="748" spans="1:33" ht="14.5" x14ac:dyDescent="0.3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</row>
    <row r="749" spans="1:33" ht="14.5" x14ac:dyDescent="0.3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</row>
    <row r="750" spans="1:33" ht="14.5" x14ac:dyDescent="0.3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</row>
    <row r="751" spans="1:33" ht="14.5" x14ac:dyDescent="0.3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</row>
    <row r="752" spans="1:33" ht="14.5" x14ac:dyDescent="0.3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</row>
    <row r="753" spans="1:33" ht="14.5" x14ac:dyDescent="0.3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</row>
    <row r="754" spans="1:33" ht="14.5" x14ac:dyDescent="0.3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</row>
    <row r="755" spans="1:33" ht="14.5" x14ac:dyDescent="0.3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</row>
    <row r="756" spans="1:33" ht="14.5" x14ac:dyDescent="0.3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</row>
    <row r="757" spans="1:33" ht="14.5" x14ac:dyDescent="0.3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</row>
    <row r="758" spans="1:33" ht="14.5" x14ac:dyDescent="0.3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</row>
    <row r="759" spans="1:33" ht="14.5" x14ac:dyDescent="0.3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</row>
    <row r="760" spans="1:33" ht="14.5" x14ac:dyDescent="0.3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</row>
    <row r="761" spans="1:33" ht="14.5" x14ac:dyDescent="0.3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</row>
    <row r="762" spans="1:33" ht="14.5" x14ac:dyDescent="0.3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</row>
    <row r="763" spans="1:33" ht="14.5" x14ac:dyDescent="0.3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</row>
    <row r="764" spans="1:33" ht="14.5" x14ac:dyDescent="0.3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</row>
    <row r="765" spans="1:33" ht="14.5" x14ac:dyDescent="0.3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</row>
    <row r="766" spans="1:33" ht="14.5" x14ac:dyDescent="0.3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</row>
    <row r="767" spans="1:33" ht="14.5" x14ac:dyDescent="0.3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</row>
    <row r="768" spans="1:33" ht="14.5" x14ac:dyDescent="0.3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</row>
    <row r="769" spans="1:33" ht="14.5" x14ac:dyDescent="0.3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</row>
    <row r="770" spans="1:33" ht="14.5" x14ac:dyDescent="0.3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</row>
    <row r="771" spans="1:33" ht="14.5" x14ac:dyDescent="0.3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</row>
    <row r="772" spans="1:33" ht="14.5" x14ac:dyDescent="0.3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</row>
    <row r="773" spans="1:33" ht="14.5" x14ac:dyDescent="0.3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</row>
    <row r="774" spans="1:33" ht="14.5" x14ac:dyDescent="0.3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</row>
    <row r="775" spans="1:33" ht="14.5" x14ac:dyDescent="0.3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</row>
    <row r="776" spans="1:33" ht="14.5" x14ac:dyDescent="0.3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</row>
    <row r="777" spans="1:33" ht="14.5" x14ac:dyDescent="0.3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</row>
    <row r="778" spans="1:33" ht="14.5" x14ac:dyDescent="0.3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</row>
    <row r="779" spans="1:33" ht="14.5" x14ac:dyDescent="0.3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</row>
    <row r="780" spans="1:33" ht="14.5" x14ac:dyDescent="0.3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</row>
    <row r="781" spans="1:33" ht="14.5" x14ac:dyDescent="0.3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</row>
    <row r="782" spans="1:33" ht="14.5" x14ac:dyDescent="0.3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</row>
    <row r="783" spans="1:33" ht="14.5" x14ac:dyDescent="0.3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</row>
    <row r="784" spans="1:33" ht="14.5" x14ac:dyDescent="0.3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</row>
    <row r="785" spans="1:33" ht="14.5" x14ac:dyDescent="0.3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</row>
    <row r="786" spans="1:33" ht="14.5" x14ac:dyDescent="0.3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</row>
    <row r="787" spans="1:33" ht="14.5" x14ac:dyDescent="0.3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</row>
    <row r="788" spans="1:33" ht="14.5" x14ac:dyDescent="0.3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</row>
    <row r="789" spans="1:33" ht="14.5" x14ac:dyDescent="0.3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</row>
    <row r="790" spans="1:33" ht="14.5" x14ac:dyDescent="0.3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</row>
    <row r="791" spans="1:33" ht="14.5" x14ac:dyDescent="0.3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</row>
    <row r="792" spans="1:33" ht="14.5" x14ac:dyDescent="0.3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</row>
    <row r="793" spans="1:33" ht="14.5" x14ac:dyDescent="0.3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</row>
    <row r="794" spans="1:33" ht="14.5" x14ac:dyDescent="0.3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</row>
    <row r="795" spans="1:33" ht="14.5" x14ac:dyDescent="0.3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</row>
    <row r="796" spans="1:33" ht="14.5" x14ac:dyDescent="0.3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</row>
    <row r="797" spans="1:33" ht="14.5" x14ac:dyDescent="0.3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</row>
    <row r="798" spans="1:33" ht="14.5" x14ac:dyDescent="0.3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</row>
    <row r="799" spans="1:33" ht="14.5" x14ac:dyDescent="0.3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</row>
    <row r="800" spans="1:33" ht="14.5" x14ac:dyDescent="0.3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</row>
    <row r="801" spans="1:33" ht="14.5" x14ac:dyDescent="0.3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</row>
    <row r="802" spans="1:33" ht="14.5" x14ac:dyDescent="0.3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</row>
    <row r="803" spans="1:33" ht="14.5" x14ac:dyDescent="0.3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</row>
    <row r="804" spans="1:33" ht="14.5" x14ac:dyDescent="0.3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</row>
    <row r="805" spans="1:33" ht="14.5" x14ac:dyDescent="0.3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</row>
    <row r="806" spans="1:33" ht="14.5" x14ac:dyDescent="0.3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</row>
    <row r="807" spans="1:33" ht="14.5" x14ac:dyDescent="0.3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</row>
    <row r="808" spans="1:33" ht="14.5" x14ac:dyDescent="0.3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</row>
    <row r="809" spans="1:33" ht="14.5" x14ac:dyDescent="0.3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</row>
    <row r="810" spans="1:33" ht="14.5" x14ac:dyDescent="0.3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</row>
    <row r="811" spans="1:33" ht="14.5" x14ac:dyDescent="0.3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</row>
    <row r="812" spans="1:33" ht="14.5" x14ac:dyDescent="0.3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</row>
    <row r="813" spans="1:33" ht="14.5" x14ac:dyDescent="0.3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</row>
    <row r="814" spans="1:33" ht="14.5" x14ac:dyDescent="0.3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</row>
    <row r="815" spans="1:33" ht="14.5" x14ac:dyDescent="0.3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</row>
    <row r="816" spans="1:33" ht="14.5" x14ac:dyDescent="0.3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</row>
    <row r="817" spans="1:33" ht="14.5" x14ac:dyDescent="0.3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</row>
    <row r="818" spans="1:33" ht="14.5" x14ac:dyDescent="0.3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</row>
    <row r="819" spans="1:33" ht="14.5" x14ac:dyDescent="0.3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</row>
    <row r="820" spans="1:33" ht="14.5" x14ac:dyDescent="0.3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</row>
    <row r="821" spans="1:33" ht="14.5" x14ac:dyDescent="0.3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</row>
    <row r="822" spans="1:33" ht="14.5" x14ac:dyDescent="0.3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</row>
    <row r="823" spans="1:33" ht="14.5" x14ac:dyDescent="0.3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</row>
    <row r="824" spans="1:33" ht="14.5" x14ac:dyDescent="0.3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</row>
    <row r="825" spans="1:33" ht="14.5" x14ac:dyDescent="0.3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</row>
    <row r="826" spans="1:33" ht="14.5" x14ac:dyDescent="0.3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</row>
    <row r="827" spans="1:33" ht="14.5" x14ac:dyDescent="0.3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</row>
    <row r="828" spans="1:33" ht="14.5" x14ac:dyDescent="0.3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</row>
    <row r="829" spans="1:33" ht="14.5" x14ac:dyDescent="0.3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</row>
    <row r="830" spans="1:33" ht="14.5" x14ac:dyDescent="0.3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</row>
    <row r="831" spans="1:33" ht="14.5" x14ac:dyDescent="0.3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</row>
    <row r="832" spans="1:33" ht="14.5" x14ac:dyDescent="0.3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</row>
    <row r="833" spans="1:33" ht="14.5" x14ac:dyDescent="0.3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</row>
    <row r="834" spans="1:33" ht="14.5" x14ac:dyDescent="0.3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</row>
    <row r="835" spans="1:33" ht="14.5" x14ac:dyDescent="0.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</row>
    <row r="836" spans="1:33" ht="14.5" x14ac:dyDescent="0.3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</row>
    <row r="837" spans="1:33" ht="14.5" x14ac:dyDescent="0.3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</row>
    <row r="838" spans="1:33" ht="14.5" x14ac:dyDescent="0.3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</row>
    <row r="839" spans="1:33" ht="14.5" x14ac:dyDescent="0.3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</row>
    <row r="840" spans="1:33" ht="14.5" x14ac:dyDescent="0.3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</row>
    <row r="841" spans="1:33" ht="14.5" x14ac:dyDescent="0.3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</row>
    <row r="842" spans="1:33" ht="14.5" x14ac:dyDescent="0.3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</row>
    <row r="843" spans="1:33" ht="14.5" x14ac:dyDescent="0.3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</row>
    <row r="844" spans="1:33" ht="14.5" x14ac:dyDescent="0.3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</row>
    <row r="845" spans="1:33" ht="14.5" x14ac:dyDescent="0.3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</row>
    <row r="846" spans="1:33" ht="14.5" x14ac:dyDescent="0.3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</row>
    <row r="847" spans="1:33" ht="14.5" x14ac:dyDescent="0.3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</row>
    <row r="848" spans="1:33" ht="14.5" x14ac:dyDescent="0.3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</row>
    <row r="849" spans="1:33" ht="14.5" x14ac:dyDescent="0.3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</row>
    <row r="850" spans="1:33" ht="14.5" x14ac:dyDescent="0.3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</row>
    <row r="851" spans="1:33" ht="14.5" x14ac:dyDescent="0.3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</row>
    <row r="852" spans="1:33" ht="14.5" x14ac:dyDescent="0.3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</row>
    <row r="853" spans="1:33" ht="14.5" x14ac:dyDescent="0.3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</row>
    <row r="854" spans="1:33" ht="14.5" x14ac:dyDescent="0.3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</row>
    <row r="855" spans="1:33" ht="14.5" x14ac:dyDescent="0.3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</row>
    <row r="856" spans="1:33" ht="14.5" x14ac:dyDescent="0.3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</row>
    <row r="857" spans="1:33" ht="14.5" x14ac:dyDescent="0.3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</row>
    <row r="858" spans="1:33" ht="14.5" x14ac:dyDescent="0.3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</row>
    <row r="859" spans="1:33" ht="14.5" x14ac:dyDescent="0.3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</row>
    <row r="860" spans="1:33" ht="14.5" x14ac:dyDescent="0.3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</row>
    <row r="861" spans="1:33" ht="14.5" x14ac:dyDescent="0.3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</row>
    <row r="862" spans="1:33" ht="14.5" x14ac:dyDescent="0.3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</row>
    <row r="863" spans="1:33" ht="14.5" x14ac:dyDescent="0.3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</row>
    <row r="864" spans="1:33" ht="14.5" x14ac:dyDescent="0.3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</row>
    <row r="865" spans="1:33" ht="14.5" x14ac:dyDescent="0.3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</row>
    <row r="866" spans="1:33" ht="14.5" x14ac:dyDescent="0.3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</row>
    <row r="867" spans="1:33" ht="14.5" x14ac:dyDescent="0.3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</row>
    <row r="868" spans="1:33" ht="14.5" x14ac:dyDescent="0.3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</row>
    <row r="869" spans="1:33" ht="14.5" x14ac:dyDescent="0.3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</row>
    <row r="870" spans="1:33" ht="14.5" x14ac:dyDescent="0.3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</row>
    <row r="871" spans="1:33" ht="14.5" x14ac:dyDescent="0.3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</row>
    <row r="872" spans="1:33" ht="14.5" x14ac:dyDescent="0.3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</row>
    <row r="873" spans="1:33" ht="14.5" x14ac:dyDescent="0.3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</row>
    <row r="874" spans="1:33" ht="14.5" x14ac:dyDescent="0.3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</row>
    <row r="875" spans="1:33" ht="14.5" x14ac:dyDescent="0.3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</row>
    <row r="876" spans="1:33" ht="14.5" x14ac:dyDescent="0.3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</row>
    <row r="877" spans="1:33" ht="14.5" x14ac:dyDescent="0.3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</row>
    <row r="878" spans="1:33" ht="14.5" x14ac:dyDescent="0.3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</row>
    <row r="879" spans="1:33" ht="14.5" x14ac:dyDescent="0.3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</row>
    <row r="880" spans="1:33" ht="14.5" x14ac:dyDescent="0.3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</row>
    <row r="881" spans="1:33" ht="14.5" x14ac:dyDescent="0.3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</row>
    <row r="882" spans="1:33" ht="14.5" x14ac:dyDescent="0.3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</row>
    <row r="883" spans="1:33" ht="14.5" x14ac:dyDescent="0.3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</row>
    <row r="884" spans="1:33" ht="14.5" x14ac:dyDescent="0.3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</row>
    <row r="885" spans="1:33" ht="14.5" x14ac:dyDescent="0.3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</row>
    <row r="886" spans="1:33" ht="14.5" x14ac:dyDescent="0.3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</row>
    <row r="887" spans="1:33" ht="14.5" x14ac:dyDescent="0.3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</row>
    <row r="888" spans="1:33" ht="14.5" x14ac:dyDescent="0.3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</row>
    <row r="889" spans="1:33" ht="14.5" x14ac:dyDescent="0.3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</row>
    <row r="890" spans="1:33" ht="14.5" x14ac:dyDescent="0.3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</row>
    <row r="891" spans="1:33" ht="14.5" x14ac:dyDescent="0.3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</row>
    <row r="892" spans="1:33" ht="14.5" x14ac:dyDescent="0.3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</row>
    <row r="893" spans="1:33" ht="14.5" x14ac:dyDescent="0.3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</row>
    <row r="894" spans="1:33" ht="14.5" x14ac:dyDescent="0.3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</row>
    <row r="895" spans="1:33" ht="14.5" x14ac:dyDescent="0.3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</row>
    <row r="896" spans="1:33" ht="14.5" x14ac:dyDescent="0.3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</row>
    <row r="897" spans="1:33" ht="14.5" x14ac:dyDescent="0.3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</row>
    <row r="898" spans="1:33" ht="14.5" x14ac:dyDescent="0.3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</row>
    <row r="899" spans="1:33" ht="14.5" x14ac:dyDescent="0.3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</row>
    <row r="900" spans="1:33" ht="14.5" x14ac:dyDescent="0.3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</row>
    <row r="901" spans="1:33" ht="14.5" x14ac:dyDescent="0.3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</row>
    <row r="902" spans="1:33" ht="14.5" x14ac:dyDescent="0.3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</row>
    <row r="903" spans="1:33" ht="14.5" x14ac:dyDescent="0.3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</row>
    <row r="904" spans="1:33" ht="14.5" x14ac:dyDescent="0.3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</row>
    <row r="905" spans="1:33" ht="14.5" x14ac:dyDescent="0.3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</row>
    <row r="906" spans="1:33" ht="14.5" x14ac:dyDescent="0.3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</row>
    <row r="907" spans="1:33" ht="14.5" x14ac:dyDescent="0.3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</row>
    <row r="908" spans="1:33" ht="14.5" x14ac:dyDescent="0.3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</row>
    <row r="909" spans="1:33" ht="14.5" x14ac:dyDescent="0.3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</row>
    <row r="910" spans="1:33" ht="14.5" x14ac:dyDescent="0.3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</row>
    <row r="911" spans="1:33" ht="14.5" x14ac:dyDescent="0.3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</row>
    <row r="912" spans="1:33" ht="14.5" x14ac:dyDescent="0.3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</row>
    <row r="913" spans="1:33" ht="14.5" x14ac:dyDescent="0.3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</row>
    <row r="914" spans="1:33" ht="14.5" x14ac:dyDescent="0.3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</row>
    <row r="915" spans="1:33" ht="14.5" x14ac:dyDescent="0.3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</row>
    <row r="916" spans="1:33" ht="14.5" x14ac:dyDescent="0.3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</row>
    <row r="917" spans="1:33" ht="14.5" x14ac:dyDescent="0.3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</row>
    <row r="918" spans="1:33" ht="14.5" x14ac:dyDescent="0.3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</row>
    <row r="919" spans="1:33" ht="14.5" x14ac:dyDescent="0.3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</row>
    <row r="920" spans="1:33" ht="14.5" x14ac:dyDescent="0.3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</row>
    <row r="921" spans="1:33" ht="14.5" x14ac:dyDescent="0.3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</row>
    <row r="922" spans="1:33" ht="14.5" x14ac:dyDescent="0.3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</row>
    <row r="923" spans="1:33" ht="14.5" x14ac:dyDescent="0.3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</row>
    <row r="924" spans="1:33" ht="14.5" x14ac:dyDescent="0.3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</row>
    <row r="925" spans="1:33" ht="14.5" x14ac:dyDescent="0.3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</row>
    <row r="926" spans="1:33" ht="14.5" x14ac:dyDescent="0.3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</row>
    <row r="927" spans="1:33" ht="14.5" x14ac:dyDescent="0.3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</row>
    <row r="928" spans="1:33" ht="14.5" x14ac:dyDescent="0.3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</row>
    <row r="929" spans="1:33" ht="14.5" x14ac:dyDescent="0.3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</row>
    <row r="930" spans="1:33" ht="14.5" x14ac:dyDescent="0.3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</row>
    <row r="931" spans="1:33" ht="14.5" x14ac:dyDescent="0.3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</row>
    <row r="932" spans="1:33" ht="14.5" x14ac:dyDescent="0.3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</row>
    <row r="933" spans="1:33" ht="14.5" x14ac:dyDescent="0.3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</row>
    <row r="934" spans="1:33" ht="14.5" x14ac:dyDescent="0.3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</row>
    <row r="935" spans="1:33" ht="14.5" x14ac:dyDescent="0.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</row>
    <row r="936" spans="1:33" ht="14.5" x14ac:dyDescent="0.3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</row>
    <row r="937" spans="1:33" ht="14.5" x14ac:dyDescent="0.3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</row>
    <row r="938" spans="1:33" ht="14.5" x14ac:dyDescent="0.3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</row>
    <row r="939" spans="1:33" ht="14.5" x14ac:dyDescent="0.3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</row>
    <row r="940" spans="1:33" ht="14.5" x14ac:dyDescent="0.3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</row>
    <row r="941" spans="1:33" ht="14.5" x14ac:dyDescent="0.3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</row>
    <row r="942" spans="1:33" ht="14.5" x14ac:dyDescent="0.3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</row>
    <row r="943" spans="1:33" ht="14.5" x14ac:dyDescent="0.3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</row>
    <row r="944" spans="1:33" ht="14.5" x14ac:dyDescent="0.3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</row>
    <row r="945" spans="1:33" ht="14.5" x14ac:dyDescent="0.3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</row>
    <row r="946" spans="1:33" ht="14.5" x14ac:dyDescent="0.3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</row>
    <row r="947" spans="1:33" ht="14.5" x14ac:dyDescent="0.3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</row>
    <row r="948" spans="1:33" ht="14.5" x14ac:dyDescent="0.3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</row>
    <row r="949" spans="1:33" ht="14.5" x14ac:dyDescent="0.3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</row>
    <row r="950" spans="1:33" ht="14.5" x14ac:dyDescent="0.3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</row>
    <row r="951" spans="1:33" ht="14.5" x14ac:dyDescent="0.3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</row>
    <row r="952" spans="1:33" ht="14.5" x14ac:dyDescent="0.3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</row>
    <row r="953" spans="1:33" ht="14.5" x14ac:dyDescent="0.3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</row>
    <row r="954" spans="1:33" ht="14.5" x14ac:dyDescent="0.3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</row>
    <row r="955" spans="1:33" ht="14.5" x14ac:dyDescent="0.3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</row>
    <row r="956" spans="1:33" ht="14.5" x14ac:dyDescent="0.3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</row>
    <row r="957" spans="1:33" ht="14.5" x14ac:dyDescent="0.3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</row>
    <row r="958" spans="1:33" ht="14.5" x14ac:dyDescent="0.3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</row>
    <row r="959" spans="1:33" ht="14.5" x14ac:dyDescent="0.3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</row>
    <row r="960" spans="1:33" ht="14.5" x14ac:dyDescent="0.3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</row>
    <row r="961" spans="1:33" ht="14.5" x14ac:dyDescent="0.3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</row>
    <row r="962" spans="1:33" ht="14.5" x14ac:dyDescent="0.3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</row>
    <row r="963" spans="1:33" ht="14.5" x14ac:dyDescent="0.3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</row>
    <row r="964" spans="1:33" ht="14.5" x14ac:dyDescent="0.3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</row>
    <row r="965" spans="1:33" ht="14.5" x14ac:dyDescent="0.3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</row>
    <row r="966" spans="1:33" ht="14.5" x14ac:dyDescent="0.3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</row>
    <row r="967" spans="1:33" ht="14.5" x14ac:dyDescent="0.3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</row>
    <row r="968" spans="1:33" ht="14.5" x14ac:dyDescent="0.3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</row>
    <row r="969" spans="1:33" ht="14.5" x14ac:dyDescent="0.3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</row>
    <row r="970" spans="1:33" ht="14.5" x14ac:dyDescent="0.3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</row>
    <row r="971" spans="1:33" ht="14.5" x14ac:dyDescent="0.3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</row>
    <row r="972" spans="1:33" ht="14.5" x14ac:dyDescent="0.3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</row>
    <row r="973" spans="1:33" ht="14.5" x14ac:dyDescent="0.3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</row>
    <row r="974" spans="1:33" ht="14.5" x14ac:dyDescent="0.3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</row>
    <row r="975" spans="1:33" ht="14.5" x14ac:dyDescent="0.3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</row>
    <row r="976" spans="1:33" ht="14.5" x14ac:dyDescent="0.3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</row>
    <row r="977" spans="1:33" ht="14.5" x14ac:dyDescent="0.3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</row>
    <row r="978" spans="1:33" ht="14.5" x14ac:dyDescent="0.3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</row>
    <row r="979" spans="1:33" ht="14.5" x14ac:dyDescent="0.3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</row>
    <row r="980" spans="1:33" ht="14.5" x14ac:dyDescent="0.3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</row>
    <row r="981" spans="1:33" ht="14.5" x14ac:dyDescent="0.3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</row>
    <row r="982" spans="1:33" ht="14.5" x14ac:dyDescent="0.3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</row>
    <row r="983" spans="1:33" ht="14.5" x14ac:dyDescent="0.3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</row>
    <row r="984" spans="1:33" ht="14.5" x14ac:dyDescent="0.3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</row>
    <row r="985" spans="1:33" ht="14.5" x14ac:dyDescent="0.3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</row>
    <row r="986" spans="1:33" ht="14.5" x14ac:dyDescent="0.3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</row>
    <row r="987" spans="1:33" ht="14.5" x14ac:dyDescent="0.3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</row>
    <row r="988" spans="1:33" ht="14.5" x14ac:dyDescent="0.3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</row>
    <row r="989" spans="1:33" ht="14.5" x14ac:dyDescent="0.3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</row>
    <row r="990" spans="1:33" ht="14.5" x14ac:dyDescent="0.3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</row>
    <row r="991" spans="1:33" ht="14.5" x14ac:dyDescent="0.3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</row>
    <row r="992" spans="1:33" ht="14.5" x14ac:dyDescent="0.3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</row>
    <row r="993" spans="1:33" ht="14.5" x14ac:dyDescent="0.3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</row>
    <row r="994" spans="1:33" ht="14.5" x14ac:dyDescent="0.3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</row>
    <row r="995" spans="1:33" ht="14.5" x14ac:dyDescent="0.3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I1017"/>
  <sheetViews>
    <sheetView workbookViewId="0"/>
  </sheetViews>
  <sheetFormatPr defaultColWidth="12.6328125" defaultRowHeight="15.75" customHeight="1" x14ac:dyDescent="0.25"/>
  <cols>
    <col min="2" max="2" width="27.7265625" customWidth="1"/>
    <col min="3" max="3" width="16" customWidth="1"/>
    <col min="5" max="5" width="15.26953125" customWidth="1"/>
    <col min="6" max="7" width="15.7265625" customWidth="1"/>
    <col min="8" max="9" width="16.08984375" customWidth="1"/>
  </cols>
  <sheetData>
    <row r="1" spans="1:35" ht="15.75" customHeight="1" x14ac:dyDescent="0.35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7"/>
      <c r="AF1" s="7"/>
      <c r="AG1" s="7"/>
      <c r="AH1" s="7"/>
      <c r="AI1" s="7"/>
    </row>
    <row r="2" spans="1:35" ht="15.75" customHeight="1" x14ac:dyDescent="0.35">
      <c r="A2" s="19"/>
      <c r="B2" s="99" t="s">
        <v>344</v>
      </c>
      <c r="C2" s="232" t="s">
        <v>210</v>
      </c>
      <c r="D2" s="225"/>
      <c r="E2" s="225"/>
      <c r="F2" s="225"/>
      <c r="G2" s="225"/>
      <c r="H2" s="226"/>
      <c r="I2" s="232" t="s">
        <v>211</v>
      </c>
      <c r="J2" s="225"/>
      <c r="K2" s="225"/>
      <c r="L2" s="225"/>
      <c r="M2" s="225"/>
      <c r="N2" s="226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7"/>
      <c r="AF2" s="7"/>
      <c r="AG2" s="7"/>
      <c r="AH2" s="7"/>
      <c r="AI2" s="7"/>
    </row>
    <row r="3" spans="1:35" ht="15.75" customHeight="1" x14ac:dyDescent="0.35">
      <c r="A3" s="19"/>
      <c r="B3" s="72" t="s">
        <v>213</v>
      </c>
      <c r="C3" s="1" t="s">
        <v>214</v>
      </c>
      <c r="D3" s="1" t="s">
        <v>215</v>
      </c>
      <c r="E3" s="1" t="s">
        <v>216</v>
      </c>
      <c r="F3" s="1" t="s">
        <v>217</v>
      </c>
      <c r="G3" s="1" t="s">
        <v>218</v>
      </c>
      <c r="H3" s="73" t="s">
        <v>219</v>
      </c>
      <c r="I3" s="1" t="s">
        <v>220</v>
      </c>
      <c r="J3" s="1" t="s">
        <v>221</v>
      </c>
      <c r="K3" s="1" t="s">
        <v>222</v>
      </c>
      <c r="L3" s="1" t="s">
        <v>223</v>
      </c>
      <c r="M3" s="1" t="s">
        <v>224</v>
      </c>
      <c r="N3" s="73" t="s">
        <v>225</v>
      </c>
      <c r="O3" s="45"/>
      <c r="P3" s="45" t="s">
        <v>213</v>
      </c>
      <c r="Q3" s="7" t="s">
        <v>226</v>
      </c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7"/>
      <c r="AF3" s="7"/>
      <c r="AG3" s="7"/>
      <c r="AH3" s="7"/>
      <c r="AI3" s="7"/>
    </row>
    <row r="4" spans="1:35" ht="15.75" customHeight="1" x14ac:dyDescent="0.35">
      <c r="A4" s="19"/>
      <c r="B4" s="102">
        <v>5000</v>
      </c>
      <c r="C4" s="75">
        <v>4740.7</v>
      </c>
      <c r="D4" s="75">
        <v>4981.1000000000004</v>
      </c>
      <c r="E4" s="75">
        <v>5239968.22</v>
      </c>
      <c r="F4" s="75">
        <v>369107.67</v>
      </c>
      <c r="G4" s="75">
        <v>13842182.18</v>
      </c>
      <c r="H4" s="76">
        <v>1798000.76</v>
      </c>
      <c r="I4" s="75">
        <v>1.54</v>
      </c>
      <c r="J4" s="75">
        <v>2.782</v>
      </c>
      <c r="K4" s="75">
        <v>0.83299999999999996</v>
      </c>
      <c r="L4" s="75">
        <v>2.44</v>
      </c>
      <c r="M4" s="75">
        <v>1.659</v>
      </c>
      <c r="N4" s="76">
        <v>2.7789999999999999</v>
      </c>
      <c r="O4" s="45"/>
      <c r="P4" s="45" t="s">
        <v>227</v>
      </c>
      <c r="Q4" s="7" t="s">
        <v>228</v>
      </c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7"/>
      <c r="AF4" s="7"/>
      <c r="AG4" s="7"/>
      <c r="AH4" s="7"/>
      <c r="AI4" s="7"/>
    </row>
    <row r="5" spans="1:35" ht="15.75" customHeight="1" x14ac:dyDescent="0.35">
      <c r="A5" s="19"/>
      <c r="B5" s="102">
        <v>5000</v>
      </c>
      <c r="C5" s="75">
        <v>4775.3999999999996</v>
      </c>
      <c r="D5" s="75">
        <v>5142</v>
      </c>
      <c r="E5" s="75">
        <v>5244782.62</v>
      </c>
      <c r="F5" s="75">
        <v>320558.93</v>
      </c>
      <c r="G5" s="77"/>
      <c r="H5" s="78"/>
      <c r="I5" s="75">
        <v>1.522</v>
      </c>
      <c r="J5" s="75">
        <v>2.7440000000000002</v>
      </c>
      <c r="K5" s="75">
        <v>0.82599999999999996</v>
      </c>
      <c r="L5" s="77">
        <v>2.4329999999999998</v>
      </c>
      <c r="M5" s="75">
        <v>1.6519999999999999</v>
      </c>
      <c r="N5" s="78">
        <v>2.7719999999999998</v>
      </c>
      <c r="O5" s="41"/>
      <c r="P5" s="41" t="s">
        <v>229</v>
      </c>
      <c r="Q5" s="7" t="s">
        <v>230</v>
      </c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7"/>
      <c r="AF5" s="7"/>
      <c r="AG5" s="7"/>
      <c r="AH5" s="7"/>
      <c r="AI5" s="7"/>
    </row>
    <row r="6" spans="1:35" ht="15.75" customHeight="1" x14ac:dyDescent="0.35">
      <c r="A6" s="19"/>
      <c r="B6" s="102">
        <v>2000</v>
      </c>
      <c r="C6" s="75">
        <v>1237.9000000000001</v>
      </c>
      <c r="D6" s="75">
        <v>1664.8</v>
      </c>
      <c r="E6" s="75">
        <v>2158649.39</v>
      </c>
      <c r="F6" s="75">
        <v>187196.79</v>
      </c>
      <c r="G6" s="77">
        <v>5795835.6100000003</v>
      </c>
      <c r="H6" s="78">
        <v>486731.6</v>
      </c>
      <c r="I6" s="75">
        <v>1.536</v>
      </c>
      <c r="J6" s="79">
        <v>2.8220000000000001</v>
      </c>
      <c r="K6" s="75">
        <v>0.83699999999999997</v>
      </c>
      <c r="L6" s="77">
        <v>2.4550000000000001</v>
      </c>
      <c r="M6" s="75">
        <v>1.6739999999999999</v>
      </c>
      <c r="N6" s="78">
        <v>2.7829999999999999</v>
      </c>
      <c r="O6" s="45"/>
      <c r="P6" s="45" t="s">
        <v>231</v>
      </c>
      <c r="Q6" s="7" t="s">
        <v>232</v>
      </c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7"/>
      <c r="AF6" s="7"/>
      <c r="AG6" s="7"/>
      <c r="AH6" s="7"/>
      <c r="AI6" s="7"/>
    </row>
    <row r="7" spans="1:35" ht="15.75" customHeight="1" x14ac:dyDescent="0.35">
      <c r="A7" s="19"/>
      <c r="B7" s="102">
        <v>2000</v>
      </c>
      <c r="C7" s="75">
        <v>1250.7</v>
      </c>
      <c r="D7" s="75">
        <v>1688.3</v>
      </c>
      <c r="E7" s="75">
        <v>2087193.55</v>
      </c>
      <c r="F7" s="75">
        <v>167875.06</v>
      </c>
      <c r="G7" s="75">
        <v>5699361.2400000002</v>
      </c>
      <c r="H7" s="76">
        <v>512026.6</v>
      </c>
      <c r="I7" s="75">
        <v>1.528</v>
      </c>
      <c r="J7" s="79">
        <v>2.778</v>
      </c>
      <c r="K7" s="75">
        <v>0.83599999999999997</v>
      </c>
      <c r="L7" s="75">
        <v>2.431</v>
      </c>
      <c r="M7" s="75">
        <v>1.673</v>
      </c>
      <c r="N7" s="78">
        <v>2.7709999999999999</v>
      </c>
      <c r="O7" s="41"/>
      <c r="P7" s="41" t="s">
        <v>233</v>
      </c>
      <c r="Q7" s="7" t="s">
        <v>234</v>
      </c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7"/>
      <c r="AF7" s="7"/>
      <c r="AG7" s="7"/>
      <c r="AH7" s="7"/>
      <c r="AI7" s="7"/>
    </row>
    <row r="8" spans="1:35" ht="15.75" customHeight="1" x14ac:dyDescent="0.35">
      <c r="A8" s="19"/>
      <c r="B8" s="102">
        <v>1000</v>
      </c>
      <c r="C8" s="75">
        <v>457</v>
      </c>
      <c r="D8" s="75">
        <v>693.9</v>
      </c>
      <c r="E8" s="75">
        <v>968860.74</v>
      </c>
      <c r="F8" s="75">
        <v>100229.16</v>
      </c>
      <c r="G8" s="75">
        <v>2817089.16</v>
      </c>
      <c r="H8" s="78">
        <v>172190.76</v>
      </c>
      <c r="I8" s="75">
        <v>1.569</v>
      </c>
      <c r="J8" s="75">
        <v>2.9039999999999999</v>
      </c>
      <c r="K8" s="75">
        <v>0.83699999999999997</v>
      </c>
      <c r="L8" s="75">
        <v>2.4319999999999999</v>
      </c>
      <c r="M8" s="75">
        <v>1.6850000000000001</v>
      </c>
      <c r="N8" s="76">
        <v>2.7829999999999999</v>
      </c>
      <c r="O8" s="41"/>
      <c r="P8" s="80">
        <v>100</v>
      </c>
      <c r="Q8" s="7" t="s">
        <v>235</v>
      </c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7"/>
      <c r="AF8" s="7"/>
      <c r="AG8" s="7"/>
      <c r="AH8" s="7"/>
      <c r="AI8" s="7"/>
    </row>
    <row r="9" spans="1:35" ht="15.75" customHeight="1" x14ac:dyDescent="0.35">
      <c r="A9" s="19"/>
      <c r="B9" s="102">
        <v>1000</v>
      </c>
      <c r="C9" s="75">
        <v>462.9</v>
      </c>
      <c r="D9" s="75">
        <v>701.2</v>
      </c>
      <c r="E9" s="75">
        <v>909724.22</v>
      </c>
      <c r="F9" s="75">
        <v>82264.88</v>
      </c>
      <c r="G9" s="75">
        <v>2681438.62</v>
      </c>
      <c r="H9" s="78">
        <v>160020.32</v>
      </c>
      <c r="I9" s="75">
        <v>1.532</v>
      </c>
      <c r="J9" s="79">
        <v>2.8029999999999999</v>
      </c>
      <c r="K9" s="75">
        <v>0.82699999999999996</v>
      </c>
      <c r="L9" s="75">
        <v>2.4340000000000002</v>
      </c>
      <c r="M9" s="75">
        <v>1.675</v>
      </c>
      <c r="N9" s="78">
        <v>2.7839999999999998</v>
      </c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7"/>
      <c r="AF9" s="7"/>
      <c r="AG9" s="7"/>
      <c r="AH9" s="7"/>
      <c r="AI9" s="7"/>
    </row>
    <row r="10" spans="1:35" ht="15.75" customHeight="1" x14ac:dyDescent="0.35">
      <c r="A10" s="19"/>
      <c r="B10" s="102">
        <v>200</v>
      </c>
      <c r="C10" s="75">
        <v>104.3</v>
      </c>
      <c r="D10" s="75">
        <v>138.19999999999999</v>
      </c>
      <c r="E10" s="75">
        <v>197285.89</v>
      </c>
      <c r="F10" s="75">
        <v>20443.8</v>
      </c>
      <c r="G10" s="75">
        <v>538706.23</v>
      </c>
      <c r="H10" s="78">
        <v>36630.959999999999</v>
      </c>
      <c r="I10" s="84">
        <v>1.5529999999999999</v>
      </c>
      <c r="J10" s="75">
        <v>2.9340000000000002</v>
      </c>
      <c r="K10" s="75">
        <v>0.84699999999999998</v>
      </c>
      <c r="L10" s="75">
        <v>2.4649999999999999</v>
      </c>
      <c r="M10" s="75">
        <v>1.6950000000000001</v>
      </c>
      <c r="N10" s="78">
        <v>2.7930000000000001</v>
      </c>
      <c r="O10" s="82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7"/>
      <c r="AF10" s="7"/>
      <c r="AG10" s="7"/>
      <c r="AH10" s="7"/>
      <c r="AI10" s="7"/>
    </row>
    <row r="11" spans="1:35" ht="15.75" customHeight="1" x14ac:dyDescent="0.35">
      <c r="A11" s="19"/>
      <c r="B11" s="102">
        <v>200</v>
      </c>
      <c r="C11" s="75">
        <v>114.8</v>
      </c>
      <c r="D11" s="75">
        <v>139.19999999999999</v>
      </c>
      <c r="E11" s="75">
        <v>185533.93</v>
      </c>
      <c r="F11" s="75">
        <v>16662.580000000002</v>
      </c>
      <c r="G11" s="75">
        <v>523234.48</v>
      </c>
      <c r="H11" s="78">
        <v>28205.63</v>
      </c>
      <c r="I11" s="75">
        <v>1.54</v>
      </c>
      <c r="J11" s="75">
        <v>2.831</v>
      </c>
      <c r="K11" s="75">
        <v>0.85799999999999998</v>
      </c>
      <c r="L11" s="75">
        <v>2.4300000000000002</v>
      </c>
      <c r="M11" s="75">
        <v>1.6719999999999999</v>
      </c>
      <c r="N11" s="78">
        <v>2.7810000000000001</v>
      </c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7"/>
      <c r="AF11" s="7"/>
      <c r="AG11" s="7"/>
      <c r="AH11" s="7"/>
      <c r="AI11" s="7"/>
    </row>
    <row r="12" spans="1:35" ht="15.75" customHeight="1" x14ac:dyDescent="0.35">
      <c r="A12" s="19"/>
      <c r="B12" s="102">
        <v>100</v>
      </c>
      <c r="C12" s="75">
        <v>41.5</v>
      </c>
      <c r="D12" s="75">
        <v>52.2</v>
      </c>
      <c r="E12" s="75">
        <v>74170.53</v>
      </c>
      <c r="F12" s="75">
        <v>7392.31</v>
      </c>
      <c r="G12" s="75">
        <v>228282.69</v>
      </c>
      <c r="H12" s="78">
        <v>4643.6400000000003</v>
      </c>
      <c r="I12" s="75">
        <v>1.55</v>
      </c>
      <c r="J12" s="75">
        <v>2.9830000000000001</v>
      </c>
      <c r="K12" s="75">
        <v>0.87</v>
      </c>
      <c r="L12" s="75">
        <v>2.4649999999999999</v>
      </c>
      <c r="M12" s="75">
        <v>1.7529999999999999</v>
      </c>
      <c r="N12" s="76">
        <v>2.8279999999999998</v>
      </c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7"/>
      <c r="AF12" s="7"/>
      <c r="AG12" s="7"/>
      <c r="AH12" s="7"/>
      <c r="AI12" s="7"/>
    </row>
    <row r="13" spans="1:35" ht="15.75" customHeight="1" x14ac:dyDescent="0.35">
      <c r="A13" s="19"/>
      <c r="B13" s="102">
        <v>100</v>
      </c>
      <c r="C13" s="75">
        <v>47.5</v>
      </c>
      <c r="D13" s="75">
        <v>52.4</v>
      </c>
      <c r="E13" s="75">
        <v>59416.7</v>
      </c>
      <c r="F13" s="75">
        <v>5501.64</v>
      </c>
      <c r="G13" s="75">
        <v>201179.64</v>
      </c>
      <c r="H13" s="78">
        <v>4884.43</v>
      </c>
      <c r="I13" s="75">
        <v>1.544</v>
      </c>
      <c r="J13" s="75">
        <v>2.8559999999999999</v>
      </c>
      <c r="K13" s="75">
        <v>0.86699999999999999</v>
      </c>
      <c r="L13" s="75">
        <v>2.4180000000000001</v>
      </c>
      <c r="M13" s="75">
        <v>1.6819999999999999</v>
      </c>
      <c r="N13" s="78">
        <v>2.7570000000000001</v>
      </c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7"/>
      <c r="AF13" s="7"/>
      <c r="AG13" s="7"/>
      <c r="AH13" s="7"/>
      <c r="AI13" s="7"/>
    </row>
    <row r="14" spans="1:35" ht="15.75" customHeight="1" x14ac:dyDescent="0.35">
      <c r="A14" s="19"/>
      <c r="B14" s="102">
        <v>12.5</v>
      </c>
      <c r="C14" s="75">
        <v>5.0999999999999996</v>
      </c>
      <c r="D14" s="75">
        <v>6.4</v>
      </c>
      <c r="E14" s="75">
        <v>8017.68</v>
      </c>
      <c r="F14" s="75"/>
      <c r="G14" s="75">
        <v>29210.31</v>
      </c>
      <c r="H14" s="83"/>
      <c r="I14" s="75">
        <v>1.5449999999999999</v>
      </c>
      <c r="J14" s="84">
        <v>3.0339999999999998</v>
      </c>
      <c r="K14" s="75">
        <v>0.89400000000000002</v>
      </c>
      <c r="L14" s="75"/>
      <c r="M14" s="75">
        <v>1.8440000000000001</v>
      </c>
      <c r="N14" s="78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7"/>
      <c r="AF14" s="7"/>
      <c r="AG14" s="7"/>
      <c r="AH14" s="7"/>
      <c r="AI14" s="7"/>
    </row>
    <row r="15" spans="1:35" ht="15.75" customHeight="1" x14ac:dyDescent="0.35">
      <c r="A15" s="19"/>
      <c r="B15" s="106">
        <v>12.5</v>
      </c>
      <c r="C15" s="87"/>
      <c r="D15" s="87">
        <v>5.8</v>
      </c>
      <c r="E15" s="87">
        <v>7634.51</v>
      </c>
      <c r="F15" s="88"/>
      <c r="G15" s="88">
        <v>27090.83</v>
      </c>
      <c r="H15" s="89"/>
      <c r="I15" s="87"/>
      <c r="J15" s="90">
        <v>2.8849999999999998</v>
      </c>
      <c r="K15" s="87">
        <v>0.85</v>
      </c>
      <c r="L15" s="88"/>
      <c r="M15" s="88">
        <v>1.6870000000000001</v>
      </c>
      <c r="N15" s="126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7"/>
      <c r="AF15" s="7"/>
      <c r="AG15" s="7"/>
      <c r="AH15" s="7"/>
      <c r="AI15" s="7"/>
    </row>
    <row r="16" spans="1:35" ht="15.75" customHeight="1" x14ac:dyDescent="0.35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7"/>
      <c r="AF16" s="7"/>
      <c r="AG16" s="7"/>
      <c r="AH16" s="7"/>
      <c r="AI16" s="7"/>
    </row>
    <row r="17" spans="1:35" ht="15.75" customHeight="1" x14ac:dyDescent="0.35">
      <c r="A17" s="19"/>
      <c r="B17" s="99" t="s">
        <v>345</v>
      </c>
      <c r="C17" s="232" t="s">
        <v>210</v>
      </c>
      <c r="D17" s="225"/>
      <c r="E17" s="225"/>
      <c r="F17" s="225"/>
      <c r="G17" s="225"/>
      <c r="H17" s="226"/>
      <c r="I17" s="232" t="s">
        <v>211</v>
      </c>
      <c r="J17" s="225"/>
      <c r="K17" s="225"/>
      <c r="L17" s="225"/>
      <c r="M17" s="225"/>
      <c r="N17" s="226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7"/>
      <c r="AF17" s="7"/>
      <c r="AG17" s="7"/>
      <c r="AH17" s="7"/>
      <c r="AI17" s="7"/>
    </row>
    <row r="18" spans="1:35" ht="15.75" customHeight="1" x14ac:dyDescent="0.35">
      <c r="A18" s="19"/>
      <c r="B18" s="72" t="s">
        <v>213</v>
      </c>
      <c r="C18" s="1" t="s">
        <v>214</v>
      </c>
      <c r="D18" s="1" t="s">
        <v>215</v>
      </c>
      <c r="E18" s="1" t="s">
        <v>216</v>
      </c>
      <c r="F18" s="1" t="s">
        <v>217</v>
      </c>
      <c r="G18" s="1" t="s">
        <v>218</v>
      </c>
      <c r="H18" s="73" t="s">
        <v>219</v>
      </c>
      <c r="I18" s="1" t="s">
        <v>220</v>
      </c>
      <c r="J18" s="1" t="s">
        <v>221</v>
      </c>
      <c r="K18" s="1" t="s">
        <v>222</v>
      </c>
      <c r="L18" s="1" t="s">
        <v>223</v>
      </c>
      <c r="M18" s="1" t="s">
        <v>224</v>
      </c>
      <c r="N18" s="73" t="s">
        <v>225</v>
      </c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7"/>
      <c r="AF18" s="7"/>
      <c r="AG18" s="7"/>
      <c r="AH18" s="7"/>
      <c r="AI18" s="7"/>
    </row>
    <row r="19" spans="1:35" ht="15.75" customHeight="1" x14ac:dyDescent="0.35">
      <c r="A19" s="19"/>
      <c r="B19" s="102">
        <v>5000</v>
      </c>
      <c r="C19" s="75"/>
      <c r="D19" s="75"/>
      <c r="E19" s="75">
        <v>5431983.1699999999</v>
      </c>
      <c r="F19" s="75">
        <v>235348.38</v>
      </c>
      <c r="G19" s="75">
        <v>13820865.390000001</v>
      </c>
      <c r="H19" s="76">
        <v>1777608.86</v>
      </c>
      <c r="I19" s="75"/>
      <c r="J19" s="75"/>
      <c r="K19" s="75">
        <v>0.82499999999999996</v>
      </c>
      <c r="L19" s="75">
        <v>2.4540000000000002</v>
      </c>
      <c r="M19" s="75">
        <v>1.673</v>
      </c>
      <c r="N19" s="76">
        <v>2.7930000000000001</v>
      </c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7"/>
      <c r="AF19" s="7"/>
      <c r="AG19" s="7"/>
      <c r="AH19" s="7"/>
      <c r="AI19" s="7"/>
    </row>
    <row r="20" spans="1:35" ht="15.75" customHeight="1" x14ac:dyDescent="0.35">
      <c r="A20" s="19"/>
      <c r="B20" s="102">
        <v>5000</v>
      </c>
      <c r="C20" s="75"/>
      <c r="D20" s="75"/>
      <c r="E20" s="75">
        <v>5340899.72</v>
      </c>
      <c r="F20" s="75">
        <v>221936.12</v>
      </c>
      <c r="G20" s="77"/>
      <c r="H20" s="78"/>
      <c r="I20" s="75"/>
      <c r="J20" s="75"/>
      <c r="K20" s="75">
        <v>0.82299999999999995</v>
      </c>
      <c r="L20" s="77">
        <v>2.4300000000000002</v>
      </c>
      <c r="M20" s="75">
        <v>1.6719999999999999</v>
      </c>
      <c r="N20" s="78">
        <v>2.7810000000000001</v>
      </c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7"/>
      <c r="AF20" s="7"/>
      <c r="AG20" s="7"/>
      <c r="AH20" s="7"/>
      <c r="AI20" s="7"/>
    </row>
    <row r="21" spans="1:35" ht="15.75" customHeight="1" x14ac:dyDescent="0.35">
      <c r="A21" s="19"/>
      <c r="B21" s="102">
        <v>2000</v>
      </c>
      <c r="C21" s="75"/>
      <c r="D21" s="75"/>
      <c r="E21" s="75">
        <v>2205882.0699999998</v>
      </c>
      <c r="F21" s="75"/>
      <c r="G21" s="75">
        <v>5894327.8399999999</v>
      </c>
      <c r="H21" s="78">
        <v>523970.56</v>
      </c>
      <c r="I21" s="75"/>
      <c r="J21" s="79"/>
      <c r="K21" s="75">
        <v>0.83799999999999997</v>
      </c>
      <c r="L21" s="75">
        <v>2.4449999999999998</v>
      </c>
      <c r="M21" s="77">
        <v>1.6870000000000001</v>
      </c>
      <c r="N21" s="78">
        <v>2.7850000000000001</v>
      </c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7"/>
      <c r="AF21" s="7"/>
      <c r="AG21" s="7"/>
      <c r="AH21" s="7"/>
      <c r="AI21" s="7"/>
    </row>
    <row r="22" spans="1:35" ht="15.75" customHeight="1" x14ac:dyDescent="0.35">
      <c r="A22" s="19"/>
      <c r="B22" s="102">
        <v>2000</v>
      </c>
      <c r="C22" s="75"/>
      <c r="D22" s="75"/>
      <c r="E22" s="75">
        <v>2080679.77</v>
      </c>
      <c r="F22" s="75">
        <v>114752.72</v>
      </c>
      <c r="G22" s="75">
        <v>5538140.3899999997</v>
      </c>
      <c r="H22" s="78">
        <v>485410.61</v>
      </c>
      <c r="I22" s="75"/>
      <c r="J22" s="79"/>
      <c r="K22" s="75">
        <v>0.84</v>
      </c>
      <c r="L22" s="75">
        <v>2.4470000000000001</v>
      </c>
      <c r="M22" s="75">
        <v>1.677</v>
      </c>
      <c r="N22" s="78">
        <v>2.7749999999999999</v>
      </c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7"/>
      <c r="AF22" s="7"/>
      <c r="AG22" s="7"/>
      <c r="AH22" s="7"/>
      <c r="AI22" s="7"/>
    </row>
    <row r="23" spans="1:35" ht="15.75" customHeight="1" x14ac:dyDescent="0.35">
      <c r="A23" s="19"/>
      <c r="B23" s="102">
        <v>1000</v>
      </c>
      <c r="C23" s="75"/>
      <c r="D23" s="75"/>
      <c r="E23" s="75">
        <v>1010663.6</v>
      </c>
      <c r="F23" s="75">
        <v>74075.16</v>
      </c>
      <c r="G23" s="75">
        <v>2799847.39</v>
      </c>
      <c r="H23" s="76">
        <v>156361.5</v>
      </c>
      <c r="I23" s="75"/>
      <c r="J23" s="75"/>
      <c r="K23" s="75">
        <v>0.83899999999999997</v>
      </c>
      <c r="L23" s="75">
        <v>2.4460000000000002</v>
      </c>
      <c r="M23" s="75">
        <v>1.6990000000000001</v>
      </c>
      <c r="N23" s="76">
        <v>2.7959999999999998</v>
      </c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7"/>
      <c r="AF23" s="7"/>
      <c r="AG23" s="7"/>
      <c r="AH23" s="7"/>
      <c r="AI23" s="7"/>
    </row>
    <row r="24" spans="1:35" ht="15.75" customHeight="1" x14ac:dyDescent="0.35">
      <c r="A24" s="19"/>
      <c r="B24" s="102">
        <v>1000</v>
      </c>
      <c r="C24" s="75"/>
      <c r="D24" s="75"/>
      <c r="E24" s="75">
        <v>935911.31</v>
      </c>
      <c r="F24" s="75">
        <v>73320.850000000006</v>
      </c>
      <c r="G24" s="75">
        <v>2663904.2000000002</v>
      </c>
      <c r="H24" s="78">
        <v>150863.75</v>
      </c>
      <c r="I24" s="75"/>
      <c r="J24" s="79"/>
      <c r="K24" s="75">
        <v>0.84799999999999998</v>
      </c>
      <c r="L24" s="75">
        <v>2.4660000000000002</v>
      </c>
      <c r="M24" s="75">
        <v>1.6850000000000001</v>
      </c>
      <c r="N24" s="78">
        <v>2.7829999999999999</v>
      </c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7"/>
      <c r="AF24" s="7"/>
      <c r="AG24" s="7"/>
      <c r="AH24" s="7"/>
      <c r="AI24" s="7"/>
    </row>
    <row r="25" spans="1:35" ht="15.75" customHeight="1" x14ac:dyDescent="0.35">
      <c r="A25" s="19"/>
      <c r="B25" s="102">
        <v>200</v>
      </c>
      <c r="C25" s="75"/>
      <c r="D25" s="75"/>
      <c r="E25" s="75">
        <v>202539.17</v>
      </c>
      <c r="F25" s="75">
        <v>12176.01</v>
      </c>
      <c r="G25" s="75">
        <v>556982.68999999994</v>
      </c>
      <c r="H25" s="78">
        <v>25893.14</v>
      </c>
      <c r="I25" s="84"/>
      <c r="J25" s="75"/>
      <c r="K25" s="75">
        <v>0.84</v>
      </c>
      <c r="L25" s="75">
        <v>2.4590000000000001</v>
      </c>
      <c r="M25" s="75">
        <v>1.7230000000000001</v>
      </c>
      <c r="N25" s="78">
        <v>2.8210000000000002</v>
      </c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7"/>
      <c r="AF25" s="7"/>
      <c r="AG25" s="7"/>
      <c r="AH25" s="7"/>
      <c r="AI25" s="7"/>
    </row>
    <row r="26" spans="1:35" ht="15.75" customHeight="1" x14ac:dyDescent="0.35">
      <c r="A26" s="19"/>
      <c r="B26" s="102">
        <v>200</v>
      </c>
      <c r="C26" s="75"/>
      <c r="D26" s="75"/>
      <c r="E26" s="75">
        <v>195016.1</v>
      </c>
      <c r="F26" s="75">
        <v>10915.45</v>
      </c>
      <c r="G26" s="75">
        <v>532305.26</v>
      </c>
      <c r="H26" s="78">
        <v>25821.95</v>
      </c>
      <c r="I26" s="75"/>
      <c r="J26" s="75"/>
      <c r="K26" s="75">
        <v>0.83499999999999996</v>
      </c>
      <c r="L26" s="75">
        <v>2.4300000000000002</v>
      </c>
      <c r="M26" s="75">
        <v>1.6830000000000001</v>
      </c>
      <c r="N26" s="78">
        <v>2.7919999999999998</v>
      </c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7"/>
      <c r="AF26" s="7"/>
      <c r="AG26" s="7"/>
      <c r="AH26" s="7"/>
      <c r="AI26" s="7"/>
    </row>
    <row r="27" spans="1:35" ht="15.75" customHeight="1" x14ac:dyDescent="0.35">
      <c r="A27" s="19"/>
      <c r="B27" s="102">
        <v>100</v>
      </c>
      <c r="C27" s="75"/>
      <c r="D27" s="75"/>
      <c r="E27" s="75">
        <v>68156.039999999994</v>
      </c>
      <c r="F27" s="75">
        <v>5929.77</v>
      </c>
      <c r="G27" s="75">
        <v>216997.36</v>
      </c>
      <c r="H27" s="76">
        <v>5038.9799999999996</v>
      </c>
      <c r="I27" s="75"/>
      <c r="J27" s="75"/>
      <c r="K27" s="75">
        <v>0.86399999999999999</v>
      </c>
      <c r="L27" s="75">
        <v>2.516</v>
      </c>
      <c r="M27" s="75">
        <v>1.758</v>
      </c>
      <c r="N27" s="76">
        <v>2.8319999999999999</v>
      </c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7"/>
      <c r="AF27" s="7"/>
      <c r="AG27" s="7"/>
      <c r="AH27" s="7"/>
      <c r="AI27" s="7"/>
    </row>
    <row r="28" spans="1:35" ht="15.75" customHeight="1" x14ac:dyDescent="0.35">
      <c r="A28" s="19"/>
      <c r="B28" s="102">
        <v>100</v>
      </c>
      <c r="C28" s="75"/>
      <c r="D28" s="75"/>
      <c r="E28" s="75">
        <v>69041.16</v>
      </c>
      <c r="F28" s="75">
        <v>4227.96</v>
      </c>
      <c r="G28" s="75">
        <v>211247.07</v>
      </c>
      <c r="H28" s="78">
        <v>5221.59</v>
      </c>
      <c r="I28" s="75"/>
      <c r="J28" s="75"/>
      <c r="K28" s="75">
        <v>0.85199999999999998</v>
      </c>
      <c r="L28" s="75">
        <v>2.4470000000000001</v>
      </c>
      <c r="M28" s="75">
        <v>1.6890000000000001</v>
      </c>
      <c r="N28" s="78">
        <v>2.798</v>
      </c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7"/>
      <c r="AF28" s="7"/>
      <c r="AG28" s="7"/>
      <c r="AH28" s="7"/>
      <c r="AI28" s="7"/>
    </row>
    <row r="29" spans="1:35" ht="15.75" customHeight="1" x14ac:dyDescent="0.35">
      <c r="A29" s="19"/>
      <c r="B29" s="102">
        <v>12.5</v>
      </c>
      <c r="C29" s="75"/>
      <c r="D29" s="75"/>
      <c r="E29" s="75">
        <v>8741.1</v>
      </c>
      <c r="F29" s="75"/>
      <c r="G29" s="75">
        <v>27983.41</v>
      </c>
      <c r="H29" s="83">
        <v>307.39</v>
      </c>
      <c r="I29" s="75"/>
      <c r="J29" s="84"/>
      <c r="K29" s="75">
        <v>0.91900000000000004</v>
      </c>
      <c r="L29" s="75"/>
      <c r="M29" s="75">
        <v>1.8580000000000001</v>
      </c>
      <c r="N29" s="120">
        <v>2.8540000000000001</v>
      </c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7"/>
      <c r="AF29" s="7"/>
      <c r="AG29" s="7"/>
      <c r="AH29" s="7"/>
      <c r="AI29" s="7"/>
    </row>
    <row r="30" spans="1:35" ht="15.75" customHeight="1" x14ac:dyDescent="0.35">
      <c r="A30" s="19"/>
      <c r="B30" s="106">
        <v>12.5</v>
      </c>
      <c r="C30" s="87"/>
      <c r="D30" s="87"/>
      <c r="E30" s="87">
        <v>8288.85</v>
      </c>
      <c r="F30" s="88"/>
      <c r="G30" s="88">
        <v>26845.62</v>
      </c>
      <c r="H30" s="89"/>
      <c r="I30" s="87"/>
      <c r="J30" s="90"/>
      <c r="K30" s="87">
        <v>0.91400000000000003</v>
      </c>
      <c r="L30" s="88"/>
      <c r="M30" s="88">
        <v>1.6950000000000001</v>
      </c>
      <c r="N30" s="126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7"/>
      <c r="AF30" s="7"/>
      <c r="AG30" s="7"/>
      <c r="AH30" s="7"/>
      <c r="AI30" s="7"/>
    </row>
    <row r="31" spans="1:35" ht="15.75" customHeight="1" x14ac:dyDescent="0.35">
      <c r="A31" s="19"/>
      <c r="B31" s="19"/>
      <c r="C31" s="1"/>
      <c r="D31" s="1"/>
      <c r="E31" s="1"/>
      <c r="F31" s="1"/>
      <c r="G31" s="1"/>
      <c r="H31" s="1"/>
      <c r="J31" s="19"/>
      <c r="K31" s="10"/>
      <c r="L31" s="10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7"/>
      <c r="AF31" s="7"/>
      <c r="AG31" s="7"/>
      <c r="AH31" s="7"/>
      <c r="AI31" s="7"/>
    </row>
    <row r="32" spans="1:35" ht="15.75" customHeight="1" x14ac:dyDescent="0.35">
      <c r="A32" s="19"/>
      <c r="B32" s="92"/>
      <c r="C32" s="93" t="s">
        <v>236</v>
      </c>
      <c r="D32" s="93" t="s">
        <v>237</v>
      </c>
      <c r="E32" s="93" t="s">
        <v>238</v>
      </c>
      <c r="F32" s="93" t="s">
        <v>239</v>
      </c>
      <c r="G32" s="93" t="s">
        <v>240</v>
      </c>
      <c r="H32" s="94" t="s">
        <v>241</v>
      </c>
      <c r="J32" s="19"/>
      <c r="K32" s="10"/>
      <c r="L32" s="10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7"/>
      <c r="AF32" s="7"/>
      <c r="AG32" s="7"/>
      <c r="AH32" s="7"/>
      <c r="AI32" s="7"/>
    </row>
    <row r="33" spans="1:35" ht="15.75" customHeight="1" x14ac:dyDescent="0.35">
      <c r="A33" s="19"/>
      <c r="B33" s="95" t="s">
        <v>242</v>
      </c>
      <c r="C33" s="87">
        <v>14.2</v>
      </c>
      <c r="D33" s="87">
        <v>13.6</v>
      </c>
      <c r="E33" s="87">
        <v>12.2</v>
      </c>
      <c r="F33" s="87">
        <v>11.6</v>
      </c>
      <c r="G33" s="87">
        <v>11.7</v>
      </c>
      <c r="H33" s="89">
        <v>11.6</v>
      </c>
      <c r="I33" s="96" t="s">
        <v>346</v>
      </c>
      <c r="J33" s="19"/>
      <c r="K33" s="7"/>
      <c r="L33" s="41"/>
      <c r="M33" s="19"/>
      <c r="N33" s="19"/>
      <c r="O33" s="19"/>
      <c r="P33" s="70"/>
      <c r="Q33" s="70"/>
      <c r="R33" s="70"/>
      <c r="S33" s="70"/>
      <c r="T33" s="70"/>
      <c r="U33" s="70"/>
      <c r="V33" s="70"/>
      <c r="W33" s="70"/>
      <c r="X33" s="19"/>
      <c r="Y33" s="19"/>
      <c r="Z33" s="19"/>
      <c r="AA33" s="19"/>
      <c r="AB33" s="19"/>
      <c r="AC33" s="19"/>
      <c r="AD33" s="19"/>
      <c r="AE33" s="7"/>
      <c r="AF33" s="7"/>
      <c r="AG33" s="7"/>
      <c r="AH33" s="7"/>
      <c r="AI33" s="7"/>
    </row>
    <row r="34" spans="1:35" ht="15.75" customHeight="1" x14ac:dyDescent="0.35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0"/>
      <c r="L34" s="10"/>
      <c r="M34" s="4"/>
      <c r="N34" s="4"/>
      <c r="O34" s="4"/>
      <c r="P34" s="97" t="s">
        <v>244</v>
      </c>
      <c r="Q34" s="98" t="s">
        <v>245</v>
      </c>
      <c r="R34" s="98" t="s">
        <v>246</v>
      </c>
      <c r="S34" s="98" t="s">
        <v>247</v>
      </c>
      <c r="T34" s="98" t="s">
        <v>248</v>
      </c>
      <c r="U34" s="98" t="s">
        <v>249</v>
      </c>
      <c r="V34" s="227" t="s">
        <v>250</v>
      </c>
      <c r="W34" s="229" t="s">
        <v>251</v>
      </c>
      <c r="X34" s="19"/>
      <c r="Y34" s="19"/>
      <c r="Z34" s="19"/>
      <c r="AA34" s="19"/>
      <c r="AB34" s="19"/>
      <c r="AC34" s="19"/>
      <c r="AD34" s="19"/>
      <c r="AE34" s="7"/>
      <c r="AF34" s="7"/>
      <c r="AG34" s="7"/>
      <c r="AH34" s="7"/>
      <c r="AI34" s="7"/>
    </row>
    <row r="35" spans="1:35" ht="15.75" customHeight="1" x14ac:dyDescent="0.35">
      <c r="A35" s="19"/>
      <c r="B35" s="99" t="s">
        <v>213</v>
      </c>
      <c r="C35" s="93" t="s">
        <v>22</v>
      </c>
      <c r="D35" s="93" t="s">
        <v>23</v>
      </c>
      <c r="E35" s="93" t="s">
        <v>24</v>
      </c>
      <c r="F35" s="93" t="s">
        <v>25</v>
      </c>
      <c r="G35" s="93" t="s">
        <v>252</v>
      </c>
      <c r="H35" s="94" t="s">
        <v>27</v>
      </c>
      <c r="I35" s="19"/>
      <c r="J35" s="19"/>
      <c r="K35" s="10"/>
      <c r="L35" s="10"/>
      <c r="M35" s="4"/>
      <c r="N35" s="4"/>
      <c r="O35" s="4"/>
      <c r="P35" s="100" t="s">
        <v>253</v>
      </c>
      <c r="Q35" s="101" t="s">
        <v>254</v>
      </c>
      <c r="R35" s="101" t="s">
        <v>255</v>
      </c>
      <c r="S35" s="101" t="s">
        <v>246</v>
      </c>
      <c r="T35" s="101" t="s">
        <v>256</v>
      </c>
      <c r="U35" s="101" t="s">
        <v>257</v>
      </c>
      <c r="V35" s="228"/>
      <c r="W35" s="230"/>
      <c r="X35" s="19"/>
      <c r="Y35" s="19"/>
      <c r="Z35" s="19"/>
      <c r="AA35" s="19"/>
      <c r="AB35" s="19"/>
      <c r="AC35" s="19"/>
      <c r="AD35" s="19"/>
      <c r="AE35" s="7"/>
      <c r="AF35" s="7"/>
      <c r="AG35" s="7"/>
      <c r="AH35" s="7"/>
      <c r="AI35" s="7"/>
    </row>
    <row r="36" spans="1:35" ht="15.75" customHeight="1" x14ac:dyDescent="0.35">
      <c r="A36" s="19"/>
      <c r="B36" s="102">
        <v>5000</v>
      </c>
      <c r="C36" s="54">
        <f>C33/1000/$C$60*1000*1000/$P$8*1000</f>
        <v>414.99839261185963</v>
      </c>
      <c r="D36" s="54">
        <f>D33*1000*1000/$P$8/$C$61</f>
        <v>456.13093640998119</v>
      </c>
      <c r="E36" s="7">
        <f>E33*1000*1000/$P$8/$C$62</f>
        <v>497.65449724658373</v>
      </c>
      <c r="F36" s="7">
        <f t="shared" ref="F36:H36" si="0">F33*1000*1000/$P$8/$C$63</f>
        <v>552.01294375178452</v>
      </c>
      <c r="G36" s="7">
        <f t="shared" si="0"/>
        <v>556.77167602550685</v>
      </c>
      <c r="H36" s="103">
        <f t="shared" si="0"/>
        <v>552.01294375178452</v>
      </c>
      <c r="I36" s="19"/>
      <c r="J36" s="19"/>
      <c r="K36" s="10"/>
      <c r="L36" s="10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7"/>
      <c r="AF36" s="7"/>
      <c r="AG36" s="7"/>
      <c r="AH36" s="7"/>
      <c r="AI36" s="7"/>
    </row>
    <row r="37" spans="1:35" ht="15.75" customHeight="1" x14ac:dyDescent="0.35">
      <c r="A37" s="19"/>
      <c r="B37" s="102">
        <v>5000</v>
      </c>
      <c r="C37" s="54">
        <f>C33/1000/342.17*1000*1000/$P$8*1000</f>
        <v>414.99839261185963</v>
      </c>
      <c r="D37" s="54">
        <f t="shared" ref="D37:H37" si="1">D33*1000*1000/$P$8/298.16</f>
        <v>456.13093640998119</v>
      </c>
      <c r="E37" s="7">
        <f t="shared" si="1"/>
        <v>409.17628119130666</v>
      </c>
      <c r="F37" s="7">
        <f t="shared" si="1"/>
        <v>389.05285752616044</v>
      </c>
      <c r="G37" s="7">
        <f t="shared" si="1"/>
        <v>392.40676147035146</v>
      </c>
      <c r="H37" s="103">
        <f t="shared" si="1"/>
        <v>389.05285752616044</v>
      </c>
      <c r="I37" s="19"/>
      <c r="J37" s="19"/>
      <c r="K37" s="10"/>
      <c r="L37" s="10"/>
      <c r="M37" s="19"/>
      <c r="N37" s="19"/>
      <c r="O37" s="19"/>
      <c r="P37" s="104"/>
      <c r="Q37" s="7" t="s">
        <v>208</v>
      </c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7"/>
      <c r="AF37" s="7"/>
      <c r="AG37" s="7"/>
      <c r="AH37" s="7"/>
      <c r="AI37" s="7"/>
    </row>
    <row r="38" spans="1:35" ht="15.75" customHeight="1" x14ac:dyDescent="0.35">
      <c r="A38" s="19"/>
      <c r="B38" s="102">
        <v>2000</v>
      </c>
      <c r="C38" s="54">
        <f t="shared" ref="C38:C47" si="2">B38*$C$36/$B$36</f>
        <v>165.99935704474387</v>
      </c>
      <c r="D38" s="54">
        <f t="shared" ref="D38:D40" si="3">B38*$D$36/$B$36</f>
        <v>182.45237456399246</v>
      </c>
      <c r="E38" s="7">
        <f t="shared" ref="E38:E47" si="4">B38*$E$36/$B$36</f>
        <v>199.0617988986335</v>
      </c>
      <c r="F38" s="7">
        <f t="shared" ref="F38:F45" si="5">B38*$F$36/$B$36</f>
        <v>220.8051775007138</v>
      </c>
      <c r="G38" s="7">
        <f t="shared" ref="G38:G47" si="6">B38*$G$36/$B$36</f>
        <v>222.70867041020273</v>
      </c>
      <c r="H38" s="103">
        <f t="shared" ref="H38:H45" si="7">B38*$H$36/$B$36</f>
        <v>220.8051775007138</v>
      </c>
      <c r="I38" s="19"/>
      <c r="J38" s="19"/>
      <c r="K38" s="10"/>
      <c r="L38" s="10"/>
      <c r="M38" s="19"/>
      <c r="N38" s="19"/>
      <c r="O38" s="19"/>
      <c r="P38" s="105"/>
      <c r="Q38" s="7" t="s">
        <v>258</v>
      </c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7"/>
      <c r="AF38" s="7"/>
      <c r="AG38" s="7"/>
      <c r="AH38" s="7"/>
      <c r="AI38" s="7"/>
    </row>
    <row r="39" spans="1:35" ht="15.75" customHeight="1" x14ac:dyDescent="0.35">
      <c r="A39" s="19"/>
      <c r="B39" s="102">
        <v>2000</v>
      </c>
      <c r="C39" s="54">
        <f t="shared" si="2"/>
        <v>165.99935704474387</v>
      </c>
      <c r="D39" s="54">
        <f t="shared" si="3"/>
        <v>182.45237456399246</v>
      </c>
      <c r="E39" s="7">
        <f t="shared" si="4"/>
        <v>199.0617988986335</v>
      </c>
      <c r="F39" s="7">
        <f t="shared" si="5"/>
        <v>220.8051775007138</v>
      </c>
      <c r="G39" s="7">
        <f t="shared" si="6"/>
        <v>222.70867041020273</v>
      </c>
      <c r="H39" s="103">
        <f t="shared" si="7"/>
        <v>220.8051775007138</v>
      </c>
      <c r="I39" s="19"/>
      <c r="J39" s="19"/>
      <c r="K39" s="10"/>
      <c r="L39" s="10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7"/>
      <c r="AF39" s="7"/>
      <c r="AG39" s="7"/>
      <c r="AH39" s="7"/>
      <c r="AI39" s="7"/>
    </row>
    <row r="40" spans="1:35" ht="15.75" customHeight="1" x14ac:dyDescent="0.35">
      <c r="A40" s="19"/>
      <c r="B40" s="102">
        <v>1000</v>
      </c>
      <c r="C40" s="54">
        <f t="shared" si="2"/>
        <v>82.999678522371937</v>
      </c>
      <c r="D40" s="54">
        <f t="shared" si="3"/>
        <v>91.226187281996232</v>
      </c>
      <c r="E40" s="7">
        <f t="shared" si="4"/>
        <v>99.530899449316749</v>
      </c>
      <c r="F40" s="7">
        <f t="shared" si="5"/>
        <v>110.4025887503569</v>
      </c>
      <c r="G40" s="7">
        <f t="shared" si="6"/>
        <v>111.35433520510136</v>
      </c>
      <c r="H40" s="103">
        <f t="shared" si="7"/>
        <v>110.4025887503569</v>
      </c>
      <c r="I40" s="19"/>
      <c r="J40" s="19"/>
      <c r="K40" s="10"/>
      <c r="L40" s="10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7"/>
      <c r="AF40" s="7"/>
      <c r="AG40" s="7"/>
      <c r="AH40" s="7"/>
      <c r="AI40" s="7"/>
    </row>
    <row r="41" spans="1:35" ht="15.75" customHeight="1" x14ac:dyDescent="0.35">
      <c r="A41" s="19"/>
      <c r="B41" s="102">
        <v>1000</v>
      </c>
      <c r="C41" s="54">
        <f t="shared" si="2"/>
        <v>82.999678522371937</v>
      </c>
      <c r="D41" s="54">
        <f>B40*$D$36/$B$36</f>
        <v>91.226187281996232</v>
      </c>
      <c r="E41" s="7">
        <f t="shared" si="4"/>
        <v>99.530899449316749</v>
      </c>
      <c r="F41" s="7">
        <f t="shared" si="5"/>
        <v>110.4025887503569</v>
      </c>
      <c r="G41" s="7">
        <f t="shared" si="6"/>
        <v>111.35433520510136</v>
      </c>
      <c r="H41" s="103">
        <f t="shared" si="7"/>
        <v>110.4025887503569</v>
      </c>
      <c r="I41" s="19"/>
      <c r="J41" s="19"/>
      <c r="K41" s="10"/>
      <c r="L41" s="10"/>
      <c r="M41" s="7"/>
      <c r="N41" s="7"/>
      <c r="O41" s="7"/>
      <c r="P41" s="7" t="s">
        <v>259</v>
      </c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7"/>
      <c r="AF41" s="7"/>
      <c r="AG41" s="7"/>
      <c r="AH41" s="7"/>
      <c r="AI41" s="7"/>
    </row>
    <row r="42" spans="1:35" ht="15.75" customHeight="1" x14ac:dyDescent="0.35">
      <c r="A42" s="19"/>
      <c r="B42" s="102">
        <v>200</v>
      </c>
      <c r="C42" s="54">
        <f t="shared" si="2"/>
        <v>16.599935704474383</v>
      </c>
      <c r="D42" s="54">
        <f>B42*$D$36/$B$36</f>
        <v>18.245237456399249</v>
      </c>
      <c r="E42" s="7">
        <f t="shared" si="4"/>
        <v>19.906179889863349</v>
      </c>
      <c r="F42" s="7">
        <f t="shared" si="5"/>
        <v>22.080517750071383</v>
      </c>
      <c r="G42" s="7">
        <f t="shared" si="6"/>
        <v>22.270867041020274</v>
      </c>
      <c r="H42" s="103">
        <f t="shared" si="7"/>
        <v>22.080517750071383</v>
      </c>
      <c r="I42" s="19"/>
      <c r="J42" s="19"/>
      <c r="K42" s="10"/>
      <c r="L42" s="10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7"/>
      <c r="AF42" s="7"/>
      <c r="AG42" s="7"/>
      <c r="AH42" s="7"/>
      <c r="AI42" s="7"/>
    </row>
    <row r="43" spans="1:35" ht="15.75" customHeight="1" x14ac:dyDescent="0.35">
      <c r="A43" s="19"/>
      <c r="B43" s="102">
        <v>200</v>
      </c>
      <c r="C43" s="54">
        <f t="shared" si="2"/>
        <v>16.599935704474383</v>
      </c>
      <c r="D43" s="54">
        <f>B42*$D$36/$B$36</f>
        <v>18.245237456399249</v>
      </c>
      <c r="E43" s="7">
        <f t="shared" si="4"/>
        <v>19.906179889863349</v>
      </c>
      <c r="F43" s="7">
        <f t="shared" si="5"/>
        <v>22.080517750071383</v>
      </c>
      <c r="G43" s="7">
        <f t="shared" si="6"/>
        <v>22.270867041020274</v>
      </c>
      <c r="H43" s="103">
        <f t="shared" si="7"/>
        <v>22.080517750071383</v>
      </c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7"/>
      <c r="AF43" s="7"/>
      <c r="AG43" s="7"/>
      <c r="AH43" s="7"/>
      <c r="AI43" s="7"/>
    </row>
    <row r="44" spans="1:35" ht="15.75" customHeight="1" x14ac:dyDescent="0.35">
      <c r="A44" s="19"/>
      <c r="B44" s="102">
        <v>100</v>
      </c>
      <c r="C44" s="54">
        <f t="shared" si="2"/>
        <v>8.2999678522371916</v>
      </c>
      <c r="D44" s="54">
        <f>B44*$D$36/$B$36</f>
        <v>9.1226187281996243</v>
      </c>
      <c r="E44" s="7">
        <f t="shared" si="4"/>
        <v>9.9530899449316745</v>
      </c>
      <c r="F44" s="7">
        <f t="shared" si="5"/>
        <v>11.040258875035692</v>
      </c>
      <c r="G44" s="7">
        <f t="shared" si="6"/>
        <v>11.135433520510137</v>
      </c>
      <c r="H44" s="103">
        <f t="shared" si="7"/>
        <v>11.040258875035692</v>
      </c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7"/>
      <c r="AF44" s="7"/>
      <c r="AG44" s="7"/>
      <c r="AH44" s="7"/>
      <c r="AI44" s="7"/>
    </row>
    <row r="45" spans="1:35" ht="15.75" customHeight="1" x14ac:dyDescent="0.35">
      <c r="A45" s="19"/>
      <c r="B45" s="102">
        <v>100</v>
      </c>
      <c r="C45" s="54">
        <f t="shared" si="2"/>
        <v>8.2999678522371916</v>
      </c>
      <c r="D45" s="54">
        <f>B44*$D$36/$B$36</f>
        <v>9.1226187281996243</v>
      </c>
      <c r="E45" s="7">
        <f t="shared" si="4"/>
        <v>9.9530899449316745</v>
      </c>
      <c r="F45" s="7">
        <f t="shared" si="5"/>
        <v>11.040258875035692</v>
      </c>
      <c r="G45" s="7">
        <f t="shared" si="6"/>
        <v>11.135433520510137</v>
      </c>
      <c r="H45" s="103">
        <f t="shared" si="7"/>
        <v>11.040258875035692</v>
      </c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7"/>
      <c r="AF45" s="7"/>
      <c r="AG45" s="7"/>
      <c r="AH45" s="7"/>
      <c r="AI45" s="7"/>
    </row>
    <row r="46" spans="1:35" ht="15.75" customHeight="1" x14ac:dyDescent="0.35">
      <c r="A46" s="19"/>
      <c r="B46" s="102">
        <v>12.5</v>
      </c>
      <c r="C46" s="54">
        <f t="shared" si="2"/>
        <v>1.0374959815296489</v>
      </c>
      <c r="D46" s="54">
        <f t="shared" ref="D46:D47" si="8">B46*$D$36/$B$36</f>
        <v>1.140327341024953</v>
      </c>
      <c r="E46" s="7">
        <f t="shared" si="4"/>
        <v>1.2441362431164593</v>
      </c>
      <c r="F46" s="7">
        <f>B47*$F$36/$B$36</f>
        <v>1.3800323593794614</v>
      </c>
      <c r="G46" s="7">
        <f t="shared" si="6"/>
        <v>1.3919291900637671</v>
      </c>
      <c r="H46" s="103">
        <f>B47*$H$36/$B$36</f>
        <v>1.3800323593794614</v>
      </c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7"/>
      <c r="AF46" s="7"/>
      <c r="AG46" s="7"/>
      <c r="AH46" s="7"/>
      <c r="AI46" s="7"/>
    </row>
    <row r="47" spans="1:35" ht="15.75" customHeight="1" x14ac:dyDescent="0.35">
      <c r="A47" s="19"/>
      <c r="B47" s="106">
        <v>12.5</v>
      </c>
      <c r="C47" s="107">
        <f t="shared" si="2"/>
        <v>1.0374959815296489</v>
      </c>
      <c r="D47" s="107">
        <f t="shared" si="8"/>
        <v>1.140327341024953</v>
      </c>
      <c r="E47" s="108">
        <f t="shared" si="4"/>
        <v>1.2441362431164593</v>
      </c>
      <c r="F47" s="108">
        <f>B47*$F$36/$B$36</f>
        <v>1.3800323593794614</v>
      </c>
      <c r="G47" s="108">
        <f t="shared" si="6"/>
        <v>1.3919291900637671</v>
      </c>
      <c r="H47" s="109">
        <f>B47*$H$36/$B$36</f>
        <v>1.3800323593794614</v>
      </c>
      <c r="I47" s="19"/>
      <c r="J47" s="19"/>
      <c r="K47" s="19"/>
      <c r="L47" s="19"/>
      <c r="M47" s="19"/>
      <c r="N47" s="19"/>
      <c r="O47" s="19"/>
      <c r="P47" s="19"/>
      <c r="Q47" s="7" t="s">
        <v>260</v>
      </c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7"/>
      <c r="AF47" s="7"/>
      <c r="AG47" s="7"/>
      <c r="AH47" s="7"/>
      <c r="AI47" s="7"/>
    </row>
    <row r="48" spans="1:35" ht="15.75" customHeight="1" x14ac:dyDescent="0.35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7"/>
      <c r="AF48" s="7"/>
      <c r="AG48" s="7"/>
      <c r="AH48" s="7"/>
      <c r="AI48" s="7"/>
    </row>
    <row r="49" spans="1:35" ht="15.75" customHeight="1" x14ac:dyDescent="0.35">
      <c r="A49" s="19"/>
      <c r="B49" s="20" t="s">
        <v>344</v>
      </c>
      <c r="C49" s="93" t="s">
        <v>34</v>
      </c>
      <c r="D49" s="93" t="s">
        <v>35</v>
      </c>
      <c r="E49" s="93" t="s">
        <v>36</v>
      </c>
      <c r="F49" s="93" t="s">
        <v>261</v>
      </c>
      <c r="G49" s="93" t="s">
        <v>262</v>
      </c>
      <c r="H49" s="94" t="s">
        <v>263</v>
      </c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7"/>
      <c r="AF49" s="7"/>
      <c r="AG49" s="7"/>
      <c r="AH49" s="7"/>
      <c r="AI49" s="7"/>
    </row>
    <row r="50" spans="1:35" ht="15.75" customHeight="1" x14ac:dyDescent="0.35">
      <c r="A50" s="19"/>
      <c r="B50" s="180" t="s">
        <v>264</v>
      </c>
      <c r="C50" s="110">
        <f t="shared" ref="C50:H50" si="9">SLOPE(C36:C47,C4:C15)</f>
        <v>8.4621113111637364E-2</v>
      </c>
      <c r="D50" s="110">
        <f t="shared" si="9"/>
        <v>8.9240941657648343E-2</v>
      </c>
      <c r="E50" s="111">
        <f t="shared" si="9"/>
        <v>8.6047544354358178E-5</v>
      </c>
      <c r="F50" s="111">
        <f t="shared" si="9"/>
        <v>1.3703653391703924E-3</v>
      </c>
      <c r="G50" s="111">
        <f t="shared" si="9"/>
        <v>3.9841273865082237E-5</v>
      </c>
      <c r="H50" s="112">
        <f t="shared" si="9"/>
        <v>3.0025982607900765E-4</v>
      </c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7"/>
      <c r="AF50" s="7"/>
      <c r="AG50" s="7"/>
      <c r="AH50" s="7"/>
      <c r="AI50" s="7"/>
    </row>
    <row r="51" spans="1:35" ht="15.75" customHeight="1" x14ac:dyDescent="0.35">
      <c r="A51" s="19"/>
      <c r="B51" s="180" t="s">
        <v>265</v>
      </c>
      <c r="C51" s="110">
        <f t="shared" ref="C51:H51" si="10">INTERCEPT(C36:C47,C4:C15)</f>
        <v>23.512253482151877</v>
      </c>
      <c r="D51" s="110">
        <f t="shared" si="10"/>
        <v>12.860647390696386</v>
      </c>
      <c r="E51" s="110">
        <f t="shared" si="10"/>
        <v>7.6051293264128503</v>
      </c>
      <c r="F51" s="110">
        <f t="shared" si="10"/>
        <v>-8.0552699548555609</v>
      </c>
      <c r="G51" s="110">
        <f t="shared" si="10"/>
        <v>0.38998477876602067</v>
      </c>
      <c r="H51" s="113">
        <f t="shared" si="10"/>
        <v>35.42636773436557</v>
      </c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7"/>
      <c r="AF51" s="7"/>
      <c r="AG51" s="7"/>
      <c r="AH51" s="7"/>
      <c r="AI51" s="7"/>
    </row>
    <row r="52" spans="1:35" ht="15.75" customHeight="1" x14ac:dyDescent="0.35">
      <c r="A52" s="19"/>
      <c r="B52" s="183" t="s">
        <v>266</v>
      </c>
      <c r="C52" s="115">
        <f t="shared" ref="C52:H52" si="11">RSQ(C36:C47,C4:C15)</f>
        <v>0.97663558370864267</v>
      </c>
      <c r="D52" s="115">
        <f t="shared" si="11"/>
        <v>0.99317667406846444</v>
      </c>
      <c r="E52" s="115">
        <f t="shared" si="11"/>
        <v>0.98520343093987661</v>
      </c>
      <c r="F52" s="115">
        <f t="shared" si="11"/>
        <v>0.97952402070313316</v>
      </c>
      <c r="G52" s="115">
        <f t="shared" si="11"/>
        <v>0.99946793448030147</v>
      </c>
      <c r="H52" s="116">
        <f t="shared" si="11"/>
        <v>0.97251288446875206</v>
      </c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7"/>
      <c r="AF52" s="7"/>
      <c r="AG52" s="7"/>
      <c r="AH52" s="7"/>
      <c r="AI52" s="7"/>
    </row>
    <row r="53" spans="1:35" ht="15.75" customHeight="1" x14ac:dyDescent="0.35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7"/>
      <c r="AF53" s="7"/>
      <c r="AG53" s="7"/>
      <c r="AH53" s="7"/>
      <c r="AI53" s="7"/>
    </row>
    <row r="54" spans="1:35" ht="15.75" customHeight="1" x14ac:dyDescent="0.35">
      <c r="A54" s="19"/>
      <c r="B54" s="20" t="s">
        <v>345</v>
      </c>
      <c r="C54" s="93" t="s">
        <v>34</v>
      </c>
      <c r="D54" s="93" t="s">
        <v>35</v>
      </c>
      <c r="E54" s="93" t="s">
        <v>36</v>
      </c>
      <c r="F54" s="93" t="s">
        <v>261</v>
      </c>
      <c r="G54" s="93" t="s">
        <v>262</v>
      </c>
      <c r="H54" s="94" t="s">
        <v>263</v>
      </c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7"/>
      <c r="AF54" s="7"/>
      <c r="AG54" s="7"/>
      <c r="AH54" s="7"/>
      <c r="AI54" s="7"/>
    </row>
    <row r="55" spans="1:35" ht="14.5" x14ac:dyDescent="0.35">
      <c r="A55" s="19"/>
      <c r="B55" s="180" t="s">
        <v>264</v>
      </c>
      <c r="C55" s="110" t="e">
        <f t="shared" ref="C55:H55" si="12">SLOPE(C36:C47,C19:C30)</f>
        <v>#DIV/0!</v>
      </c>
      <c r="D55" s="110" t="e">
        <f t="shared" si="12"/>
        <v>#DIV/0!</v>
      </c>
      <c r="E55" s="111">
        <f t="shared" si="12"/>
        <v>8.3940219781132149E-5</v>
      </c>
      <c r="F55" s="111">
        <f t="shared" si="12"/>
        <v>2.0790555463844943E-3</v>
      </c>
      <c r="G55" s="111">
        <f t="shared" si="12"/>
        <v>3.9932434685090131E-5</v>
      </c>
      <c r="H55" s="112">
        <f t="shared" si="12"/>
        <v>3.0659039818687039E-4</v>
      </c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7"/>
      <c r="AF55" s="7"/>
      <c r="AG55" s="7"/>
      <c r="AH55" s="7"/>
      <c r="AI55" s="7"/>
    </row>
    <row r="56" spans="1:35" ht="14.5" x14ac:dyDescent="0.35">
      <c r="A56" s="19"/>
      <c r="B56" s="180" t="s">
        <v>265</v>
      </c>
      <c r="C56" s="110" t="e">
        <f t="shared" ref="C56:H56" si="13">INTERCEPT(C36:C47,C19:C30)</f>
        <v>#DIV/0!</v>
      </c>
      <c r="D56" s="110" t="e">
        <f t="shared" si="13"/>
        <v>#DIV/0!</v>
      </c>
      <c r="E56" s="110">
        <f t="shared" si="13"/>
        <v>7.701435291633203</v>
      </c>
      <c r="F56" s="110">
        <f t="shared" si="13"/>
        <v>-12.883427826390715</v>
      </c>
      <c r="G56" s="110">
        <f t="shared" si="13"/>
        <v>0.46344805349532692</v>
      </c>
      <c r="H56" s="113">
        <f t="shared" si="13"/>
        <v>31.429798199262805</v>
      </c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7"/>
      <c r="AF56" s="7"/>
      <c r="AG56" s="7"/>
      <c r="AH56" s="7"/>
      <c r="AI56" s="7"/>
    </row>
    <row r="57" spans="1:35" ht="14.5" x14ac:dyDescent="0.35">
      <c r="A57" s="19"/>
      <c r="B57" s="183" t="s">
        <v>266</v>
      </c>
      <c r="C57" s="115" t="e">
        <f t="shared" ref="C57:H57" si="14">RSQ(C36:C47,C19:C30)</f>
        <v>#DIV/0!</v>
      </c>
      <c r="D57" s="115" t="e">
        <f t="shared" si="14"/>
        <v>#DIV/0!</v>
      </c>
      <c r="E57" s="115">
        <f t="shared" si="14"/>
        <v>0.98693400035335399</v>
      </c>
      <c r="F57" s="115">
        <f t="shared" si="14"/>
        <v>0.96070555108742306</v>
      </c>
      <c r="G57" s="115">
        <f t="shared" si="14"/>
        <v>0.99920889005594249</v>
      </c>
      <c r="H57" s="116">
        <f t="shared" si="14"/>
        <v>0.97126668260807691</v>
      </c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7"/>
      <c r="AF57" s="7"/>
      <c r="AG57" s="7"/>
      <c r="AH57" s="7"/>
      <c r="AI57" s="7"/>
    </row>
    <row r="58" spans="1:35" ht="14.5" x14ac:dyDescent="0.35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7"/>
      <c r="AF58" s="7"/>
      <c r="AG58" s="7"/>
      <c r="AH58" s="7"/>
      <c r="AI58" s="7"/>
    </row>
    <row r="59" spans="1:35" ht="14.5" x14ac:dyDescent="0.35">
      <c r="A59" s="19"/>
      <c r="B59" s="99" t="s">
        <v>267</v>
      </c>
      <c r="C59" s="93" t="s">
        <v>268</v>
      </c>
      <c r="D59" s="94" t="s">
        <v>269</v>
      </c>
      <c r="E59" s="96" t="s">
        <v>347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7"/>
      <c r="AF59" s="7"/>
      <c r="AG59" s="7"/>
      <c r="AH59" s="7"/>
      <c r="AI59" s="7"/>
    </row>
    <row r="60" spans="1:35" ht="14.5" x14ac:dyDescent="0.35">
      <c r="A60" s="19"/>
      <c r="B60" s="33" t="s">
        <v>34</v>
      </c>
      <c r="C60" s="10">
        <v>342.17</v>
      </c>
      <c r="D60" s="117">
        <v>12</v>
      </c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7"/>
      <c r="AF60" s="7"/>
      <c r="AG60" s="7"/>
      <c r="AH60" s="7"/>
      <c r="AI60" s="7"/>
    </row>
    <row r="61" spans="1:35" ht="14.5" x14ac:dyDescent="0.35">
      <c r="A61" s="19"/>
      <c r="B61" s="33" t="s">
        <v>35</v>
      </c>
      <c r="C61" s="10">
        <v>298.16000000000003</v>
      </c>
      <c r="D61" s="117">
        <v>11</v>
      </c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7"/>
      <c r="AF61" s="7"/>
      <c r="AG61" s="7"/>
      <c r="AH61" s="7"/>
      <c r="AI61" s="7"/>
    </row>
    <row r="62" spans="1:35" ht="14.5" x14ac:dyDescent="0.35">
      <c r="A62" s="19"/>
      <c r="B62" s="33" t="s">
        <v>36</v>
      </c>
      <c r="C62" s="10">
        <v>245.15</v>
      </c>
      <c r="D62" s="117">
        <v>10</v>
      </c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7"/>
      <c r="AF62" s="7"/>
      <c r="AG62" s="7"/>
      <c r="AH62" s="7"/>
      <c r="AI62" s="7"/>
    </row>
    <row r="63" spans="1:35" ht="14.5" x14ac:dyDescent="0.35">
      <c r="A63" s="19"/>
      <c r="B63" s="34" t="s">
        <v>37</v>
      </c>
      <c r="C63" s="85">
        <v>210.14</v>
      </c>
      <c r="D63" s="118">
        <v>9</v>
      </c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7"/>
      <c r="AF63" s="7"/>
      <c r="AG63" s="7"/>
      <c r="AH63" s="7"/>
      <c r="AI63" s="7"/>
    </row>
    <row r="64" spans="1:35" ht="14.5" x14ac:dyDescent="0.35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7"/>
      <c r="AF64" s="7"/>
      <c r="AG64" s="7"/>
      <c r="AH64" s="7"/>
      <c r="AI64" s="7"/>
    </row>
    <row r="65" spans="1:35" ht="14.5" x14ac:dyDescent="0.35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7"/>
      <c r="AF65" s="7"/>
      <c r="AG65" s="7"/>
      <c r="AH65" s="7"/>
      <c r="AI65" s="7"/>
    </row>
    <row r="66" spans="1:35" ht="14.5" x14ac:dyDescent="0.35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7"/>
      <c r="AF66" s="7"/>
      <c r="AG66" s="7"/>
      <c r="AH66" s="7"/>
      <c r="AI66" s="7"/>
    </row>
    <row r="67" spans="1:35" ht="14.5" x14ac:dyDescent="0.35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7"/>
      <c r="AF67" s="7"/>
      <c r="AG67" s="7"/>
      <c r="AH67" s="7"/>
      <c r="AI67" s="7"/>
    </row>
    <row r="68" spans="1:35" ht="14.5" x14ac:dyDescent="0.35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7"/>
      <c r="AF68" s="7"/>
      <c r="AG68" s="7"/>
      <c r="AH68" s="7"/>
      <c r="AI68" s="7"/>
    </row>
    <row r="69" spans="1:35" ht="14.5" x14ac:dyDescent="0.35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7"/>
      <c r="AF69" s="7"/>
      <c r="AG69" s="7"/>
      <c r="AH69" s="7"/>
      <c r="AI69" s="7"/>
    </row>
    <row r="70" spans="1:35" ht="14.5" x14ac:dyDescent="0.35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7"/>
      <c r="AF70" s="7"/>
      <c r="AG70" s="7"/>
      <c r="AH70" s="7"/>
      <c r="AI70" s="7"/>
    </row>
    <row r="71" spans="1:35" ht="14.5" x14ac:dyDescent="0.35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7"/>
      <c r="AF71" s="7"/>
      <c r="AG71" s="7"/>
      <c r="AH71" s="7"/>
      <c r="AI71" s="7"/>
    </row>
    <row r="72" spans="1:35" ht="14.5" x14ac:dyDescent="0.35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7"/>
      <c r="AF72" s="7"/>
      <c r="AG72" s="7"/>
      <c r="AH72" s="7"/>
      <c r="AI72" s="7"/>
    </row>
    <row r="73" spans="1:35" ht="14.5" x14ac:dyDescent="0.35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7"/>
      <c r="AF73" s="7"/>
      <c r="AG73" s="7"/>
      <c r="AH73" s="7"/>
      <c r="AI73" s="7"/>
    </row>
    <row r="74" spans="1:35" ht="14.5" x14ac:dyDescent="0.35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7"/>
      <c r="AF74" s="7"/>
      <c r="AG74" s="7"/>
      <c r="AH74" s="7"/>
      <c r="AI74" s="7"/>
    </row>
    <row r="75" spans="1:35" ht="14.5" x14ac:dyDescent="0.35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7"/>
      <c r="AF75" s="7"/>
      <c r="AG75" s="7"/>
      <c r="AH75" s="7"/>
      <c r="AI75" s="7"/>
    </row>
    <row r="76" spans="1:35" ht="14.5" x14ac:dyDescent="0.35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7"/>
      <c r="AF76" s="7"/>
      <c r="AG76" s="7"/>
      <c r="AH76" s="7"/>
      <c r="AI76" s="7"/>
    </row>
    <row r="77" spans="1:35" ht="14.5" x14ac:dyDescent="0.35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7"/>
      <c r="AF77" s="7"/>
      <c r="AG77" s="7"/>
      <c r="AH77" s="7"/>
      <c r="AI77" s="7"/>
    </row>
    <row r="78" spans="1:35" ht="14.5" x14ac:dyDescent="0.35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7"/>
      <c r="AF78" s="7"/>
      <c r="AG78" s="7"/>
      <c r="AH78" s="7"/>
      <c r="AI78" s="7"/>
    </row>
    <row r="79" spans="1:35" ht="14.5" x14ac:dyDescent="0.35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7"/>
      <c r="AF79" s="7"/>
      <c r="AG79" s="7"/>
      <c r="AH79" s="7"/>
      <c r="AI79" s="7"/>
    </row>
    <row r="80" spans="1:35" ht="14.5" x14ac:dyDescent="0.35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7"/>
      <c r="AF80" s="7"/>
      <c r="AG80" s="7"/>
      <c r="AH80" s="7"/>
      <c r="AI80" s="7"/>
    </row>
    <row r="81" spans="1:35" ht="14.5" x14ac:dyDescent="0.35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7"/>
      <c r="AF81" s="7"/>
      <c r="AG81" s="7"/>
      <c r="AH81" s="7"/>
      <c r="AI81" s="7"/>
    </row>
    <row r="82" spans="1:35" ht="14.5" x14ac:dyDescent="0.35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7"/>
      <c r="AF82" s="7"/>
      <c r="AG82" s="7"/>
      <c r="AH82" s="7"/>
      <c r="AI82" s="7"/>
    </row>
    <row r="83" spans="1:35" ht="14.5" x14ac:dyDescent="0.35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7"/>
      <c r="AF83" s="7"/>
      <c r="AG83" s="7"/>
      <c r="AH83" s="7"/>
      <c r="AI83" s="7"/>
    </row>
    <row r="84" spans="1:35" ht="14.5" x14ac:dyDescent="0.35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7"/>
      <c r="AF84" s="7"/>
      <c r="AG84" s="7"/>
      <c r="AH84" s="7"/>
      <c r="AI84" s="7"/>
    </row>
    <row r="85" spans="1:35" ht="14.5" x14ac:dyDescent="0.35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7"/>
      <c r="AF85" s="7"/>
      <c r="AG85" s="7"/>
      <c r="AH85" s="7"/>
      <c r="AI85" s="7"/>
    </row>
    <row r="86" spans="1:35" ht="14.5" x14ac:dyDescent="0.35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7"/>
      <c r="AF86" s="7"/>
      <c r="AG86" s="7"/>
      <c r="AH86" s="7"/>
      <c r="AI86" s="7"/>
    </row>
    <row r="87" spans="1:35" ht="14.5" x14ac:dyDescent="0.35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7"/>
      <c r="AF87" s="7"/>
      <c r="AG87" s="7"/>
      <c r="AH87" s="7"/>
      <c r="AI87" s="7"/>
    </row>
    <row r="88" spans="1:35" ht="14.5" x14ac:dyDescent="0.35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7"/>
      <c r="AF88" s="7"/>
      <c r="AG88" s="7"/>
      <c r="AH88" s="7"/>
      <c r="AI88" s="7"/>
    </row>
    <row r="89" spans="1:35" ht="14.5" x14ac:dyDescent="0.35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7"/>
      <c r="AF89" s="7"/>
      <c r="AG89" s="7"/>
      <c r="AH89" s="7"/>
      <c r="AI89" s="7"/>
    </row>
    <row r="90" spans="1:35" ht="14.5" x14ac:dyDescent="0.35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7"/>
      <c r="AF90" s="7"/>
      <c r="AG90" s="7"/>
      <c r="AH90" s="7"/>
      <c r="AI90" s="7"/>
    </row>
    <row r="91" spans="1:35" ht="14.5" x14ac:dyDescent="0.35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7"/>
      <c r="AF91" s="7"/>
      <c r="AG91" s="7"/>
      <c r="AH91" s="7"/>
      <c r="AI91" s="7"/>
    </row>
    <row r="92" spans="1:35" ht="14.5" x14ac:dyDescent="0.35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7"/>
      <c r="AF92" s="7"/>
      <c r="AG92" s="7"/>
      <c r="AH92" s="7"/>
      <c r="AI92" s="7"/>
    </row>
    <row r="93" spans="1:35" ht="14.5" x14ac:dyDescent="0.35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7"/>
      <c r="AF93" s="7"/>
      <c r="AG93" s="7"/>
      <c r="AH93" s="7"/>
      <c r="AI93" s="7"/>
    </row>
    <row r="94" spans="1:35" ht="14.5" x14ac:dyDescent="0.35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7"/>
      <c r="AF94" s="7"/>
      <c r="AG94" s="7"/>
      <c r="AH94" s="7"/>
      <c r="AI94" s="7"/>
    </row>
    <row r="95" spans="1:35" ht="14.5" x14ac:dyDescent="0.35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7"/>
      <c r="AF95" s="7"/>
      <c r="AG95" s="7"/>
      <c r="AH95" s="7"/>
      <c r="AI95" s="7"/>
    </row>
    <row r="96" spans="1:35" ht="14.5" x14ac:dyDescent="0.35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7"/>
      <c r="AF96" s="7"/>
      <c r="AG96" s="7"/>
      <c r="AH96" s="7"/>
      <c r="AI96" s="7"/>
    </row>
    <row r="97" spans="1:35" ht="14.5" x14ac:dyDescent="0.35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7"/>
      <c r="AF97" s="7"/>
      <c r="AG97" s="7"/>
      <c r="AH97" s="7"/>
      <c r="AI97" s="7"/>
    </row>
    <row r="98" spans="1:35" ht="14.5" x14ac:dyDescent="0.35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7"/>
      <c r="AF98" s="7"/>
      <c r="AG98" s="7"/>
      <c r="AH98" s="7"/>
      <c r="AI98" s="7"/>
    </row>
    <row r="99" spans="1:35" ht="14.5" x14ac:dyDescent="0.35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7"/>
      <c r="AF99" s="7"/>
      <c r="AG99" s="7"/>
      <c r="AH99" s="7"/>
      <c r="AI99" s="7"/>
    </row>
    <row r="100" spans="1:35" ht="14.5" x14ac:dyDescent="0.35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7"/>
      <c r="AF100" s="7"/>
      <c r="AG100" s="7"/>
      <c r="AH100" s="7"/>
      <c r="AI100" s="7"/>
    </row>
    <row r="101" spans="1:35" ht="14.5" x14ac:dyDescent="0.35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7"/>
      <c r="AF101" s="7"/>
      <c r="AG101" s="7"/>
      <c r="AH101" s="7"/>
      <c r="AI101" s="7"/>
    </row>
    <row r="102" spans="1:35" ht="14.5" x14ac:dyDescent="0.35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7"/>
      <c r="AF102" s="7"/>
      <c r="AG102" s="7"/>
      <c r="AH102" s="7"/>
      <c r="AI102" s="7"/>
    </row>
    <row r="103" spans="1:35" ht="14.5" x14ac:dyDescent="0.35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7"/>
      <c r="AF103" s="7"/>
      <c r="AG103" s="7"/>
      <c r="AH103" s="7"/>
      <c r="AI103" s="7"/>
    </row>
    <row r="104" spans="1:35" ht="14.5" x14ac:dyDescent="0.35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7"/>
      <c r="AF104" s="7"/>
      <c r="AG104" s="7"/>
      <c r="AH104" s="7"/>
      <c r="AI104" s="7"/>
    </row>
    <row r="105" spans="1:35" ht="14.5" x14ac:dyDescent="0.3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7"/>
      <c r="AF105" s="7"/>
      <c r="AG105" s="7"/>
      <c r="AH105" s="7"/>
      <c r="AI105" s="7"/>
    </row>
    <row r="106" spans="1:35" ht="14.5" x14ac:dyDescent="0.35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7"/>
      <c r="AF106" s="7"/>
      <c r="AG106" s="7"/>
      <c r="AH106" s="7"/>
      <c r="AI106" s="7"/>
    </row>
    <row r="107" spans="1:35" ht="14.5" x14ac:dyDescent="0.35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7"/>
      <c r="AF107" s="7"/>
      <c r="AG107" s="7"/>
      <c r="AH107" s="7"/>
      <c r="AI107" s="7"/>
    </row>
    <row r="108" spans="1:35" ht="14.5" x14ac:dyDescent="0.35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7"/>
      <c r="AF108" s="7"/>
      <c r="AG108" s="7"/>
      <c r="AH108" s="7"/>
      <c r="AI108" s="7"/>
    </row>
    <row r="109" spans="1:35" ht="14.5" x14ac:dyDescent="0.35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7"/>
      <c r="AF109" s="7"/>
      <c r="AG109" s="7"/>
      <c r="AH109" s="7"/>
      <c r="AI109" s="7"/>
    </row>
    <row r="110" spans="1:35" ht="14.5" x14ac:dyDescent="0.35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7"/>
      <c r="AF110" s="7"/>
      <c r="AG110" s="7"/>
      <c r="AH110" s="7"/>
      <c r="AI110" s="7"/>
    </row>
    <row r="111" spans="1:35" ht="14.5" x14ac:dyDescent="0.35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7"/>
      <c r="AF111" s="7"/>
      <c r="AG111" s="7"/>
      <c r="AH111" s="7"/>
      <c r="AI111" s="7"/>
    </row>
    <row r="112" spans="1:35" ht="14.5" x14ac:dyDescent="0.35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7"/>
      <c r="AF112" s="7"/>
      <c r="AG112" s="7"/>
      <c r="AH112" s="7"/>
      <c r="AI112" s="7"/>
    </row>
    <row r="113" spans="1:35" ht="14.5" x14ac:dyDescent="0.35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7"/>
      <c r="AF113" s="7"/>
      <c r="AG113" s="7"/>
      <c r="AH113" s="7"/>
      <c r="AI113" s="7"/>
    </row>
    <row r="114" spans="1:35" ht="14.5" x14ac:dyDescent="0.35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7"/>
      <c r="AF114" s="7"/>
      <c r="AG114" s="7"/>
      <c r="AH114" s="7"/>
      <c r="AI114" s="7"/>
    </row>
    <row r="115" spans="1:35" ht="14.5" x14ac:dyDescent="0.3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7"/>
      <c r="AF115" s="7"/>
      <c r="AG115" s="7"/>
      <c r="AH115" s="7"/>
      <c r="AI115" s="7"/>
    </row>
    <row r="116" spans="1:35" ht="14.5" x14ac:dyDescent="0.35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7"/>
      <c r="AF116" s="7"/>
      <c r="AG116" s="7"/>
      <c r="AH116" s="7"/>
      <c r="AI116" s="7"/>
    </row>
    <row r="117" spans="1:35" ht="14.5" x14ac:dyDescent="0.35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7"/>
      <c r="AF117" s="7"/>
      <c r="AG117" s="7"/>
      <c r="AH117" s="7"/>
      <c r="AI117" s="7"/>
    </row>
    <row r="118" spans="1:35" ht="14.5" x14ac:dyDescent="0.35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7"/>
      <c r="AF118" s="7"/>
      <c r="AG118" s="7"/>
      <c r="AH118" s="7"/>
      <c r="AI118" s="7"/>
    </row>
    <row r="119" spans="1:35" ht="14.5" x14ac:dyDescent="0.35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7"/>
      <c r="AF119" s="7"/>
      <c r="AG119" s="7"/>
      <c r="AH119" s="7"/>
      <c r="AI119" s="7"/>
    </row>
    <row r="120" spans="1:35" ht="14.5" x14ac:dyDescent="0.35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7"/>
      <c r="AF120" s="7"/>
      <c r="AG120" s="7"/>
      <c r="AH120" s="7"/>
      <c r="AI120" s="7"/>
    </row>
    <row r="121" spans="1:35" ht="14.5" x14ac:dyDescent="0.35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7"/>
      <c r="AF121" s="7"/>
      <c r="AG121" s="7"/>
      <c r="AH121" s="7"/>
      <c r="AI121" s="7"/>
    </row>
    <row r="122" spans="1:35" ht="14.5" x14ac:dyDescent="0.35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7"/>
      <c r="AF122" s="7"/>
      <c r="AG122" s="7"/>
      <c r="AH122" s="7"/>
      <c r="AI122" s="7"/>
    </row>
    <row r="123" spans="1:35" ht="14.5" x14ac:dyDescent="0.35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7"/>
      <c r="AF123" s="7"/>
      <c r="AG123" s="7"/>
      <c r="AH123" s="7"/>
      <c r="AI123" s="7"/>
    </row>
    <row r="124" spans="1:35" ht="14.5" x14ac:dyDescent="0.35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7"/>
      <c r="AF124" s="7"/>
      <c r="AG124" s="7"/>
      <c r="AH124" s="7"/>
      <c r="AI124" s="7"/>
    </row>
    <row r="125" spans="1:35" ht="14.5" x14ac:dyDescent="0.3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7"/>
      <c r="AF125" s="7"/>
      <c r="AG125" s="7"/>
      <c r="AH125" s="7"/>
      <c r="AI125" s="7"/>
    </row>
    <row r="126" spans="1:35" ht="14.5" x14ac:dyDescent="0.35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7"/>
      <c r="AF126" s="7"/>
      <c r="AG126" s="7"/>
      <c r="AH126" s="7"/>
      <c r="AI126" s="7"/>
    </row>
    <row r="127" spans="1:35" ht="14.5" x14ac:dyDescent="0.3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7"/>
      <c r="AF127" s="7"/>
      <c r="AG127" s="7"/>
      <c r="AH127" s="7"/>
      <c r="AI127" s="7"/>
    </row>
    <row r="128" spans="1:35" ht="14.5" x14ac:dyDescent="0.3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7"/>
      <c r="AF128" s="7"/>
      <c r="AG128" s="7"/>
      <c r="AH128" s="7"/>
      <c r="AI128" s="7"/>
    </row>
    <row r="129" spans="1:35" ht="14.5" x14ac:dyDescent="0.3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7"/>
      <c r="AF129" s="7"/>
      <c r="AG129" s="7"/>
      <c r="AH129" s="7"/>
      <c r="AI129" s="7"/>
    </row>
    <row r="130" spans="1:35" ht="14.5" x14ac:dyDescent="0.35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7"/>
      <c r="AF130" s="7"/>
      <c r="AG130" s="7"/>
      <c r="AH130" s="7"/>
      <c r="AI130" s="7"/>
    </row>
    <row r="131" spans="1:35" ht="14.5" x14ac:dyDescent="0.35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7"/>
      <c r="AF131" s="7"/>
      <c r="AG131" s="7"/>
      <c r="AH131" s="7"/>
      <c r="AI131" s="7"/>
    </row>
    <row r="132" spans="1:35" ht="14.5" x14ac:dyDescent="0.35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7"/>
      <c r="AF132" s="7"/>
      <c r="AG132" s="7"/>
      <c r="AH132" s="7"/>
      <c r="AI132" s="7"/>
    </row>
    <row r="133" spans="1:35" ht="14.5" x14ac:dyDescent="0.35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7"/>
      <c r="AF133" s="7"/>
      <c r="AG133" s="7"/>
      <c r="AH133" s="7"/>
      <c r="AI133" s="7"/>
    </row>
    <row r="134" spans="1:35" ht="14.5" x14ac:dyDescent="0.35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7"/>
      <c r="AF134" s="7"/>
      <c r="AG134" s="7"/>
      <c r="AH134" s="7"/>
      <c r="AI134" s="7"/>
    </row>
    <row r="135" spans="1:35" ht="14.5" x14ac:dyDescent="0.3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7"/>
      <c r="AF135" s="7"/>
      <c r="AG135" s="7"/>
      <c r="AH135" s="7"/>
      <c r="AI135" s="7"/>
    </row>
    <row r="136" spans="1:35" ht="14.5" x14ac:dyDescent="0.35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7"/>
      <c r="AF136" s="7"/>
      <c r="AG136" s="7"/>
      <c r="AH136" s="7"/>
      <c r="AI136" s="7"/>
    </row>
    <row r="137" spans="1:35" ht="14.5" x14ac:dyDescent="0.35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7"/>
      <c r="AF137" s="7"/>
      <c r="AG137" s="7"/>
      <c r="AH137" s="7"/>
      <c r="AI137" s="7"/>
    </row>
    <row r="138" spans="1:35" ht="14.5" x14ac:dyDescent="0.35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7"/>
      <c r="AF138" s="7"/>
      <c r="AG138" s="7"/>
      <c r="AH138" s="7"/>
      <c r="AI138" s="7"/>
    </row>
    <row r="139" spans="1:35" ht="14.5" x14ac:dyDescent="0.35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7"/>
      <c r="AF139" s="7"/>
      <c r="AG139" s="7"/>
      <c r="AH139" s="7"/>
      <c r="AI139" s="7"/>
    </row>
    <row r="140" spans="1:35" ht="14.5" x14ac:dyDescent="0.35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7"/>
      <c r="AF140" s="7"/>
      <c r="AG140" s="7"/>
      <c r="AH140" s="7"/>
      <c r="AI140" s="7"/>
    </row>
    <row r="141" spans="1:35" ht="14.5" x14ac:dyDescent="0.35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7"/>
      <c r="AF141" s="7"/>
      <c r="AG141" s="7"/>
      <c r="AH141" s="7"/>
      <c r="AI141" s="7"/>
    </row>
    <row r="142" spans="1:35" ht="14.5" x14ac:dyDescent="0.3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7"/>
      <c r="AF142" s="7"/>
      <c r="AG142" s="7"/>
      <c r="AH142" s="7"/>
      <c r="AI142" s="7"/>
    </row>
    <row r="143" spans="1:35" ht="14.5" x14ac:dyDescent="0.3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7"/>
      <c r="AF143" s="7"/>
      <c r="AG143" s="7"/>
      <c r="AH143" s="7"/>
      <c r="AI143" s="7"/>
    </row>
    <row r="144" spans="1:35" ht="14.5" x14ac:dyDescent="0.3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7"/>
      <c r="AF144" s="7"/>
      <c r="AG144" s="7"/>
      <c r="AH144" s="7"/>
      <c r="AI144" s="7"/>
    </row>
    <row r="145" spans="1:35" ht="14.5" x14ac:dyDescent="0.3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7"/>
      <c r="AF145" s="7"/>
      <c r="AG145" s="7"/>
      <c r="AH145" s="7"/>
      <c r="AI145" s="7"/>
    </row>
    <row r="146" spans="1:35" ht="14.5" x14ac:dyDescent="0.35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7"/>
      <c r="AF146" s="7"/>
      <c r="AG146" s="7"/>
      <c r="AH146" s="7"/>
      <c r="AI146" s="7"/>
    </row>
    <row r="147" spans="1:35" ht="14.5" x14ac:dyDescent="0.35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7"/>
      <c r="AF147" s="7"/>
      <c r="AG147" s="7"/>
      <c r="AH147" s="7"/>
      <c r="AI147" s="7"/>
    </row>
    <row r="148" spans="1:35" ht="14.5" x14ac:dyDescent="0.35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7"/>
      <c r="AF148" s="7"/>
      <c r="AG148" s="7"/>
      <c r="AH148" s="7"/>
      <c r="AI148" s="7"/>
    </row>
    <row r="149" spans="1:35" ht="14.5" x14ac:dyDescent="0.35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7"/>
      <c r="AF149" s="7"/>
      <c r="AG149" s="7"/>
      <c r="AH149" s="7"/>
      <c r="AI149" s="7"/>
    </row>
    <row r="150" spans="1:35" ht="14.5" x14ac:dyDescent="0.35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7"/>
      <c r="AF150" s="7"/>
      <c r="AG150" s="7"/>
      <c r="AH150" s="7"/>
      <c r="AI150" s="7"/>
    </row>
    <row r="151" spans="1:35" ht="14.5" x14ac:dyDescent="0.35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7"/>
      <c r="AF151" s="7"/>
      <c r="AG151" s="7"/>
      <c r="AH151" s="7"/>
      <c r="AI151" s="7"/>
    </row>
    <row r="152" spans="1:35" ht="14.5" x14ac:dyDescent="0.3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7"/>
      <c r="AF152" s="7"/>
      <c r="AG152" s="7"/>
      <c r="AH152" s="7"/>
      <c r="AI152" s="7"/>
    </row>
    <row r="153" spans="1:35" ht="14.5" x14ac:dyDescent="0.35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7"/>
      <c r="AF153" s="7"/>
      <c r="AG153" s="7"/>
      <c r="AH153" s="7"/>
      <c r="AI153" s="7"/>
    </row>
    <row r="154" spans="1:35" ht="14.5" x14ac:dyDescent="0.35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7"/>
      <c r="AF154" s="7"/>
      <c r="AG154" s="7"/>
      <c r="AH154" s="7"/>
      <c r="AI154" s="7"/>
    </row>
    <row r="155" spans="1:35" ht="14.5" x14ac:dyDescent="0.3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7"/>
      <c r="AF155" s="7"/>
      <c r="AG155" s="7"/>
      <c r="AH155" s="7"/>
      <c r="AI155" s="7"/>
    </row>
    <row r="156" spans="1:35" ht="14.5" x14ac:dyDescent="0.35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7"/>
      <c r="AF156" s="7"/>
      <c r="AG156" s="7"/>
      <c r="AH156" s="7"/>
      <c r="AI156" s="7"/>
    </row>
    <row r="157" spans="1:35" ht="14.5" x14ac:dyDescent="0.35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7"/>
      <c r="AF157" s="7"/>
      <c r="AG157" s="7"/>
      <c r="AH157" s="7"/>
      <c r="AI157" s="7"/>
    </row>
    <row r="158" spans="1:35" ht="14.5" x14ac:dyDescent="0.35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7"/>
      <c r="AF158" s="7"/>
      <c r="AG158" s="7"/>
      <c r="AH158" s="7"/>
      <c r="AI158" s="7"/>
    </row>
    <row r="159" spans="1:35" ht="14.5" x14ac:dyDescent="0.35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7"/>
      <c r="AF159" s="7"/>
      <c r="AG159" s="7"/>
      <c r="AH159" s="7"/>
      <c r="AI159" s="7"/>
    </row>
    <row r="160" spans="1:35" ht="14.5" x14ac:dyDescent="0.35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7"/>
      <c r="AF160" s="7"/>
      <c r="AG160" s="7"/>
      <c r="AH160" s="7"/>
      <c r="AI160" s="7"/>
    </row>
    <row r="161" spans="1:35" ht="14.5" x14ac:dyDescent="0.35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7"/>
      <c r="AF161" s="7"/>
      <c r="AG161" s="7"/>
      <c r="AH161" s="7"/>
      <c r="AI161" s="7"/>
    </row>
    <row r="162" spans="1:35" ht="14.5" x14ac:dyDescent="0.35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7"/>
      <c r="AF162" s="7"/>
      <c r="AG162" s="7"/>
      <c r="AH162" s="7"/>
      <c r="AI162" s="7"/>
    </row>
    <row r="163" spans="1:35" ht="14.5" x14ac:dyDescent="0.35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7"/>
      <c r="AF163" s="7"/>
      <c r="AG163" s="7"/>
      <c r="AH163" s="7"/>
      <c r="AI163" s="7"/>
    </row>
    <row r="164" spans="1:35" ht="14.5" x14ac:dyDescent="0.35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7"/>
      <c r="AF164" s="7"/>
      <c r="AG164" s="7"/>
      <c r="AH164" s="7"/>
      <c r="AI164" s="7"/>
    </row>
    <row r="165" spans="1:35" ht="14.5" x14ac:dyDescent="0.3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7"/>
      <c r="AF165" s="7"/>
      <c r="AG165" s="7"/>
      <c r="AH165" s="7"/>
      <c r="AI165" s="7"/>
    </row>
    <row r="166" spans="1:35" ht="14.5" x14ac:dyDescent="0.35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7"/>
      <c r="AF166" s="7"/>
      <c r="AG166" s="7"/>
      <c r="AH166" s="7"/>
      <c r="AI166" s="7"/>
    </row>
    <row r="167" spans="1:35" ht="14.5" x14ac:dyDescent="0.35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7"/>
      <c r="AF167" s="7"/>
      <c r="AG167" s="7"/>
      <c r="AH167" s="7"/>
      <c r="AI167" s="7"/>
    </row>
    <row r="168" spans="1:35" ht="14.5" x14ac:dyDescent="0.35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7"/>
      <c r="AF168" s="7"/>
      <c r="AG168" s="7"/>
      <c r="AH168" s="7"/>
      <c r="AI168" s="7"/>
    </row>
    <row r="169" spans="1:35" ht="14.5" x14ac:dyDescent="0.35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7"/>
      <c r="AF169" s="7"/>
      <c r="AG169" s="7"/>
      <c r="AH169" s="7"/>
      <c r="AI169" s="7"/>
    </row>
    <row r="170" spans="1:35" ht="14.5" x14ac:dyDescent="0.35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7"/>
      <c r="AF170" s="7"/>
      <c r="AG170" s="7"/>
      <c r="AH170" s="7"/>
      <c r="AI170" s="7"/>
    </row>
    <row r="171" spans="1:35" ht="14.5" x14ac:dyDescent="0.35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7"/>
      <c r="AF171" s="7"/>
      <c r="AG171" s="7"/>
      <c r="AH171" s="7"/>
      <c r="AI171" s="7"/>
    </row>
    <row r="172" spans="1:35" ht="14.5" x14ac:dyDescent="0.35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7"/>
      <c r="AF172" s="7"/>
      <c r="AG172" s="7"/>
      <c r="AH172" s="7"/>
      <c r="AI172" s="7"/>
    </row>
    <row r="173" spans="1:35" ht="14.5" x14ac:dyDescent="0.35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7"/>
      <c r="AF173" s="7"/>
      <c r="AG173" s="7"/>
      <c r="AH173" s="7"/>
      <c r="AI173" s="7"/>
    </row>
    <row r="174" spans="1:35" ht="14.5" x14ac:dyDescent="0.35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7"/>
      <c r="AF174" s="7"/>
      <c r="AG174" s="7"/>
      <c r="AH174" s="7"/>
      <c r="AI174" s="7"/>
    </row>
    <row r="175" spans="1:35" ht="14.5" x14ac:dyDescent="0.3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7"/>
      <c r="AF175" s="7"/>
      <c r="AG175" s="7"/>
      <c r="AH175" s="7"/>
      <c r="AI175" s="7"/>
    </row>
    <row r="176" spans="1:35" ht="14.5" x14ac:dyDescent="0.35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7"/>
      <c r="AF176" s="7"/>
      <c r="AG176" s="7"/>
      <c r="AH176" s="7"/>
      <c r="AI176" s="7"/>
    </row>
    <row r="177" spans="1:35" ht="14.5" x14ac:dyDescent="0.35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7"/>
      <c r="AF177" s="7"/>
      <c r="AG177" s="7"/>
      <c r="AH177" s="7"/>
      <c r="AI177" s="7"/>
    </row>
    <row r="178" spans="1:35" ht="14.5" x14ac:dyDescent="0.35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7"/>
      <c r="AF178" s="7"/>
      <c r="AG178" s="7"/>
      <c r="AH178" s="7"/>
      <c r="AI178" s="7"/>
    </row>
    <row r="179" spans="1:35" ht="14.5" x14ac:dyDescent="0.35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7"/>
      <c r="AF179" s="7"/>
      <c r="AG179" s="7"/>
      <c r="AH179" s="7"/>
      <c r="AI179" s="7"/>
    </row>
    <row r="180" spans="1:35" ht="14.5" x14ac:dyDescent="0.35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7"/>
      <c r="AF180" s="7"/>
      <c r="AG180" s="7"/>
      <c r="AH180" s="7"/>
      <c r="AI180" s="7"/>
    </row>
    <row r="181" spans="1:35" ht="14.5" x14ac:dyDescent="0.35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7"/>
      <c r="AF181" s="7"/>
      <c r="AG181" s="7"/>
      <c r="AH181" s="7"/>
      <c r="AI181" s="7"/>
    </row>
    <row r="182" spans="1:35" ht="14.5" x14ac:dyDescent="0.35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7"/>
      <c r="AF182" s="7"/>
      <c r="AG182" s="7"/>
      <c r="AH182" s="7"/>
      <c r="AI182" s="7"/>
    </row>
    <row r="183" spans="1:35" ht="14.5" x14ac:dyDescent="0.35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7"/>
      <c r="AF183" s="7"/>
      <c r="AG183" s="7"/>
      <c r="AH183" s="7"/>
      <c r="AI183" s="7"/>
    </row>
    <row r="184" spans="1:35" ht="14.5" x14ac:dyDescent="0.35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7"/>
      <c r="AF184" s="7"/>
      <c r="AG184" s="7"/>
      <c r="AH184" s="7"/>
      <c r="AI184" s="7"/>
    </row>
    <row r="185" spans="1:35" ht="14.5" x14ac:dyDescent="0.3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7"/>
      <c r="AF185" s="7"/>
      <c r="AG185" s="7"/>
      <c r="AH185" s="7"/>
      <c r="AI185" s="7"/>
    </row>
    <row r="186" spans="1:35" ht="14.5" x14ac:dyDescent="0.35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7"/>
      <c r="AF186" s="7"/>
      <c r="AG186" s="7"/>
      <c r="AH186" s="7"/>
      <c r="AI186" s="7"/>
    </row>
    <row r="187" spans="1:35" ht="14.5" x14ac:dyDescent="0.35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7"/>
      <c r="AF187" s="7"/>
      <c r="AG187" s="7"/>
      <c r="AH187" s="7"/>
      <c r="AI187" s="7"/>
    </row>
    <row r="188" spans="1:35" ht="14.5" x14ac:dyDescent="0.35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7"/>
      <c r="AF188" s="7"/>
      <c r="AG188" s="7"/>
      <c r="AH188" s="7"/>
      <c r="AI188" s="7"/>
    </row>
    <row r="189" spans="1:35" ht="14.5" x14ac:dyDescent="0.35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7"/>
      <c r="AF189" s="7"/>
      <c r="AG189" s="7"/>
      <c r="AH189" s="7"/>
      <c r="AI189" s="7"/>
    </row>
    <row r="190" spans="1:35" ht="14.5" x14ac:dyDescent="0.35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7"/>
      <c r="AF190" s="7"/>
      <c r="AG190" s="7"/>
      <c r="AH190" s="7"/>
      <c r="AI190" s="7"/>
    </row>
    <row r="191" spans="1:35" ht="14.5" x14ac:dyDescent="0.35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7"/>
      <c r="AF191" s="7"/>
      <c r="AG191" s="7"/>
      <c r="AH191" s="7"/>
      <c r="AI191" s="7"/>
    </row>
    <row r="192" spans="1:35" ht="14.5" x14ac:dyDescent="0.35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7"/>
      <c r="AF192" s="7"/>
      <c r="AG192" s="7"/>
      <c r="AH192" s="7"/>
      <c r="AI192" s="7"/>
    </row>
    <row r="193" spans="1:35" ht="14.5" x14ac:dyDescent="0.35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7"/>
      <c r="AF193" s="7"/>
      <c r="AG193" s="7"/>
      <c r="AH193" s="7"/>
      <c r="AI193" s="7"/>
    </row>
    <row r="194" spans="1:35" ht="14.5" x14ac:dyDescent="0.35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7"/>
      <c r="AF194" s="7"/>
      <c r="AG194" s="7"/>
      <c r="AH194" s="7"/>
      <c r="AI194" s="7"/>
    </row>
    <row r="195" spans="1:35" ht="14.5" x14ac:dyDescent="0.3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7"/>
      <c r="AF195" s="7"/>
      <c r="AG195" s="7"/>
      <c r="AH195" s="7"/>
      <c r="AI195" s="7"/>
    </row>
    <row r="196" spans="1:35" ht="14.5" x14ac:dyDescent="0.35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7"/>
      <c r="AF196" s="7"/>
      <c r="AG196" s="7"/>
      <c r="AH196" s="7"/>
      <c r="AI196" s="7"/>
    </row>
    <row r="197" spans="1:35" ht="14.5" x14ac:dyDescent="0.35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7"/>
      <c r="AF197" s="7"/>
      <c r="AG197" s="7"/>
      <c r="AH197" s="7"/>
      <c r="AI197" s="7"/>
    </row>
    <row r="198" spans="1:35" ht="14.5" x14ac:dyDescent="0.35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7"/>
      <c r="AF198" s="7"/>
      <c r="AG198" s="7"/>
      <c r="AH198" s="7"/>
      <c r="AI198" s="7"/>
    </row>
    <row r="199" spans="1:35" ht="14.5" x14ac:dyDescent="0.35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7"/>
      <c r="AF199" s="7"/>
      <c r="AG199" s="7"/>
      <c r="AH199" s="7"/>
      <c r="AI199" s="7"/>
    </row>
    <row r="200" spans="1:35" ht="14.5" x14ac:dyDescent="0.35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7"/>
      <c r="AF200" s="7"/>
      <c r="AG200" s="7"/>
      <c r="AH200" s="7"/>
      <c r="AI200" s="7"/>
    </row>
    <row r="201" spans="1:35" ht="14.5" x14ac:dyDescent="0.35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7"/>
      <c r="AF201" s="7"/>
      <c r="AG201" s="7"/>
      <c r="AH201" s="7"/>
      <c r="AI201" s="7"/>
    </row>
    <row r="202" spans="1:35" ht="14.5" x14ac:dyDescent="0.35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7"/>
      <c r="AF202" s="7"/>
      <c r="AG202" s="7"/>
      <c r="AH202" s="7"/>
      <c r="AI202" s="7"/>
    </row>
    <row r="203" spans="1:35" ht="14.5" x14ac:dyDescent="0.35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7"/>
      <c r="AF203" s="7"/>
      <c r="AG203" s="7"/>
      <c r="AH203" s="7"/>
      <c r="AI203" s="7"/>
    </row>
    <row r="204" spans="1:35" ht="14.5" x14ac:dyDescent="0.35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7"/>
      <c r="AF204" s="7"/>
      <c r="AG204" s="7"/>
      <c r="AH204" s="7"/>
      <c r="AI204" s="7"/>
    </row>
    <row r="205" spans="1:35" ht="14.5" x14ac:dyDescent="0.3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7"/>
      <c r="AF205" s="7"/>
      <c r="AG205" s="7"/>
      <c r="AH205" s="7"/>
      <c r="AI205" s="7"/>
    </row>
    <row r="206" spans="1:35" ht="14.5" x14ac:dyDescent="0.35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7"/>
      <c r="AF206" s="7"/>
      <c r="AG206" s="7"/>
      <c r="AH206" s="7"/>
      <c r="AI206" s="7"/>
    </row>
    <row r="207" spans="1:35" ht="14.5" x14ac:dyDescent="0.35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7"/>
      <c r="AF207" s="7"/>
      <c r="AG207" s="7"/>
      <c r="AH207" s="7"/>
      <c r="AI207" s="7"/>
    </row>
    <row r="208" spans="1:35" ht="14.5" x14ac:dyDescent="0.35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7"/>
      <c r="AF208" s="7"/>
      <c r="AG208" s="7"/>
      <c r="AH208" s="7"/>
      <c r="AI208" s="7"/>
    </row>
    <row r="209" spans="1:35" ht="14.5" x14ac:dyDescent="0.35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7"/>
      <c r="AF209" s="7"/>
      <c r="AG209" s="7"/>
      <c r="AH209" s="7"/>
      <c r="AI209" s="7"/>
    </row>
    <row r="210" spans="1:35" ht="14.5" x14ac:dyDescent="0.35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7"/>
      <c r="AF210" s="7"/>
      <c r="AG210" s="7"/>
      <c r="AH210" s="7"/>
      <c r="AI210" s="7"/>
    </row>
    <row r="211" spans="1:35" ht="14.5" x14ac:dyDescent="0.35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7"/>
      <c r="AF211" s="7"/>
      <c r="AG211" s="7"/>
      <c r="AH211" s="7"/>
      <c r="AI211" s="7"/>
    </row>
    <row r="212" spans="1:35" ht="14.5" x14ac:dyDescent="0.35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7"/>
      <c r="AF212" s="7"/>
      <c r="AG212" s="7"/>
      <c r="AH212" s="7"/>
      <c r="AI212" s="7"/>
    </row>
    <row r="213" spans="1:35" ht="14.5" x14ac:dyDescent="0.35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7"/>
      <c r="AF213" s="7"/>
      <c r="AG213" s="7"/>
      <c r="AH213" s="7"/>
      <c r="AI213" s="7"/>
    </row>
    <row r="214" spans="1:35" ht="14.5" x14ac:dyDescent="0.35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7"/>
      <c r="AF214" s="7"/>
      <c r="AG214" s="7"/>
      <c r="AH214" s="7"/>
      <c r="AI214" s="7"/>
    </row>
    <row r="215" spans="1:35" ht="14.5" x14ac:dyDescent="0.3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7"/>
      <c r="AF215" s="7"/>
      <c r="AG215" s="7"/>
      <c r="AH215" s="7"/>
      <c r="AI215" s="7"/>
    </row>
    <row r="216" spans="1:35" ht="14.5" x14ac:dyDescent="0.35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7"/>
      <c r="AF216" s="7"/>
      <c r="AG216" s="7"/>
      <c r="AH216" s="7"/>
      <c r="AI216" s="7"/>
    </row>
    <row r="217" spans="1:35" ht="14.5" x14ac:dyDescent="0.35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7"/>
      <c r="AF217" s="7"/>
      <c r="AG217" s="7"/>
      <c r="AH217" s="7"/>
      <c r="AI217" s="7"/>
    </row>
    <row r="218" spans="1:35" ht="14.5" x14ac:dyDescent="0.35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7"/>
      <c r="AF218" s="7"/>
      <c r="AG218" s="7"/>
      <c r="AH218" s="7"/>
      <c r="AI218" s="7"/>
    </row>
    <row r="219" spans="1:35" ht="14.5" x14ac:dyDescent="0.35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7"/>
      <c r="AF219" s="7"/>
      <c r="AG219" s="7"/>
      <c r="AH219" s="7"/>
      <c r="AI219" s="7"/>
    </row>
    <row r="220" spans="1:35" ht="14.5" x14ac:dyDescent="0.35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7"/>
      <c r="AF220" s="7"/>
      <c r="AG220" s="7"/>
      <c r="AH220" s="7"/>
      <c r="AI220" s="7"/>
    </row>
    <row r="221" spans="1:35" ht="14.5" x14ac:dyDescent="0.35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7"/>
      <c r="AF221" s="7"/>
      <c r="AG221" s="7"/>
      <c r="AH221" s="7"/>
      <c r="AI221" s="7"/>
    </row>
    <row r="222" spans="1:35" ht="14.5" x14ac:dyDescent="0.35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7"/>
      <c r="AF222" s="7"/>
      <c r="AG222" s="7"/>
      <c r="AH222" s="7"/>
      <c r="AI222" s="7"/>
    </row>
    <row r="223" spans="1:35" ht="14.5" x14ac:dyDescent="0.35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7"/>
      <c r="AF223" s="7"/>
      <c r="AG223" s="7"/>
      <c r="AH223" s="7"/>
      <c r="AI223" s="7"/>
    </row>
    <row r="224" spans="1:35" ht="14.5" x14ac:dyDescent="0.35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7"/>
      <c r="AF224" s="7"/>
      <c r="AG224" s="7"/>
      <c r="AH224" s="7"/>
      <c r="AI224" s="7"/>
    </row>
    <row r="225" spans="1:35" ht="14.5" x14ac:dyDescent="0.3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7"/>
      <c r="AF225" s="7"/>
      <c r="AG225" s="7"/>
      <c r="AH225" s="7"/>
      <c r="AI225" s="7"/>
    </row>
    <row r="226" spans="1:35" ht="14.5" x14ac:dyDescent="0.35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7"/>
      <c r="AF226" s="7"/>
      <c r="AG226" s="7"/>
      <c r="AH226" s="7"/>
      <c r="AI226" s="7"/>
    </row>
    <row r="227" spans="1:35" ht="14.5" x14ac:dyDescent="0.35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7"/>
      <c r="AF227" s="7"/>
      <c r="AG227" s="7"/>
      <c r="AH227" s="7"/>
      <c r="AI227" s="7"/>
    </row>
    <row r="228" spans="1:35" ht="14.5" x14ac:dyDescent="0.35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7"/>
      <c r="AF228" s="7"/>
      <c r="AG228" s="7"/>
      <c r="AH228" s="7"/>
      <c r="AI228" s="7"/>
    </row>
    <row r="229" spans="1:35" ht="14.5" x14ac:dyDescent="0.35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7"/>
      <c r="AF229" s="7"/>
      <c r="AG229" s="7"/>
      <c r="AH229" s="7"/>
      <c r="AI229" s="7"/>
    </row>
    <row r="230" spans="1:35" ht="14.5" x14ac:dyDescent="0.35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7"/>
      <c r="AF230" s="7"/>
      <c r="AG230" s="7"/>
      <c r="AH230" s="7"/>
      <c r="AI230" s="7"/>
    </row>
    <row r="231" spans="1:35" ht="14.5" x14ac:dyDescent="0.35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7"/>
      <c r="AF231" s="7"/>
      <c r="AG231" s="7"/>
      <c r="AH231" s="7"/>
      <c r="AI231" s="7"/>
    </row>
    <row r="232" spans="1:35" ht="14.5" x14ac:dyDescent="0.35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7"/>
      <c r="AF232" s="7"/>
      <c r="AG232" s="7"/>
      <c r="AH232" s="7"/>
      <c r="AI232" s="7"/>
    </row>
    <row r="233" spans="1:35" ht="14.5" x14ac:dyDescent="0.35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7"/>
      <c r="AF233" s="7"/>
      <c r="AG233" s="7"/>
      <c r="AH233" s="7"/>
      <c r="AI233" s="7"/>
    </row>
    <row r="234" spans="1:35" ht="14.5" x14ac:dyDescent="0.35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7"/>
      <c r="AF234" s="7"/>
      <c r="AG234" s="7"/>
      <c r="AH234" s="7"/>
      <c r="AI234" s="7"/>
    </row>
    <row r="235" spans="1:35" ht="14.5" x14ac:dyDescent="0.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7"/>
      <c r="AF235" s="7"/>
      <c r="AG235" s="7"/>
      <c r="AH235" s="7"/>
      <c r="AI235" s="7"/>
    </row>
    <row r="236" spans="1:35" ht="14.5" x14ac:dyDescent="0.35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7"/>
      <c r="AF236" s="7"/>
      <c r="AG236" s="7"/>
      <c r="AH236" s="7"/>
      <c r="AI236" s="7"/>
    </row>
    <row r="237" spans="1:35" ht="14.5" x14ac:dyDescent="0.35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7"/>
      <c r="AF237" s="7"/>
      <c r="AG237" s="7"/>
      <c r="AH237" s="7"/>
      <c r="AI237" s="7"/>
    </row>
    <row r="238" spans="1:35" ht="14.5" x14ac:dyDescent="0.35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7"/>
      <c r="AF238" s="7"/>
      <c r="AG238" s="7"/>
      <c r="AH238" s="7"/>
      <c r="AI238" s="7"/>
    </row>
    <row r="239" spans="1:35" ht="14.5" x14ac:dyDescent="0.35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7"/>
      <c r="AF239" s="7"/>
      <c r="AG239" s="7"/>
      <c r="AH239" s="7"/>
      <c r="AI239" s="7"/>
    </row>
    <row r="240" spans="1:35" ht="14.5" x14ac:dyDescent="0.35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7"/>
      <c r="AF240" s="7"/>
      <c r="AG240" s="7"/>
      <c r="AH240" s="7"/>
      <c r="AI240" s="7"/>
    </row>
    <row r="241" spans="1:35" ht="14.5" x14ac:dyDescent="0.35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7"/>
      <c r="AF241" s="7"/>
      <c r="AG241" s="7"/>
      <c r="AH241" s="7"/>
      <c r="AI241" s="7"/>
    </row>
    <row r="242" spans="1:35" ht="14.5" x14ac:dyDescent="0.35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7"/>
      <c r="AF242" s="7"/>
      <c r="AG242" s="7"/>
      <c r="AH242" s="7"/>
      <c r="AI242" s="7"/>
    </row>
    <row r="243" spans="1:35" ht="14.5" x14ac:dyDescent="0.35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7"/>
      <c r="AF243" s="7"/>
      <c r="AG243" s="7"/>
      <c r="AH243" s="7"/>
      <c r="AI243" s="7"/>
    </row>
    <row r="244" spans="1:35" ht="14.5" x14ac:dyDescent="0.35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7"/>
      <c r="AF244" s="7"/>
      <c r="AG244" s="7"/>
      <c r="AH244" s="7"/>
      <c r="AI244" s="7"/>
    </row>
    <row r="245" spans="1:35" ht="14.5" x14ac:dyDescent="0.3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7"/>
      <c r="AF245" s="7"/>
      <c r="AG245" s="7"/>
      <c r="AH245" s="7"/>
      <c r="AI245" s="7"/>
    </row>
    <row r="246" spans="1:35" ht="14.5" x14ac:dyDescent="0.35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7"/>
      <c r="AF246" s="7"/>
      <c r="AG246" s="7"/>
      <c r="AH246" s="7"/>
      <c r="AI246" s="7"/>
    </row>
    <row r="247" spans="1:35" ht="14.5" x14ac:dyDescent="0.35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7"/>
      <c r="AF247" s="7"/>
      <c r="AG247" s="7"/>
      <c r="AH247" s="7"/>
      <c r="AI247" s="7"/>
    </row>
    <row r="248" spans="1:35" ht="14.5" x14ac:dyDescent="0.35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7"/>
      <c r="AF248" s="7"/>
      <c r="AG248" s="7"/>
      <c r="AH248" s="7"/>
      <c r="AI248" s="7"/>
    </row>
    <row r="249" spans="1:35" ht="14.5" x14ac:dyDescent="0.35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7"/>
      <c r="AF249" s="7"/>
      <c r="AG249" s="7"/>
      <c r="AH249" s="7"/>
      <c r="AI249" s="7"/>
    </row>
    <row r="250" spans="1:35" ht="14.5" x14ac:dyDescent="0.35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7"/>
      <c r="AF250" s="7"/>
      <c r="AG250" s="7"/>
      <c r="AH250" s="7"/>
      <c r="AI250" s="7"/>
    </row>
    <row r="251" spans="1:35" ht="14.5" x14ac:dyDescent="0.35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7"/>
      <c r="AF251" s="7"/>
      <c r="AG251" s="7"/>
      <c r="AH251" s="7"/>
      <c r="AI251" s="7"/>
    </row>
    <row r="252" spans="1:35" ht="14.5" x14ac:dyDescent="0.35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7"/>
      <c r="AF252" s="7"/>
      <c r="AG252" s="7"/>
      <c r="AH252" s="7"/>
      <c r="AI252" s="7"/>
    </row>
    <row r="253" spans="1:35" ht="14.5" x14ac:dyDescent="0.35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7"/>
      <c r="AF253" s="7"/>
      <c r="AG253" s="7"/>
      <c r="AH253" s="7"/>
      <c r="AI253" s="7"/>
    </row>
    <row r="254" spans="1:35" ht="14.5" x14ac:dyDescent="0.35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7"/>
      <c r="AF254" s="7"/>
      <c r="AG254" s="7"/>
      <c r="AH254" s="7"/>
      <c r="AI254" s="7"/>
    </row>
    <row r="255" spans="1:35" ht="14.5" x14ac:dyDescent="0.3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7"/>
      <c r="AF255" s="7"/>
      <c r="AG255" s="7"/>
      <c r="AH255" s="7"/>
      <c r="AI255" s="7"/>
    </row>
    <row r="256" spans="1:35" ht="14.5" x14ac:dyDescent="0.35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7"/>
      <c r="AF256" s="7"/>
      <c r="AG256" s="7"/>
      <c r="AH256" s="7"/>
      <c r="AI256" s="7"/>
    </row>
    <row r="257" spans="1:35" ht="14.5" x14ac:dyDescent="0.35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7"/>
      <c r="AF257" s="7"/>
      <c r="AG257" s="7"/>
      <c r="AH257" s="7"/>
      <c r="AI257" s="7"/>
    </row>
    <row r="258" spans="1:35" ht="14.5" x14ac:dyDescent="0.35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7"/>
      <c r="AF258" s="7"/>
      <c r="AG258" s="7"/>
      <c r="AH258" s="7"/>
      <c r="AI258" s="7"/>
    </row>
    <row r="259" spans="1:35" ht="14.5" x14ac:dyDescent="0.35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7"/>
      <c r="AF259" s="7"/>
      <c r="AG259" s="7"/>
      <c r="AH259" s="7"/>
      <c r="AI259" s="7"/>
    </row>
    <row r="260" spans="1:35" ht="14.5" x14ac:dyDescent="0.35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7"/>
      <c r="AF260" s="7"/>
      <c r="AG260" s="7"/>
      <c r="AH260" s="7"/>
      <c r="AI260" s="7"/>
    </row>
    <row r="261" spans="1:35" ht="14.5" x14ac:dyDescent="0.35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7"/>
      <c r="AF261" s="7"/>
      <c r="AG261" s="7"/>
      <c r="AH261" s="7"/>
      <c r="AI261" s="7"/>
    </row>
    <row r="262" spans="1:35" ht="14.5" x14ac:dyDescent="0.35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7"/>
      <c r="AF262" s="7"/>
      <c r="AG262" s="7"/>
      <c r="AH262" s="7"/>
      <c r="AI262" s="7"/>
    </row>
    <row r="263" spans="1:35" ht="14.5" x14ac:dyDescent="0.35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7"/>
      <c r="AF263" s="7"/>
      <c r="AG263" s="7"/>
      <c r="AH263" s="7"/>
      <c r="AI263" s="7"/>
    </row>
    <row r="264" spans="1:35" ht="14.5" x14ac:dyDescent="0.35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7"/>
      <c r="AF264" s="7"/>
      <c r="AG264" s="7"/>
      <c r="AH264" s="7"/>
      <c r="AI264" s="7"/>
    </row>
    <row r="265" spans="1:35" ht="14.5" x14ac:dyDescent="0.3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7"/>
      <c r="AF265" s="7"/>
      <c r="AG265" s="7"/>
      <c r="AH265" s="7"/>
      <c r="AI265" s="7"/>
    </row>
    <row r="266" spans="1:35" ht="14.5" x14ac:dyDescent="0.35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7"/>
      <c r="AF266" s="7"/>
      <c r="AG266" s="7"/>
      <c r="AH266" s="7"/>
      <c r="AI266" s="7"/>
    </row>
    <row r="267" spans="1:35" ht="14.5" x14ac:dyDescent="0.3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7"/>
      <c r="AF267" s="7"/>
      <c r="AG267" s="7"/>
      <c r="AH267" s="7"/>
      <c r="AI267" s="7"/>
    </row>
    <row r="268" spans="1:35" ht="14.5" x14ac:dyDescent="0.35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7"/>
      <c r="AF268" s="7"/>
      <c r="AG268" s="7"/>
      <c r="AH268" s="7"/>
      <c r="AI268" s="7"/>
    </row>
    <row r="269" spans="1:35" ht="14.5" x14ac:dyDescent="0.35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7"/>
      <c r="AF269" s="7"/>
      <c r="AG269" s="7"/>
      <c r="AH269" s="7"/>
      <c r="AI269" s="7"/>
    </row>
    <row r="270" spans="1:35" ht="14.5" x14ac:dyDescent="0.35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7"/>
      <c r="AF270" s="7"/>
      <c r="AG270" s="7"/>
      <c r="AH270" s="7"/>
      <c r="AI270" s="7"/>
    </row>
    <row r="271" spans="1:35" ht="14.5" x14ac:dyDescent="0.35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7"/>
      <c r="AF271" s="7"/>
      <c r="AG271" s="7"/>
      <c r="AH271" s="7"/>
      <c r="AI271" s="7"/>
    </row>
    <row r="272" spans="1:35" ht="14.5" x14ac:dyDescent="0.35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7"/>
      <c r="AF272" s="7"/>
      <c r="AG272" s="7"/>
      <c r="AH272" s="7"/>
      <c r="AI272" s="7"/>
    </row>
    <row r="273" spans="1:35" ht="14.5" x14ac:dyDescent="0.35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7"/>
      <c r="AF273" s="7"/>
      <c r="AG273" s="7"/>
      <c r="AH273" s="7"/>
      <c r="AI273" s="7"/>
    </row>
    <row r="274" spans="1:35" ht="14.5" x14ac:dyDescent="0.35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7"/>
      <c r="AF274" s="7"/>
      <c r="AG274" s="7"/>
      <c r="AH274" s="7"/>
      <c r="AI274" s="7"/>
    </row>
    <row r="275" spans="1:35" ht="14.5" x14ac:dyDescent="0.3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7"/>
      <c r="AF275" s="7"/>
      <c r="AG275" s="7"/>
      <c r="AH275" s="7"/>
      <c r="AI275" s="7"/>
    </row>
    <row r="276" spans="1:35" ht="14.5" x14ac:dyDescent="0.35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7"/>
      <c r="AF276" s="7"/>
      <c r="AG276" s="7"/>
      <c r="AH276" s="7"/>
      <c r="AI276" s="7"/>
    </row>
    <row r="277" spans="1:35" ht="14.5" x14ac:dyDescent="0.3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7"/>
      <c r="AF277" s="7"/>
      <c r="AG277" s="7"/>
      <c r="AH277" s="7"/>
      <c r="AI277" s="7"/>
    </row>
    <row r="278" spans="1:35" ht="14.5" x14ac:dyDescent="0.35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7"/>
      <c r="AF278" s="7"/>
      <c r="AG278" s="7"/>
      <c r="AH278" s="7"/>
      <c r="AI278" s="7"/>
    </row>
    <row r="279" spans="1:35" ht="14.5" x14ac:dyDescent="0.35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7"/>
      <c r="AF279" s="7"/>
      <c r="AG279" s="7"/>
      <c r="AH279" s="7"/>
      <c r="AI279" s="7"/>
    </row>
    <row r="280" spans="1:35" ht="14.5" x14ac:dyDescent="0.35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7"/>
      <c r="AF280" s="7"/>
      <c r="AG280" s="7"/>
      <c r="AH280" s="7"/>
      <c r="AI280" s="7"/>
    </row>
    <row r="281" spans="1:35" ht="14.5" x14ac:dyDescent="0.35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7"/>
      <c r="AF281" s="7"/>
      <c r="AG281" s="7"/>
      <c r="AH281" s="7"/>
      <c r="AI281" s="7"/>
    </row>
    <row r="282" spans="1:35" ht="14.5" x14ac:dyDescent="0.35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7"/>
      <c r="AF282" s="7"/>
      <c r="AG282" s="7"/>
      <c r="AH282" s="7"/>
      <c r="AI282" s="7"/>
    </row>
    <row r="283" spans="1:35" ht="14.5" x14ac:dyDescent="0.35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7"/>
      <c r="AF283" s="7"/>
      <c r="AG283" s="7"/>
      <c r="AH283" s="7"/>
      <c r="AI283" s="7"/>
    </row>
    <row r="284" spans="1:35" ht="14.5" x14ac:dyDescent="0.35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7"/>
      <c r="AF284" s="7"/>
      <c r="AG284" s="7"/>
      <c r="AH284" s="7"/>
      <c r="AI284" s="7"/>
    </row>
    <row r="285" spans="1:35" ht="14.5" x14ac:dyDescent="0.3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7"/>
      <c r="AF285" s="7"/>
      <c r="AG285" s="7"/>
      <c r="AH285" s="7"/>
      <c r="AI285" s="7"/>
    </row>
    <row r="286" spans="1:35" ht="14.5" x14ac:dyDescent="0.35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7"/>
      <c r="AF286" s="7"/>
      <c r="AG286" s="7"/>
      <c r="AH286" s="7"/>
      <c r="AI286" s="7"/>
    </row>
    <row r="287" spans="1:35" ht="14.5" x14ac:dyDescent="0.35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7"/>
      <c r="AF287" s="7"/>
      <c r="AG287" s="7"/>
      <c r="AH287" s="7"/>
      <c r="AI287" s="7"/>
    </row>
    <row r="288" spans="1:35" ht="14.5" x14ac:dyDescent="0.35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7"/>
      <c r="AF288" s="7"/>
      <c r="AG288" s="7"/>
      <c r="AH288" s="7"/>
      <c r="AI288" s="7"/>
    </row>
    <row r="289" spans="1:35" ht="14.5" x14ac:dyDescent="0.35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7"/>
      <c r="AF289" s="7"/>
      <c r="AG289" s="7"/>
      <c r="AH289" s="7"/>
      <c r="AI289" s="7"/>
    </row>
    <row r="290" spans="1:35" ht="14.5" x14ac:dyDescent="0.35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7"/>
      <c r="AF290" s="7"/>
      <c r="AG290" s="7"/>
      <c r="AH290" s="7"/>
      <c r="AI290" s="7"/>
    </row>
    <row r="291" spans="1:35" ht="14.5" x14ac:dyDescent="0.35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7"/>
      <c r="AF291" s="7"/>
      <c r="AG291" s="7"/>
      <c r="AH291" s="7"/>
      <c r="AI291" s="7"/>
    </row>
    <row r="292" spans="1:35" ht="14.5" x14ac:dyDescent="0.35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7"/>
      <c r="AF292" s="7"/>
      <c r="AG292" s="7"/>
      <c r="AH292" s="7"/>
      <c r="AI292" s="7"/>
    </row>
    <row r="293" spans="1:35" ht="14.5" x14ac:dyDescent="0.35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7"/>
      <c r="AF293" s="7"/>
      <c r="AG293" s="7"/>
      <c r="AH293" s="7"/>
      <c r="AI293" s="7"/>
    </row>
    <row r="294" spans="1:35" ht="14.5" x14ac:dyDescent="0.35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7"/>
      <c r="AF294" s="7"/>
      <c r="AG294" s="7"/>
      <c r="AH294" s="7"/>
      <c r="AI294" s="7"/>
    </row>
    <row r="295" spans="1:35" ht="14.5" x14ac:dyDescent="0.3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7"/>
      <c r="AF295" s="7"/>
      <c r="AG295" s="7"/>
      <c r="AH295" s="7"/>
      <c r="AI295" s="7"/>
    </row>
    <row r="296" spans="1:35" ht="14.5" x14ac:dyDescent="0.35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7"/>
      <c r="AF296" s="7"/>
      <c r="AG296" s="7"/>
      <c r="AH296" s="7"/>
      <c r="AI296" s="7"/>
    </row>
    <row r="297" spans="1:35" ht="14.5" x14ac:dyDescent="0.35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7"/>
      <c r="AF297" s="7"/>
      <c r="AG297" s="7"/>
      <c r="AH297" s="7"/>
      <c r="AI297" s="7"/>
    </row>
    <row r="298" spans="1:35" ht="14.5" x14ac:dyDescent="0.35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7"/>
      <c r="AF298" s="7"/>
      <c r="AG298" s="7"/>
      <c r="AH298" s="7"/>
      <c r="AI298" s="7"/>
    </row>
    <row r="299" spans="1:35" ht="14.5" x14ac:dyDescent="0.35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7"/>
      <c r="AF299" s="7"/>
      <c r="AG299" s="7"/>
      <c r="AH299" s="7"/>
      <c r="AI299" s="7"/>
    </row>
    <row r="300" spans="1:35" ht="14.5" x14ac:dyDescent="0.35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7"/>
      <c r="AF300" s="7"/>
      <c r="AG300" s="7"/>
      <c r="AH300" s="7"/>
      <c r="AI300" s="7"/>
    </row>
    <row r="301" spans="1:35" ht="14.5" x14ac:dyDescent="0.35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7"/>
      <c r="AF301" s="7"/>
      <c r="AG301" s="7"/>
      <c r="AH301" s="7"/>
      <c r="AI301" s="7"/>
    </row>
    <row r="302" spans="1:35" ht="14.5" x14ac:dyDescent="0.35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7"/>
      <c r="AF302" s="7"/>
      <c r="AG302" s="7"/>
      <c r="AH302" s="7"/>
      <c r="AI302" s="7"/>
    </row>
    <row r="303" spans="1:35" ht="14.5" x14ac:dyDescent="0.35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7"/>
      <c r="AF303" s="7"/>
      <c r="AG303" s="7"/>
      <c r="AH303" s="7"/>
      <c r="AI303" s="7"/>
    </row>
    <row r="304" spans="1:35" ht="14.5" x14ac:dyDescent="0.35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7"/>
      <c r="AF304" s="7"/>
      <c r="AG304" s="7"/>
      <c r="AH304" s="7"/>
      <c r="AI304" s="7"/>
    </row>
    <row r="305" spans="1:35" ht="14.5" x14ac:dyDescent="0.3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7"/>
      <c r="AF305" s="7"/>
      <c r="AG305" s="7"/>
      <c r="AH305" s="7"/>
      <c r="AI305" s="7"/>
    </row>
    <row r="306" spans="1:35" ht="14.5" x14ac:dyDescent="0.35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7"/>
      <c r="AF306" s="7"/>
      <c r="AG306" s="7"/>
      <c r="AH306" s="7"/>
      <c r="AI306" s="7"/>
    </row>
    <row r="307" spans="1:35" ht="14.5" x14ac:dyDescent="0.35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7"/>
      <c r="AF307" s="7"/>
      <c r="AG307" s="7"/>
      <c r="AH307" s="7"/>
      <c r="AI307" s="7"/>
    </row>
    <row r="308" spans="1:35" ht="14.5" x14ac:dyDescent="0.3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7"/>
      <c r="AF308" s="7"/>
      <c r="AG308" s="7"/>
      <c r="AH308" s="7"/>
      <c r="AI308" s="7"/>
    </row>
    <row r="309" spans="1:35" ht="14.5" x14ac:dyDescent="0.35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7"/>
      <c r="AF309" s="7"/>
      <c r="AG309" s="7"/>
      <c r="AH309" s="7"/>
      <c r="AI309" s="7"/>
    </row>
    <row r="310" spans="1:35" ht="14.5" x14ac:dyDescent="0.35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7"/>
      <c r="AF310" s="7"/>
      <c r="AG310" s="7"/>
      <c r="AH310" s="7"/>
      <c r="AI310" s="7"/>
    </row>
    <row r="311" spans="1:35" ht="14.5" x14ac:dyDescent="0.35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7"/>
      <c r="AF311" s="7"/>
      <c r="AG311" s="7"/>
      <c r="AH311" s="7"/>
      <c r="AI311" s="7"/>
    </row>
    <row r="312" spans="1:35" ht="14.5" x14ac:dyDescent="0.35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7"/>
      <c r="AF312" s="7"/>
      <c r="AG312" s="7"/>
      <c r="AH312" s="7"/>
      <c r="AI312" s="7"/>
    </row>
    <row r="313" spans="1:35" ht="14.5" x14ac:dyDescent="0.35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7"/>
      <c r="AF313" s="7"/>
      <c r="AG313" s="7"/>
      <c r="AH313" s="7"/>
      <c r="AI313" s="7"/>
    </row>
    <row r="314" spans="1:35" ht="14.5" x14ac:dyDescent="0.35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7"/>
      <c r="AF314" s="7"/>
      <c r="AG314" s="7"/>
      <c r="AH314" s="7"/>
      <c r="AI314" s="7"/>
    </row>
    <row r="315" spans="1:35" ht="14.5" x14ac:dyDescent="0.3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7"/>
      <c r="AF315" s="7"/>
      <c r="AG315" s="7"/>
      <c r="AH315" s="7"/>
      <c r="AI315" s="7"/>
    </row>
    <row r="316" spans="1:35" ht="14.5" x14ac:dyDescent="0.35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7"/>
      <c r="AF316" s="7"/>
      <c r="AG316" s="7"/>
      <c r="AH316" s="7"/>
      <c r="AI316" s="7"/>
    </row>
    <row r="317" spans="1:35" ht="14.5" x14ac:dyDescent="0.35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7"/>
      <c r="AF317" s="7"/>
      <c r="AG317" s="7"/>
      <c r="AH317" s="7"/>
      <c r="AI317" s="7"/>
    </row>
    <row r="318" spans="1:35" ht="14.5" x14ac:dyDescent="0.35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7"/>
      <c r="AF318" s="7"/>
      <c r="AG318" s="7"/>
      <c r="AH318" s="7"/>
      <c r="AI318" s="7"/>
    </row>
    <row r="319" spans="1:35" ht="14.5" x14ac:dyDescent="0.35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7"/>
      <c r="AF319" s="7"/>
      <c r="AG319" s="7"/>
      <c r="AH319" s="7"/>
      <c r="AI319" s="7"/>
    </row>
    <row r="320" spans="1:35" ht="14.5" x14ac:dyDescent="0.35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7"/>
      <c r="AF320" s="7"/>
      <c r="AG320" s="7"/>
      <c r="AH320" s="7"/>
      <c r="AI320" s="7"/>
    </row>
    <row r="321" spans="1:35" ht="14.5" x14ac:dyDescent="0.35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7"/>
      <c r="AF321" s="7"/>
      <c r="AG321" s="7"/>
      <c r="AH321" s="7"/>
      <c r="AI321" s="7"/>
    </row>
    <row r="322" spans="1:35" ht="14.5" x14ac:dyDescent="0.35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7"/>
      <c r="AF322" s="7"/>
      <c r="AG322" s="7"/>
      <c r="AH322" s="7"/>
      <c r="AI322" s="7"/>
    </row>
    <row r="323" spans="1:35" ht="14.5" x14ac:dyDescent="0.35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7"/>
      <c r="AF323" s="7"/>
      <c r="AG323" s="7"/>
      <c r="AH323" s="7"/>
      <c r="AI323" s="7"/>
    </row>
    <row r="324" spans="1:35" ht="14.5" x14ac:dyDescent="0.35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7"/>
      <c r="AF324" s="7"/>
      <c r="AG324" s="7"/>
      <c r="AH324" s="7"/>
      <c r="AI324" s="7"/>
    </row>
    <row r="325" spans="1:35" ht="14.5" x14ac:dyDescent="0.3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7"/>
      <c r="AF325" s="7"/>
      <c r="AG325" s="7"/>
      <c r="AH325" s="7"/>
      <c r="AI325" s="7"/>
    </row>
    <row r="326" spans="1:35" ht="14.5" x14ac:dyDescent="0.35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7"/>
      <c r="AF326" s="7"/>
      <c r="AG326" s="7"/>
      <c r="AH326" s="7"/>
      <c r="AI326" s="7"/>
    </row>
    <row r="327" spans="1:35" ht="14.5" x14ac:dyDescent="0.35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7"/>
      <c r="AF327" s="7"/>
      <c r="AG327" s="7"/>
      <c r="AH327" s="7"/>
      <c r="AI327" s="7"/>
    </row>
    <row r="328" spans="1:35" ht="14.5" x14ac:dyDescent="0.35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7"/>
      <c r="AF328" s="7"/>
      <c r="AG328" s="7"/>
      <c r="AH328" s="7"/>
      <c r="AI328" s="7"/>
    </row>
    <row r="329" spans="1:35" ht="14.5" x14ac:dyDescent="0.35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7"/>
      <c r="AF329" s="7"/>
      <c r="AG329" s="7"/>
      <c r="AH329" s="7"/>
      <c r="AI329" s="7"/>
    </row>
    <row r="330" spans="1:35" ht="14.5" x14ac:dyDescent="0.35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7"/>
      <c r="AF330" s="7"/>
      <c r="AG330" s="7"/>
      <c r="AH330" s="7"/>
      <c r="AI330" s="7"/>
    </row>
    <row r="331" spans="1:35" ht="14.5" x14ac:dyDescent="0.35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7"/>
      <c r="AF331" s="7"/>
      <c r="AG331" s="7"/>
      <c r="AH331" s="7"/>
      <c r="AI331" s="7"/>
    </row>
    <row r="332" spans="1:35" ht="14.5" x14ac:dyDescent="0.35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7"/>
      <c r="AF332" s="7"/>
      <c r="AG332" s="7"/>
      <c r="AH332" s="7"/>
      <c r="AI332" s="7"/>
    </row>
    <row r="333" spans="1:35" ht="14.5" x14ac:dyDescent="0.35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7"/>
      <c r="AF333" s="7"/>
      <c r="AG333" s="7"/>
      <c r="AH333" s="7"/>
      <c r="AI333" s="7"/>
    </row>
    <row r="334" spans="1:35" ht="14.5" x14ac:dyDescent="0.3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7"/>
      <c r="AF334" s="7"/>
      <c r="AG334" s="7"/>
      <c r="AH334" s="7"/>
      <c r="AI334" s="7"/>
    </row>
    <row r="335" spans="1:35" ht="14.5" x14ac:dyDescent="0.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7"/>
      <c r="AF335" s="7"/>
      <c r="AG335" s="7"/>
      <c r="AH335" s="7"/>
      <c r="AI335" s="7"/>
    </row>
    <row r="336" spans="1:35" ht="14.5" x14ac:dyDescent="0.35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7"/>
      <c r="AF336" s="7"/>
      <c r="AG336" s="7"/>
      <c r="AH336" s="7"/>
      <c r="AI336" s="7"/>
    </row>
    <row r="337" spans="1:35" ht="14.5" x14ac:dyDescent="0.35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7"/>
      <c r="AF337" s="7"/>
      <c r="AG337" s="7"/>
      <c r="AH337" s="7"/>
      <c r="AI337" s="7"/>
    </row>
    <row r="338" spans="1:35" ht="14.5" x14ac:dyDescent="0.35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7"/>
      <c r="AF338" s="7"/>
      <c r="AG338" s="7"/>
      <c r="AH338" s="7"/>
      <c r="AI338" s="7"/>
    </row>
    <row r="339" spans="1:35" ht="14.5" x14ac:dyDescent="0.35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7"/>
      <c r="AF339" s="7"/>
      <c r="AG339" s="7"/>
      <c r="AH339" s="7"/>
      <c r="AI339" s="7"/>
    </row>
    <row r="340" spans="1:35" ht="14.5" x14ac:dyDescent="0.35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7"/>
      <c r="AF340" s="7"/>
      <c r="AG340" s="7"/>
      <c r="AH340" s="7"/>
      <c r="AI340" s="7"/>
    </row>
    <row r="341" spans="1:35" ht="14.5" x14ac:dyDescent="0.35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7"/>
      <c r="AF341" s="7"/>
      <c r="AG341" s="7"/>
      <c r="AH341" s="7"/>
      <c r="AI341" s="7"/>
    </row>
    <row r="342" spans="1:35" ht="14.5" x14ac:dyDescent="0.35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7"/>
      <c r="AF342" s="7"/>
      <c r="AG342" s="7"/>
      <c r="AH342" s="7"/>
      <c r="AI342" s="7"/>
    </row>
    <row r="343" spans="1:35" ht="14.5" x14ac:dyDescent="0.35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7"/>
      <c r="AF343" s="7"/>
      <c r="AG343" s="7"/>
      <c r="AH343" s="7"/>
      <c r="AI343" s="7"/>
    </row>
    <row r="344" spans="1:35" ht="14.5" x14ac:dyDescent="0.35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7"/>
      <c r="AF344" s="7"/>
      <c r="AG344" s="7"/>
      <c r="AH344" s="7"/>
      <c r="AI344" s="7"/>
    </row>
    <row r="345" spans="1:35" ht="14.5" x14ac:dyDescent="0.3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7"/>
      <c r="AF345" s="7"/>
      <c r="AG345" s="7"/>
      <c r="AH345" s="7"/>
      <c r="AI345" s="7"/>
    </row>
    <row r="346" spans="1:35" ht="14.5" x14ac:dyDescent="0.35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7"/>
      <c r="AF346" s="7"/>
      <c r="AG346" s="7"/>
      <c r="AH346" s="7"/>
      <c r="AI346" s="7"/>
    </row>
    <row r="347" spans="1:35" ht="14.5" x14ac:dyDescent="0.35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7"/>
      <c r="AF347" s="7"/>
      <c r="AG347" s="7"/>
      <c r="AH347" s="7"/>
      <c r="AI347" s="7"/>
    </row>
    <row r="348" spans="1:35" ht="14.5" x14ac:dyDescent="0.35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7"/>
      <c r="AF348" s="7"/>
      <c r="AG348" s="7"/>
      <c r="AH348" s="7"/>
      <c r="AI348" s="7"/>
    </row>
    <row r="349" spans="1:35" ht="14.5" x14ac:dyDescent="0.35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7"/>
      <c r="AF349" s="7"/>
      <c r="AG349" s="7"/>
      <c r="AH349" s="7"/>
      <c r="AI349" s="7"/>
    </row>
    <row r="350" spans="1:35" ht="14.5" x14ac:dyDescent="0.3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7"/>
      <c r="AF350" s="7"/>
      <c r="AG350" s="7"/>
      <c r="AH350" s="7"/>
      <c r="AI350" s="7"/>
    </row>
    <row r="351" spans="1:35" ht="14.5" x14ac:dyDescent="0.35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7"/>
      <c r="AF351" s="7"/>
      <c r="AG351" s="7"/>
      <c r="AH351" s="7"/>
      <c r="AI351" s="7"/>
    </row>
    <row r="352" spans="1:35" ht="14.5" x14ac:dyDescent="0.35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7"/>
      <c r="AF352" s="7"/>
      <c r="AG352" s="7"/>
      <c r="AH352" s="7"/>
      <c r="AI352" s="7"/>
    </row>
    <row r="353" spans="1:35" ht="14.5" x14ac:dyDescent="0.35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7"/>
      <c r="AF353" s="7"/>
      <c r="AG353" s="7"/>
      <c r="AH353" s="7"/>
      <c r="AI353" s="7"/>
    </row>
    <row r="354" spans="1:35" ht="14.5" x14ac:dyDescent="0.35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7"/>
      <c r="AF354" s="7"/>
      <c r="AG354" s="7"/>
      <c r="AH354" s="7"/>
      <c r="AI354" s="7"/>
    </row>
    <row r="355" spans="1:35" ht="14.5" x14ac:dyDescent="0.3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7"/>
      <c r="AF355" s="7"/>
      <c r="AG355" s="7"/>
      <c r="AH355" s="7"/>
      <c r="AI355" s="7"/>
    </row>
    <row r="356" spans="1:35" ht="14.5" x14ac:dyDescent="0.35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7"/>
      <c r="AF356" s="7"/>
      <c r="AG356" s="7"/>
      <c r="AH356" s="7"/>
      <c r="AI356" s="7"/>
    </row>
    <row r="357" spans="1:35" ht="14.5" x14ac:dyDescent="0.35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7"/>
      <c r="AF357" s="7"/>
      <c r="AG357" s="7"/>
      <c r="AH357" s="7"/>
      <c r="AI357" s="7"/>
    </row>
    <row r="358" spans="1:35" ht="14.5" x14ac:dyDescent="0.35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7"/>
      <c r="AF358" s="7"/>
      <c r="AG358" s="7"/>
      <c r="AH358" s="7"/>
      <c r="AI358" s="7"/>
    </row>
    <row r="359" spans="1:35" ht="14.5" x14ac:dyDescent="0.35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7"/>
      <c r="AF359" s="7"/>
      <c r="AG359" s="7"/>
      <c r="AH359" s="7"/>
      <c r="AI359" s="7"/>
    </row>
    <row r="360" spans="1:35" ht="14.5" x14ac:dyDescent="0.35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7"/>
      <c r="AF360" s="7"/>
      <c r="AG360" s="7"/>
      <c r="AH360" s="7"/>
      <c r="AI360" s="7"/>
    </row>
    <row r="361" spans="1:35" ht="14.5" x14ac:dyDescent="0.35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7"/>
      <c r="AF361" s="7"/>
      <c r="AG361" s="7"/>
      <c r="AH361" s="7"/>
      <c r="AI361" s="7"/>
    </row>
    <row r="362" spans="1:35" ht="14.5" x14ac:dyDescent="0.35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7"/>
      <c r="AF362" s="7"/>
      <c r="AG362" s="7"/>
      <c r="AH362" s="7"/>
      <c r="AI362" s="7"/>
    </row>
    <row r="363" spans="1:35" ht="14.5" x14ac:dyDescent="0.35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7"/>
      <c r="AF363" s="7"/>
      <c r="AG363" s="7"/>
      <c r="AH363" s="7"/>
      <c r="AI363" s="7"/>
    </row>
    <row r="364" spans="1:35" ht="14.5" x14ac:dyDescent="0.35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7"/>
      <c r="AF364" s="7"/>
      <c r="AG364" s="7"/>
      <c r="AH364" s="7"/>
      <c r="AI364" s="7"/>
    </row>
    <row r="365" spans="1:35" ht="14.5" x14ac:dyDescent="0.3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7"/>
      <c r="AF365" s="7"/>
      <c r="AG365" s="7"/>
      <c r="AH365" s="7"/>
      <c r="AI365" s="7"/>
    </row>
    <row r="366" spans="1:35" ht="14.5" x14ac:dyDescent="0.35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7"/>
      <c r="AF366" s="7"/>
      <c r="AG366" s="7"/>
      <c r="AH366" s="7"/>
      <c r="AI366" s="7"/>
    </row>
    <row r="367" spans="1:35" ht="14.5" x14ac:dyDescent="0.35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7"/>
      <c r="AF367" s="7"/>
      <c r="AG367" s="7"/>
      <c r="AH367" s="7"/>
      <c r="AI367" s="7"/>
    </row>
    <row r="368" spans="1:35" ht="14.5" x14ac:dyDescent="0.35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7"/>
      <c r="AF368" s="7"/>
      <c r="AG368" s="7"/>
      <c r="AH368" s="7"/>
      <c r="AI368" s="7"/>
    </row>
    <row r="369" spans="1:35" ht="14.5" x14ac:dyDescent="0.35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7"/>
      <c r="AF369" s="7"/>
      <c r="AG369" s="7"/>
      <c r="AH369" s="7"/>
      <c r="AI369" s="7"/>
    </row>
    <row r="370" spans="1:35" ht="14.5" x14ac:dyDescent="0.35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7"/>
      <c r="AF370" s="7"/>
      <c r="AG370" s="7"/>
      <c r="AH370" s="7"/>
      <c r="AI370" s="7"/>
    </row>
    <row r="371" spans="1:35" ht="14.5" x14ac:dyDescent="0.35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7"/>
      <c r="AF371" s="7"/>
      <c r="AG371" s="7"/>
      <c r="AH371" s="7"/>
      <c r="AI371" s="7"/>
    </row>
    <row r="372" spans="1:35" ht="14.5" x14ac:dyDescent="0.35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7"/>
      <c r="AF372" s="7"/>
      <c r="AG372" s="7"/>
      <c r="AH372" s="7"/>
      <c r="AI372" s="7"/>
    </row>
    <row r="373" spans="1:35" ht="14.5" x14ac:dyDescent="0.35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7"/>
      <c r="AF373" s="7"/>
      <c r="AG373" s="7"/>
      <c r="AH373" s="7"/>
      <c r="AI373" s="7"/>
    </row>
    <row r="374" spans="1:35" ht="14.5" x14ac:dyDescent="0.35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7"/>
      <c r="AF374" s="7"/>
      <c r="AG374" s="7"/>
      <c r="AH374" s="7"/>
      <c r="AI374" s="7"/>
    </row>
    <row r="375" spans="1:35" ht="14.5" x14ac:dyDescent="0.3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7"/>
      <c r="AF375" s="7"/>
      <c r="AG375" s="7"/>
      <c r="AH375" s="7"/>
      <c r="AI375" s="7"/>
    </row>
    <row r="376" spans="1:35" ht="14.5" x14ac:dyDescent="0.35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7"/>
      <c r="AF376" s="7"/>
      <c r="AG376" s="7"/>
      <c r="AH376" s="7"/>
      <c r="AI376" s="7"/>
    </row>
    <row r="377" spans="1:35" ht="14.5" x14ac:dyDescent="0.35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7"/>
      <c r="AF377" s="7"/>
      <c r="AG377" s="7"/>
      <c r="AH377" s="7"/>
      <c r="AI377" s="7"/>
    </row>
    <row r="378" spans="1:35" ht="14.5" x14ac:dyDescent="0.35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7"/>
      <c r="AF378" s="7"/>
      <c r="AG378" s="7"/>
      <c r="AH378" s="7"/>
      <c r="AI378" s="7"/>
    </row>
    <row r="379" spans="1:35" ht="14.5" x14ac:dyDescent="0.35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7"/>
      <c r="AF379" s="7"/>
      <c r="AG379" s="7"/>
      <c r="AH379" s="7"/>
      <c r="AI379" s="7"/>
    </row>
    <row r="380" spans="1:35" ht="14.5" x14ac:dyDescent="0.35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7"/>
      <c r="AF380" s="7"/>
      <c r="AG380" s="7"/>
      <c r="AH380" s="7"/>
      <c r="AI380" s="7"/>
    </row>
    <row r="381" spans="1:35" ht="14.5" x14ac:dyDescent="0.35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7"/>
      <c r="AF381" s="7"/>
      <c r="AG381" s="7"/>
      <c r="AH381" s="7"/>
      <c r="AI381" s="7"/>
    </row>
    <row r="382" spans="1:35" ht="14.5" x14ac:dyDescent="0.35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7"/>
      <c r="AF382" s="7"/>
      <c r="AG382" s="7"/>
      <c r="AH382" s="7"/>
      <c r="AI382" s="7"/>
    </row>
    <row r="383" spans="1:35" ht="14.5" x14ac:dyDescent="0.35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7"/>
      <c r="AF383" s="7"/>
      <c r="AG383" s="7"/>
      <c r="AH383" s="7"/>
      <c r="AI383" s="7"/>
    </row>
    <row r="384" spans="1:35" ht="14.5" x14ac:dyDescent="0.35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7"/>
      <c r="AF384" s="7"/>
      <c r="AG384" s="7"/>
      <c r="AH384" s="7"/>
      <c r="AI384" s="7"/>
    </row>
    <row r="385" spans="1:35" ht="14.5" x14ac:dyDescent="0.3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7"/>
      <c r="AF385" s="7"/>
      <c r="AG385" s="7"/>
      <c r="AH385" s="7"/>
      <c r="AI385" s="7"/>
    </row>
    <row r="386" spans="1:35" ht="14.5" x14ac:dyDescent="0.35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7"/>
      <c r="AF386" s="7"/>
      <c r="AG386" s="7"/>
      <c r="AH386" s="7"/>
      <c r="AI386" s="7"/>
    </row>
    <row r="387" spans="1:35" ht="14.5" x14ac:dyDescent="0.35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7"/>
      <c r="AF387" s="7"/>
      <c r="AG387" s="7"/>
      <c r="AH387" s="7"/>
      <c r="AI387" s="7"/>
    </row>
    <row r="388" spans="1:35" ht="14.5" x14ac:dyDescent="0.35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7"/>
      <c r="AF388" s="7"/>
      <c r="AG388" s="7"/>
      <c r="AH388" s="7"/>
      <c r="AI388" s="7"/>
    </row>
    <row r="389" spans="1:35" ht="14.5" x14ac:dyDescent="0.35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7"/>
      <c r="AF389" s="7"/>
      <c r="AG389" s="7"/>
      <c r="AH389" s="7"/>
      <c r="AI389" s="7"/>
    </row>
    <row r="390" spans="1:35" ht="14.5" x14ac:dyDescent="0.35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7"/>
      <c r="AF390" s="7"/>
      <c r="AG390" s="7"/>
      <c r="AH390" s="7"/>
      <c r="AI390" s="7"/>
    </row>
    <row r="391" spans="1:35" ht="14.5" x14ac:dyDescent="0.35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7"/>
      <c r="AF391" s="7"/>
      <c r="AG391" s="7"/>
      <c r="AH391" s="7"/>
      <c r="AI391" s="7"/>
    </row>
    <row r="392" spans="1:35" ht="14.5" x14ac:dyDescent="0.35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7"/>
      <c r="AF392" s="7"/>
      <c r="AG392" s="7"/>
      <c r="AH392" s="7"/>
      <c r="AI392" s="7"/>
    </row>
    <row r="393" spans="1:35" ht="14.5" x14ac:dyDescent="0.35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7"/>
      <c r="AF393" s="7"/>
      <c r="AG393" s="7"/>
      <c r="AH393" s="7"/>
      <c r="AI393" s="7"/>
    </row>
    <row r="394" spans="1:35" ht="14.5" x14ac:dyDescent="0.35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7"/>
      <c r="AF394" s="7"/>
      <c r="AG394" s="7"/>
      <c r="AH394" s="7"/>
      <c r="AI394" s="7"/>
    </row>
    <row r="395" spans="1:35" ht="14.5" x14ac:dyDescent="0.3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7"/>
      <c r="AF395" s="7"/>
      <c r="AG395" s="7"/>
      <c r="AH395" s="7"/>
      <c r="AI395" s="7"/>
    </row>
    <row r="396" spans="1:35" ht="14.5" x14ac:dyDescent="0.3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7"/>
      <c r="AF396" s="7"/>
      <c r="AG396" s="7"/>
      <c r="AH396" s="7"/>
      <c r="AI396" s="7"/>
    </row>
    <row r="397" spans="1:35" ht="14.5" x14ac:dyDescent="0.35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7"/>
      <c r="AF397" s="7"/>
      <c r="AG397" s="7"/>
      <c r="AH397" s="7"/>
      <c r="AI397" s="7"/>
    </row>
    <row r="398" spans="1:35" ht="14.5" x14ac:dyDescent="0.35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7"/>
      <c r="AF398" s="7"/>
      <c r="AG398" s="7"/>
      <c r="AH398" s="7"/>
      <c r="AI398" s="7"/>
    </row>
    <row r="399" spans="1:35" ht="14.5" x14ac:dyDescent="0.35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7"/>
      <c r="AF399" s="7"/>
      <c r="AG399" s="7"/>
      <c r="AH399" s="7"/>
      <c r="AI399" s="7"/>
    </row>
    <row r="400" spans="1:35" ht="14.5" x14ac:dyDescent="0.35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7"/>
      <c r="AF400" s="7"/>
      <c r="AG400" s="7"/>
      <c r="AH400" s="7"/>
      <c r="AI400" s="7"/>
    </row>
    <row r="401" spans="1:35" ht="14.5" x14ac:dyDescent="0.35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7"/>
      <c r="AF401" s="7"/>
      <c r="AG401" s="7"/>
      <c r="AH401" s="7"/>
      <c r="AI401" s="7"/>
    </row>
    <row r="402" spans="1:35" ht="14.5" x14ac:dyDescent="0.35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7"/>
      <c r="AF402" s="7"/>
      <c r="AG402" s="7"/>
      <c r="AH402" s="7"/>
      <c r="AI402" s="7"/>
    </row>
    <row r="403" spans="1:35" ht="14.5" x14ac:dyDescent="0.3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7"/>
      <c r="AF403" s="7"/>
      <c r="AG403" s="7"/>
      <c r="AH403" s="7"/>
      <c r="AI403" s="7"/>
    </row>
    <row r="404" spans="1:35" ht="14.5" x14ac:dyDescent="0.35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7"/>
      <c r="AF404" s="7"/>
      <c r="AG404" s="7"/>
      <c r="AH404" s="7"/>
      <c r="AI404" s="7"/>
    </row>
    <row r="405" spans="1:35" ht="14.5" x14ac:dyDescent="0.3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7"/>
      <c r="AF405" s="7"/>
      <c r="AG405" s="7"/>
      <c r="AH405" s="7"/>
      <c r="AI405" s="7"/>
    </row>
    <row r="406" spans="1:35" ht="14.5" x14ac:dyDescent="0.35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7"/>
      <c r="AF406" s="7"/>
      <c r="AG406" s="7"/>
      <c r="AH406" s="7"/>
      <c r="AI406" s="7"/>
    </row>
    <row r="407" spans="1:35" ht="14.5" x14ac:dyDescent="0.35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7"/>
      <c r="AF407" s="7"/>
      <c r="AG407" s="7"/>
      <c r="AH407" s="7"/>
      <c r="AI407" s="7"/>
    </row>
    <row r="408" spans="1:35" ht="14.5" x14ac:dyDescent="0.35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7"/>
      <c r="AF408" s="7"/>
      <c r="AG408" s="7"/>
      <c r="AH408" s="7"/>
      <c r="AI408" s="7"/>
    </row>
    <row r="409" spans="1:35" ht="14.5" x14ac:dyDescent="0.35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7"/>
      <c r="AF409" s="7"/>
      <c r="AG409" s="7"/>
      <c r="AH409" s="7"/>
      <c r="AI409" s="7"/>
    </row>
    <row r="410" spans="1:35" ht="14.5" x14ac:dyDescent="0.35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7"/>
      <c r="AF410" s="7"/>
      <c r="AG410" s="7"/>
      <c r="AH410" s="7"/>
      <c r="AI410" s="7"/>
    </row>
    <row r="411" spans="1:35" ht="14.5" x14ac:dyDescent="0.35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7"/>
      <c r="AF411" s="7"/>
      <c r="AG411" s="7"/>
      <c r="AH411" s="7"/>
      <c r="AI411" s="7"/>
    </row>
    <row r="412" spans="1:35" ht="14.5" x14ac:dyDescent="0.35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7"/>
      <c r="AF412" s="7"/>
      <c r="AG412" s="7"/>
      <c r="AH412" s="7"/>
      <c r="AI412" s="7"/>
    </row>
    <row r="413" spans="1:35" ht="14.5" x14ac:dyDescent="0.35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7"/>
      <c r="AF413" s="7"/>
      <c r="AG413" s="7"/>
      <c r="AH413" s="7"/>
      <c r="AI413" s="7"/>
    </row>
    <row r="414" spans="1:35" ht="14.5" x14ac:dyDescent="0.35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7"/>
      <c r="AF414" s="7"/>
      <c r="AG414" s="7"/>
      <c r="AH414" s="7"/>
      <c r="AI414" s="7"/>
    </row>
    <row r="415" spans="1:35" ht="14.5" x14ac:dyDescent="0.3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7"/>
      <c r="AF415" s="7"/>
      <c r="AG415" s="7"/>
      <c r="AH415" s="7"/>
      <c r="AI415" s="7"/>
    </row>
    <row r="416" spans="1:35" ht="14.5" x14ac:dyDescent="0.35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7"/>
      <c r="AF416" s="7"/>
      <c r="AG416" s="7"/>
      <c r="AH416" s="7"/>
      <c r="AI416" s="7"/>
    </row>
    <row r="417" spans="1:35" ht="14.5" x14ac:dyDescent="0.35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7"/>
      <c r="AF417" s="7"/>
      <c r="AG417" s="7"/>
      <c r="AH417" s="7"/>
      <c r="AI417" s="7"/>
    </row>
    <row r="418" spans="1:35" ht="14.5" x14ac:dyDescent="0.35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7"/>
      <c r="AF418" s="7"/>
      <c r="AG418" s="7"/>
      <c r="AH418" s="7"/>
      <c r="AI418" s="7"/>
    </row>
    <row r="419" spans="1:35" ht="14.5" x14ac:dyDescent="0.3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7"/>
      <c r="AF419" s="7"/>
      <c r="AG419" s="7"/>
      <c r="AH419" s="7"/>
      <c r="AI419" s="7"/>
    </row>
    <row r="420" spans="1:35" ht="14.5" x14ac:dyDescent="0.35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7"/>
      <c r="AF420" s="7"/>
      <c r="AG420" s="7"/>
      <c r="AH420" s="7"/>
      <c r="AI420" s="7"/>
    </row>
    <row r="421" spans="1:35" ht="14.5" x14ac:dyDescent="0.35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7"/>
      <c r="AF421" s="7"/>
      <c r="AG421" s="7"/>
      <c r="AH421" s="7"/>
      <c r="AI421" s="7"/>
    </row>
    <row r="422" spans="1:35" ht="14.5" x14ac:dyDescent="0.35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7"/>
      <c r="AF422" s="7"/>
      <c r="AG422" s="7"/>
      <c r="AH422" s="7"/>
      <c r="AI422" s="7"/>
    </row>
    <row r="423" spans="1:35" ht="14.5" x14ac:dyDescent="0.35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7"/>
      <c r="AF423" s="7"/>
      <c r="AG423" s="7"/>
      <c r="AH423" s="7"/>
      <c r="AI423" s="7"/>
    </row>
    <row r="424" spans="1:35" ht="14.5" x14ac:dyDescent="0.35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7"/>
      <c r="AF424" s="7"/>
      <c r="AG424" s="7"/>
      <c r="AH424" s="7"/>
      <c r="AI424" s="7"/>
    </row>
    <row r="425" spans="1:35" ht="14.5" x14ac:dyDescent="0.3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7"/>
      <c r="AF425" s="7"/>
      <c r="AG425" s="7"/>
      <c r="AH425" s="7"/>
      <c r="AI425" s="7"/>
    </row>
    <row r="426" spans="1:35" ht="14.5" x14ac:dyDescent="0.3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7"/>
      <c r="AF426" s="7"/>
      <c r="AG426" s="7"/>
      <c r="AH426" s="7"/>
      <c r="AI426" s="7"/>
    </row>
    <row r="427" spans="1:35" ht="14.5" x14ac:dyDescent="0.35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7"/>
      <c r="AF427" s="7"/>
      <c r="AG427" s="7"/>
      <c r="AH427" s="7"/>
      <c r="AI427" s="7"/>
    </row>
    <row r="428" spans="1:35" ht="14.5" x14ac:dyDescent="0.35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7"/>
      <c r="AF428" s="7"/>
      <c r="AG428" s="7"/>
      <c r="AH428" s="7"/>
      <c r="AI428" s="7"/>
    </row>
    <row r="429" spans="1:35" ht="14.5" x14ac:dyDescent="0.35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7"/>
      <c r="AF429" s="7"/>
      <c r="AG429" s="7"/>
      <c r="AH429" s="7"/>
      <c r="AI429" s="7"/>
    </row>
    <row r="430" spans="1:35" ht="14.5" x14ac:dyDescent="0.35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7"/>
      <c r="AF430" s="7"/>
      <c r="AG430" s="7"/>
      <c r="AH430" s="7"/>
      <c r="AI430" s="7"/>
    </row>
    <row r="431" spans="1:35" ht="14.5" x14ac:dyDescent="0.35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7"/>
      <c r="AF431" s="7"/>
      <c r="AG431" s="7"/>
      <c r="AH431" s="7"/>
      <c r="AI431" s="7"/>
    </row>
    <row r="432" spans="1:35" ht="14.5" x14ac:dyDescent="0.35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7"/>
      <c r="AF432" s="7"/>
      <c r="AG432" s="7"/>
      <c r="AH432" s="7"/>
      <c r="AI432" s="7"/>
    </row>
    <row r="433" spans="1:35" ht="14.5" x14ac:dyDescent="0.35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7"/>
      <c r="AF433" s="7"/>
      <c r="AG433" s="7"/>
      <c r="AH433" s="7"/>
      <c r="AI433" s="7"/>
    </row>
    <row r="434" spans="1:35" ht="14.5" x14ac:dyDescent="0.35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7"/>
      <c r="AF434" s="7"/>
      <c r="AG434" s="7"/>
      <c r="AH434" s="7"/>
      <c r="AI434" s="7"/>
    </row>
    <row r="435" spans="1:35" ht="14.5" x14ac:dyDescent="0.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7"/>
      <c r="AF435" s="7"/>
      <c r="AG435" s="7"/>
      <c r="AH435" s="7"/>
      <c r="AI435" s="7"/>
    </row>
    <row r="436" spans="1:35" ht="14.5" x14ac:dyDescent="0.35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7"/>
      <c r="AF436" s="7"/>
      <c r="AG436" s="7"/>
      <c r="AH436" s="7"/>
      <c r="AI436" s="7"/>
    </row>
    <row r="437" spans="1:35" ht="14.5" x14ac:dyDescent="0.35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7"/>
      <c r="AF437" s="7"/>
      <c r="AG437" s="7"/>
      <c r="AH437" s="7"/>
      <c r="AI437" s="7"/>
    </row>
    <row r="438" spans="1:35" ht="14.5" x14ac:dyDescent="0.35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7"/>
      <c r="AF438" s="7"/>
      <c r="AG438" s="7"/>
      <c r="AH438" s="7"/>
      <c r="AI438" s="7"/>
    </row>
    <row r="439" spans="1:35" ht="14.5" x14ac:dyDescent="0.35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7"/>
      <c r="AF439" s="7"/>
      <c r="AG439" s="7"/>
      <c r="AH439" s="7"/>
      <c r="AI439" s="7"/>
    </row>
    <row r="440" spans="1:35" ht="14.5" x14ac:dyDescent="0.3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7"/>
      <c r="AF440" s="7"/>
      <c r="AG440" s="7"/>
      <c r="AH440" s="7"/>
      <c r="AI440" s="7"/>
    </row>
    <row r="441" spans="1:35" ht="14.5" x14ac:dyDescent="0.35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7"/>
      <c r="AF441" s="7"/>
      <c r="AG441" s="7"/>
      <c r="AH441" s="7"/>
      <c r="AI441" s="7"/>
    </row>
    <row r="442" spans="1:35" ht="14.5" x14ac:dyDescent="0.35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7"/>
      <c r="AF442" s="7"/>
      <c r="AG442" s="7"/>
      <c r="AH442" s="7"/>
      <c r="AI442" s="7"/>
    </row>
    <row r="443" spans="1:35" ht="14.5" x14ac:dyDescent="0.3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7"/>
      <c r="AF443" s="7"/>
      <c r="AG443" s="7"/>
      <c r="AH443" s="7"/>
      <c r="AI443" s="7"/>
    </row>
    <row r="444" spans="1:35" ht="14.5" x14ac:dyDescent="0.35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7"/>
      <c r="AF444" s="7"/>
      <c r="AG444" s="7"/>
      <c r="AH444" s="7"/>
      <c r="AI444" s="7"/>
    </row>
    <row r="445" spans="1:35" ht="14.5" x14ac:dyDescent="0.3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7"/>
      <c r="AF445" s="7"/>
      <c r="AG445" s="7"/>
      <c r="AH445" s="7"/>
      <c r="AI445" s="7"/>
    </row>
    <row r="446" spans="1:35" ht="14.5" x14ac:dyDescent="0.35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7"/>
      <c r="AF446" s="7"/>
      <c r="AG446" s="7"/>
      <c r="AH446" s="7"/>
      <c r="AI446" s="7"/>
    </row>
    <row r="447" spans="1:35" ht="14.5" x14ac:dyDescent="0.35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7"/>
      <c r="AF447" s="7"/>
      <c r="AG447" s="7"/>
      <c r="AH447" s="7"/>
      <c r="AI447" s="7"/>
    </row>
    <row r="448" spans="1:35" ht="14.5" x14ac:dyDescent="0.35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7"/>
      <c r="AF448" s="7"/>
      <c r="AG448" s="7"/>
      <c r="AH448" s="7"/>
      <c r="AI448" s="7"/>
    </row>
    <row r="449" spans="1:35" ht="14.5" x14ac:dyDescent="0.35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7"/>
      <c r="AF449" s="7"/>
      <c r="AG449" s="7"/>
      <c r="AH449" s="7"/>
      <c r="AI449" s="7"/>
    </row>
    <row r="450" spans="1:35" ht="14.5" x14ac:dyDescent="0.35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7"/>
      <c r="AF450" s="7"/>
      <c r="AG450" s="7"/>
      <c r="AH450" s="7"/>
      <c r="AI450" s="7"/>
    </row>
    <row r="451" spans="1:35" ht="14.5" x14ac:dyDescent="0.35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7"/>
      <c r="AF451" s="7"/>
      <c r="AG451" s="7"/>
      <c r="AH451" s="7"/>
      <c r="AI451" s="7"/>
    </row>
    <row r="452" spans="1:35" ht="14.5" x14ac:dyDescent="0.35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7"/>
      <c r="AF452" s="7"/>
      <c r="AG452" s="7"/>
      <c r="AH452" s="7"/>
      <c r="AI452" s="7"/>
    </row>
    <row r="453" spans="1:35" ht="14.5" x14ac:dyDescent="0.35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7"/>
      <c r="AF453" s="7"/>
      <c r="AG453" s="7"/>
      <c r="AH453" s="7"/>
      <c r="AI453" s="7"/>
    </row>
    <row r="454" spans="1:35" ht="14.5" x14ac:dyDescent="0.35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7"/>
      <c r="AF454" s="7"/>
      <c r="AG454" s="7"/>
      <c r="AH454" s="7"/>
      <c r="AI454" s="7"/>
    </row>
    <row r="455" spans="1:35" ht="14.5" x14ac:dyDescent="0.3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7"/>
      <c r="AF455" s="7"/>
      <c r="AG455" s="7"/>
      <c r="AH455" s="7"/>
      <c r="AI455" s="7"/>
    </row>
    <row r="456" spans="1:35" ht="14.5" x14ac:dyDescent="0.35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7"/>
      <c r="AF456" s="7"/>
      <c r="AG456" s="7"/>
      <c r="AH456" s="7"/>
      <c r="AI456" s="7"/>
    </row>
    <row r="457" spans="1:35" ht="14.5" x14ac:dyDescent="0.3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7"/>
      <c r="AF457" s="7"/>
      <c r="AG457" s="7"/>
      <c r="AH457" s="7"/>
      <c r="AI457" s="7"/>
    </row>
    <row r="458" spans="1:35" ht="14.5" x14ac:dyDescent="0.35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7"/>
      <c r="AF458" s="7"/>
      <c r="AG458" s="7"/>
      <c r="AH458" s="7"/>
      <c r="AI458" s="7"/>
    </row>
    <row r="459" spans="1:35" ht="14.5" x14ac:dyDescent="0.35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7"/>
      <c r="AF459" s="7"/>
      <c r="AG459" s="7"/>
      <c r="AH459" s="7"/>
      <c r="AI459" s="7"/>
    </row>
    <row r="460" spans="1:35" ht="14.5" x14ac:dyDescent="0.35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7"/>
      <c r="AF460" s="7"/>
      <c r="AG460" s="7"/>
      <c r="AH460" s="7"/>
      <c r="AI460" s="7"/>
    </row>
    <row r="461" spans="1:35" ht="14.5" x14ac:dyDescent="0.35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7"/>
      <c r="AF461" s="7"/>
      <c r="AG461" s="7"/>
      <c r="AH461" s="7"/>
      <c r="AI461" s="7"/>
    </row>
    <row r="462" spans="1:35" ht="14.5" x14ac:dyDescent="0.35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7"/>
      <c r="AF462" s="7"/>
      <c r="AG462" s="7"/>
      <c r="AH462" s="7"/>
      <c r="AI462" s="7"/>
    </row>
    <row r="463" spans="1:35" ht="14.5" x14ac:dyDescent="0.35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7"/>
      <c r="AF463" s="7"/>
      <c r="AG463" s="7"/>
      <c r="AH463" s="7"/>
      <c r="AI463" s="7"/>
    </row>
    <row r="464" spans="1:35" ht="14.5" x14ac:dyDescent="0.35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7"/>
      <c r="AF464" s="7"/>
      <c r="AG464" s="7"/>
      <c r="AH464" s="7"/>
      <c r="AI464" s="7"/>
    </row>
    <row r="465" spans="1:35" ht="14.5" x14ac:dyDescent="0.3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7"/>
      <c r="AF465" s="7"/>
      <c r="AG465" s="7"/>
      <c r="AH465" s="7"/>
      <c r="AI465" s="7"/>
    </row>
    <row r="466" spans="1:35" ht="14.5" x14ac:dyDescent="0.35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7"/>
      <c r="AF466" s="7"/>
      <c r="AG466" s="7"/>
      <c r="AH466" s="7"/>
      <c r="AI466" s="7"/>
    </row>
    <row r="467" spans="1:35" ht="14.5" x14ac:dyDescent="0.35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7"/>
      <c r="AF467" s="7"/>
      <c r="AG467" s="7"/>
      <c r="AH467" s="7"/>
      <c r="AI467" s="7"/>
    </row>
    <row r="468" spans="1:35" ht="14.5" x14ac:dyDescent="0.35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7"/>
      <c r="AF468" s="7"/>
      <c r="AG468" s="7"/>
      <c r="AH468" s="7"/>
      <c r="AI468" s="7"/>
    </row>
    <row r="469" spans="1:35" ht="14.5" x14ac:dyDescent="0.35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7"/>
      <c r="AF469" s="7"/>
      <c r="AG469" s="7"/>
      <c r="AH469" s="7"/>
      <c r="AI469" s="7"/>
    </row>
    <row r="470" spans="1:35" ht="14.5" x14ac:dyDescent="0.35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7"/>
      <c r="AF470" s="7"/>
      <c r="AG470" s="7"/>
      <c r="AH470" s="7"/>
      <c r="AI470" s="7"/>
    </row>
    <row r="471" spans="1:35" ht="14.5" x14ac:dyDescent="0.35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7"/>
      <c r="AF471" s="7"/>
      <c r="AG471" s="7"/>
      <c r="AH471" s="7"/>
      <c r="AI471" s="7"/>
    </row>
    <row r="472" spans="1:35" ht="14.5" x14ac:dyDescent="0.35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7"/>
      <c r="AF472" s="7"/>
      <c r="AG472" s="7"/>
      <c r="AH472" s="7"/>
      <c r="AI472" s="7"/>
    </row>
    <row r="473" spans="1:35" ht="14.5" x14ac:dyDescent="0.35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7"/>
      <c r="AF473" s="7"/>
      <c r="AG473" s="7"/>
      <c r="AH473" s="7"/>
      <c r="AI473" s="7"/>
    </row>
    <row r="474" spans="1:35" ht="14.5" x14ac:dyDescent="0.35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7"/>
      <c r="AF474" s="7"/>
      <c r="AG474" s="7"/>
      <c r="AH474" s="7"/>
      <c r="AI474" s="7"/>
    </row>
    <row r="475" spans="1:35" ht="14.5" x14ac:dyDescent="0.3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7"/>
      <c r="AF475" s="7"/>
      <c r="AG475" s="7"/>
      <c r="AH475" s="7"/>
      <c r="AI475" s="7"/>
    </row>
    <row r="476" spans="1:35" ht="14.5" x14ac:dyDescent="0.35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7"/>
      <c r="AF476" s="7"/>
      <c r="AG476" s="7"/>
      <c r="AH476" s="7"/>
      <c r="AI476" s="7"/>
    </row>
    <row r="477" spans="1:35" ht="14.5" x14ac:dyDescent="0.35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7"/>
      <c r="AF477" s="7"/>
      <c r="AG477" s="7"/>
      <c r="AH477" s="7"/>
      <c r="AI477" s="7"/>
    </row>
    <row r="478" spans="1:35" ht="14.5" x14ac:dyDescent="0.35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7"/>
      <c r="AF478" s="7"/>
      <c r="AG478" s="7"/>
      <c r="AH478" s="7"/>
      <c r="AI478" s="7"/>
    </row>
    <row r="479" spans="1:35" ht="14.5" x14ac:dyDescent="0.35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7"/>
      <c r="AF479" s="7"/>
      <c r="AG479" s="7"/>
      <c r="AH479" s="7"/>
      <c r="AI479" s="7"/>
    </row>
    <row r="480" spans="1:35" ht="14.5" x14ac:dyDescent="0.35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7"/>
      <c r="AF480" s="7"/>
      <c r="AG480" s="7"/>
      <c r="AH480" s="7"/>
      <c r="AI480" s="7"/>
    </row>
    <row r="481" spans="1:35" ht="14.5" x14ac:dyDescent="0.35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7"/>
      <c r="AF481" s="7"/>
      <c r="AG481" s="7"/>
      <c r="AH481" s="7"/>
      <c r="AI481" s="7"/>
    </row>
    <row r="482" spans="1:35" ht="14.5" x14ac:dyDescent="0.35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7"/>
      <c r="AF482" s="7"/>
      <c r="AG482" s="7"/>
      <c r="AH482" s="7"/>
      <c r="AI482" s="7"/>
    </row>
    <row r="483" spans="1:35" ht="14.5" x14ac:dyDescent="0.35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7"/>
      <c r="AF483" s="7"/>
      <c r="AG483" s="7"/>
      <c r="AH483" s="7"/>
      <c r="AI483" s="7"/>
    </row>
    <row r="484" spans="1:35" ht="14.5" x14ac:dyDescent="0.35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7"/>
      <c r="AF484" s="7"/>
      <c r="AG484" s="7"/>
      <c r="AH484" s="7"/>
      <c r="AI484" s="7"/>
    </row>
    <row r="485" spans="1:35" ht="14.5" x14ac:dyDescent="0.3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7"/>
      <c r="AF485" s="7"/>
      <c r="AG485" s="7"/>
      <c r="AH485" s="7"/>
      <c r="AI485" s="7"/>
    </row>
    <row r="486" spans="1:35" ht="14.5" x14ac:dyDescent="0.35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7"/>
      <c r="AF486" s="7"/>
      <c r="AG486" s="7"/>
      <c r="AH486" s="7"/>
      <c r="AI486" s="7"/>
    </row>
    <row r="487" spans="1:35" ht="14.5" x14ac:dyDescent="0.35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7"/>
      <c r="AF487" s="7"/>
      <c r="AG487" s="7"/>
      <c r="AH487" s="7"/>
      <c r="AI487" s="7"/>
    </row>
    <row r="488" spans="1:35" ht="14.5" x14ac:dyDescent="0.35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7"/>
      <c r="AF488" s="7"/>
      <c r="AG488" s="7"/>
      <c r="AH488" s="7"/>
      <c r="AI488" s="7"/>
    </row>
    <row r="489" spans="1:35" ht="14.5" x14ac:dyDescent="0.35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7"/>
      <c r="AF489" s="7"/>
      <c r="AG489" s="7"/>
      <c r="AH489" s="7"/>
      <c r="AI489" s="7"/>
    </row>
    <row r="490" spans="1:35" ht="14.5" x14ac:dyDescent="0.35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7"/>
      <c r="AF490" s="7"/>
      <c r="AG490" s="7"/>
      <c r="AH490" s="7"/>
      <c r="AI490" s="7"/>
    </row>
    <row r="491" spans="1:35" ht="14.5" x14ac:dyDescent="0.35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7"/>
      <c r="AF491" s="7"/>
      <c r="AG491" s="7"/>
      <c r="AH491" s="7"/>
      <c r="AI491" s="7"/>
    </row>
    <row r="492" spans="1:35" ht="14.5" x14ac:dyDescent="0.35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7"/>
      <c r="AF492" s="7"/>
      <c r="AG492" s="7"/>
      <c r="AH492" s="7"/>
      <c r="AI492" s="7"/>
    </row>
    <row r="493" spans="1:35" ht="14.5" x14ac:dyDescent="0.35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7"/>
      <c r="AF493" s="7"/>
      <c r="AG493" s="7"/>
      <c r="AH493" s="7"/>
      <c r="AI493" s="7"/>
    </row>
    <row r="494" spans="1:35" ht="14.5" x14ac:dyDescent="0.35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7"/>
      <c r="AF494" s="7"/>
      <c r="AG494" s="7"/>
      <c r="AH494" s="7"/>
      <c r="AI494" s="7"/>
    </row>
    <row r="495" spans="1:35" ht="14.5" x14ac:dyDescent="0.3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7"/>
      <c r="AF495" s="7"/>
      <c r="AG495" s="7"/>
      <c r="AH495" s="7"/>
      <c r="AI495" s="7"/>
    </row>
    <row r="496" spans="1:35" ht="14.5" x14ac:dyDescent="0.35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7"/>
      <c r="AF496" s="7"/>
      <c r="AG496" s="7"/>
      <c r="AH496" s="7"/>
      <c r="AI496" s="7"/>
    </row>
    <row r="497" spans="1:35" ht="14.5" x14ac:dyDescent="0.35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7"/>
      <c r="AF497" s="7"/>
      <c r="AG497" s="7"/>
      <c r="AH497" s="7"/>
      <c r="AI497" s="7"/>
    </row>
    <row r="498" spans="1:35" ht="14.5" x14ac:dyDescent="0.35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7"/>
      <c r="AF498" s="7"/>
      <c r="AG498" s="7"/>
      <c r="AH498" s="7"/>
      <c r="AI498" s="7"/>
    </row>
    <row r="499" spans="1:35" ht="14.5" x14ac:dyDescent="0.35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7"/>
      <c r="AF499" s="7"/>
      <c r="AG499" s="7"/>
      <c r="AH499" s="7"/>
      <c r="AI499" s="7"/>
    </row>
    <row r="500" spans="1:35" ht="14.5" x14ac:dyDescent="0.35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7"/>
      <c r="AF500" s="7"/>
      <c r="AG500" s="7"/>
      <c r="AH500" s="7"/>
      <c r="AI500" s="7"/>
    </row>
    <row r="501" spans="1:35" ht="14.5" x14ac:dyDescent="0.3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7"/>
      <c r="AF501" s="7"/>
      <c r="AG501" s="7"/>
      <c r="AH501" s="7"/>
      <c r="AI501" s="7"/>
    </row>
    <row r="502" spans="1:35" ht="14.5" x14ac:dyDescent="0.35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7"/>
      <c r="AF502" s="7"/>
      <c r="AG502" s="7"/>
      <c r="AH502" s="7"/>
      <c r="AI502" s="7"/>
    </row>
    <row r="503" spans="1:35" ht="14.5" x14ac:dyDescent="0.35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7"/>
      <c r="AF503" s="7"/>
      <c r="AG503" s="7"/>
      <c r="AH503" s="7"/>
      <c r="AI503" s="7"/>
    </row>
    <row r="504" spans="1:35" ht="14.5" x14ac:dyDescent="0.35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7"/>
      <c r="AF504" s="7"/>
      <c r="AG504" s="7"/>
      <c r="AH504" s="7"/>
      <c r="AI504" s="7"/>
    </row>
    <row r="505" spans="1:35" ht="14.5" x14ac:dyDescent="0.3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7"/>
      <c r="AF505" s="7"/>
      <c r="AG505" s="7"/>
      <c r="AH505" s="7"/>
      <c r="AI505" s="7"/>
    </row>
    <row r="506" spans="1:35" ht="14.5" x14ac:dyDescent="0.35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7"/>
      <c r="AF506" s="7"/>
      <c r="AG506" s="7"/>
      <c r="AH506" s="7"/>
      <c r="AI506" s="7"/>
    </row>
    <row r="507" spans="1:35" ht="14.5" x14ac:dyDescent="0.35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7"/>
      <c r="AF507" s="7"/>
      <c r="AG507" s="7"/>
      <c r="AH507" s="7"/>
      <c r="AI507" s="7"/>
    </row>
    <row r="508" spans="1:35" ht="14.5" x14ac:dyDescent="0.35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7"/>
      <c r="AF508" s="7"/>
      <c r="AG508" s="7"/>
      <c r="AH508" s="7"/>
      <c r="AI508" s="7"/>
    </row>
    <row r="509" spans="1:35" ht="14.5" x14ac:dyDescent="0.35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7"/>
      <c r="AF509" s="7"/>
      <c r="AG509" s="7"/>
      <c r="AH509" s="7"/>
      <c r="AI509" s="7"/>
    </row>
    <row r="510" spans="1:35" ht="14.5" x14ac:dyDescent="0.35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7"/>
      <c r="AF510" s="7"/>
      <c r="AG510" s="7"/>
      <c r="AH510" s="7"/>
      <c r="AI510" s="7"/>
    </row>
    <row r="511" spans="1:35" ht="14.5" x14ac:dyDescent="0.35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7"/>
      <c r="AF511" s="7"/>
      <c r="AG511" s="7"/>
      <c r="AH511" s="7"/>
      <c r="AI511" s="7"/>
    </row>
    <row r="512" spans="1:35" ht="14.5" x14ac:dyDescent="0.35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7"/>
      <c r="AF512" s="7"/>
      <c r="AG512" s="7"/>
      <c r="AH512" s="7"/>
      <c r="AI512" s="7"/>
    </row>
    <row r="513" spans="1:35" ht="14.5" x14ac:dyDescent="0.35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7"/>
      <c r="AF513" s="7"/>
      <c r="AG513" s="7"/>
      <c r="AH513" s="7"/>
      <c r="AI513" s="7"/>
    </row>
    <row r="514" spans="1:35" ht="14.5" x14ac:dyDescent="0.35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7"/>
      <c r="AF514" s="7"/>
      <c r="AG514" s="7"/>
      <c r="AH514" s="7"/>
      <c r="AI514" s="7"/>
    </row>
    <row r="515" spans="1:35" ht="14.5" x14ac:dyDescent="0.3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7"/>
      <c r="AF515" s="7"/>
      <c r="AG515" s="7"/>
      <c r="AH515" s="7"/>
      <c r="AI515" s="7"/>
    </row>
    <row r="516" spans="1:35" ht="14.5" x14ac:dyDescent="0.35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7"/>
      <c r="AF516" s="7"/>
      <c r="AG516" s="7"/>
      <c r="AH516" s="7"/>
      <c r="AI516" s="7"/>
    </row>
    <row r="517" spans="1:35" ht="14.5" x14ac:dyDescent="0.35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7"/>
      <c r="AF517" s="7"/>
      <c r="AG517" s="7"/>
      <c r="AH517" s="7"/>
      <c r="AI517" s="7"/>
    </row>
    <row r="518" spans="1:35" ht="14.5" x14ac:dyDescent="0.35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7"/>
      <c r="AF518" s="7"/>
      <c r="AG518" s="7"/>
      <c r="AH518" s="7"/>
      <c r="AI518" s="7"/>
    </row>
    <row r="519" spans="1:35" ht="14.5" x14ac:dyDescent="0.35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7"/>
      <c r="AF519" s="7"/>
      <c r="AG519" s="7"/>
      <c r="AH519" s="7"/>
      <c r="AI519" s="7"/>
    </row>
    <row r="520" spans="1:35" ht="14.5" x14ac:dyDescent="0.35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7"/>
      <c r="AF520" s="7"/>
      <c r="AG520" s="7"/>
      <c r="AH520" s="7"/>
      <c r="AI520" s="7"/>
    </row>
    <row r="521" spans="1:35" ht="14.5" x14ac:dyDescent="0.35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7"/>
      <c r="AF521" s="7"/>
      <c r="AG521" s="7"/>
      <c r="AH521" s="7"/>
      <c r="AI521" s="7"/>
    </row>
    <row r="522" spans="1:35" ht="14.5" x14ac:dyDescent="0.35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7"/>
      <c r="AF522" s="7"/>
      <c r="AG522" s="7"/>
      <c r="AH522" s="7"/>
      <c r="AI522" s="7"/>
    </row>
    <row r="523" spans="1:35" ht="14.5" x14ac:dyDescent="0.35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7"/>
      <c r="AF523" s="7"/>
      <c r="AG523" s="7"/>
      <c r="AH523" s="7"/>
      <c r="AI523" s="7"/>
    </row>
    <row r="524" spans="1:35" ht="14.5" x14ac:dyDescent="0.35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7"/>
      <c r="AF524" s="7"/>
      <c r="AG524" s="7"/>
      <c r="AH524" s="7"/>
      <c r="AI524" s="7"/>
    </row>
    <row r="525" spans="1:35" ht="14.5" x14ac:dyDescent="0.3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7"/>
      <c r="AF525" s="7"/>
      <c r="AG525" s="7"/>
      <c r="AH525" s="7"/>
      <c r="AI525" s="7"/>
    </row>
    <row r="526" spans="1:35" ht="14.5" x14ac:dyDescent="0.35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7"/>
      <c r="AF526" s="7"/>
      <c r="AG526" s="7"/>
      <c r="AH526" s="7"/>
      <c r="AI526" s="7"/>
    </row>
    <row r="527" spans="1:35" ht="14.5" x14ac:dyDescent="0.35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7"/>
      <c r="AF527" s="7"/>
      <c r="AG527" s="7"/>
      <c r="AH527" s="7"/>
      <c r="AI527" s="7"/>
    </row>
    <row r="528" spans="1:35" ht="14.5" x14ac:dyDescent="0.35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7"/>
      <c r="AF528" s="7"/>
      <c r="AG528" s="7"/>
      <c r="AH528" s="7"/>
      <c r="AI528" s="7"/>
    </row>
    <row r="529" spans="1:35" ht="14.5" x14ac:dyDescent="0.35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7"/>
      <c r="AF529" s="7"/>
      <c r="AG529" s="7"/>
      <c r="AH529" s="7"/>
      <c r="AI529" s="7"/>
    </row>
    <row r="530" spans="1:35" ht="14.5" x14ac:dyDescent="0.35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7"/>
      <c r="AF530" s="7"/>
      <c r="AG530" s="7"/>
      <c r="AH530" s="7"/>
      <c r="AI530" s="7"/>
    </row>
    <row r="531" spans="1:35" ht="14.5" x14ac:dyDescent="0.35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7"/>
      <c r="AF531" s="7"/>
      <c r="AG531" s="7"/>
      <c r="AH531" s="7"/>
      <c r="AI531" s="7"/>
    </row>
    <row r="532" spans="1:35" ht="14.5" x14ac:dyDescent="0.35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7"/>
      <c r="AF532" s="7"/>
      <c r="AG532" s="7"/>
      <c r="AH532" s="7"/>
      <c r="AI532" s="7"/>
    </row>
    <row r="533" spans="1:35" ht="14.5" x14ac:dyDescent="0.35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7"/>
      <c r="AF533" s="7"/>
      <c r="AG533" s="7"/>
      <c r="AH533" s="7"/>
      <c r="AI533" s="7"/>
    </row>
    <row r="534" spans="1:35" ht="14.5" x14ac:dyDescent="0.35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7"/>
      <c r="AF534" s="7"/>
      <c r="AG534" s="7"/>
      <c r="AH534" s="7"/>
      <c r="AI534" s="7"/>
    </row>
    <row r="535" spans="1:35" ht="14.5" x14ac:dyDescent="0.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7"/>
      <c r="AF535" s="7"/>
      <c r="AG535" s="7"/>
      <c r="AH535" s="7"/>
      <c r="AI535" s="7"/>
    </row>
    <row r="536" spans="1:35" ht="14.5" x14ac:dyDescent="0.35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7"/>
      <c r="AF536" s="7"/>
      <c r="AG536" s="7"/>
      <c r="AH536" s="7"/>
      <c r="AI536" s="7"/>
    </row>
    <row r="537" spans="1:35" ht="14.5" x14ac:dyDescent="0.35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7"/>
      <c r="AF537" s="7"/>
      <c r="AG537" s="7"/>
      <c r="AH537" s="7"/>
      <c r="AI537" s="7"/>
    </row>
    <row r="538" spans="1:35" ht="14.5" x14ac:dyDescent="0.35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7"/>
      <c r="AF538" s="7"/>
      <c r="AG538" s="7"/>
      <c r="AH538" s="7"/>
      <c r="AI538" s="7"/>
    </row>
    <row r="539" spans="1:35" ht="14.5" x14ac:dyDescent="0.35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7"/>
      <c r="AF539" s="7"/>
      <c r="AG539" s="7"/>
      <c r="AH539" s="7"/>
      <c r="AI539" s="7"/>
    </row>
    <row r="540" spans="1:35" ht="14.5" x14ac:dyDescent="0.35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7"/>
      <c r="AF540" s="7"/>
      <c r="AG540" s="7"/>
      <c r="AH540" s="7"/>
      <c r="AI540" s="7"/>
    </row>
    <row r="541" spans="1:35" ht="14.5" x14ac:dyDescent="0.35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7"/>
      <c r="AF541" s="7"/>
      <c r="AG541" s="7"/>
      <c r="AH541" s="7"/>
      <c r="AI541" s="7"/>
    </row>
    <row r="542" spans="1:35" ht="14.5" x14ac:dyDescent="0.35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7"/>
      <c r="AF542" s="7"/>
      <c r="AG542" s="7"/>
      <c r="AH542" s="7"/>
      <c r="AI542" s="7"/>
    </row>
    <row r="543" spans="1:35" ht="14.5" x14ac:dyDescent="0.35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7"/>
      <c r="AF543" s="7"/>
      <c r="AG543" s="7"/>
      <c r="AH543" s="7"/>
      <c r="AI543" s="7"/>
    </row>
    <row r="544" spans="1:35" ht="14.5" x14ac:dyDescent="0.35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7"/>
      <c r="AF544" s="7"/>
      <c r="AG544" s="7"/>
      <c r="AH544" s="7"/>
      <c r="AI544" s="7"/>
    </row>
    <row r="545" spans="1:35" ht="14.5" x14ac:dyDescent="0.3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7"/>
      <c r="AF545" s="7"/>
      <c r="AG545" s="7"/>
      <c r="AH545" s="7"/>
      <c r="AI545" s="7"/>
    </row>
    <row r="546" spans="1:35" ht="14.5" x14ac:dyDescent="0.35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7"/>
      <c r="AF546" s="7"/>
      <c r="AG546" s="7"/>
      <c r="AH546" s="7"/>
      <c r="AI546" s="7"/>
    </row>
    <row r="547" spans="1:35" ht="14.5" x14ac:dyDescent="0.35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7"/>
      <c r="AF547" s="7"/>
      <c r="AG547" s="7"/>
      <c r="AH547" s="7"/>
      <c r="AI547" s="7"/>
    </row>
    <row r="548" spans="1:35" ht="14.5" x14ac:dyDescent="0.35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7"/>
      <c r="AF548" s="7"/>
      <c r="AG548" s="7"/>
      <c r="AH548" s="7"/>
      <c r="AI548" s="7"/>
    </row>
    <row r="549" spans="1:35" ht="14.5" x14ac:dyDescent="0.35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7"/>
      <c r="AF549" s="7"/>
      <c r="AG549" s="7"/>
      <c r="AH549" s="7"/>
      <c r="AI549" s="7"/>
    </row>
    <row r="550" spans="1:35" ht="14.5" x14ac:dyDescent="0.35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7"/>
      <c r="AF550" s="7"/>
      <c r="AG550" s="7"/>
      <c r="AH550" s="7"/>
      <c r="AI550" s="7"/>
    </row>
    <row r="551" spans="1:35" ht="14.5" x14ac:dyDescent="0.35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7"/>
      <c r="AF551" s="7"/>
      <c r="AG551" s="7"/>
      <c r="AH551" s="7"/>
      <c r="AI551" s="7"/>
    </row>
    <row r="552" spans="1:35" ht="14.5" x14ac:dyDescent="0.35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7"/>
      <c r="AF552" s="7"/>
      <c r="AG552" s="7"/>
      <c r="AH552" s="7"/>
      <c r="AI552" s="7"/>
    </row>
    <row r="553" spans="1:35" ht="14.5" x14ac:dyDescent="0.35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7"/>
      <c r="AF553" s="7"/>
      <c r="AG553" s="7"/>
      <c r="AH553" s="7"/>
      <c r="AI553" s="7"/>
    </row>
    <row r="554" spans="1:35" ht="14.5" x14ac:dyDescent="0.35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7"/>
      <c r="AF554" s="7"/>
      <c r="AG554" s="7"/>
      <c r="AH554" s="7"/>
      <c r="AI554" s="7"/>
    </row>
    <row r="555" spans="1:35" ht="14.5" x14ac:dyDescent="0.3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7"/>
      <c r="AF555" s="7"/>
      <c r="AG555" s="7"/>
      <c r="AH555" s="7"/>
      <c r="AI555" s="7"/>
    </row>
    <row r="556" spans="1:35" ht="14.5" x14ac:dyDescent="0.35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7"/>
      <c r="AF556" s="7"/>
      <c r="AG556" s="7"/>
      <c r="AH556" s="7"/>
      <c r="AI556" s="7"/>
    </row>
    <row r="557" spans="1:35" ht="14.5" x14ac:dyDescent="0.35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7"/>
      <c r="AF557" s="7"/>
      <c r="AG557" s="7"/>
      <c r="AH557" s="7"/>
      <c r="AI557" s="7"/>
    </row>
    <row r="558" spans="1:35" ht="14.5" x14ac:dyDescent="0.35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7"/>
      <c r="AF558" s="7"/>
      <c r="AG558" s="7"/>
      <c r="AH558" s="7"/>
      <c r="AI558" s="7"/>
    </row>
    <row r="559" spans="1:35" ht="14.5" x14ac:dyDescent="0.35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7"/>
      <c r="AF559" s="7"/>
      <c r="AG559" s="7"/>
      <c r="AH559" s="7"/>
      <c r="AI559" s="7"/>
    </row>
    <row r="560" spans="1:35" ht="14.5" x14ac:dyDescent="0.35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7"/>
      <c r="AF560" s="7"/>
      <c r="AG560" s="7"/>
      <c r="AH560" s="7"/>
      <c r="AI560" s="7"/>
    </row>
    <row r="561" spans="1:35" ht="14.5" x14ac:dyDescent="0.35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7"/>
      <c r="AF561" s="7"/>
      <c r="AG561" s="7"/>
      <c r="AH561" s="7"/>
      <c r="AI561" s="7"/>
    </row>
    <row r="562" spans="1:35" ht="14.5" x14ac:dyDescent="0.35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7"/>
      <c r="AF562" s="7"/>
      <c r="AG562" s="7"/>
      <c r="AH562" s="7"/>
      <c r="AI562" s="7"/>
    </row>
    <row r="563" spans="1:35" ht="14.5" x14ac:dyDescent="0.35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7"/>
      <c r="AF563" s="7"/>
      <c r="AG563" s="7"/>
      <c r="AH563" s="7"/>
      <c r="AI563" s="7"/>
    </row>
    <row r="564" spans="1:35" ht="14.5" x14ac:dyDescent="0.35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7"/>
      <c r="AF564" s="7"/>
      <c r="AG564" s="7"/>
      <c r="AH564" s="7"/>
      <c r="AI564" s="7"/>
    </row>
    <row r="565" spans="1:35" ht="14.5" x14ac:dyDescent="0.3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7"/>
      <c r="AF565" s="7"/>
      <c r="AG565" s="7"/>
      <c r="AH565" s="7"/>
      <c r="AI565" s="7"/>
    </row>
    <row r="566" spans="1:35" ht="14.5" x14ac:dyDescent="0.35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7"/>
      <c r="AF566" s="7"/>
      <c r="AG566" s="7"/>
      <c r="AH566" s="7"/>
      <c r="AI566" s="7"/>
    </row>
    <row r="567" spans="1:35" ht="14.5" x14ac:dyDescent="0.35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7"/>
      <c r="AF567" s="7"/>
      <c r="AG567" s="7"/>
      <c r="AH567" s="7"/>
      <c r="AI567" s="7"/>
    </row>
    <row r="568" spans="1:35" ht="14.5" x14ac:dyDescent="0.35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7"/>
      <c r="AF568" s="7"/>
      <c r="AG568" s="7"/>
      <c r="AH568" s="7"/>
      <c r="AI568" s="7"/>
    </row>
    <row r="569" spans="1:35" ht="14.5" x14ac:dyDescent="0.35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7"/>
      <c r="AF569" s="7"/>
      <c r="AG569" s="7"/>
      <c r="AH569" s="7"/>
      <c r="AI569" s="7"/>
    </row>
    <row r="570" spans="1:35" ht="14.5" x14ac:dyDescent="0.35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7"/>
      <c r="AF570" s="7"/>
      <c r="AG570" s="7"/>
      <c r="AH570" s="7"/>
      <c r="AI570" s="7"/>
    </row>
    <row r="571" spans="1:35" ht="14.5" x14ac:dyDescent="0.35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7"/>
      <c r="AF571" s="7"/>
      <c r="AG571" s="7"/>
      <c r="AH571" s="7"/>
      <c r="AI571" s="7"/>
    </row>
    <row r="572" spans="1:35" ht="14.5" x14ac:dyDescent="0.35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7"/>
      <c r="AF572" s="7"/>
      <c r="AG572" s="7"/>
      <c r="AH572" s="7"/>
      <c r="AI572" s="7"/>
    </row>
    <row r="573" spans="1:35" ht="14.5" x14ac:dyDescent="0.35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7"/>
      <c r="AF573" s="7"/>
      <c r="AG573" s="7"/>
      <c r="AH573" s="7"/>
      <c r="AI573" s="7"/>
    </row>
    <row r="574" spans="1:35" ht="14.5" x14ac:dyDescent="0.35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7"/>
      <c r="AF574" s="7"/>
      <c r="AG574" s="7"/>
      <c r="AH574" s="7"/>
      <c r="AI574" s="7"/>
    </row>
    <row r="575" spans="1:35" ht="14.5" x14ac:dyDescent="0.3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7"/>
      <c r="AF575" s="7"/>
      <c r="AG575" s="7"/>
      <c r="AH575" s="7"/>
      <c r="AI575" s="7"/>
    </row>
    <row r="576" spans="1:35" ht="14.5" x14ac:dyDescent="0.35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7"/>
      <c r="AF576" s="7"/>
      <c r="AG576" s="7"/>
      <c r="AH576" s="7"/>
      <c r="AI576" s="7"/>
    </row>
    <row r="577" spans="1:35" ht="14.5" x14ac:dyDescent="0.35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7"/>
      <c r="AF577" s="7"/>
      <c r="AG577" s="7"/>
      <c r="AH577" s="7"/>
      <c r="AI577" s="7"/>
    </row>
    <row r="578" spans="1:35" ht="14.5" x14ac:dyDescent="0.35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7"/>
      <c r="AF578" s="7"/>
      <c r="AG578" s="7"/>
      <c r="AH578" s="7"/>
      <c r="AI578" s="7"/>
    </row>
    <row r="579" spans="1:35" ht="14.5" x14ac:dyDescent="0.35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7"/>
      <c r="AF579" s="7"/>
      <c r="AG579" s="7"/>
      <c r="AH579" s="7"/>
      <c r="AI579" s="7"/>
    </row>
    <row r="580" spans="1:35" ht="14.5" x14ac:dyDescent="0.35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7"/>
      <c r="AF580" s="7"/>
      <c r="AG580" s="7"/>
      <c r="AH580" s="7"/>
      <c r="AI580" s="7"/>
    </row>
    <row r="581" spans="1:35" ht="14.5" x14ac:dyDescent="0.35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7"/>
      <c r="AF581" s="7"/>
      <c r="AG581" s="7"/>
      <c r="AH581" s="7"/>
      <c r="AI581" s="7"/>
    </row>
    <row r="582" spans="1:35" ht="14.5" x14ac:dyDescent="0.35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7"/>
      <c r="AF582" s="7"/>
      <c r="AG582" s="7"/>
      <c r="AH582" s="7"/>
      <c r="AI582" s="7"/>
    </row>
    <row r="583" spans="1:35" ht="14.5" x14ac:dyDescent="0.35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7"/>
      <c r="AF583" s="7"/>
      <c r="AG583" s="7"/>
      <c r="AH583" s="7"/>
      <c r="AI583" s="7"/>
    </row>
    <row r="584" spans="1:35" ht="14.5" x14ac:dyDescent="0.35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7"/>
      <c r="AF584" s="7"/>
      <c r="AG584" s="7"/>
      <c r="AH584" s="7"/>
      <c r="AI584" s="7"/>
    </row>
    <row r="585" spans="1:35" ht="14.5" x14ac:dyDescent="0.3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7"/>
      <c r="AF585" s="7"/>
      <c r="AG585" s="7"/>
      <c r="AH585" s="7"/>
      <c r="AI585" s="7"/>
    </row>
    <row r="586" spans="1:35" ht="14.5" x14ac:dyDescent="0.35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7"/>
      <c r="AF586" s="7"/>
      <c r="AG586" s="7"/>
      <c r="AH586" s="7"/>
      <c r="AI586" s="7"/>
    </row>
    <row r="587" spans="1:35" ht="14.5" x14ac:dyDescent="0.35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7"/>
      <c r="AF587" s="7"/>
      <c r="AG587" s="7"/>
      <c r="AH587" s="7"/>
      <c r="AI587" s="7"/>
    </row>
    <row r="588" spans="1:35" ht="14.5" x14ac:dyDescent="0.35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7"/>
      <c r="AF588" s="7"/>
      <c r="AG588" s="7"/>
      <c r="AH588" s="7"/>
      <c r="AI588" s="7"/>
    </row>
    <row r="589" spans="1:35" ht="14.5" x14ac:dyDescent="0.35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7"/>
      <c r="AF589" s="7"/>
      <c r="AG589" s="7"/>
      <c r="AH589" s="7"/>
      <c r="AI589" s="7"/>
    </row>
    <row r="590" spans="1:35" ht="14.5" x14ac:dyDescent="0.35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7"/>
      <c r="AF590" s="7"/>
      <c r="AG590" s="7"/>
      <c r="AH590" s="7"/>
      <c r="AI590" s="7"/>
    </row>
    <row r="591" spans="1:35" ht="14.5" x14ac:dyDescent="0.35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7"/>
      <c r="AF591" s="7"/>
      <c r="AG591" s="7"/>
      <c r="AH591" s="7"/>
      <c r="AI591" s="7"/>
    </row>
    <row r="592" spans="1:35" ht="14.5" x14ac:dyDescent="0.3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7"/>
      <c r="AF592" s="7"/>
      <c r="AG592" s="7"/>
      <c r="AH592" s="7"/>
      <c r="AI592" s="7"/>
    </row>
    <row r="593" spans="1:35" ht="14.5" x14ac:dyDescent="0.35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7"/>
      <c r="AF593" s="7"/>
      <c r="AG593" s="7"/>
      <c r="AH593" s="7"/>
      <c r="AI593" s="7"/>
    </row>
    <row r="594" spans="1:35" ht="14.5" x14ac:dyDescent="0.35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7"/>
      <c r="AF594" s="7"/>
      <c r="AG594" s="7"/>
      <c r="AH594" s="7"/>
      <c r="AI594" s="7"/>
    </row>
    <row r="595" spans="1:35" ht="14.5" x14ac:dyDescent="0.3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7"/>
      <c r="AF595" s="7"/>
      <c r="AG595" s="7"/>
      <c r="AH595" s="7"/>
      <c r="AI595" s="7"/>
    </row>
    <row r="596" spans="1:35" ht="14.5" x14ac:dyDescent="0.35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7"/>
      <c r="AF596" s="7"/>
      <c r="AG596" s="7"/>
      <c r="AH596" s="7"/>
      <c r="AI596" s="7"/>
    </row>
    <row r="597" spans="1:35" ht="14.5" x14ac:dyDescent="0.35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7"/>
      <c r="AF597" s="7"/>
      <c r="AG597" s="7"/>
      <c r="AH597" s="7"/>
      <c r="AI597" s="7"/>
    </row>
    <row r="598" spans="1:35" ht="14.5" x14ac:dyDescent="0.35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7"/>
      <c r="AF598" s="7"/>
      <c r="AG598" s="7"/>
      <c r="AH598" s="7"/>
      <c r="AI598" s="7"/>
    </row>
    <row r="599" spans="1:35" ht="14.5" x14ac:dyDescent="0.35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7"/>
      <c r="AF599" s="7"/>
      <c r="AG599" s="7"/>
      <c r="AH599" s="7"/>
      <c r="AI599" s="7"/>
    </row>
    <row r="600" spans="1:35" ht="14.5" x14ac:dyDescent="0.35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7"/>
      <c r="AF600" s="7"/>
      <c r="AG600" s="7"/>
      <c r="AH600" s="7"/>
      <c r="AI600" s="7"/>
    </row>
    <row r="601" spans="1:35" ht="14.5" x14ac:dyDescent="0.35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7"/>
      <c r="AF601" s="7"/>
      <c r="AG601" s="7"/>
      <c r="AH601" s="7"/>
      <c r="AI601" s="7"/>
    </row>
    <row r="602" spans="1:35" ht="14.5" x14ac:dyDescent="0.35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7"/>
      <c r="AF602" s="7"/>
      <c r="AG602" s="7"/>
      <c r="AH602" s="7"/>
      <c r="AI602" s="7"/>
    </row>
    <row r="603" spans="1:35" ht="14.5" x14ac:dyDescent="0.3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7"/>
      <c r="AF603" s="7"/>
      <c r="AG603" s="7"/>
      <c r="AH603" s="7"/>
      <c r="AI603" s="7"/>
    </row>
    <row r="604" spans="1:35" ht="14.5" x14ac:dyDescent="0.35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7"/>
      <c r="AF604" s="7"/>
      <c r="AG604" s="7"/>
      <c r="AH604" s="7"/>
      <c r="AI604" s="7"/>
    </row>
    <row r="605" spans="1:35" ht="14.5" x14ac:dyDescent="0.3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7"/>
      <c r="AF605" s="7"/>
      <c r="AG605" s="7"/>
      <c r="AH605" s="7"/>
      <c r="AI605" s="7"/>
    </row>
    <row r="606" spans="1:35" ht="14.5" x14ac:dyDescent="0.35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7"/>
      <c r="AF606" s="7"/>
      <c r="AG606" s="7"/>
      <c r="AH606" s="7"/>
      <c r="AI606" s="7"/>
    </row>
    <row r="607" spans="1:35" ht="14.5" x14ac:dyDescent="0.35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7"/>
      <c r="AF607" s="7"/>
      <c r="AG607" s="7"/>
      <c r="AH607" s="7"/>
      <c r="AI607" s="7"/>
    </row>
    <row r="608" spans="1:35" ht="14.5" x14ac:dyDescent="0.35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7"/>
      <c r="AF608" s="7"/>
      <c r="AG608" s="7"/>
      <c r="AH608" s="7"/>
      <c r="AI608" s="7"/>
    </row>
    <row r="609" spans="1:35" ht="14.5" x14ac:dyDescent="0.35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7"/>
      <c r="AF609" s="7"/>
      <c r="AG609" s="7"/>
      <c r="AH609" s="7"/>
      <c r="AI609" s="7"/>
    </row>
    <row r="610" spans="1:35" ht="14.5" x14ac:dyDescent="0.35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7"/>
      <c r="AF610" s="7"/>
      <c r="AG610" s="7"/>
      <c r="AH610" s="7"/>
      <c r="AI610" s="7"/>
    </row>
    <row r="611" spans="1:35" ht="14.5" x14ac:dyDescent="0.35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7"/>
      <c r="AF611" s="7"/>
      <c r="AG611" s="7"/>
      <c r="AH611" s="7"/>
      <c r="AI611" s="7"/>
    </row>
    <row r="612" spans="1:35" ht="14.5" x14ac:dyDescent="0.3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7"/>
      <c r="AF612" s="7"/>
      <c r="AG612" s="7"/>
      <c r="AH612" s="7"/>
      <c r="AI612" s="7"/>
    </row>
    <row r="613" spans="1:35" ht="14.5" x14ac:dyDescent="0.35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7"/>
      <c r="AF613" s="7"/>
      <c r="AG613" s="7"/>
      <c r="AH613" s="7"/>
      <c r="AI613" s="7"/>
    </row>
    <row r="614" spans="1:35" ht="14.5" x14ac:dyDescent="0.35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7"/>
      <c r="AF614" s="7"/>
      <c r="AG614" s="7"/>
      <c r="AH614" s="7"/>
      <c r="AI614" s="7"/>
    </row>
    <row r="615" spans="1:35" ht="14.5" x14ac:dyDescent="0.3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7"/>
      <c r="AF615" s="7"/>
      <c r="AG615" s="7"/>
      <c r="AH615" s="7"/>
      <c r="AI615" s="7"/>
    </row>
    <row r="616" spans="1:35" ht="14.5" x14ac:dyDescent="0.35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7"/>
      <c r="AF616" s="7"/>
      <c r="AG616" s="7"/>
      <c r="AH616" s="7"/>
      <c r="AI616" s="7"/>
    </row>
    <row r="617" spans="1:35" ht="14.5" x14ac:dyDescent="0.35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7"/>
      <c r="AF617" s="7"/>
      <c r="AG617" s="7"/>
      <c r="AH617" s="7"/>
      <c r="AI617" s="7"/>
    </row>
    <row r="618" spans="1:35" ht="14.5" x14ac:dyDescent="0.35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7"/>
      <c r="AF618" s="7"/>
      <c r="AG618" s="7"/>
      <c r="AH618" s="7"/>
      <c r="AI618" s="7"/>
    </row>
    <row r="619" spans="1:35" ht="14.5" x14ac:dyDescent="0.35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7"/>
      <c r="AF619" s="7"/>
      <c r="AG619" s="7"/>
      <c r="AH619" s="7"/>
      <c r="AI619" s="7"/>
    </row>
    <row r="620" spans="1:35" ht="14.5" x14ac:dyDescent="0.35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7"/>
      <c r="AF620" s="7"/>
      <c r="AG620" s="7"/>
      <c r="AH620" s="7"/>
      <c r="AI620" s="7"/>
    </row>
    <row r="621" spans="1:35" ht="14.5" x14ac:dyDescent="0.35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7"/>
      <c r="AF621" s="7"/>
      <c r="AG621" s="7"/>
      <c r="AH621" s="7"/>
      <c r="AI621" s="7"/>
    </row>
    <row r="622" spans="1:35" ht="14.5" x14ac:dyDescent="0.35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7"/>
      <c r="AF622" s="7"/>
      <c r="AG622" s="7"/>
      <c r="AH622" s="7"/>
      <c r="AI622" s="7"/>
    </row>
    <row r="623" spans="1:35" ht="14.5" x14ac:dyDescent="0.35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7"/>
      <c r="AF623" s="7"/>
      <c r="AG623" s="7"/>
      <c r="AH623" s="7"/>
      <c r="AI623" s="7"/>
    </row>
    <row r="624" spans="1:35" ht="14.5" x14ac:dyDescent="0.35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7"/>
      <c r="AF624" s="7"/>
      <c r="AG624" s="7"/>
      <c r="AH624" s="7"/>
      <c r="AI624" s="7"/>
    </row>
    <row r="625" spans="1:35" ht="14.5" x14ac:dyDescent="0.3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7"/>
      <c r="AF625" s="7"/>
      <c r="AG625" s="7"/>
      <c r="AH625" s="7"/>
      <c r="AI625" s="7"/>
    </row>
    <row r="626" spans="1:35" ht="14.5" x14ac:dyDescent="0.35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7"/>
      <c r="AF626" s="7"/>
      <c r="AG626" s="7"/>
      <c r="AH626" s="7"/>
      <c r="AI626" s="7"/>
    </row>
    <row r="627" spans="1:35" ht="14.5" x14ac:dyDescent="0.35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7"/>
      <c r="AF627" s="7"/>
      <c r="AG627" s="7"/>
      <c r="AH627" s="7"/>
      <c r="AI627" s="7"/>
    </row>
    <row r="628" spans="1:35" ht="14.5" x14ac:dyDescent="0.35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7"/>
      <c r="AF628" s="7"/>
      <c r="AG628" s="7"/>
      <c r="AH628" s="7"/>
      <c r="AI628" s="7"/>
    </row>
    <row r="629" spans="1:35" ht="14.5" x14ac:dyDescent="0.35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7"/>
      <c r="AF629" s="7"/>
      <c r="AG629" s="7"/>
      <c r="AH629" s="7"/>
      <c r="AI629" s="7"/>
    </row>
    <row r="630" spans="1:35" ht="14.5" x14ac:dyDescent="0.35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7"/>
      <c r="AF630" s="7"/>
      <c r="AG630" s="7"/>
      <c r="AH630" s="7"/>
      <c r="AI630" s="7"/>
    </row>
    <row r="631" spans="1:35" ht="14.5" x14ac:dyDescent="0.35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7"/>
      <c r="AF631" s="7"/>
      <c r="AG631" s="7"/>
      <c r="AH631" s="7"/>
      <c r="AI631" s="7"/>
    </row>
    <row r="632" spans="1:35" ht="14.5" x14ac:dyDescent="0.35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7"/>
      <c r="AF632" s="7"/>
      <c r="AG632" s="7"/>
      <c r="AH632" s="7"/>
      <c r="AI632" s="7"/>
    </row>
    <row r="633" spans="1:35" ht="14.5" x14ac:dyDescent="0.35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7"/>
      <c r="AF633" s="7"/>
      <c r="AG633" s="7"/>
      <c r="AH633" s="7"/>
      <c r="AI633" s="7"/>
    </row>
    <row r="634" spans="1:35" ht="14.5" x14ac:dyDescent="0.35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7"/>
      <c r="AF634" s="7"/>
      <c r="AG634" s="7"/>
      <c r="AH634" s="7"/>
      <c r="AI634" s="7"/>
    </row>
    <row r="635" spans="1:35" ht="14.5" x14ac:dyDescent="0.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7"/>
      <c r="AF635" s="7"/>
      <c r="AG635" s="7"/>
      <c r="AH635" s="7"/>
      <c r="AI635" s="7"/>
    </row>
    <row r="636" spans="1:35" ht="14.5" x14ac:dyDescent="0.3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7"/>
      <c r="AF636" s="7"/>
      <c r="AG636" s="7"/>
      <c r="AH636" s="7"/>
      <c r="AI636" s="7"/>
    </row>
    <row r="637" spans="1:35" ht="14.5" x14ac:dyDescent="0.35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7"/>
      <c r="AF637" s="7"/>
      <c r="AG637" s="7"/>
      <c r="AH637" s="7"/>
      <c r="AI637" s="7"/>
    </row>
    <row r="638" spans="1:35" ht="14.5" x14ac:dyDescent="0.35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7"/>
      <c r="AF638" s="7"/>
      <c r="AG638" s="7"/>
      <c r="AH638" s="7"/>
      <c r="AI638" s="7"/>
    </row>
    <row r="639" spans="1:35" ht="14.5" x14ac:dyDescent="0.35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7"/>
      <c r="AF639" s="7"/>
      <c r="AG639" s="7"/>
      <c r="AH639" s="7"/>
      <c r="AI639" s="7"/>
    </row>
    <row r="640" spans="1:35" ht="14.5" x14ac:dyDescent="0.35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7"/>
      <c r="AF640" s="7"/>
      <c r="AG640" s="7"/>
      <c r="AH640" s="7"/>
      <c r="AI640" s="7"/>
    </row>
    <row r="641" spans="1:35" ht="14.5" x14ac:dyDescent="0.35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7"/>
      <c r="AF641" s="7"/>
      <c r="AG641" s="7"/>
      <c r="AH641" s="7"/>
      <c r="AI641" s="7"/>
    </row>
    <row r="642" spans="1:35" ht="14.5" x14ac:dyDescent="0.35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7"/>
      <c r="AF642" s="7"/>
      <c r="AG642" s="7"/>
      <c r="AH642" s="7"/>
      <c r="AI642" s="7"/>
    </row>
    <row r="643" spans="1:35" ht="14.5" x14ac:dyDescent="0.35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7"/>
      <c r="AF643" s="7"/>
      <c r="AG643" s="7"/>
      <c r="AH643" s="7"/>
      <c r="AI643" s="7"/>
    </row>
    <row r="644" spans="1:35" ht="14.5" x14ac:dyDescent="0.35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7"/>
      <c r="AF644" s="7"/>
      <c r="AG644" s="7"/>
      <c r="AH644" s="7"/>
      <c r="AI644" s="7"/>
    </row>
    <row r="645" spans="1:35" ht="14.5" x14ac:dyDescent="0.3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7"/>
      <c r="AF645" s="7"/>
      <c r="AG645" s="7"/>
      <c r="AH645" s="7"/>
      <c r="AI645" s="7"/>
    </row>
    <row r="646" spans="1:35" ht="14.5" x14ac:dyDescent="0.35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7"/>
      <c r="AF646" s="7"/>
      <c r="AG646" s="7"/>
      <c r="AH646" s="7"/>
      <c r="AI646" s="7"/>
    </row>
    <row r="647" spans="1:35" ht="14.5" x14ac:dyDescent="0.35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7"/>
      <c r="AF647" s="7"/>
      <c r="AG647" s="7"/>
      <c r="AH647" s="7"/>
      <c r="AI647" s="7"/>
    </row>
    <row r="648" spans="1:35" ht="14.5" x14ac:dyDescent="0.35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7"/>
      <c r="AF648" s="7"/>
      <c r="AG648" s="7"/>
      <c r="AH648" s="7"/>
      <c r="AI648" s="7"/>
    </row>
    <row r="649" spans="1:35" ht="14.5" x14ac:dyDescent="0.35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7"/>
      <c r="AF649" s="7"/>
      <c r="AG649" s="7"/>
      <c r="AH649" s="7"/>
      <c r="AI649" s="7"/>
    </row>
    <row r="650" spans="1:35" ht="14.5" x14ac:dyDescent="0.35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7"/>
      <c r="AF650" s="7"/>
      <c r="AG650" s="7"/>
      <c r="AH650" s="7"/>
      <c r="AI650" s="7"/>
    </row>
    <row r="651" spans="1:35" ht="14.5" x14ac:dyDescent="0.35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7"/>
      <c r="AF651" s="7"/>
      <c r="AG651" s="7"/>
      <c r="AH651" s="7"/>
      <c r="AI651" s="7"/>
    </row>
    <row r="652" spans="1:35" ht="14.5" x14ac:dyDescent="0.35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7"/>
      <c r="AF652" s="7"/>
      <c r="AG652" s="7"/>
      <c r="AH652" s="7"/>
      <c r="AI652" s="7"/>
    </row>
    <row r="653" spans="1:35" ht="14.5" x14ac:dyDescent="0.35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7"/>
      <c r="AF653" s="7"/>
      <c r="AG653" s="7"/>
      <c r="AH653" s="7"/>
      <c r="AI653" s="7"/>
    </row>
    <row r="654" spans="1:35" ht="14.5" x14ac:dyDescent="0.35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7"/>
      <c r="AF654" s="7"/>
      <c r="AG654" s="7"/>
      <c r="AH654" s="7"/>
      <c r="AI654" s="7"/>
    </row>
    <row r="655" spans="1:35" ht="14.5" x14ac:dyDescent="0.3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7"/>
      <c r="AF655" s="7"/>
      <c r="AG655" s="7"/>
      <c r="AH655" s="7"/>
      <c r="AI655" s="7"/>
    </row>
    <row r="656" spans="1:35" ht="14.5" x14ac:dyDescent="0.35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7"/>
      <c r="AF656" s="7"/>
      <c r="AG656" s="7"/>
      <c r="AH656" s="7"/>
      <c r="AI656" s="7"/>
    </row>
    <row r="657" spans="1:35" ht="14.5" x14ac:dyDescent="0.35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7"/>
      <c r="AF657" s="7"/>
      <c r="AG657" s="7"/>
      <c r="AH657" s="7"/>
      <c r="AI657" s="7"/>
    </row>
    <row r="658" spans="1:35" ht="14.5" x14ac:dyDescent="0.35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7"/>
      <c r="AF658" s="7"/>
      <c r="AG658" s="7"/>
      <c r="AH658" s="7"/>
      <c r="AI658" s="7"/>
    </row>
    <row r="659" spans="1:35" ht="14.5" x14ac:dyDescent="0.35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7"/>
      <c r="AF659" s="7"/>
      <c r="AG659" s="7"/>
      <c r="AH659" s="7"/>
      <c r="AI659" s="7"/>
    </row>
    <row r="660" spans="1:35" ht="14.5" x14ac:dyDescent="0.35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7"/>
      <c r="AF660" s="7"/>
      <c r="AG660" s="7"/>
      <c r="AH660" s="7"/>
      <c r="AI660" s="7"/>
    </row>
    <row r="661" spans="1:35" ht="14.5" x14ac:dyDescent="0.35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7"/>
      <c r="AF661" s="7"/>
      <c r="AG661" s="7"/>
      <c r="AH661" s="7"/>
      <c r="AI661" s="7"/>
    </row>
    <row r="662" spans="1:35" ht="14.5" x14ac:dyDescent="0.35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7"/>
      <c r="AF662" s="7"/>
      <c r="AG662" s="7"/>
      <c r="AH662" s="7"/>
      <c r="AI662" s="7"/>
    </row>
    <row r="663" spans="1:35" ht="14.5" x14ac:dyDescent="0.35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7"/>
      <c r="AF663" s="7"/>
      <c r="AG663" s="7"/>
      <c r="AH663" s="7"/>
      <c r="AI663" s="7"/>
    </row>
    <row r="664" spans="1:35" ht="14.5" x14ac:dyDescent="0.35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7"/>
      <c r="AF664" s="7"/>
      <c r="AG664" s="7"/>
      <c r="AH664" s="7"/>
      <c r="AI664" s="7"/>
    </row>
    <row r="665" spans="1:35" ht="14.5" x14ac:dyDescent="0.3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7"/>
      <c r="AF665" s="7"/>
      <c r="AG665" s="7"/>
      <c r="AH665" s="7"/>
      <c r="AI665" s="7"/>
    </row>
    <row r="666" spans="1:35" ht="14.5" x14ac:dyDescent="0.35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7"/>
      <c r="AF666" s="7"/>
      <c r="AG666" s="7"/>
      <c r="AH666" s="7"/>
      <c r="AI666" s="7"/>
    </row>
    <row r="667" spans="1:35" ht="14.5" x14ac:dyDescent="0.35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7"/>
      <c r="AF667" s="7"/>
      <c r="AG667" s="7"/>
      <c r="AH667" s="7"/>
      <c r="AI667" s="7"/>
    </row>
    <row r="668" spans="1:35" ht="14.5" x14ac:dyDescent="0.35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7"/>
      <c r="AF668" s="7"/>
      <c r="AG668" s="7"/>
      <c r="AH668" s="7"/>
      <c r="AI668" s="7"/>
    </row>
    <row r="669" spans="1:35" ht="14.5" x14ac:dyDescent="0.35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7"/>
      <c r="AF669" s="7"/>
      <c r="AG669" s="7"/>
      <c r="AH669" s="7"/>
      <c r="AI669" s="7"/>
    </row>
    <row r="670" spans="1:35" ht="14.5" x14ac:dyDescent="0.35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7"/>
      <c r="AF670" s="7"/>
      <c r="AG670" s="7"/>
      <c r="AH670" s="7"/>
      <c r="AI670" s="7"/>
    </row>
    <row r="671" spans="1:35" ht="14.5" x14ac:dyDescent="0.35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7"/>
      <c r="AF671" s="7"/>
      <c r="AG671" s="7"/>
      <c r="AH671" s="7"/>
      <c r="AI671" s="7"/>
    </row>
    <row r="672" spans="1:35" ht="14.5" x14ac:dyDescent="0.35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7"/>
      <c r="AF672" s="7"/>
      <c r="AG672" s="7"/>
      <c r="AH672" s="7"/>
      <c r="AI672" s="7"/>
    </row>
    <row r="673" spans="1:35" ht="14.5" x14ac:dyDescent="0.35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7"/>
      <c r="AF673" s="7"/>
      <c r="AG673" s="7"/>
      <c r="AH673" s="7"/>
      <c r="AI673" s="7"/>
    </row>
    <row r="674" spans="1:35" ht="14.5" x14ac:dyDescent="0.35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7"/>
      <c r="AF674" s="7"/>
      <c r="AG674" s="7"/>
      <c r="AH674" s="7"/>
      <c r="AI674" s="7"/>
    </row>
    <row r="675" spans="1:35" ht="14.5" x14ac:dyDescent="0.3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7"/>
      <c r="AF675" s="7"/>
      <c r="AG675" s="7"/>
      <c r="AH675" s="7"/>
      <c r="AI675" s="7"/>
    </row>
    <row r="676" spans="1:35" ht="14.5" x14ac:dyDescent="0.35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7"/>
      <c r="AF676" s="7"/>
      <c r="AG676" s="7"/>
      <c r="AH676" s="7"/>
      <c r="AI676" s="7"/>
    </row>
    <row r="677" spans="1:35" ht="14.5" x14ac:dyDescent="0.35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7"/>
      <c r="AF677" s="7"/>
      <c r="AG677" s="7"/>
      <c r="AH677" s="7"/>
      <c r="AI677" s="7"/>
    </row>
    <row r="678" spans="1:35" ht="14.5" x14ac:dyDescent="0.35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7"/>
      <c r="AF678" s="7"/>
      <c r="AG678" s="7"/>
      <c r="AH678" s="7"/>
      <c r="AI678" s="7"/>
    </row>
    <row r="679" spans="1:35" ht="14.5" x14ac:dyDescent="0.35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7"/>
      <c r="AF679" s="7"/>
      <c r="AG679" s="7"/>
      <c r="AH679" s="7"/>
      <c r="AI679" s="7"/>
    </row>
    <row r="680" spans="1:35" ht="14.5" x14ac:dyDescent="0.35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7"/>
      <c r="AF680" s="7"/>
      <c r="AG680" s="7"/>
      <c r="AH680" s="7"/>
      <c r="AI680" s="7"/>
    </row>
    <row r="681" spans="1:35" ht="14.5" x14ac:dyDescent="0.35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7"/>
      <c r="AF681" s="7"/>
      <c r="AG681" s="7"/>
      <c r="AH681" s="7"/>
      <c r="AI681" s="7"/>
    </row>
    <row r="682" spans="1:35" ht="14.5" x14ac:dyDescent="0.35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7"/>
      <c r="AF682" s="7"/>
      <c r="AG682" s="7"/>
      <c r="AH682" s="7"/>
      <c r="AI682" s="7"/>
    </row>
    <row r="683" spans="1:35" ht="14.5" x14ac:dyDescent="0.35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7"/>
      <c r="AF683" s="7"/>
      <c r="AG683" s="7"/>
      <c r="AH683" s="7"/>
      <c r="AI683" s="7"/>
    </row>
    <row r="684" spans="1:35" ht="14.5" x14ac:dyDescent="0.35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7"/>
      <c r="AF684" s="7"/>
      <c r="AG684" s="7"/>
      <c r="AH684" s="7"/>
      <c r="AI684" s="7"/>
    </row>
    <row r="685" spans="1:35" ht="14.5" x14ac:dyDescent="0.3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7"/>
      <c r="AF685" s="7"/>
      <c r="AG685" s="7"/>
      <c r="AH685" s="7"/>
      <c r="AI685" s="7"/>
    </row>
    <row r="686" spans="1:35" ht="14.5" x14ac:dyDescent="0.35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7"/>
      <c r="AF686" s="7"/>
      <c r="AG686" s="7"/>
      <c r="AH686" s="7"/>
      <c r="AI686" s="7"/>
    </row>
    <row r="687" spans="1:35" ht="14.5" x14ac:dyDescent="0.35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7"/>
      <c r="AF687" s="7"/>
      <c r="AG687" s="7"/>
      <c r="AH687" s="7"/>
      <c r="AI687" s="7"/>
    </row>
    <row r="688" spans="1:35" ht="14.5" x14ac:dyDescent="0.35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7"/>
      <c r="AF688" s="7"/>
      <c r="AG688" s="7"/>
      <c r="AH688" s="7"/>
      <c r="AI688" s="7"/>
    </row>
    <row r="689" spans="1:35" ht="14.5" x14ac:dyDescent="0.35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7"/>
      <c r="AF689" s="7"/>
      <c r="AG689" s="7"/>
      <c r="AH689" s="7"/>
      <c r="AI689" s="7"/>
    </row>
    <row r="690" spans="1:35" ht="14.5" x14ac:dyDescent="0.35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7"/>
      <c r="AF690" s="7"/>
      <c r="AG690" s="7"/>
      <c r="AH690" s="7"/>
      <c r="AI690" s="7"/>
    </row>
    <row r="691" spans="1:35" ht="14.5" x14ac:dyDescent="0.35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7"/>
      <c r="AF691" s="7"/>
      <c r="AG691" s="7"/>
      <c r="AH691" s="7"/>
      <c r="AI691" s="7"/>
    </row>
    <row r="692" spans="1:35" ht="14.5" x14ac:dyDescent="0.35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7"/>
      <c r="AF692" s="7"/>
      <c r="AG692" s="7"/>
      <c r="AH692" s="7"/>
      <c r="AI692" s="7"/>
    </row>
    <row r="693" spans="1:35" ht="14.5" x14ac:dyDescent="0.35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7"/>
      <c r="AF693" s="7"/>
      <c r="AG693" s="7"/>
      <c r="AH693" s="7"/>
      <c r="AI693" s="7"/>
    </row>
    <row r="694" spans="1:35" ht="14.5" x14ac:dyDescent="0.35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7"/>
      <c r="AF694" s="7"/>
      <c r="AG694" s="7"/>
      <c r="AH694" s="7"/>
      <c r="AI694" s="7"/>
    </row>
    <row r="695" spans="1:35" ht="14.5" x14ac:dyDescent="0.3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7"/>
      <c r="AF695" s="7"/>
      <c r="AG695" s="7"/>
      <c r="AH695" s="7"/>
      <c r="AI695" s="7"/>
    </row>
    <row r="696" spans="1:35" ht="14.5" x14ac:dyDescent="0.35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7"/>
      <c r="AF696" s="7"/>
      <c r="AG696" s="7"/>
      <c r="AH696" s="7"/>
      <c r="AI696" s="7"/>
    </row>
    <row r="697" spans="1:35" ht="14.5" x14ac:dyDescent="0.35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7"/>
      <c r="AF697" s="7"/>
      <c r="AG697" s="7"/>
      <c r="AH697" s="7"/>
      <c r="AI697" s="7"/>
    </row>
    <row r="698" spans="1:35" ht="14.5" x14ac:dyDescent="0.35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7"/>
      <c r="AF698" s="7"/>
      <c r="AG698" s="7"/>
      <c r="AH698" s="7"/>
      <c r="AI698" s="7"/>
    </row>
    <row r="699" spans="1:35" ht="14.5" x14ac:dyDescent="0.35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7"/>
      <c r="AF699" s="7"/>
      <c r="AG699" s="7"/>
      <c r="AH699" s="7"/>
      <c r="AI699" s="7"/>
    </row>
    <row r="700" spans="1:35" ht="14.5" x14ac:dyDescent="0.35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7"/>
      <c r="AF700" s="7"/>
      <c r="AG700" s="7"/>
      <c r="AH700" s="7"/>
      <c r="AI700" s="7"/>
    </row>
    <row r="701" spans="1:35" ht="14.5" x14ac:dyDescent="0.35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7"/>
      <c r="AF701" s="7"/>
      <c r="AG701" s="7"/>
      <c r="AH701" s="7"/>
      <c r="AI701" s="7"/>
    </row>
    <row r="702" spans="1:35" ht="14.5" x14ac:dyDescent="0.35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7"/>
      <c r="AF702" s="7"/>
      <c r="AG702" s="7"/>
      <c r="AH702" s="7"/>
      <c r="AI702" s="7"/>
    </row>
    <row r="703" spans="1:35" ht="14.5" x14ac:dyDescent="0.3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7"/>
      <c r="AF703" s="7"/>
      <c r="AG703" s="7"/>
      <c r="AH703" s="7"/>
      <c r="AI703" s="7"/>
    </row>
    <row r="704" spans="1:35" ht="14.5" x14ac:dyDescent="0.35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7"/>
      <c r="AF704" s="7"/>
      <c r="AG704" s="7"/>
      <c r="AH704" s="7"/>
      <c r="AI704" s="7"/>
    </row>
    <row r="705" spans="1:35" ht="14.5" x14ac:dyDescent="0.3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7"/>
      <c r="AF705" s="7"/>
      <c r="AG705" s="7"/>
      <c r="AH705" s="7"/>
      <c r="AI705" s="7"/>
    </row>
    <row r="706" spans="1:35" ht="14.5" x14ac:dyDescent="0.35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7"/>
      <c r="AF706" s="7"/>
      <c r="AG706" s="7"/>
      <c r="AH706" s="7"/>
      <c r="AI706" s="7"/>
    </row>
    <row r="707" spans="1:35" ht="14.5" x14ac:dyDescent="0.35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7"/>
      <c r="AF707" s="7"/>
      <c r="AG707" s="7"/>
      <c r="AH707" s="7"/>
      <c r="AI707" s="7"/>
    </row>
    <row r="708" spans="1:35" ht="14.5" x14ac:dyDescent="0.35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7"/>
      <c r="AF708" s="7"/>
      <c r="AG708" s="7"/>
      <c r="AH708" s="7"/>
      <c r="AI708" s="7"/>
    </row>
    <row r="709" spans="1:35" ht="14.5" x14ac:dyDescent="0.35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7"/>
      <c r="AF709" s="7"/>
      <c r="AG709" s="7"/>
      <c r="AH709" s="7"/>
      <c r="AI709" s="7"/>
    </row>
    <row r="710" spans="1:35" ht="14.5" x14ac:dyDescent="0.35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7"/>
      <c r="AF710" s="7"/>
      <c r="AG710" s="7"/>
      <c r="AH710" s="7"/>
      <c r="AI710" s="7"/>
    </row>
    <row r="711" spans="1:35" ht="14.5" x14ac:dyDescent="0.35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7"/>
      <c r="AF711" s="7"/>
      <c r="AG711" s="7"/>
      <c r="AH711" s="7"/>
      <c r="AI711" s="7"/>
    </row>
    <row r="712" spans="1:35" ht="14.5" x14ac:dyDescent="0.35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7"/>
      <c r="AF712" s="7"/>
      <c r="AG712" s="7"/>
      <c r="AH712" s="7"/>
      <c r="AI712" s="7"/>
    </row>
    <row r="713" spans="1:35" ht="14.5" x14ac:dyDescent="0.35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7"/>
      <c r="AF713" s="7"/>
      <c r="AG713" s="7"/>
      <c r="AH713" s="7"/>
      <c r="AI713" s="7"/>
    </row>
    <row r="714" spans="1:35" ht="14.5" x14ac:dyDescent="0.35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7"/>
      <c r="AF714" s="7"/>
      <c r="AG714" s="7"/>
      <c r="AH714" s="7"/>
      <c r="AI714" s="7"/>
    </row>
    <row r="715" spans="1:35" ht="14.5" x14ac:dyDescent="0.3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7"/>
      <c r="AF715" s="7"/>
      <c r="AG715" s="7"/>
      <c r="AH715" s="7"/>
      <c r="AI715" s="7"/>
    </row>
    <row r="716" spans="1:35" ht="14.5" x14ac:dyDescent="0.35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7"/>
      <c r="AF716" s="7"/>
      <c r="AG716" s="7"/>
      <c r="AH716" s="7"/>
      <c r="AI716" s="7"/>
    </row>
    <row r="717" spans="1:35" ht="14.5" x14ac:dyDescent="0.35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7"/>
      <c r="AF717" s="7"/>
      <c r="AG717" s="7"/>
      <c r="AH717" s="7"/>
      <c r="AI717" s="7"/>
    </row>
    <row r="718" spans="1:35" ht="14.5" x14ac:dyDescent="0.35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7"/>
      <c r="AF718" s="7"/>
      <c r="AG718" s="7"/>
      <c r="AH718" s="7"/>
      <c r="AI718" s="7"/>
    </row>
    <row r="719" spans="1:35" ht="14.5" x14ac:dyDescent="0.35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7"/>
      <c r="AF719" s="7"/>
      <c r="AG719" s="7"/>
      <c r="AH719" s="7"/>
      <c r="AI719" s="7"/>
    </row>
    <row r="720" spans="1:35" ht="14.5" x14ac:dyDescent="0.35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7"/>
      <c r="AF720" s="7"/>
      <c r="AG720" s="7"/>
      <c r="AH720" s="7"/>
      <c r="AI720" s="7"/>
    </row>
    <row r="721" spans="1:35" ht="14.5" x14ac:dyDescent="0.35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7"/>
      <c r="AF721" s="7"/>
      <c r="AG721" s="7"/>
      <c r="AH721" s="7"/>
      <c r="AI721" s="7"/>
    </row>
    <row r="722" spans="1:35" ht="14.5" x14ac:dyDescent="0.35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7"/>
      <c r="AF722" s="7"/>
      <c r="AG722" s="7"/>
      <c r="AH722" s="7"/>
      <c r="AI722" s="7"/>
    </row>
    <row r="723" spans="1:35" ht="14.5" x14ac:dyDescent="0.35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7"/>
      <c r="AF723" s="7"/>
      <c r="AG723" s="7"/>
      <c r="AH723" s="7"/>
      <c r="AI723" s="7"/>
    </row>
    <row r="724" spans="1:35" ht="14.5" x14ac:dyDescent="0.35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7"/>
      <c r="AF724" s="7"/>
      <c r="AG724" s="7"/>
      <c r="AH724" s="7"/>
      <c r="AI724" s="7"/>
    </row>
    <row r="725" spans="1:35" ht="14.5" x14ac:dyDescent="0.3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7"/>
      <c r="AF725" s="7"/>
      <c r="AG725" s="7"/>
      <c r="AH725" s="7"/>
      <c r="AI725" s="7"/>
    </row>
    <row r="726" spans="1:35" ht="14.5" x14ac:dyDescent="0.35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7"/>
      <c r="AF726" s="7"/>
      <c r="AG726" s="7"/>
      <c r="AH726" s="7"/>
      <c r="AI726" s="7"/>
    </row>
    <row r="727" spans="1:35" ht="14.5" x14ac:dyDescent="0.35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7"/>
      <c r="AF727" s="7"/>
      <c r="AG727" s="7"/>
      <c r="AH727" s="7"/>
      <c r="AI727" s="7"/>
    </row>
    <row r="728" spans="1:35" ht="14.5" x14ac:dyDescent="0.35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7"/>
      <c r="AF728" s="7"/>
      <c r="AG728" s="7"/>
      <c r="AH728" s="7"/>
      <c r="AI728" s="7"/>
    </row>
    <row r="729" spans="1:35" ht="14.5" x14ac:dyDescent="0.35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7"/>
      <c r="AF729" s="7"/>
      <c r="AG729" s="7"/>
      <c r="AH729" s="7"/>
      <c r="AI729" s="7"/>
    </row>
    <row r="730" spans="1:35" ht="14.5" x14ac:dyDescent="0.35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7"/>
      <c r="AF730" s="7"/>
      <c r="AG730" s="7"/>
      <c r="AH730" s="7"/>
      <c r="AI730" s="7"/>
    </row>
    <row r="731" spans="1:35" ht="14.5" x14ac:dyDescent="0.35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7"/>
      <c r="AF731" s="7"/>
      <c r="AG731" s="7"/>
      <c r="AH731" s="7"/>
      <c r="AI731" s="7"/>
    </row>
    <row r="732" spans="1:35" ht="14.5" x14ac:dyDescent="0.35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7"/>
      <c r="AF732" s="7"/>
      <c r="AG732" s="7"/>
      <c r="AH732" s="7"/>
      <c r="AI732" s="7"/>
    </row>
    <row r="733" spans="1:35" ht="14.5" x14ac:dyDescent="0.35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7"/>
      <c r="AF733" s="7"/>
      <c r="AG733" s="7"/>
      <c r="AH733" s="7"/>
      <c r="AI733" s="7"/>
    </row>
    <row r="734" spans="1:35" ht="14.5" x14ac:dyDescent="0.35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7"/>
      <c r="AF734" s="7"/>
      <c r="AG734" s="7"/>
      <c r="AH734" s="7"/>
      <c r="AI734" s="7"/>
    </row>
    <row r="735" spans="1:35" ht="14.5" x14ac:dyDescent="0.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7"/>
      <c r="AF735" s="7"/>
      <c r="AG735" s="7"/>
      <c r="AH735" s="7"/>
      <c r="AI735" s="7"/>
    </row>
    <row r="736" spans="1:35" ht="14.5" x14ac:dyDescent="0.35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7"/>
      <c r="AF736" s="7"/>
      <c r="AG736" s="7"/>
      <c r="AH736" s="7"/>
      <c r="AI736" s="7"/>
    </row>
    <row r="737" spans="1:35" ht="14.5" x14ac:dyDescent="0.35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7"/>
      <c r="AF737" s="7"/>
      <c r="AG737" s="7"/>
      <c r="AH737" s="7"/>
      <c r="AI737" s="7"/>
    </row>
    <row r="738" spans="1:35" ht="14.5" x14ac:dyDescent="0.35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7"/>
      <c r="AF738" s="7"/>
      <c r="AG738" s="7"/>
      <c r="AH738" s="7"/>
      <c r="AI738" s="7"/>
    </row>
    <row r="739" spans="1:35" ht="14.5" x14ac:dyDescent="0.35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7"/>
      <c r="AF739" s="7"/>
      <c r="AG739" s="7"/>
      <c r="AH739" s="7"/>
      <c r="AI739" s="7"/>
    </row>
    <row r="740" spans="1:35" ht="14.5" x14ac:dyDescent="0.35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7"/>
      <c r="AF740" s="7"/>
      <c r="AG740" s="7"/>
      <c r="AH740" s="7"/>
      <c r="AI740" s="7"/>
    </row>
    <row r="741" spans="1:35" ht="14.5" x14ac:dyDescent="0.35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7"/>
      <c r="AF741" s="7"/>
      <c r="AG741" s="7"/>
      <c r="AH741" s="7"/>
      <c r="AI741" s="7"/>
    </row>
    <row r="742" spans="1:35" ht="14.5" x14ac:dyDescent="0.35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7"/>
      <c r="AF742" s="7"/>
      <c r="AG742" s="7"/>
      <c r="AH742" s="7"/>
      <c r="AI742" s="7"/>
    </row>
    <row r="743" spans="1:35" ht="14.5" x14ac:dyDescent="0.35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7"/>
      <c r="AF743" s="7"/>
      <c r="AG743" s="7"/>
      <c r="AH743" s="7"/>
      <c r="AI743" s="7"/>
    </row>
    <row r="744" spans="1:35" ht="14.5" x14ac:dyDescent="0.35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7"/>
      <c r="AF744" s="7"/>
      <c r="AG744" s="7"/>
      <c r="AH744" s="7"/>
      <c r="AI744" s="7"/>
    </row>
    <row r="745" spans="1:35" ht="14.5" x14ac:dyDescent="0.3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7"/>
      <c r="AF745" s="7"/>
      <c r="AG745" s="7"/>
      <c r="AH745" s="7"/>
      <c r="AI745" s="7"/>
    </row>
    <row r="746" spans="1:35" ht="14.5" x14ac:dyDescent="0.35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7"/>
      <c r="AF746" s="7"/>
      <c r="AG746" s="7"/>
      <c r="AH746" s="7"/>
      <c r="AI746" s="7"/>
    </row>
    <row r="747" spans="1:35" ht="14.5" x14ac:dyDescent="0.35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7"/>
      <c r="AF747" s="7"/>
      <c r="AG747" s="7"/>
      <c r="AH747" s="7"/>
      <c r="AI747" s="7"/>
    </row>
    <row r="748" spans="1:35" ht="14.5" x14ac:dyDescent="0.35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7"/>
      <c r="AF748" s="7"/>
      <c r="AG748" s="7"/>
      <c r="AH748" s="7"/>
      <c r="AI748" s="7"/>
    </row>
    <row r="749" spans="1:35" ht="14.5" x14ac:dyDescent="0.35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7"/>
      <c r="AF749" s="7"/>
      <c r="AG749" s="7"/>
      <c r="AH749" s="7"/>
      <c r="AI749" s="7"/>
    </row>
    <row r="750" spans="1:35" ht="14.5" x14ac:dyDescent="0.35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7"/>
      <c r="AF750" s="7"/>
      <c r="AG750" s="7"/>
      <c r="AH750" s="7"/>
      <c r="AI750" s="7"/>
    </row>
    <row r="751" spans="1:35" ht="14.5" x14ac:dyDescent="0.35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7"/>
      <c r="AF751" s="7"/>
      <c r="AG751" s="7"/>
      <c r="AH751" s="7"/>
      <c r="AI751" s="7"/>
    </row>
    <row r="752" spans="1:35" ht="14.5" x14ac:dyDescent="0.35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7"/>
      <c r="AF752" s="7"/>
      <c r="AG752" s="7"/>
      <c r="AH752" s="7"/>
      <c r="AI752" s="7"/>
    </row>
    <row r="753" spans="1:35" ht="14.5" x14ac:dyDescent="0.35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7"/>
      <c r="AF753" s="7"/>
      <c r="AG753" s="7"/>
      <c r="AH753" s="7"/>
      <c r="AI753" s="7"/>
    </row>
    <row r="754" spans="1:35" ht="14.5" x14ac:dyDescent="0.35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7"/>
      <c r="AF754" s="7"/>
      <c r="AG754" s="7"/>
      <c r="AH754" s="7"/>
      <c r="AI754" s="7"/>
    </row>
    <row r="755" spans="1:35" ht="14.5" x14ac:dyDescent="0.3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7"/>
      <c r="AF755" s="7"/>
      <c r="AG755" s="7"/>
      <c r="AH755" s="7"/>
      <c r="AI755" s="7"/>
    </row>
    <row r="756" spans="1:35" ht="14.5" x14ac:dyDescent="0.35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7"/>
      <c r="AF756" s="7"/>
      <c r="AG756" s="7"/>
      <c r="AH756" s="7"/>
      <c r="AI756" s="7"/>
    </row>
    <row r="757" spans="1:35" ht="14.5" x14ac:dyDescent="0.35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7"/>
      <c r="AF757" s="7"/>
      <c r="AG757" s="7"/>
      <c r="AH757" s="7"/>
      <c r="AI757" s="7"/>
    </row>
    <row r="758" spans="1:35" ht="14.5" x14ac:dyDescent="0.35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7"/>
      <c r="AF758" s="7"/>
      <c r="AG758" s="7"/>
      <c r="AH758" s="7"/>
      <c r="AI758" s="7"/>
    </row>
    <row r="759" spans="1:35" ht="14.5" x14ac:dyDescent="0.35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7"/>
      <c r="AF759" s="7"/>
      <c r="AG759" s="7"/>
      <c r="AH759" s="7"/>
      <c r="AI759" s="7"/>
    </row>
    <row r="760" spans="1:35" ht="14.5" x14ac:dyDescent="0.35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7"/>
      <c r="AF760" s="7"/>
      <c r="AG760" s="7"/>
      <c r="AH760" s="7"/>
      <c r="AI760" s="7"/>
    </row>
    <row r="761" spans="1:35" ht="14.5" x14ac:dyDescent="0.35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7"/>
      <c r="AF761" s="7"/>
      <c r="AG761" s="7"/>
      <c r="AH761" s="7"/>
      <c r="AI761" s="7"/>
    </row>
    <row r="762" spans="1:35" ht="14.5" x14ac:dyDescent="0.35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7"/>
      <c r="AF762" s="7"/>
      <c r="AG762" s="7"/>
      <c r="AH762" s="7"/>
      <c r="AI762" s="7"/>
    </row>
    <row r="763" spans="1:35" ht="14.5" x14ac:dyDescent="0.35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7"/>
      <c r="AF763" s="7"/>
      <c r="AG763" s="7"/>
      <c r="AH763" s="7"/>
      <c r="AI763" s="7"/>
    </row>
    <row r="764" spans="1:35" ht="14.5" x14ac:dyDescent="0.35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7"/>
      <c r="AF764" s="7"/>
      <c r="AG764" s="7"/>
      <c r="AH764" s="7"/>
      <c r="AI764" s="7"/>
    </row>
    <row r="765" spans="1:35" ht="14.5" x14ac:dyDescent="0.3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7"/>
      <c r="AF765" s="7"/>
      <c r="AG765" s="7"/>
      <c r="AH765" s="7"/>
      <c r="AI765" s="7"/>
    </row>
    <row r="766" spans="1:35" ht="14.5" x14ac:dyDescent="0.35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7"/>
      <c r="AF766" s="7"/>
      <c r="AG766" s="7"/>
      <c r="AH766" s="7"/>
      <c r="AI766" s="7"/>
    </row>
    <row r="767" spans="1:35" ht="14.5" x14ac:dyDescent="0.35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7"/>
      <c r="AF767" s="7"/>
      <c r="AG767" s="7"/>
      <c r="AH767" s="7"/>
      <c r="AI767" s="7"/>
    </row>
    <row r="768" spans="1:35" ht="14.5" x14ac:dyDescent="0.35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7"/>
      <c r="AF768" s="7"/>
      <c r="AG768" s="7"/>
      <c r="AH768" s="7"/>
      <c r="AI768" s="7"/>
    </row>
    <row r="769" spans="1:35" ht="14.5" x14ac:dyDescent="0.35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7"/>
      <c r="AF769" s="7"/>
      <c r="AG769" s="7"/>
      <c r="AH769" s="7"/>
      <c r="AI769" s="7"/>
    </row>
    <row r="770" spans="1:35" ht="14.5" x14ac:dyDescent="0.35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7"/>
      <c r="AF770" s="7"/>
      <c r="AG770" s="7"/>
      <c r="AH770" s="7"/>
      <c r="AI770" s="7"/>
    </row>
    <row r="771" spans="1:35" ht="14.5" x14ac:dyDescent="0.35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7"/>
      <c r="AF771" s="7"/>
      <c r="AG771" s="7"/>
      <c r="AH771" s="7"/>
      <c r="AI771" s="7"/>
    </row>
    <row r="772" spans="1:35" ht="14.5" x14ac:dyDescent="0.35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7"/>
      <c r="AF772" s="7"/>
      <c r="AG772" s="7"/>
      <c r="AH772" s="7"/>
      <c r="AI772" s="7"/>
    </row>
    <row r="773" spans="1:35" ht="14.5" x14ac:dyDescent="0.35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7"/>
      <c r="AF773" s="7"/>
      <c r="AG773" s="7"/>
      <c r="AH773" s="7"/>
      <c r="AI773" s="7"/>
    </row>
    <row r="774" spans="1:35" ht="14.5" x14ac:dyDescent="0.35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7"/>
      <c r="AF774" s="7"/>
      <c r="AG774" s="7"/>
      <c r="AH774" s="7"/>
      <c r="AI774" s="7"/>
    </row>
    <row r="775" spans="1:35" ht="14.5" x14ac:dyDescent="0.3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7"/>
      <c r="AF775" s="7"/>
      <c r="AG775" s="7"/>
      <c r="AH775" s="7"/>
      <c r="AI775" s="7"/>
    </row>
    <row r="776" spans="1:35" ht="14.5" x14ac:dyDescent="0.35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7"/>
      <c r="AF776" s="7"/>
      <c r="AG776" s="7"/>
      <c r="AH776" s="7"/>
      <c r="AI776" s="7"/>
    </row>
    <row r="777" spans="1:35" ht="14.5" x14ac:dyDescent="0.35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7"/>
      <c r="AF777" s="7"/>
      <c r="AG777" s="7"/>
      <c r="AH777" s="7"/>
      <c r="AI777" s="7"/>
    </row>
    <row r="778" spans="1:35" ht="14.5" x14ac:dyDescent="0.35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7"/>
      <c r="AF778" s="7"/>
      <c r="AG778" s="7"/>
      <c r="AH778" s="7"/>
      <c r="AI778" s="7"/>
    </row>
    <row r="779" spans="1:35" ht="14.5" x14ac:dyDescent="0.35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7"/>
      <c r="AF779" s="7"/>
      <c r="AG779" s="7"/>
      <c r="AH779" s="7"/>
      <c r="AI779" s="7"/>
    </row>
    <row r="780" spans="1:35" ht="14.5" x14ac:dyDescent="0.35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7"/>
      <c r="AF780" s="7"/>
      <c r="AG780" s="7"/>
      <c r="AH780" s="7"/>
      <c r="AI780" s="7"/>
    </row>
    <row r="781" spans="1:35" ht="14.5" x14ac:dyDescent="0.35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7"/>
      <c r="AF781" s="7"/>
      <c r="AG781" s="7"/>
      <c r="AH781" s="7"/>
      <c r="AI781" s="7"/>
    </row>
    <row r="782" spans="1:35" ht="14.5" x14ac:dyDescent="0.35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7"/>
      <c r="AF782" s="7"/>
      <c r="AG782" s="7"/>
      <c r="AH782" s="7"/>
      <c r="AI782" s="7"/>
    </row>
    <row r="783" spans="1:35" ht="14.5" x14ac:dyDescent="0.35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7"/>
      <c r="AF783" s="7"/>
      <c r="AG783" s="7"/>
      <c r="AH783" s="7"/>
      <c r="AI783" s="7"/>
    </row>
    <row r="784" spans="1:35" ht="14.5" x14ac:dyDescent="0.35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7"/>
      <c r="AF784" s="7"/>
      <c r="AG784" s="7"/>
      <c r="AH784" s="7"/>
      <c r="AI784" s="7"/>
    </row>
    <row r="785" spans="1:35" ht="14.5" x14ac:dyDescent="0.3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7"/>
      <c r="AF785" s="7"/>
      <c r="AG785" s="7"/>
      <c r="AH785" s="7"/>
      <c r="AI785" s="7"/>
    </row>
    <row r="786" spans="1:35" ht="14.5" x14ac:dyDescent="0.35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7"/>
      <c r="AF786" s="7"/>
      <c r="AG786" s="7"/>
      <c r="AH786" s="7"/>
      <c r="AI786" s="7"/>
    </row>
    <row r="787" spans="1:35" ht="14.5" x14ac:dyDescent="0.35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7"/>
      <c r="AF787" s="7"/>
      <c r="AG787" s="7"/>
      <c r="AH787" s="7"/>
      <c r="AI787" s="7"/>
    </row>
    <row r="788" spans="1:35" ht="14.5" x14ac:dyDescent="0.35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7"/>
      <c r="AF788" s="7"/>
      <c r="AG788" s="7"/>
      <c r="AH788" s="7"/>
      <c r="AI788" s="7"/>
    </row>
    <row r="789" spans="1:35" ht="14.5" x14ac:dyDescent="0.35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7"/>
      <c r="AF789" s="7"/>
      <c r="AG789" s="7"/>
      <c r="AH789" s="7"/>
      <c r="AI789" s="7"/>
    </row>
    <row r="790" spans="1:35" ht="14.5" x14ac:dyDescent="0.35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7"/>
      <c r="AF790" s="7"/>
      <c r="AG790" s="7"/>
      <c r="AH790" s="7"/>
      <c r="AI790" s="7"/>
    </row>
    <row r="791" spans="1:35" ht="14.5" x14ac:dyDescent="0.35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7"/>
      <c r="AF791" s="7"/>
      <c r="AG791" s="7"/>
      <c r="AH791" s="7"/>
      <c r="AI791" s="7"/>
    </row>
    <row r="792" spans="1:35" ht="14.5" x14ac:dyDescent="0.35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7"/>
      <c r="AF792" s="7"/>
      <c r="AG792" s="7"/>
      <c r="AH792" s="7"/>
      <c r="AI792" s="7"/>
    </row>
    <row r="793" spans="1:35" ht="14.5" x14ac:dyDescent="0.35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7"/>
      <c r="AF793" s="7"/>
      <c r="AG793" s="7"/>
      <c r="AH793" s="7"/>
      <c r="AI793" s="7"/>
    </row>
    <row r="794" spans="1:35" ht="14.5" x14ac:dyDescent="0.35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7"/>
      <c r="AF794" s="7"/>
      <c r="AG794" s="7"/>
      <c r="AH794" s="7"/>
      <c r="AI794" s="7"/>
    </row>
    <row r="795" spans="1:35" ht="14.5" x14ac:dyDescent="0.3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7"/>
      <c r="AF795" s="7"/>
      <c r="AG795" s="7"/>
      <c r="AH795" s="7"/>
      <c r="AI795" s="7"/>
    </row>
    <row r="796" spans="1:35" ht="14.5" x14ac:dyDescent="0.35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7"/>
      <c r="AF796" s="7"/>
      <c r="AG796" s="7"/>
      <c r="AH796" s="7"/>
      <c r="AI796" s="7"/>
    </row>
    <row r="797" spans="1:35" ht="14.5" x14ac:dyDescent="0.35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7"/>
      <c r="AF797" s="7"/>
      <c r="AG797" s="7"/>
      <c r="AH797" s="7"/>
      <c r="AI797" s="7"/>
    </row>
    <row r="798" spans="1:35" ht="14.5" x14ac:dyDescent="0.35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7"/>
      <c r="AF798" s="7"/>
      <c r="AG798" s="7"/>
      <c r="AH798" s="7"/>
      <c r="AI798" s="7"/>
    </row>
    <row r="799" spans="1:35" ht="14.5" x14ac:dyDescent="0.35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7"/>
      <c r="AF799" s="7"/>
      <c r="AG799" s="7"/>
      <c r="AH799" s="7"/>
      <c r="AI799" s="7"/>
    </row>
    <row r="800" spans="1:35" ht="14.5" x14ac:dyDescent="0.3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7"/>
      <c r="AF800" s="7"/>
      <c r="AG800" s="7"/>
      <c r="AH800" s="7"/>
      <c r="AI800" s="7"/>
    </row>
    <row r="801" spans="1:35" ht="14.5" x14ac:dyDescent="0.35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7"/>
      <c r="AF801" s="7"/>
      <c r="AG801" s="7"/>
      <c r="AH801" s="7"/>
      <c r="AI801" s="7"/>
    </row>
    <row r="802" spans="1:35" ht="14.5" x14ac:dyDescent="0.35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7"/>
      <c r="AF802" s="7"/>
      <c r="AG802" s="7"/>
      <c r="AH802" s="7"/>
      <c r="AI802" s="7"/>
    </row>
    <row r="803" spans="1:35" ht="14.5" x14ac:dyDescent="0.35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7"/>
      <c r="AF803" s="7"/>
      <c r="AG803" s="7"/>
      <c r="AH803" s="7"/>
      <c r="AI803" s="7"/>
    </row>
    <row r="804" spans="1:35" ht="14.5" x14ac:dyDescent="0.35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7"/>
      <c r="AF804" s="7"/>
      <c r="AG804" s="7"/>
      <c r="AH804" s="7"/>
      <c r="AI804" s="7"/>
    </row>
    <row r="805" spans="1:35" ht="14.5" x14ac:dyDescent="0.3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7"/>
      <c r="AF805" s="7"/>
      <c r="AG805" s="7"/>
      <c r="AH805" s="7"/>
      <c r="AI805" s="7"/>
    </row>
    <row r="806" spans="1:35" ht="14.5" x14ac:dyDescent="0.35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7"/>
      <c r="AF806" s="7"/>
      <c r="AG806" s="7"/>
      <c r="AH806" s="7"/>
      <c r="AI806" s="7"/>
    </row>
    <row r="807" spans="1:35" ht="14.5" x14ac:dyDescent="0.3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7"/>
      <c r="AF807" s="7"/>
      <c r="AG807" s="7"/>
      <c r="AH807" s="7"/>
      <c r="AI807" s="7"/>
    </row>
    <row r="808" spans="1:35" ht="14.5" x14ac:dyDescent="0.35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7"/>
      <c r="AF808" s="7"/>
      <c r="AG808" s="7"/>
      <c r="AH808" s="7"/>
      <c r="AI808" s="7"/>
    </row>
    <row r="809" spans="1:35" ht="14.5" x14ac:dyDescent="0.35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7"/>
      <c r="AF809" s="7"/>
      <c r="AG809" s="7"/>
      <c r="AH809" s="7"/>
      <c r="AI809" s="7"/>
    </row>
    <row r="810" spans="1:35" ht="14.5" x14ac:dyDescent="0.35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7"/>
      <c r="AF810" s="7"/>
      <c r="AG810" s="7"/>
      <c r="AH810" s="7"/>
      <c r="AI810" s="7"/>
    </row>
    <row r="811" spans="1:35" ht="14.5" x14ac:dyDescent="0.3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7"/>
      <c r="AF811" s="7"/>
      <c r="AG811" s="7"/>
      <c r="AH811" s="7"/>
      <c r="AI811" s="7"/>
    </row>
    <row r="812" spans="1:35" ht="14.5" x14ac:dyDescent="0.35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7"/>
      <c r="AF812" s="7"/>
      <c r="AG812" s="7"/>
      <c r="AH812" s="7"/>
      <c r="AI812" s="7"/>
    </row>
    <row r="813" spans="1:35" ht="14.5" x14ac:dyDescent="0.35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7"/>
      <c r="AF813" s="7"/>
      <c r="AG813" s="7"/>
      <c r="AH813" s="7"/>
      <c r="AI813" s="7"/>
    </row>
    <row r="814" spans="1:35" ht="14.5" x14ac:dyDescent="0.35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7"/>
      <c r="AF814" s="7"/>
      <c r="AG814" s="7"/>
      <c r="AH814" s="7"/>
      <c r="AI814" s="7"/>
    </row>
    <row r="815" spans="1:35" ht="14.5" x14ac:dyDescent="0.3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7"/>
      <c r="AF815" s="7"/>
      <c r="AG815" s="7"/>
      <c r="AH815" s="7"/>
      <c r="AI815" s="7"/>
    </row>
    <row r="816" spans="1:35" ht="14.5" x14ac:dyDescent="0.35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7"/>
      <c r="AF816" s="7"/>
      <c r="AG816" s="7"/>
      <c r="AH816" s="7"/>
      <c r="AI816" s="7"/>
    </row>
    <row r="817" spans="1:35" ht="14.5" x14ac:dyDescent="0.35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7"/>
      <c r="AF817" s="7"/>
      <c r="AG817" s="7"/>
      <c r="AH817" s="7"/>
      <c r="AI817" s="7"/>
    </row>
    <row r="818" spans="1:35" ht="14.5" x14ac:dyDescent="0.35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7"/>
      <c r="AF818" s="7"/>
      <c r="AG818" s="7"/>
      <c r="AH818" s="7"/>
      <c r="AI818" s="7"/>
    </row>
    <row r="819" spans="1:35" ht="14.5" x14ac:dyDescent="0.35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7"/>
      <c r="AF819" s="7"/>
      <c r="AG819" s="7"/>
      <c r="AH819" s="7"/>
      <c r="AI819" s="7"/>
    </row>
    <row r="820" spans="1:35" ht="14.5" x14ac:dyDescent="0.35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7"/>
      <c r="AF820" s="7"/>
      <c r="AG820" s="7"/>
      <c r="AH820" s="7"/>
      <c r="AI820" s="7"/>
    </row>
    <row r="821" spans="1:35" ht="14.5" x14ac:dyDescent="0.35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7"/>
      <c r="AF821" s="7"/>
      <c r="AG821" s="7"/>
      <c r="AH821" s="7"/>
      <c r="AI821" s="7"/>
    </row>
    <row r="822" spans="1:35" ht="14.5" x14ac:dyDescent="0.35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7"/>
      <c r="AF822" s="7"/>
      <c r="AG822" s="7"/>
      <c r="AH822" s="7"/>
      <c r="AI822" s="7"/>
    </row>
    <row r="823" spans="1:35" ht="14.5" x14ac:dyDescent="0.35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7"/>
      <c r="AF823" s="7"/>
      <c r="AG823" s="7"/>
      <c r="AH823" s="7"/>
      <c r="AI823" s="7"/>
    </row>
    <row r="824" spans="1:35" ht="14.5" x14ac:dyDescent="0.35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7"/>
      <c r="AF824" s="7"/>
      <c r="AG824" s="7"/>
      <c r="AH824" s="7"/>
      <c r="AI824" s="7"/>
    </row>
    <row r="825" spans="1:35" ht="14.5" x14ac:dyDescent="0.3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7"/>
      <c r="AF825" s="7"/>
      <c r="AG825" s="7"/>
      <c r="AH825" s="7"/>
      <c r="AI825" s="7"/>
    </row>
    <row r="826" spans="1:35" ht="14.5" x14ac:dyDescent="0.35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7"/>
      <c r="AF826" s="7"/>
      <c r="AG826" s="7"/>
      <c r="AH826" s="7"/>
      <c r="AI826" s="7"/>
    </row>
    <row r="827" spans="1:35" ht="14.5" x14ac:dyDescent="0.35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7"/>
      <c r="AF827" s="7"/>
      <c r="AG827" s="7"/>
      <c r="AH827" s="7"/>
      <c r="AI827" s="7"/>
    </row>
    <row r="828" spans="1:35" ht="14.5" x14ac:dyDescent="0.35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7"/>
      <c r="AF828" s="7"/>
      <c r="AG828" s="7"/>
      <c r="AH828" s="7"/>
      <c r="AI828" s="7"/>
    </row>
    <row r="829" spans="1:35" ht="14.5" x14ac:dyDescent="0.35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7"/>
      <c r="AF829" s="7"/>
      <c r="AG829" s="7"/>
      <c r="AH829" s="7"/>
      <c r="AI829" s="7"/>
    </row>
    <row r="830" spans="1:35" ht="14.5" x14ac:dyDescent="0.35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7"/>
      <c r="AF830" s="7"/>
      <c r="AG830" s="7"/>
      <c r="AH830" s="7"/>
      <c r="AI830" s="7"/>
    </row>
    <row r="831" spans="1:35" ht="14.5" x14ac:dyDescent="0.35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7"/>
      <c r="AF831" s="7"/>
      <c r="AG831" s="7"/>
      <c r="AH831" s="7"/>
      <c r="AI831" s="7"/>
    </row>
    <row r="832" spans="1:35" ht="14.5" x14ac:dyDescent="0.35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7"/>
      <c r="AF832" s="7"/>
      <c r="AG832" s="7"/>
      <c r="AH832" s="7"/>
      <c r="AI832" s="7"/>
    </row>
    <row r="833" spans="1:35" ht="14.5" x14ac:dyDescent="0.35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7"/>
      <c r="AF833" s="7"/>
      <c r="AG833" s="7"/>
      <c r="AH833" s="7"/>
      <c r="AI833" s="7"/>
    </row>
    <row r="834" spans="1:35" ht="14.5" x14ac:dyDescent="0.35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7"/>
      <c r="AF834" s="7"/>
      <c r="AG834" s="7"/>
      <c r="AH834" s="7"/>
      <c r="AI834" s="7"/>
    </row>
    <row r="835" spans="1:35" ht="14.5" x14ac:dyDescent="0.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7"/>
      <c r="AF835" s="7"/>
      <c r="AG835" s="7"/>
      <c r="AH835" s="7"/>
      <c r="AI835" s="7"/>
    </row>
    <row r="836" spans="1:35" ht="14.5" x14ac:dyDescent="0.35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7"/>
      <c r="AF836" s="7"/>
      <c r="AG836" s="7"/>
      <c r="AH836" s="7"/>
      <c r="AI836" s="7"/>
    </row>
    <row r="837" spans="1:35" ht="14.5" x14ac:dyDescent="0.35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7"/>
      <c r="AF837" s="7"/>
      <c r="AG837" s="7"/>
      <c r="AH837" s="7"/>
      <c r="AI837" s="7"/>
    </row>
    <row r="838" spans="1:35" ht="14.5" x14ac:dyDescent="0.35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7"/>
      <c r="AF838" s="7"/>
      <c r="AG838" s="7"/>
      <c r="AH838" s="7"/>
      <c r="AI838" s="7"/>
    </row>
    <row r="839" spans="1:35" ht="14.5" x14ac:dyDescent="0.35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7"/>
      <c r="AF839" s="7"/>
      <c r="AG839" s="7"/>
      <c r="AH839" s="7"/>
      <c r="AI839" s="7"/>
    </row>
    <row r="840" spans="1:35" ht="14.5" x14ac:dyDescent="0.35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7"/>
      <c r="AF840" s="7"/>
      <c r="AG840" s="7"/>
      <c r="AH840" s="7"/>
      <c r="AI840" s="7"/>
    </row>
    <row r="841" spans="1:35" ht="14.5" x14ac:dyDescent="0.35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7"/>
      <c r="AF841" s="7"/>
      <c r="AG841" s="7"/>
      <c r="AH841" s="7"/>
      <c r="AI841" s="7"/>
    </row>
    <row r="842" spans="1:35" ht="14.5" x14ac:dyDescent="0.35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7"/>
      <c r="AF842" s="7"/>
      <c r="AG842" s="7"/>
      <c r="AH842" s="7"/>
      <c r="AI842" s="7"/>
    </row>
    <row r="843" spans="1:35" ht="14.5" x14ac:dyDescent="0.35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7"/>
      <c r="AF843" s="7"/>
      <c r="AG843" s="7"/>
      <c r="AH843" s="7"/>
      <c r="AI843" s="7"/>
    </row>
    <row r="844" spans="1:35" ht="14.5" x14ac:dyDescent="0.35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7"/>
      <c r="AF844" s="7"/>
      <c r="AG844" s="7"/>
      <c r="AH844" s="7"/>
      <c r="AI844" s="7"/>
    </row>
    <row r="845" spans="1:35" ht="14.5" x14ac:dyDescent="0.3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7"/>
      <c r="AF845" s="7"/>
      <c r="AG845" s="7"/>
      <c r="AH845" s="7"/>
      <c r="AI845" s="7"/>
    </row>
    <row r="846" spans="1:35" ht="14.5" x14ac:dyDescent="0.35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7"/>
      <c r="AF846" s="7"/>
      <c r="AG846" s="7"/>
      <c r="AH846" s="7"/>
      <c r="AI846" s="7"/>
    </row>
    <row r="847" spans="1:35" ht="14.5" x14ac:dyDescent="0.35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7"/>
      <c r="AF847" s="7"/>
      <c r="AG847" s="7"/>
      <c r="AH847" s="7"/>
      <c r="AI847" s="7"/>
    </row>
    <row r="848" spans="1:35" ht="14.5" x14ac:dyDescent="0.35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7"/>
      <c r="AF848" s="7"/>
      <c r="AG848" s="7"/>
      <c r="AH848" s="7"/>
      <c r="AI848" s="7"/>
    </row>
    <row r="849" spans="1:35" ht="14.5" x14ac:dyDescent="0.35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7"/>
      <c r="AF849" s="7"/>
      <c r="AG849" s="7"/>
      <c r="AH849" s="7"/>
      <c r="AI849" s="7"/>
    </row>
    <row r="850" spans="1:35" ht="14.5" x14ac:dyDescent="0.35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7"/>
      <c r="AF850" s="7"/>
      <c r="AG850" s="7"/>
      <c r="AH850" s="7"/>
      <c r="AI850" s="7"/>
    </row>
    <row r="851" spans="1:35" ht="14.5" x14ac:dyDescent="0.35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7"/>
      <c r="AF851" s="7"/>
      <c r="AG851" s="7"/>
      <c r="AH851" s="7"/>
      <c r="AI851" s="7"/>
    </row>
    <row r="852" spans="1:35" ht="14.5" x14ac:dyDescent="0.35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7"/>
      <c r="AF852" s="7"/>
      <c r="AG852" s="7"/>
      <c r="AH852" s="7"/>
      <c r="AI852" s="7"/>
    </row>
    <row r="853" spans="1:35" ht="14.5" x14ac:dyDescent="0.35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7"/>
      <c r="AF853" s="7"/>
      <c r="AG853" s="7"/>
      <c r="AH853" s="7"/>
      <c r="AI853" s="7"/>
    </row>
    <row r="854" spans="1:35" ht="14.5" x14ac:dyDescent="0.35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7"/>
      <c r="AF854" s="7"/>
      <c r="AG854" s="7"/>
      <c r="AH854" s="7"/>
      <c r="AI854" s="7"/>
    </row>
    <row r="855" spans="1:35" ht="14.5" x14ac:dyDescent="0.3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7"/>
      <c r="AF855" s="7"/>
      <c r="AG855" s="7"/>
      <c r="AH855" s="7"/>
      <c r="AI855" s="7"/>
    </row>
    <row r="856" spans="1:35" ht="14.5" x14ac:dyDescent="0.35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7"/>
      <c r="AF856" s="7"/>
      <c r="AG856" s="7"/>
      <c r="AH856" s="7"/>
      <c r="AI856" s="7"/>
    </row>
    <row r="857" spans="1:35" ht="14.5" x14ac:dyDescent="0.35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7"/>
      <c r="AF857" s="7"/>
      <c r="AG857" s="7"/>
      <c r="AH857" s="7"/>
      <c r="AI857" s="7"/>
    </row>
    <row r="858" spans="1:35" ht="14.5" x14ac:dyDescent="0.35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7"/>
      <c r="AF858" s="7"/>
      <c r="AG858" s="7"/>
      <c r="AH858" s="7"/>
      <c r="AI858" s="7"/>
    </row>
    <row r="859" spans="1:35" ht="14.5" x14ac:dyDescent="0.35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7"/>
      <c r="AF859" s="7"/>
      <c r="AG859" s="7"/>
      <c r="AH859" s="7"/>
      <c r="AI859" s="7"/>
    </row>
    <row r="860" spans="1:35" ht="14.5" x14ac:dyDescent="0.35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7"/>
      <c r="AF860" s="7"/>
      <c r="AG860" s="7"/>
      <c r="AH860" s="7"/>
      <c r="AI860" s="7"/>
    </row>
    <row r="861" spans="1:35" ht="14.5" x14ac:dyDescent="0.35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7"/>
      <c r="AF861" s="7"/>
      <c r="AG861" s="7"/>
      <c r="AH861" s="7"/>
      <c r="AI861" s="7"/>
    </row>
    <row r="862" spans="1:35" ht="14.5" x14ac:dyDescent="0.35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7"/>
      <c r="AF862" s="7"/>
      <c r="AG862" s="7"/>
      <c r="AH862" s="7"/>
      <c r="AI862" s="7"/>
    </row>
    <row r="863" spans="1:35" ht="14.5" x14ac:dyDescent="0.35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7"/>
      <c r="AF863" s="7"/>
      <c r="AG863" s="7"/>
      <c r="AH863" s="7"/>
      <c r="AI863" s="7"/>
    </row>
    <row r="864" spans="1:35" ht="14.5" x14ac:dyDescent="0.35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7"/>
      <c r="AF864" s="7"/>
      <c r="AG864" s="7"/>
      <c r="AH864" s="7"/>
      <c r="AI864" s="7"/>
    </row>
    <row r="865" spans="1:35" ht="14.5" x14ac:dyDescent="0.3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7"/>
      <c r="AF865" s="7"/>
      <c r="AG865" s="7"/>
      <c r="AH865" s="7"/>
      <c r="AI865" s="7"/>
    </row>
    <row r="866" spans="1:35" ht="14.5" x14ac:dyDescent="0.35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7"/>
      <c r="AF866" s="7"/>
      <c r="AG866" s="7"/>
      <c r="AH866" s="7"/>
      <c r="AI866" s="7"/>
    </row>
    <row r="867" spans="1:35" ht="14.5" x14ac:dyDescent="0.35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7"/>
      <c r="AF867" s="7"/>
      <c r="AG867" s="7"/>
      <c r="AH867" s="7"/>
      <c r="AI867" s="7"/>
    </row>
    <row r="868" spans="1:35" ht="14.5" x14ac:dyDescent="0.35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7"/>
      <c r="AF868" s="7"/>
      <c r="AG868" s="7"/>
      <c r="AH868" s="7"/>
      <c r="AI868" s="7"/>
    </row>
    <row r="869" spans="1:35" ht="14.5" x14ac:dyDescent="0.35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7"/>
      <c r="AF869" s="7"/>
      <c r="AG869" s="7"/>
      <c r="AH869" s="7"/>
      <c r="AI869" s="7"/>
    </row>
    <row r="870" spans="1:35" ht="14.5" x14ac:dyDescent="0.35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7"/>
      <c r="AF870" s="7"/>
      <c r="AG870" s="7"/>
      <c r="AH870" s="7"/>
      <c r="AI870" s="7"/>
    </row>
    <row r="871" spans="1:35" ht="14.5" x14ac:dyDescent="0.35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7"/>
      <c r="AF871" s="7"/>
      <c r="AG871" s="7"/>
      <c r="AH871" s="7"/>
      <c r="AI871" s="7"/>
    </row>
    <row r="872" spans="1:35" ht="14.5" x14ac:dyDescent="0.35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7"/>
      <c r="AF872" s="7"/>
      <c r="AG872" s="7"/>
      <c r="AH872" s="7"/>
      <c r="AI872" s="7"/>
    </row>
    <row r="873" spans="1:35" ht="14.5" x14ac:dyDescent="0.35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7"/>
      <c r="AF873" s="7"/>
      <c r="AG873" s="7"/>
      <c r="AH873" s="7"/>
      <c r="AI873" s="7"/>
    </row>
    <row r="874" spans="1:35" ht="14.5" x14ac:dyDescent="0.35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7"/>
      <c r="AF874" s="7"/>
      <c r="AG874" s="7"/>
      <c r="AH874" s="7"/>
      <c r="AI874" s="7"/>
    </row>
    <row r="875" spans="1:35" ht="14.5" x14ac:dyDescent="0.3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7"/>
      <c r="AF875" s="7"/>
      <c r="AG875" s="7"/>
      <c r="AH875" s="7"/>
      <c r="AI875" s="7"/>
    </row>
    <row r="876" spans="1:35" ht="14.5" x14ac:dyDescent="0.35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7"/>
      <c r="AF876" s="7"/>
      <c r="AG876" s="7"/>
      <c r="AH876" s="7"/>
      <c r="AI876" s="7"/>
    </row>
    <row r="877" spans="1:35" ht="14.5" x14ac:dyDescent="0.35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7"/>
      <c r="AF877" s="7"/>
      <c r="AG877" s="7"/>
      <c r="AH877" s="7"/>
      <c r="AI877" s="7"/>
    </row>
    <row r="878" spans="1:35" ht="14.5" x14ac:dyDescent="0.35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7"/>
      <c r="AF878" s="7"/>
      <c r="AG878" s="7"/>
      <c r="AH878" s="7"/>
      <c r="AI878" s="7"/>
    </row>
    <row r="879" spans="1:35" ht="14.5" x14ac:dyDescent="0.35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7"/>
      <c r="AF879" s="7"/>
      <c r="AG879" s="7"/>
      <c r="AH879" s="7"/>
      <c r="AI879" s="7"/>
    </row>
    <row r="880" spans="1:35" ht="14.5" x14ac:dyDescent="0.35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7"/>
      <c r="AF880" s="7"/>
      <c r="AG880" s="7"/>
      <c r="AH880" s="7"/>
      <c r="AI880" s="7"/>
    </row>
    <row r="881" spans="1:35" ht="14.5" x14ac:dyDescent="0.35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7"/>
      <c r="AF881" s="7"/>
      <c r="AG881" s="7"/>
      <c r="AH881" s="7"/>
      <c r="AI881" s="7"/>
    </row>
    <row r="882" spans="1:35" ht="14.5" x14ac:dyDescent="0.35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7"/>
      <c r="AF882" s="7"/>
      <c r="AG882" s="7"/>
      <c r="AH882" s="7"/>
      <c r="AI882" s="7"/>
    </row>
    <row r="883" spans="1:35" ht="14.5" x14ac:dyDescent="0.35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7"/>
      <c r="AF883" s="7"/>
      <c r="AG883" s="7"/>
      <c r="AH883" s="7"/>
      <c r="AI883" s="7"/>
    </row>
    <row r="884" spans="1:35" ht="14.5" x14ac:dyDescent="0.35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7"/>
      <c r="AF884" s="7"/>
      <c r="AG884" s="7"/>
      <c r="AH884" s="7"/>
      <c r="AI884" s="7"/>
    </row>
    <row r="885" spans="1:35" ht="14.5" x14ac:dyDescent="0.3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7"/>
      <c r="AF885" s="7"/>
      <c r="AG885" s="7"/>
      <c r="AH885" s="7"/>
      <c r="AI885" s="7"/>
    </row>
    <row r="886" spans="1:35" ht="14.5" x14ac:dyDescent="0.35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7"/>
      <c r="AF886" s="7"/>
      <c r="AG886" s="7"/>
      <c r="AH886" s="7"/>
      <c r="AI886" s="7"/>
    </row>
    <row r="887" spans="1:35" ht="14.5" x14ac:dyDescent="0.35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7"/>
      <c r="AF887" s="7"/>
      <c r="AG887" s="7"/>
      <c r="AH887" s="7"/>
      <c r="AI887" s="7"/>
    </row>
    <row r="888" spans="1:35" ht="14.5" x14ac:dyDescent="0.35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7"/>
      <c r="AF888" s="7"/>
      <c r="AG888" s="7"/>
      <c r="AH888" s="7"/>
      <c r="AI888" s="7"/>
    </row>
    <row r="889" spans="1:35" ht="14.5" x14ac:dyDescent="0.35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7"/>
      <c r="AF889" s="7"/>
      <c r="AG889" s="7"/>
      <c r="AH889" s="7"/>
      <c r="AI889" s="7"/>
    </row>
    <row r="890" spans="1:35" ht="14.5" x14ac:dyDescent="0.35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7"/>
      <c r="AF890" s="7"/>
      <c r="AG890" s="7"/>
      <c r="AH890" s="7"/>
      <c r="AI890" s="7"/>
    </row>
    <row r="891" spans="1:35" ht="14.5" x14ac:dyDescent="0.35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7"/>
      <c r="AF891" s="7"/>
      <c r="AG891" s="7"/>
      <c r="AH891" s="7"/>
      <c r="AI891" s="7"/>
    </row>
    <row r="892" spans="1:35" ht="14.5" x14ac:dyDescent="0.35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7"/>
      <c r="AF892" s="7"/>
      <c r="AG892" s="7"/>
      <c r="AH892" s="7"/>
      <c r="AI892" s="7"/>
    </row>
    <row r="893" spans="1:35" ht="14.5" x14ac:dyDescent="0.35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7"/>
      <c r="AF893" s="7"/>
      <c r="AG893" s="7"/>
      <c r="AH893" s="7"/>
      <c r="AI893" s="7"/>
    </row>
    <row r="894" spans="1:35" ht="14.5" x14ac:dyDescent="0.35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7"/>
      <c r="AF894" s="7"/>
      <c r="AG894" s="7"/>
      <c r="AH894" s="7"/>
      <c r="AI894" s="7"/>
    </row>
    <row r="895" spans="1:35" ht="14.5" x14ac:dyDescent="0.3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7"/>
      <c r="AF895" s="7"/>
      <c r="AG895" s="7"/>
      <c r="AH895" s="7"/>
      <c r="AI895" s="7"/>
    </row>
    <row r="896" spans="1:35" ht="14.5" x14ac:dyDescent="0.35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7"/>
      <c r="AF896" s="7"/>
      <c r="AG896" s="7"/>
      <c r="AH896" s="7"/>
      <c r="AI896" s="7"/>
    </row>
    <row r="897" spans="1:35" ht="14.5" x14ac:dyDescent="0.35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7"/>
      <c r="AF897" s="7"/>
      <c r="AG897" s="7"/>
      <c r="AH897" s="7"/>
      <c r="AI897" s="7"/>
    </row>
    <row r="898" spans="1:35" ht="14.5" x14ac:dyDescent="0.35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7"/>
      <c r="AF898" s="7"/>
      <c r="AG898" s="7"/>
      <c r="AH898" s="7"/>
      <c r="AI898" s="7"/>
    </row>
    <row r="899" spans="1:35" ht="14.5" x14ac:dyDescent="0.35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7"/>
      <c r="AF899" s="7"/>
      <c r="AG899" s="7"/>
      <c r="AH899" s="7"/>
      <c r="AI899" s="7"/>
    </row>
    <row r="900" spans="1:35" ht="14.5" x14ac:dyDescent="0.35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7"/>
      <c r="AF900" s="7"/>
      <c r="AG900" s="7"/>
      <c r="AH900" s="7"/>
      <c r="AI900" s="7"/>
    </row>
    <row r="901" spans="1:35" ht="14.5" x14ac:dyDescent="0.35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7"/>
      <c r="AF901" s="7"/>
      <c r="AG901" s="7"/>
      <c r="AH901" s="7"/>
      <c r="AI901" s="7"/>
    </row>
    <row r="902" spans="1:35" ht="14.5" x14ac:dyDescent="0.35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7"/>
      <c r="AF902" s="7"/>
      <c r="AG902" s="7"/>
      <c r="AH902" s="7"/>
      <c r="AI902" s="7"/>
    </row>
    <row r="903" spans="1:35" ht="14.5" x14ac:dyDescent="0.35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7"/>
      <c r="AF903" s="7"/>
      <c r="AG903" s="7"/>
      <c r="AH903" s="7"/>
      <c r="AI903" s="7"/>
    </row>
    <row r="904" spans="1:35" ht="14.5" x14ac:dyDescent="0.35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7"/>
      <c r="AF904" s="7"/>
      <c r="AG904" s="7"/>
      <c r="AH904" s="7"/>
      <c r="AI904" s="7"/>
    </row>
    <row r="905" spans="1:35" ht="14.5" x14ac:dyDescent="0.3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7"/>
      <c r="AF905" s="7"/>
      <c r="AG905" s="7"/>
      <c r="AH905" s="7"/>
      <c r="AI905" s="7"/>
    </row>
    <row r="906" spans="1:35" ht="14.5" x14ac:dyDescent="0.35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7"/>
      <c r="AF906" s="7"/>
      <c r="AG906" s="7"/>
      <c r="AH906" s="7"/>
      <c r="AI906" s="7"/>
    </row>
    <row r="907" spans="1:35" ht="14.5" x14ac:dyDescent="0.35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7"/>
      <c r="AF907" s="7"/>
      <c r="AG907" s="7"/>
      <c r="AH907" s="7"/>
      <c r="AI907" s="7"/>
    </row>
    <row r="908" spans="1:35" ht="14.5" x14ac:dyDescent="0.35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7"/>
      <c r="AF908" s="7"/>
      <c r="AG908" s="7"/>
      <c r="AH908" s="7"/>
      <c r="AI908" s="7"/>
    </row>
    <row r="909" spans="1:35" ht="14.5" x14ac:dyDescent="0.35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7"/>
      <c r="AF909" s="7"/>
      <c r="AG909" s="7"/>
      <c r="AH909" s="7"/>
      <c r="AI909" s="7"/>
    </row>
    <row r="910" spans="1:35" ht="14.5" x14ac:dyDescent="0.35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7"/>
      <c r="AF910" s="7"/>
      <c r="AG910" s="7"/>
      <c r="AH910" s="7"/>
      <c r="AI910" s="7"/>
    </row>
    <row r="911" spans="1:35" ht="14.5" x14ac:dyDescent="0.35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7"/>
      <c r="AF911" s="7"/>
      <c r="AG911" s="7"/>
      <c r="AH911" s="7"/>
      <c r="AI911" s="7"/>
    </row>
    <row r="912" spans="1:35" ht="14.5" x14ac:dyDescent="0.35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7"/>
      <c r="AF912" s="7"/>
      <c r="AG912" s="7"/>
      <c r="AH912" s="7"/>
      <c r="AI912" s="7"/>
    </row>
    <row r="913" spans="1:35" ht="14.5" x14ac:dyDescent="0.35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7"/>
      <c r="AF913" s="7"/>
      <c r="AG913" s="7"/>
      <c r="AH913" s="7"/>
      <c r="AI913" s="7"/>
    </row>
    <row r="914" spans="1:35" ht="14.5" x14ac:dyDescent="0.35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7"/>
      <c r="AF914" s="7"/>
      <c r="AG914" s="7"/>
      <c r="AH914" s="7"/>
      <c r="AI914" s="7"/>
    </row>
    <row r="915" spans="1:35" ht="14.5" x14ac:dyDescent="0.3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7"/>
      <c r="AF915" s="7"/>
      <c r="AG915" s="7"/>
      <c r="AH915" s="7"/>
      <c r="AI915" s="7"/>
    </row>
    <row r="916" spans="1:35" ht="14.5" x14ac:dyDescent="0.35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7"/>
      <c r="AF916" s="7"/>
      <c r="AG916" s="7"/>
      <c r="AH916" s="7"/>
      <c r="AI916" s="7"/>
    </row>
    <row r="917" spans="1:35" ht="14.5" x14ac:dyDescent="0.35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7"/>
      <c r="AF917" s="7"/>
      <c r="AG917" s="7"/>
      <c r="AH917" s="7"/>
      <c r="AI917" s="7"/>
    </row>
    <row r="918" spans="1:35" ht="14.5" x14ac:dyDescent="0.35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7"/>
      <c r="AF918" s="7"/>
      <c r="AG918" s="7"/>
      <c r="AH918" s="7"/>
      <c r="AI918" s="7"/>
    </row>
    <row r="919" spans="1:35" ht="14.5" x14ac:dyDescent="0.35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7"/>
      <c r="AF919" s="7"/>
      <c r="AG919" s="7"/>
      <c r="AH919" s="7"/>
      <c r="AI919" s="7"/>
    </row>
    <row r="920" spans="1:35" ht="14.5" x14ac:dyDescent="0.35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7"/>
      <c r="AF920" s="7"/>
      <c r="AG920" s="7"/>
      <c r="AH920" s="7"/>
      <c r="AI920" s="7"/>
    </row>
    <row r="921" spans="1:35" ht="14.5" x14ac:dyDescent="0.35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7"/>
      <c r="AF921" s="7"/>
      <c r="AG921" s="7"/>
      <c r="AH921" s="7"/>
      <c r="AI921" s="7"/>
    </row>
    <row r="922" spans="1:35" ht="14.5" x14ac:dyDescent="0.35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7"/>
      <c r="AF922" s="7"/>
      <c r="AG922" s="7"/>
      <c r="AH922" s="7"/>
      <c r="AI922" s="7"/>
    </row>
    <row r="923" spans="1:35" ht="14.5" x14ac:dyDescent="0.35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7"/>
      <c r="AF923" s="7"/>
      <c r="AG923" s="7"/>
      <c r="AH923" s="7"/>
      <c r="AI923" s="7"/>
    </row>
    <row r="924" spans="1:35" ht="14.5" x14ac:dyDescent="0.35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7"/>
      <c r="AF924" s="7"/>
      <c r="AG924" s="7"/>
      <c r="AH924" s="7"/>
      <c r="AI924" s="7"/>
    </row>
    <row r="925" spans="1:35" ht="14.5" x14ac:dyDescent="0.3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7"/>
      <c r="AF925" s="7"/>
      <c r="AG925" s="7"/>
      <c r="AH925" s="7"/>
      <c r="AI925" s="7"/>
    </row>
    <row r="926" spans="1:35" ht="14.5" x14ac:dyDescent="0.35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7"/>
      <c r="AF926" s="7"/>
      <c r="AG926" s="7"/>
      <c r="AH926" s="7"/>
      <c r="AI926" s="7"/>
    </row>
    <row r="927" spans="1:35" ht="14.5" x14ac:dyDescent="0.35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7"/>
      <c r="AF927" s="7"/>
      <c r="AG927" s="7"/>
      <c r="AH927" s="7"/>
      <c r="AI927" s="7"/>
    </row>
    <row r="928" spans="1:35" ht="14.5" x14ac:dyDescent="0.35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7"/>
      <c r="AF928" s="7"/>
      <c r="AG928" s="7"/>
      <c r="AH928" s="7"/>
      <c r="AI928" s="7"/>
    </row>
    <row r="929" spans="1:35" ht="14.5" x14ac:dyDescent="0.35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7"/>
      <c r="AF929" s="7"/>
      <c r="AG929" s="7"/>
      <c r="AH929" s="7"/>
      <c r="AI929" s="7"/>
    </row>
    <row r="930" spans="1:35" ht="14.5" x14ac:dyDescent="0.35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7"/>
      <c r="AF930" s="7"/>
      <c r="AG930" s="7"/>
      <c r="AH930" s="7"/>
      <c r="AI930" s="7"/>
    </row>
    <row r="931" spans="1:35" ht="14.5" x14ac:dyDescent="0.35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7"/>
      <c r="AF931" s="7"/>
      <c r="AG931" s="7"/>
      <c r="AH931" s="7"/>
      <c r="AI931" s="7"/>
    </row>
    <row r="932" spans="1:35" ht="14.5" x14ac:dyDescent="0.35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7"/>
      <c r="AF932" s="7"/>
      <c r="AG932" s="7"/>
      <c r="AH932" s="7"/>
      <c r="AI932" s="7"/>
    </row>
    <row r="933" spans="1:35" ht="14.5" x14ac:dyDescent="0.35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7"/>
      <c r="AF933" s="7"/>
      <c r="AG933" s="7"/>
      <c r="AH933" s="7"/>
      <c r="AI933" s="7"/>
    </row>
    <row r="934" spans="1:35" ht="14.5" x14ac:dyDescent="0.35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7"/>
      <c r="AF934" s="7"/>
      <c r="AG934" s="7"/>
      <c r="AH934" s="7"/>
      <c r="AI934" s="7"/>
    </row>
    <row r="935" spans="1:35" ht="14.5" x14ac:dyDescent="0.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7"/>
      <c r="AF935" s="7"/>
      <c r="AG935" s="7"/>
      <c r="AH935" s="7"/>
      <c r="AI935" s="7"/>
    </row>
    <row r="936" spans="1:35" ht="14.5" x14ac:dyDescent="0.35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7"/>
      <c r="AF936" s="7"/>
      <c r="AG936" s="7"/>
      <c r="AH936" s="7"/>
      <c r="AI936" s="7"/>
    </row>
    <row r="937" spans="1:35" ht="14.5" x14ac:dyDescent="0.35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7"/>
      <c r="AF937" s="7"/>
      <c r="AG937" s="7"/>
      <c r="AH937" s="7"/>
      <c r="AI937" s="7"/>
    </row>
    <row r="938" spans="1:35" ht="14.5" x14ac:dyDescent="0.35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7"/>
      <c r="AF938" s="7"/>
      <c r="AG938" s="7"/>
      <c r="AH938" s="7"/>
      <c r="AI938" s="7"/>
    </row>
    <row r="939" spans="1:35" ht="14.5" x14ac:dyDescent="0.35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7"/>
      <c r="AF939" s="7"/>
      <c r="AG939" s="7"/>
      <c r="AH939" s="7"/>
      <c r="AI939" s="7"/>
    </row>
    <row r="940" spans="1:35" ht="14.5" x14ac:dyDescent="0.35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7"/>
      <c r="AF940" s="7"/>
      <c r="AG940" s="7"/>
      <c r="AH940" s="7"/>
      <c r="AI940" s="7"/>
    </row>
    <row r="941" spans="1:35" ht="14.5" x14ac:dyDescent="0.35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7"/>
      <c r="AF941" s="7"/>
      <c r="AG941" s="7"/>
      <c r="AH941" s="7"/>
      <c r="AI941" s="7"/>
    </row>
    <row r="942" spans="1:35" ht="14.5" x14ac:dyDescent="0.35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7"/>
      <c r="AF942" s="7"/>
      <c r="AG942" s="7"/>
      <c r="AH942" s="7"/>
      <c r="AI942" s="7"/>
    </row>
    <row r="943" spans="1:35" ht="14.5" x14ac:dyDescent="0.35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7"/>
      <c r="AF943" s="7"/>
      <c r="AG943" s="7"/>
      <c r="AH943" s="7"/>
      <c r="AI943" s="7"/>
    </row>
    <row r="944" spans="1:35" ht="14.5" x14ac:dyDescent="0.35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7"/>
      <c r="AF944" s="7"/>
      <c r="AG944" s="7"/>
      <c r="AH944" s="7"/>
      <c r="AI944" s="7"/>
    </row>
    <row r="945" spans="1:35" ht="14.5" x14ac:dyDescent="0.3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7"/>
      <c r="AF945" s="7"/>
      <c r="AG945" s="7"/>
      <c r="AH945" s="7"/>
      <c r="AI945" s="7"/>
    </row>
    <row r="946" spans="1:35" ht="14.5" x14ac:dyDescent="0.35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7"/>
      <c r="AF946" s="7"/>
      <c r="AG946" s="7"/>
      <c r="AH946" s="7"/>
      <c r="AI946" s="7"/>
    </row>
    <row r="947" spans="1:35" ht="14.5" x14ac:dyDescent="0.35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7"/>
      <c r="AF947" s="7"/>
      <c r="AG947" s="7"/>
      <c r="AH947" s="7"/>
      <c r="AI947" s="7"/>
    </row>
    <row r="948" spans="1:35" ht="14.5" x14ac:dyDescent="0.35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7"/>
      <c r="AF948" s="7"/>
      <c r="AG948" s="7"/>
      <c r="AH948" s="7"/>
      <c r="AI948" s="7"/>
    </row>
    <row r="949" spans="1:35" ht="14.5" x14ac:dyDescent="0.35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7"/>
      <c r="AF949" s="7"/>
      <c r="AG949" s="7"/>
      <c r="AH949" s="7"/>
      <c r="AI949" s="7"/>
    </row>
    <row r="950" spans="1:35" ht="14.5" x14ac:dyDescent="0.35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7"/>
      <c r="AF950" s="7"/>
      <c r="AG950" s="7"/>
      <c r="AH950" s="7"/>
      <c r="AI950" s="7"/>
    </row>
    <row r="951" spans="1:35" ht="14.5" x14ac:dyDescent="0.35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7"/>
      <c r="AF951" s="7"/>
      <c r="AG951" s="7"/>
      <c r="AH951" s="7"/>
      <c r="AI951" s="7"/>
    </row>
    <row r="952" spans="1:35" ht="14.5" x14ac:dyDescent="0.35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7"/>
      <c r="AF952" s="7"/>
      <c r="AG952" s="7"/>
      <c r="AH952" s="7"/>
      <c r="AI952" s="7"/>
    </row>
    <row r="953" spans="1:35" ht="14.5" x14ac:dyDescent="0.35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7"/>
      <c r="AF953" s="7"/>
      <c r="AG953" s="7"/>
      <c r="AH953" s="7"/>
      <c r="AI953" s="7"/>
    </row>
    <row r="954" spans="1:35" ht="14.5" x14ac:dyDescent="0.35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7"/>
      <c r="AF954" s="7"/>
      <c r="AG954" s="7"/>
      <c r="AH954" s="7"/>
      <c r="AI954" s="7"/>
    </row>
    <row r="955" spans="1:35" ht="14.5" x14ac:dyDescent="0.3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7"/>
      <c r="AF955" s="7"/>
      <c r="AG955" s="7"/>
      <c r="AH955" s="7"/>
      <c r="AI955" s="7"/>
    </row>
    <row r="956" spans="1:35" ht="14.5" x14ac:dyDescent="0.35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7"/>
      <c r="AF956" s="7"/>
      <c r="AG956" s="7"/>
      <c r="AH956" s="7"/>
      <c r="AI956" s="7"/>
    </row>
    <row r="957" spans="1:35" ht="14.5" x14ac:dyDescent="0.3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7"/>
      <c r="AF957" s="7"/>
      <c r="AG957" s="7"/>
      <c r="AH957" s="7"/>
      <c r="AI957" s="7"/>
    </row>
    <row r="958" spans="1:35" ht="14.5" x14ac:dyDescent="0.35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7"/>
      <c r="AF958" s="7"/>
      <c r="AG958" s="7"/>
      <c r="AH958" s="7"/>
      <c r="AI958" s="7"/>
    </row>
    <row r="959" spans="1:35" ht="14.5" x14ac:dyDescent="0.35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7"/>
      <c r="AF959" s="7"/>
      <c r="AG959" s="7"/>
      <c r="AH959" s="7"/>
      <c r="AI959" s="7"/>
    </row>
    <row r="960" spans="1:35" ht="14.5" x14ac:dyDescent="0.35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7"/>
      <c r="AF960" s="7"/>
      <c r="AG960" s="7"/>
      <c r="AH960" s="7"/>
      <c r="AI960" s="7"/>
    </row>
    <row r="961" spans="1:35" ht="14.5" x14ac:dyDescent="0.35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7"/>
      <c r="AF961" s="7"/>
      <c r="AG961" s="7"/>
      <c r="AH961" s="7"/>
      <c r="AI961" s="7"/>
    </row>
    <row r="962" spans="1:35" ht="14.5" x14ac:dyDescent="0.35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7"/>
      <c r="AF962" s="7"/>
      <c r="AG962" s="7"/>
      <c r="AH962" s="7"/>
      <c r="AI962" s="7"/>
    </row>
    <row r="963" spans="1:35" ht="14.5" x14ac:dyDescent="0.35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7"/>
      <c r="AF963" s="7"/>
      <c r="AG963" s="7"/>
      <c r="AH963" s="7"/>
      <c r="AI963" s="7"/>
    </row>
    <row r="964" spans="1:35" ht="14.5" x14ac:dyDescent="0.35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7"/>
      <c r="AF964" s="7"/>
      <c r="AG964" s="7"/>
      <c r="AH964" s="7"/>
      <c r="AI964" s="7"/>
    </row>
    <row r="965" spans="1:35" ht="14.5" x14ac:dyDescent="0.3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7"/>
      <c r="AF965" s="7"/>
      <c r="AG965" s="7"/>
      <c r="AH965" s="7"/>
      <c r="AI965" s="7"/>
    </row>
    <row r="966" spans="1:35" ht="14.5" x14ac:dyDescent="0.35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7"/>
      <c r="AF966" s="7"/>
      <c r="AG966" s="7"/>
      <c r="AH966" s="7"/>
      <c r="AI966" s="7"/>
    </row>
    <row r="967" spans="1:35" ht="14.5" x14ac:dyDescent="0.35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7"/>
      <c r="AF967" s="7"/>
      <c r="AG967" s="7"/>
      <c r="AH967" s="7"/>
      <c r="AI967" s="7"/>
    </row>
    <row r="968" spans="1:35" ht="14.5" x14ac:dyDescent="0.35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7"/>
      <c r="AF968" s="7"/>
      <c r="AG968" s="7"/>
      <c r="AH968" s="7"/>
      <c r="AI968" s="7"/>
    </row>
    <row r="969" spans="1:35" ht="14.5" x14ac:dyDescent="0.35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7"/>
      <c r="AF969" s="7"/>
      <c r="AG969" s="7"/>
      <c r="AH969" s="7"/>
      <c r="AI969" s="7"/>
    </row>
    <row r="970" spans="1:35" ht="14.5" x14ac:dyDescent="0.35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7"/>
      <c r="AF970" s="7"/>
      <c r="AG970" s="7"/>
      <c r="AH970" s="7"/>
      <c r="AI970" s="7"/>
    </row>
    <row r="971" spans="1:35" ht="14.5" x14ac:dyDescent="0.35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7"/>
      <c r="AF971" s="7"/>
      <c r="AG971" s="7"/>
      <c r="AH971" s="7"/>
      <c r="AI971" s="7"/>
    </row>
    <row r="972" spans="1:35" ht="14.5" x14ac:dyDescent="0.35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7"/>
      <c r="AF972" s="7"/>
      <c r="AG972" s="7"/>
      <c r="AH972" s="7"/>
      <c r="AI972" s="7"/>
    </row>
    <row r="973" spans="1:35" ht="14.5" x14ac:dyDescent="0.35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7"/>
      <c r="AF973" s="7"/>
      <c r="AG973" s="7"/>
      <c r="AH973" s="7"/>
      <c r="AI973" s="7"/>
    </row>
    <row r="974" spans="1:35" ht="14.5" x14ac:dyDescent="0.35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7"/>
      <c r="AF974" s="7"/>
      <c r="AG974" s="7"/>
      <c r="AH974" s="7"/>
      <c r="AI974" s="7"/>
    </row>
    <row r="975" spans="1:35" ht="14.5" x14ac:dyDescent="0.3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7"/>
      <c r="AF975" s="7"/>
      <c r="AG975" s="7"/>
      <c r="AH975" s="7"/>
      <c r="AI975" s="7"/>
    </row>
    <row r="976" spans="1:35" ht="14.5" x14ac:dyDescent="0.35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7"/>
      <c r="AF976" s="7"/>
      <c r="AG976" s="7"/>
      <c r="AH976" s="7"/>
      <c r="AI976" s="7"/>
    </row>
    <row r="977" spans="1:35" ht="14.5" x14ac:dyDescent="0.35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7"/>
      <c r="AF977" s="7"/>
      <c r="AG977" s="7"/>
      <c r="AH977" s="7"/>
      <c r="AI977" s="7"/>
    </row>
    <row r="978" spans="1:35" ht="14.5" x14ac:dyDescent="0.35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7"/>
      <c r="AF978" s="7"/>
      <c r="AG978" s="7"/>
      <c r="AH978" s="7"/>
      <c r="AI978" s="7"/>
    </row>
    <row r="979" spans="1:35" ht="14.5" x14ac:dyDescent="0.35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7"/>
      <c r="AF979" s="7"/>
      <c r="AG979" s="7"/>
      <c r="AH979" s="7"/>
      <c r="AI979" s="7"/>
    </row>
    <row r="980" spans="1:35" ht="14.5" x14ac:dyDescent="0.35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7"/>
      <c r="AF980" s="7"/>
      <c r="AG980" s="7"/>
      <c r="AH980" s="7"/>
      <c r="AI980" s="7"/>
    </row>
    <row r="981" spans="1:35" ht="14.5" x14ac:dyDescent="0.35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7"/>
      <c r="AF981" s="7"/>
      <c r="AG981" s="7"/>
      <c r="AH981" s="7"/>
      <c r="AI981" s="7"/>
    </row>
    <row r="982" spans="1:35" ht="14.5" x14ac:dyDescent="0.35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7"/>
      <c r="AF982" s="7"/>
      <c r="AG982" s="7"/>
      <c r="AH982" s="7"/>
      <c r="AI982" s="7"/>
    </row>
    <row r="983" spans="1:35" ht="14.5" x14ac:dyDescent="0.35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7"/>
      <c r="AF983" s="7"/>
      <c r="AG983" s="7"/>
      <c r="AH983" s="7"/>
      <c r="AI983" s="7"/>
    </row>
    <row r="984" spans="1:35" ht="14.5" x14ac:dyDescent="0.35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7"/>
      <c r="AF984" s="7"/>
      <c r="AG984" s="7"/>
      <c r="AH984" s="7"/>
      <c r="AI984" s="7"/>
    </row>
    <row r="985" spans="1:35" ht="14.5" x14ac:dyDescent="0.3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7"/>
      <c r="AF985" s="7"/>
      <c r="AG985" s="7"/>
      <c r="AH985" s="7"/>
      <c r="AI985" s="7"/>
    </row>
    <row r="986" spans="1:35" ht="14.5" x14ac:dyDescent="0.3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7"/>
      <c r="AF986" s="7"/>
      <c r="AG986" s="7"/>
      <c r="AH986" s="7"/>
      <c r="AI986" s="7"/>
    </row>
    <row r="987" spans="1:35" ht="14.5" x14ac:dyDescent="0.35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7"/>
      <c r="AF987" s="7"/>
      <c r="AG987" s="7"/>
      <c r="AH987" s="7"/>
      <c r="AI987" s="7"/>
    </row>
    <row r="988" spans="1:35" ht="14.5" x14ac:dyDescent="0.35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7"/>
      <c r="AF988" s="7"/>
      <c r="AG988" s="7"/>
      <c r="AH988" s="7"/>
      <c r="AI988" s="7"/>
    </row>
    <row r="989" spans="1:35" ht="14.5" x14ac:dyDescent="0.35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7"/>
      <c r="AF989" s="7"/>
      <c r="AG989" s="7"/>
      <c r="AH989" s="7"/>
      <c r="AI989" s="7"/>
    </row>
    <row r="990" spans="1:35" ht="14.5" x14ac:dyDescent="0.35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7"/>
      <c r="AF990" s="7"/>
      <c r="AG990" s="7"/>
      <c r="AH990" s="7"/>
      <c r="AI990" s="7"/>
    </row>
    <row r="991" spans="1:35" ht="14.5" x14ac:dyDescent="0.35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7"/>
      <c r="AF991" s="7"/>
      <c r="AG991" s="7"/>
      <c r="AH991" s="7"/>
      <c r="AI991" s="7"/>
    </row>
    <row r="992" spans="1:35" ht="14.5" x14ac:dyDescent="0.35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7"/>
      <c r="AF992" s="7"/>
      <c r="AG992" s="7"/>
      <c r="AH992" s="7"/>
      <c r="AI992" s="7"/>
    </row>
    <row r="993" spans="1:35" ht="14.5" x14ac:dyDescent="0.35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7"/>
      <c r="AF993" s="7"/>
      <c r="AG993" s="7"/>
      <c r="AH993" s="7"/>
      <c r="AI993" s="7"/>
    </row>
    <row r="994" spans="1:35" ht="14.5" x14ac:dyDescent="0.35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7"/>
      <c r="AF994" s="7"/>
      <c r="AG994" s="7"/>
      <c r="AH994" s="7"/>
      <c r="AI994" s="7"/>
    </row>
    <row r="995" spans="1:35" ht="14.5" x14ac:dyDescent="0.3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7"/>
      <c r="AF995" s="7"/>
      <c r="AG995" s="7"/>
      <c r="AH995" s="7"/>
      <c r="AI995" s="7"/>
    </row>
    <row r="996" spans="1:35" ht="14.5" x14ac:dyDescent="0.35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7"/>
      <c r="AF996" s="7"/>
      <c r="AG996" s="7"/>
      <c r="AH996" s="7"/>
      <c r="AI996" s="7"/>
    </row>
    <row r="997" spans="1:35" ht="14.5" x14ac:dyDescent="0.35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7"/>
      <c r="AF997" s="7"/>
      <c r="AG997" s="7"/>
      <c r="AH997" s="7"/>
      <c r="AI997" s="7"/>
    </row>
    <row r="998" spans="1:35" ht="14.5" x14ac:dyDescent="0.35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7"/>
      <c r="AF998" s="7"/>
      <c r="AG998" s="7"/>
      <c r="AH998" s="7"/>
      <c r="AI998" s="7"/>
    </row>
    <row r="999" spans="1:35" ht="14.5" x14ac:dyDescent="0.35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7"/>
      <c r="AF999" s="7"/>
      <c r="AG999" s="7"/>
      <c r="AH999" s="7"/>
      <c r="AI999" s="7"/>
    </row>
    <row r="1000" spans="1:35" ht="14.5" x14ac:dyDescent="0.35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7"/>
      <c r="AF1000" s="7"/>
      <c r="AG1000" s="7"/>
      <c r="AH1000" s="7"/>
      <c r="AI1000" s="7"/>
    </row>
    <row r="1001" spans="1:35" ht="14.5" x14ac:dyDescent="0.35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7"/>
      <c r="AF1001" s="7"/>
      <c r="AG1001" s="7"/>
      <c r="AH1001" s="7"/>
      <c r="AI1001" s="7"/>
    </row>
    <row r="1002" spans="1:35" ht="14.5" x14ac:dyDescent="0.35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7"/>
      <c r="AF1002" s="7"/>
      <c r="AG1002" s="7"/>
      <c r="AH1002" s="7"/>
      <c r="AI1002" s="7"/>
    </row>
    <row r="1003" spans="1:35" ht="14.5" x14ac:dyDescent="0.35">
      <c r="A1003" s="19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  <c r="P1003" s="19"/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  <c r="AB1003" s="19"/>
      <c r="AC1003" s="19"/>
      <c r="AD1003" s="19"/>
      <c r="AE1003" s="7"/>
      <c r="AF1003" s="7"/>
      <c r="AG1003" s="7"/>
      <c r="AH1003" s="7"/>
      <c r="AI1003" s="7"/>
    </row>
    <row r="1004" spans="1:35" ht="14.5" x14ac:dyDescent="0.35">
      <c r="A1004" s="19"/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  <c r="AE1004" s="7"/>
      <c r="AF1004" s="7"/>
      <c r="AG1004" s="7"/>
      <c r="AH1004" s="7"/>
      <c r="AI1004" s="7"/>
    </row>
    <row r="1005" spans="1:35" ht="14.5" x14ac:dyDescent="0.35">
      <c r="A1005" s="19"/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  <c r="AE1005" s="7"/>
      <c r="AF1005" s="7"/>
      <c r="AG1005" s="7"/>
      <c r="AH1005" s="7"/>
      <c r="AI1005" s="7"/>
    </row>
    <row r="1006" spans="1:35" ht="14.5" x14ac:dyDescent="0.35">
      <c r="A1006" s="19"/>
      <c r="B1006" s="19"/>
      <c r="C1006" s="19"/>
      <c r="D1006" s="19"/>
      <c r="E1006" s="19"/>
      <c r="F1006" s="19"/>
      <c r="G1006" s="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  <c r="AE1006" s="7"/>
      <c r="AF1006" s="7"/>
      <c r="AG1006" s="7"/>
      <c r="AH1006" s="7"/>
      <c r="AI1006" s="7"/>
    </row>
    <row r="1007" spans="1:35" ht="14.5" x14ac:dyDescent="0.35">
      <c r="A1007" s="19"/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  <c r="AE1007" s="7"/>
      <c r="AF1007" s="7"/>
      <c r="AG1007" s="7"/>
      <c r="AH1007" s="7"/>
      <c r="AI1007" s="7"/>
    </row>
    <row r="1008" spans="1:35" ht="14.5" x14ac:dyDescent="0.35">
      <c r="A1008" s="19"/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  <c r="AE1008" s="7"/>
      <c r="AF1008" s="7"/>
      <c r="AG1008" s="7"/>
      <c r="AH1008" s="7"/>
      <c r="AI1008" s="7"/>
    </row>
    <row r="1009" spans="1:35" ht="14.5" x14ac:dyDescent="0.35">
      <c r="A1009" s="19"/>
      <c r="B1009" s="19"/>
      <c r="C1009" s="19"/>
      <c r="D1009" s="19"/>
      <c r="E1009" s="19"/>
      <c r="F1009" s="19"/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  <c r="AE1009" s="7"/>
      <c r="AF1009" s="7"/>
      <c r="AG1009" s="7"/>
      <c r="AH1009" s="7"/>
      <c r="AI1009" s="7"/>
    </row>
    <row r="1010" spans="1:35" ht="14.5" x14ac:dyDescent="0.35">
      <c r="A1010" s="19"/>
      <c r="B1010" s="19"/>
      <c r="C1010" s="19"/>
      <c r="D1010" s="19"/>
      <c r="E1010" s="19"/>
      <c r="F1010" s="19"/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  <c r="AE1010" s="7"/>
      <c r="AF1010" s="7"/>
      <c r="AG1010" s="7"/>
      <c r="AH1010" s="7"/>
      <c r="AI1010" s="7"/>
    </row>
    <row r="1011" spans="1:35" ht="14.5" x14ac:dyDescent="0.35">
      <c r="A1011" s="19"/>
      <c r="B1011" s="19"/>
      <c r="C1011" s="19"/>
      <c r="D1011" s="19"/>
      <c r="E1011" s="19"/>
      <c r="F1011" s="19"/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  <c r="AE1011" s="7"/>
      <c r="AF1011" s="7"/>
      <c r="AG1011" s="7"/>
      <c r="AH1011" s="7"/>
      <c r="AI1011" s="7"/>
    </row>
    <row r="1012" spans="1:35" ht="14.5" x14ac:dyDescent="0.35">
      <c r="A1012" s="19"/>
      <c r="B1012" s="19"/>
      <c r="C1012" s="19"/>
      <c r="D1012" s="19"/>
      <c r="E1012" s="19"/>
      <c r="F1012" s="19"/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  <c r="AE1012" s="7"/>
      <c r="AF1012" s="7"/>
      <c r="AG1012" s="7"/>
      <c r="AH1012" s="7"/>
      <c r="AI1012" s="7"/>
    </row>
    <row r="1013" spans="1:35" ht="14.5" x14ac:dyDescent="0.35">
      <c r="A1013" s="19"/>
      <c r="B1013" s="19"/>
      <c r="C1013" s="19"/>
      <c r="D1013" s="19"/>
      <c r="E1013" s="19"/>
      <c r="F1013" s="19"/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  <c r="AE1013" s="7"/>
      <c r="AF1013" s="7"/>
      <c r="AG1013" s="7"/>
      <c r="AH1013" s="7"/>
      <c r="AI1013" s="7"/>
    </row>
    <row r="1014" spans="1:35" ht="14.5" x14ac:dyDescent="0.35">
      <c r="A1014" s="19"/>
      <c r="B1014" s="19"/>
      <c r="C1014" s="19"/>
      <c r="D1014" s="19"/>
      <c r="E1014" s="19"/>
      <c r="F1014" s="19"/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7"/>
      <c r="AF1014" s="7"/>
      <c r="AG1014" s="7"/>
      <c r="AH1014" s="7"/>
      <c r="AI1014" s="7"/>
    </row>
    <row r="1015" spans="1:35" ht="14.5" x14ac:dyDescent="0.35">
      <c r="A1015" s="19"/>
      <c r="B1015" s="19"/>
      <c r="C1015" s="19"/>
      <c r="D1015" s="19"/>
      <c r="E1015" s="19"/>
      <c r="F1015" s="19"/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  <c r="AE1015" s="7"/>
      <c r="AF1015" s="7"/>
      <c r="AG1015" s="7"/>
      <c r="AH1015" s="7"/>
      <c r="AI1015" s="7"/>
    </row>
    <row r="1016" spans="1:35" ht="14.5" x14ac:dyDescent="0.35">
      <c r="A1016" s="19"/>
      <c r="B1016" s="19"/>
      <c r="C1016" s="19"/>
      <c r="D1016" s="19"/>
      <c r="E1016" s="19"/>
      <c r="F1016" s="19"/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  <c r="AE1016" s="7"/>
      <c r="AF1016" s="7"/>
      <c r="AG1016" s="7"/>
      <c r="AH1016" s="7"/>
      <c r="AI1016" s="7"/>
    </row>
    <row r="1017" spans="1:35" ht="14.5" x14ac:dyDescent="0.35">
      <c r="A1017" s="19"/>
      <c r="B1017" s="19"/>
      <c r="C1017" s="19"/>
      <c r="D1017" s="19"/>
      <c r="E1017" s="19"/>
      <c r="F1017" s="19"/>
      <c r="G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  <c r="AE1017" s="7"/>
      <c r="AF1017" s="7"/>
      <c r="AG1017" s="7"/>
      <c r="AH1017" s="7"/>
      <c r="AI1017" s="7"/>
    </row>
  </sheetData>
  <mergeCells count="6">
    <mergeCell ref="W34:W35"/>
    <mergeCell ref="C2:H2"/>
    <mergeCell ref="I2:N2"/>
    <mergeCell ref="C17:H17"/>
    <mergeCell ref="I17:N17"/>
    <mergeCell ref="V34:V35"/>
  </mergeCells>
  <hyperlinks>
    <hyperlink ref="I33" r:id="rId1" location="gid=62411718" xr:uid="{00000000-0004-0000-0900-000000000000}"/>
    <hyperlink ref="E59" r:id="rId2" location="gid=62411718" xr:uid="{00000000-0004-0000-0900-000001000000}"/>
  </hyperlinks>
  <pageMargins left="0.7" right="0.7" top="0.75" bottom="0.75" header="0.3" footer="0.3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T996"/>
  <sheetViews>
    <sheetView workbookViewId="0">
      <pane xSplit="2" topLeftCell="C1" activePane="topRight" state="frozen"/>
      <selection pane="topRight" activeCell="D2" sqref="D2"/>
    </sheetView>
  </sheetViews>
  <sheetFormatPr defaultColWidth="12.6328125" defaultRowHeight="15.75" customHeight="1" x14ac:dyDescent="0.25"/>
  <cols>
    <col min="2" max="2" width="24.6328125" customWidth="1"/>
    <col min="3" max="3" width="18.36328125" customWidth="1"/>
    <col min="6" max="6" width="14.90625" customWidth="1"/>
    <col min="7" max="7" width="15.90625" customWidth="1"/>
    <col min="8" max="8" width="15.453125" customWidth="1"/>
    <col min="9" max="9" width="14.453125" hidden="1" customWidth="1"/>
    <col min="10" max="10" width="13.90625" hidden="1" customWidth="1"/>
    <col min="11" max="11" width="19.6328125" hidden="1" customWidth="1"/>
    <col min="12" max="12" width="15.36328125" hidden="1" customWidth="1"/>
    <col min="13" max="13" width="15.7265625" hidden="1" customWidth="1"/>
    <col min="14" max="14" width="15.90625" hidden="1" customWidth="1"/>
    <col min="18" max="18" width="14.08984375" customWidth="1"/>
    <col min="19" max="19" width="14.26953125" customWidth="1"/>
    <col min="20" max="20" width="14" customWidth="1"/>
    <col min="25" max="25" width="14" customWidth="1"/>
    <col min="26" max="26" width="13.6328125" customWidth="1"/>
    <col min="27" max="27" width="13.36328125" customWidth="1"/>
    <col min="31" max="37" width="17.26953125" customWidth="1"/>
    <col min="39" max="39" width="25.08984375" customWidth="1"/>
    <col min="43" max="43" width="18.36328125" customWidth="1"/>
  </cols>
  <sheetData>
    <row r="1" spans="1:46" ht="15.75" customHeight="1" x14ac:dyDescent="0.25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30"/>
      <c r="AQ1" s="130"/>
      <c r="AR1" s="19"/>
      <c r="AS1" s="19"/>
      <c r="AT1" s="19"/>
    </row>
    <row r="2" spans="1:46" ht="15.75" customHeight="1" x14ac:dyDescent="0.35">
      <c r="A2" s="19"/>
      <c r="B2" s="19"/>
      <c r="C2" s="20" t="s">
        <v>344</v>
      </c>
      <c r="D2" s="131" t="s">
        <v>34</v>
      </c>
      <c r="E2" s="131" t="s">
        <v>35</v>
      </c>
      <c r="F2" s="132" t="s">
        <v>36</v>
      </c>
      <c r="G2" s="132" t="s">
        <v>261</v>
      </c>
      <c r="H2" s="132" t="s">
        <v>348</v>
      </c>
      <c r="I2" s="133" t="s">
        <v>263</v>
      </c>
      <c r="K2" s="20" t="s">
        <v>345</v>
      </c>
      <c r="L2" s="131" t="s">
        <v>34</v>
      </c>
      <c r="M2" s="131" t="s">
        <v>35</v>
      </c>
      <c r="N2" s="132" t="s">
        <v>36</v>
      </c>
      <c r="O2" s="132" t="s">
        <v>261</v>
      </c>
      <c r="P2" s="132" t="s">
        <v>349</v>
      </c>
      <c r="Q2" s="133" t="s">
        <v>263</v>
      </c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30"/>
      <c r="AQ2" s="130"/>
      <c r="AR2" s="19"/>
      <c r="AS2" s="19"/>
      <c r="AT2" s="19"/>
    </row>
    <row r="3" spans="1:46" ht="15.75" customHeight="1" x14ac:dyDescent="0.35">
      <c r="A3" s="19"/>
      <c r="B3" s="19"/>
      <c r="C3" s="38" t="s">
        <v>276</v>
      </c>
      <c r="D3" s="134">
        <f>'2023 Snow BPCA Calibr'!C50</f>
        <v>8.4621113111637364E-2</v>
      </c>
      <c r="E3" s="134">
        <f>'2023 Snow BPCA Calibr'!D50</f>
        <v>8.9240941657648343E-2</v>
      </c>
      <c r="F3" s="135">
        <f>'2023 Snow BPCA Calibr'!E50</f>
        <v>8.6047544354358178E-5</v>
      </c>
      <c r="G3" s="135">
        <f>'2023 Snow BPCA Calibr'!F50</f>
        <v>1.3703653391703924E-3</v>
      </c>
      <c r="H3" s="135">
        <f>'2023 Snow BPCA Calibr'!G50</f>
        <v>3.9841273865082237E-5</v>
      </c>
      <c r="I3" s="136">
        <f>'2023 Snow BPCA Calibr'!H50</f>
        <v>3.0025982607900765E-4</v>
      </c>
      <c r="K3" s="38" t="s">
        <v>276</v>
      </c>
      <c r="L3" s="134" t="e">
        <f>'2023 Snow BPCA Calibr'!C55</f>
        <v>#DIV/0!</v>
      </c>
      <c r="M3" s="134" t="e">
        <f>'2023 Snow BPCA Calibr'!D55</f>
        <v>#DIV/0!</v>
      </c>
      <c r="N3" s="134">
        <f>'2023 Snow BPCA Calibr'!E55</f>
        <v>8.3940219781132149E-5</v>
      </c>
      <c r="O3" s="134">
        <f>'2023 Snow BPCA Calibr'!F55</f>
        <v>2.0790555463844943E-3</v>
      </c>
      <c r="P3" s="134">
        <f>'2023 Snow BPCA Calibr'!G55</f>
        <v>3.9932434685090131E-5</v>
      </c>
      <c r="Q3" s="137">
        <f>'2023 Snow BPCA Calibr'!H55</f>
        <v>3.0659039818687039E-4</v>
      </c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30"/>
      <c r="AQ3" s="130"/>
      <c r="AR3" s="19"/>
      <c r="AS3" s="19"/>
      <c r="AT3" s="19"/>
    </row>
    <row r="4" spans="1:46" ht="15.75" customHeight="1" x14ac:dyDescent="0.35">
      <c r="A4" s="19"/>
      <c r="B4" s="19"/>
      <c r="C4" s="40" t="s">
        <v>277</v>
      </c>
      <c r="D4" s="138">
        <f>'2023 Snow BPCA Calibr'!C51</f>
        <v>23.512253482151877</v>
      </c>
      <c r="E4" s="138">
        <f>'2023 Snow BPCA Calibr'!D51</f>
        <v>12.860647390696386</v>
      </c>
      <c r="F4" s="138">
        <f>'2023 Snow BPCA Calibr'!E51</f>
        <v>7.6051293264128503</v>
      </c>
      <c r="G4" s="138">
        <f>'2023 Snow BPCA Calibr'!F51</f>
        <v>-8.0552699548555609</v>
      </c>
      <c r="H4" s="138">
        <f>'2023 Snow BPCA Calibr'!G51</f>
        <v>0.38998477876602067</v>
      </c>
      <c r="I4" s="139">
        <f>'2023 Snow BPCA Calibr'!H51</f>
        <v>35.42636773436557</v>
      </c>
      <c r="K4" s="40" t="s">
        <v>277</v>
      </c>
      <c r="L4" s="138" t="e">
        <f>'2023 Snow BPCA Calibr'!C56</f>
        <v>#DIV/0!</v>
      </c>
      <c r="M4" s="138" t="e">
        <f>'2023 Snow BPCA Calibr'!D56</f>
        <v>#DIV/0!</v>
      </c>
      <c r="N4" s="138">
        <f>'2023 Snow BPCA Calibr'!E56</f>
        <v>7.701435291633203</v>
      </c>
      <c r="O4" s="138">
        <f>'2023 Snow BPCA Calibr'!F56</f>
        <v>-12.883427826390715</v>
      </c>
      <c r="P4" s="138">
        <f>'2023 Snow BPCA Calibr'!G56</f>
        <v>0.46344805349532692</v>
      </c>
      <c r="Q4" s="139">
        <f>'2023 Snow BPCA Calibr'!H56</f>
        <v>31.429798199262805</v>
      </c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30"/>
      <c r="AQ4" s="130"/>
      <c r="AR4" s="19"/>
      <c r="AS4" s="19"/>
      <c r="AT4" s="19"/>
    </row>
    <row r="5" spans="1:46" ht="15.75" customHeight="1" x14ac:dyDescent="0.25">
      <c r="A5" s="19"/>
      <c r="B5" s="19"/>
      <c r="C5" s="70"/>
      <c r="D5" s="70"/>
      <c r="E5" s="70"/>
      <c r="F5" s="70"/>
      <c r="G5" s="70"/>
      <c r="H5" s="70"/>
      <c r="I5" s="70"/>
      <c r="J5" s="70"/>
      <c r="K5" s="70"/>
      <c r="L5" s="70"/>
      <c r="M5" s="70"/>
      <c r="N5" s="70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70"/>
      <c r="AN5" s="70"/>
      <c r="AO5" s="70"/>
      <c r="AP5" s="140"/>
      <c r="AQ5" s="140"/>
      <c r="AR5" s="70"/>
      <c r="AS5" s="70"/>
      <c r="AT5" s="19"/>
    </row>
    <row r="6" spans="1:46" ht="15.75" customHeight="1" x14ac:dyDescent="0.35">
      <c r="A6" s="19"/>
      <c r="B6" s="199"/>
      <c r="C6" s="234" t="s">
        <v>278</v>
      </c>
      <c r="D6" s="235"/>
      <c r="E6" s="235"/>
      <c r="F6" s="235"/>
      <c r="G6" s="235"/>
      <c r="H6" s="235"/>
      <c r="I6" s="235"/>
      <c r="J6" s="235"/>
      <c r="K6" s="235"/>
      <c r="L6" s="235"/>
      <c r="M6" s="235"/>
      <c r="N6" s="236"/>
      <c r="O6" s="224" t="s">
        <v>279</v>
      </c>
      <c r="P6" s="225"/>
      <c r="Q6" s="225"/>
      <c r="R6" s="225"/>
      <c r="S6" s="225"/>
      <c r="T6" s="225"/>
      <c r="U6" s="226"/>
      <c r="V6" s="237" t="s">
        <v>280</v>
      </c>
      <c r="W6" s="221"/>
      <c r="X6" s="221"/>
      <c r="Y6" s="221"/>
      <c r="Z6" s="221"/>
      <c r="AA6" s="221"/>
      <c r="AB6" s="222"/>
      <c r="AC6" s="224" t="s">
        <v>143</v>
      </c>
      <c r="AD6" s="225"/>
      <c r="AE6" s="225"/>
      <c r="AF6" s="225"/>
      <c r="AG6" s="225"/>
      <c r="AH6" s="225"/>
      <c r="AI6" s="225"/>
      <c r="AJ6" s="225"/>
      <c r="AK6" s="226"/>
      <c r="AL6" s="185"/>
      <c r="AM6" s="186"/>
      <c r="AN6" s="238" t="s">
        <v>350</v>
      </c>
      <c r="AO6" s="235"/>
      <c r="AP6" s="235"/>
      <c r="AQ6" s="235"/>
      <c r="AR6" s="235"/>
      <c r="AS6" s="236"/>
      <c r="AT6" s="130"/>
    </row>
    <row r="7" spans="1:46" ht="15.75" customHeight="1" x14ac:dyDescent="0.35">
      <c r="A7" s="19"/>
      <c r="B7" s="180" t="s">
        <v>0</v>
      </c>
      <c r="C7" s="5" t="s">
        <v>282</v>
      </c>
      <c r="D7" s="5" t="s">
        <v>283</v>
      </c>
      <c r="E7" s="5" t="s">
        <v>284</v>
      </c>
      <c r="F7" s="93" t="s">
        <v>285</v>
      </c>
      <c r="G7" s="93" t="s">
        <v>286</v>
      </c>
      <c r="H7" s="187" t="s">
        <v>287</v>
      </c>
      <c r="I7" s="5" t="s">
        <v>288</v>
      </c>
      <c r="J7" s="5" t="s">
        <v>289</v>
      </c>
      <c r="K7" s="5" t="s">
        <v>290</v>
      </c>
      <c r="L7" s="93" t="s">
        <v>291</v>
      </c>
      <c r="M7" s="93" t="s">
        <v>292</v>
      </c>
      <c r="N7" s="93" t="s">
        <v>293</v>
      </c>
      <c r="O7" s="21" t="s">
        <v>22</v>
      </c>
      <c r="P7" s="5" t="s">
        <v>23</v>
      </c>
      <c r="Q7" s="5" t="s">
        <v>24</v>
      </c>
      <c r="R7" s="131" t="s">
        <v>25</v>
      </c>
      <c r="S7" s="131" t="s">
        <v>26</v>
      </c>
      <c r="T7" s="131" t="s">
        <v>27</v>
      </c>
      <c r="U7" s="23" t="s">
        <v>28</v>
      </c>
      <c r="V7" s="5" t="s">
        <v>22</v>
      </c>
      <c r="W7" s="5" t="s">
        <v>23</v>
      </c>
      <c r="X7" s="5" t="s">
        <v>24</v>
      </c>
      <c r="Y7" s="131" t="s">
        <v>25</v>
      </c>
      <c r="Z7" s="131" t="s">
        <v>26</v>
      </c>
      <c r="AA7" s="131" t="s">
        <v>27</v>
      </c>
      <c r="AB7" s="5" t="s">
        <v>28</v>
      </c>
      <c r="AC7" s="21" t="s">
        <v>22</v>
      </c>
      <c r="AD7" s="5" t="s">
        <v>23</v>
      </c>
      <c r="AE7" s="5" t="s">
        <v>24</v>
      </c>
      <c r="AF7" s="131" t="s">
        <v>25</v>
      </c>
      <c r="AG7" s="131" t="s">
        <v>26</v>
      </c>
      <c r="AH7" s="131" t="s">
        <v>27</v>
      </c>
      <c r="AI7" s="5" t="s">
        <v>28</v>
      </c>
      <c r="AJ7" s="5" t="s">
        <v>41</v>
      </c>
      <c r="AK7" s="23" t="s">
        <v>42</v>
      </c>
      <c r="AL7" s="71"/>
      <c r="AM7" s="99" t="s">
        <v>0</v>
      </c>
      <c r="AN7" s="99" t="s">
        <v>294</v>
      </c>
      <c r="AO7" s="144" t="s">
        <v>295</v>
      </c>
      <c r="AP7" s="93" t="s">
        <v>296</v>
      </c>
      <c r="AQ7" s="145" t="s">
        <v>297</v>
      </c>
      <c r="AR7" s="145" t="s">
        <v>196</v>
      </c>
      <c r="AS7" s="94" t="s">
        <v>192</v>
      </c>
      <c r="AT7" s="19"/>
    </row>
    <row r="8" spans="1:46" ht="15.75" customHeight="1" x14ac:dyDescent="0.35">
      <c r="A8" s="7" t="s">
        <v>351</v>
      </c>
      <c r="B8" s="38" t="s">
        <v>59</v>
      </c>
      <c r="C8" s="75">
        <v>95.9</v>
      </c>
      <c r="D8" s="75">
        <v>1010.6</v>
      </c>
      <c r="E8" s="75">
        <v>44133.93</v>
      </c>
      <c r="F8" s="153"/>
      <c r="G8" s="84">
        <v>278104.74</v>
      </c>
      <c r="H8" s="188">
        <v>5890.75</v>
      </c>
      <c r="I8" s="75">
        <v>1.6020000000000001</v>
      </c>
      <c r="J8" s="84">
        <v>2.6280000000000001</v>
      </c>
      <c r="K8" s="75">
        <v>0.86</v>
      </c>
      <c r="L8" s="75"/>
      <c r="M8" s="75">
        <v>1.675</v>
      </c>
      <c r="N8" s="75">
        <v>2.7719999999999998</v>
      </c>
      <c r="O8" s="147">
        <f t="shared" ref="O8:O19" si="0">C8*$D$3+$D$4</f>
        <v>31.6274182295579</v>
      </c>
      <c r="P8" s="148">
        <f t="shared" ref="P8:P19" si="1">D8*$E$3+$E$4</f>
        <v>103.0475430299158</v>
      </c>
      <c r="Q8" s="148">
        <f t="shared" ref="Q8:Q15" si="2">E8*$F$3+$F$4</f>
        <v>11.402745625619989</v>
      </c>
      <c r="R8" s="148"/>
      <c r="S8" s="148">
        <f t="shared" ref="S8:S15" si="3">(G8*$H$3+$H$4)</f>
        <v>11.470031888283511</v>
      </c>
      <c r="T8" s="148">
        <f>(H8*$I$3+$I$4)</f>
        <v>37.195123304840486</v>
      </c>
      <c r="U8" s="149">
        <f t="shared" ref="U8:U15" si="4">SUM(R8:T8)</f>
        <v>48.665155193123994</v>
      </c>
      <c r="V8" s="148">
        <f t="shared" ref="V8:V19" si="5">O8*AP8/AQ8</f>
        <v>0.34377628510389024</v>
      </c>
      <c r="W8" s="148">
        <f t="shared" ref="W8:W19" si="6">P8*AP8/AQ8</f>
        <v>1.1200819894556067</v>
      </c>
      <c r="X8" s="148">
        <f t="shared" ref="X8:X19" si="7">Q8*AP8/AQ8</f>
        <v>0.1239428872349999</v>
      </c>
      <c r="Y8" s="148"/>
      <c r="Z8" s="148">
        <f t="shared" ref="Z8:Z15" si="8">S8*AP8/AQ8</f>
        <v>0.12467425965525557</v>
      </c>
      <c r="AA8" s="148">
        <f>T8*AP8/AQ8</f>
        <v>0.4042948185308749</v>
      </c>
      <c r="AB8" s="148">
        <f t="shared" ref="AB8:AB15" si="9">U8*AP8/AQ8</f>
        <v>0.52896907818613048</v>
      </c>
      <c r="AC8" s="147">
        <f t="shared" ref="AC8:AC19" si="10">V8*AR8/AS8</f>
        <v>5.8778645953629777E-3</v>
      </c>
      <c r="AD8" s="148">
        <f t="shared" ref="AD8:AD19" si="11">W8*AR8/AS8</f>
        <v>1.9151089109405051E-2</v>
      </c>
      <c r="AE8" s="148">
        <f t="shared" ref="AE8:AE19" si="12">X8*AR8/AS8</f>
        <v>2.1191674361874932E-3</v>
      </c>
      <c r="AF8" s="148"/>
      <c r="AG8" s="148">
        <f t="shared" ref="AG8:AG15" si="13">Z8*AP8/AQ8</f>
        <v>1.3551549962527781E-3</v>
      </c>
      <c r="AH8" s="148">
        <f>AA8*AP8/AQ8</f>
        <v>4.394508897074728E-3</v>
      </c>
      <c r="AI8" s="148">
        <f t="shared" ref="AI8:AI15" si="14">AB8*AP8/AQ8</f>
        <v>5.7496638933275061E-3</v>
      </c>
      <c r="AJ8" s="148">
        <f t="shared" ref="AJ8:AJ19" si="15">AC8+AD8</f>
        <v>2.5028953704768028E-2</v>
      </c>
      <c r="AK8" s="149">
        <f t="shared" ref="AK8:AK19" si="16">AE8+AI8</f>
        <v>7.8688313295149984E-3</v>
      </c>
      <c r="AL8" s="71"/>
      <c r="AM8" s="33" t="s">
        <v>59</v>
      </c>
      <c r="AN8" s="147">
        <f t="shared" ref="AN8:AN19" si="17">AO8/12*1000</f>
        <v>20.833333333333332</v>
      </c>
      <c r="AO8" s="150">
        <f>'2023 Snow PPL'!F2</f>
        <v>0.25</v>
      </c>
      <c r="AP8" s="151">
        <f>'2023 Snow PPL'!W2/1000</f>
        <v>0.1</v>
      </c>
      <c r="AQ8" s="151">
        <f>'2023 Snow PPL'!U2</f>
        <v>9.1999999999999993</v>
      </c>
      <c r="AR8" s="150">
        <f>'2023 Snow PPL'!J2</f>
        <v>9.0704545454545471</v>
      </c>
      <c r="AS8" s="152">
        <f>'2023 Snow PPL'!E2</f>
        <v>530.5</v>
      </c>
      <c r="AT8" s="19"/>
    </row>
    <row r="9" spans="1:46" ht="15.75" customHeight="1" x14ac:dyDescent="0.35">
      <c r="A9" s="7"/>
      <c r="B9" s="38" t="s">
        <v>160</v>
      </c>
      <c r="C9" s="75">
        <v>615.79999999999995</v>
      </c>
      <c r="D9" s="75">
        <v>2076.1</v>
      </c>
      <c r="E9" s="75">
        <v>97867.58</v>
      </c>
      <c r="F9" s="153">
        <v>9492.24</v>
      </c>
      <c r="G9" s="84">
        <v>930690.67</v>
      </c>
      <c r="H9" s="190"/>
      <c r="I9" s="75">
        <v>1.635</v>
      </c>
      <c r="J9" s="84">
        <v>2.4</v>
      </c>
      <c r="K9" s="75">
        <v>0.83399999999999996</v>
      </c>
      <c r="L9" s="77">
        <v>2.4409999999999998</v>
      </c>
      <c r="M9" s="75">
        <v>1.671</v>
      </c>
      <c r="N9" s="75"/>
      <c r="O9" s="147">
        <f t="shared" si="0"/>
        <v>75.62193493629816</v>
      </c>
      <c r="P9" s="148">
        <f t="shared" si="1"/>
        <v>198.13376636614009</v>
      </c>
      <c r="Q9" s="148">
        <f t="shared" si="2"/>
        <v>16.026394257316547</v>
      </c>
      <c r="R9" s="148">
        <f>(F9*$G$3+$G$4)</f>
        <v>4.9525667322312046</v>
      </c>
      <c r="S9" s="148">
        <f t="shared" si="3"/>
        <v>37.469886645912901</v>
      </c>
      <c r="T9" s="148"/>
      <c r="U9" s="149">
        <f t="shared" si="4"/>
        <v>42.422453378144105</v>
      </c>
      <c r="V9" s="148">
        <f t="shared" si="5"/>
        <v>1.5124386987259633</v>
      </c>
      <c r="W9" s="148">
        <f t="shared" si="6"/>
        <v>3.9626753273228017</v>
      </c>
      <c r="X9" s="148">
        <f t="shared" si="7"/>
        <v>0.32052788514633096</v>
      </c>
      <c r="Y9" s="148">
        <f>R9*AP9/AQ9</f>
        <v>9.9051334644624095E-2</v>
      </c>
      <c r="Z9" s="148">
        <f t="shared" si="8"/>
        <v>0.74939773291825806</v>
      </c>
      <c r="AA9" s="148"/>
      <c r="AB9" s="148">
        <f t="shared" si="9"/>
        <v>0.84844906756288219</v>
      </c>
      <c r="AC9" s="147">
        <f t="shared" si="10"/>
        <v>2.7166042141170336E-3</v>
      </c>
      <c r="AD9" s="148">
        <f t="shared" si="11"/>
        <v>7.1176573982475299E-3</v>
      </c>
      <c r="AE9" s="148">
        <f t="shared" si="12"/>
        <v>5.7572409662886637E-4</v>
      </c>
      <c r="AF9" s="148">
        <f>Y9*AP9/AQ9</f>
        <v>1.981026692892482E-3</v>
      </c>
      <c r="AG9" s="148">
        <f t="shared" si="13"/>
        <v>1.4987954658365162E-2</v>
      </c>
      <c r="AH9" s="148"/>
      <c r="AI9" s="148">
        <f t="shared" si="14"/>
        <v>1.6968981351257646E-2</v>
      </c>
      <c r="AJ9" s="148">
        <f t="shared" si="15"/>
        <v>9.834261612364564E-3</v>
      </c>
      <c r="AK9" s="149">
        <f t="shared" si="16"/>
        <v>1.7544705447886513E-2</v>
      </c>
      <c r="AL9" s="71"/>
      <c r="AM9" s="33" t="s">
        <v>160</v>
      </c>
      <c r="AN9" s="147">
        <f t="shared" si="17"/>
        <v>46.933333333333337</v>
      </c>
      <c r="AO9" s="150">
        <f>'2023 Snow PPL'!F3</f>
        <v>0.56320000000000003</v>
      </c>
      <c r="AP9" s="151">
        <f>'2023 Snow PPL'!W3/1000</f>
        <v>0.1</v>
      </c>
      <c r="AQ9" s="151">
        <f>'2023 Snow PPL'!U3</f>
        <v>5</v>
      </c>
      <c r="AR9" s="150">
        <f>'2023 Snow PPL'!J3</f>
        <v>9.0563131313131304</v>
      </c>
      <c r="AS9" s="152">
        <f>'2023 Snow PPL'!E3</f>
        <v>5042</v>
      </c>
      <c r="AT9" s="19"/>
    </row>
    <row r="10" spans="1:46" ht="15.75" customHeight="1" x14ac:dyDescent="0.35">
      <c r="A10" s="7"/>
      <c r="B10" s="39" t="s">
        <v>161</v>
      </c>
      <c r="C10" s="75">
        <v>469.7</v>
      </c>
      <c r="D10" s="75">
        <v>12519.1</v>
      </c>
      <c r="E10" s="75">
        <v>92948</v>
      </c>
      <c r="F10" s="84"/>
      <c r="G10" s="84">
        <v>755770.73</v>
      </c>
      <c r="H10" s="190">
        <v>8112.45</v>
      </c>
      <c r="I10" s="75">
        <v>1.643</v>
      </c>
      <c r="J10" s="84">
        <v>2.5179999999999998</v>
      </c>
      <c r="K10" s="75">
        <v>0.86799999999999999</v>
      </c>
      <c r="L10" s="75"/>
      <c r="M10" s="75">
        <v>1.694</v>
      </c>
      <c r="N10" s="75">
        <v>2.7909999999999999</v>
      </c>
      <c r="O10" s="147">
        <f t="shared" si="0"/>
        <v>63.258790310687942</v>
      </c>
      <c r="P10" s="192">
        <f t="shared" si="1"/>
        <v>1130.0769200969619</v>
      </c>
      <c r="Q10" s="148">
        <f t="shared" si="2"/>
        <v>15.603076479061734</v>
      </c>
      <c r="R10" s="148"/>
      <c r="S10" s="148">
        <f t="shared" si="3"/>
        <v>30.500853411909144</v>
      </c>
      <c r="T10" s="148">
        <f>(H10*$I$3+$I$4)</f>
        <v>37.862210560440218</v>
      </c>
      <c r="U10" s="149">
        <f t="shared" si="4"/>
        <v>68.363063972349366</v>
      </c>
      <c r="V10" s="148">
        <f t="shared" si="5"/>
        <v>1.5428973246509257</v>
      </c>
      <c r="W10" s="192">
        <f t="shared" si="6"/>
        <v>27.562851709682004</v>
      </c>
      <c r="X10" s="148">
        <f t="shared" si="7"/>
        <v>0.3805628409527253</v>
      </c>
      <c r="Y10" s="148"/>
      <c r="Z10" s="148">
        <f t="shared" si="8"/>
        <v>0.74392325394900372</v>
      </c>
      <c r="AA10" s="148">
        <f>T10*AP10/AQ10</f>
        <v>0.92346855025463959</v>
      </c>
      <c r="AB10" s="148">
        <f t="shared" si="9"/>
        <v>1.6673918042036433</v>
      </c>
      <c r="AC10" s="147">
        <f t="shared" si="10"/>
        <v>2.7713132291757392E-3</v>
      </c>
      <c r="AD10" s="192">
        <f t="shared" si="11"/>
        <v>4.9507698507502911E-2</v>
      </c>
      <c r="AE10" s="148">
        <f t="shared" si="12"/>
        <v>6.835573688635455E-4</v>
      </c>
      <c r="AF10" s="148"/>
      <c r="AG10" s="148">
        <f t="shared" si="13"/>
        <v>1.8144469608512289E-2</v>
      </c>
      <c r="AH10" s="148">
        <f>AA10*AP10/AQ10</f>
        <v>2.2523623176942432E-2</v>
      </c>
      <c r="AI10" s="148">
        <f t="shared" si="14"/>
        <v>4.0668092785454718E-2</v>
      </c>
      <c r="AJ10" s="148">
        <f t="shared" si="15"/>
        <v>5.2279011736678649E-2</v>
      </c>
      <c r="AK10" s="149">
        <f t="shared" si="16"/>
        <v>4.1351650154318263E-2</v>
      </c>
      <c r="AL10" s="71"/>
      <c r="AM10" s="29" t="s">
        <v>161</v>
      </c>
      <c r="AN10" s="147">
        <f t="shared" si="17"/>
        <v>46.933333333333337</v>
      </c>
      <c r="AO10" s="150">
        <f>'2023 Snow PPL'!F4</f>
        <v>0.56320000000000003</v>
      </c>
      <c r="AP10" s="151">
        <f>'2023 Snow PPL'!W4/1000</f>
        <v>0.1</v>
      </c>
      <c r="AQ10" s="151">
        <f>'2023 Snow PPL'!U4</f>
        <v>4.0999999999999996</v>
      </c>
      <c r="AR10" s="150">
        <f>'2023 Snow PPL'!J4</f>
        <v>9.0563131313131304</v>
      </c>
      <c r="AS10" s="152">
        <f>'2023 Snow PPL'!E4</f>
        <v>5042</v>
      </c>
      <c r="AT10" s="19"/>
    </row>
    <row r="11" spans="1:46" ht="15.75" customHeight="1" x14ac:dyDescent="0.35">
      <c r="A11" s="7"/>
      <c r="B11" s="39" t="s">
        <v>50</v>
      </c>
      <c r="C11" s="75">
        <v>181.5</v>
      </c>
      <c r="D11" s="75">
        <v>1958.4</v>
      </c>
      <c r="E11" s="75">
        <v>141426.79999999999</v>
      </c>
      <c r="F11" s="84"/>
      <c r="G11" s="84">
        <v>2626524.67</v>
      </c>
      <c r="H11" s="190"/>
      <c r="I11" s="75">
        <v>1.625</v>
      </c>
      <c r="J11" s="84">
        <v>2.5550000000000002</v>
      </c>
      <c r="K11" s="75">
        <v>0.83299999999999996</v>
      </c>
      <c r="L11" s="75"/>
      <c r="M11" s="75">
        <v>1.671</v>
      </c>
      <c r="N11" s="75"/>
      <c r="O11" s="147">
        <f t="shared" si="0"/>
        <v>38.870985511914057</v>
      </c>
      <c r="P11" s="148">
        <f t="shared" si="1"/>
        <v>187.6301075330349</v>
      </c>
      <c r="Q11" s="148">
        <f t="shared" si="2"/>
        <v>19.774558172307792</v>
      </c>
      <c r="R11" s="148"/>
      <c r="S11" s="148">
        <f t="shared" si="3"/>
        <v>105.03407346963077</v>
      </c>
      <c r="T11" s="148"/>
      <c r="U11" s="149">
        <f t="shared" si="4"/>
        <v>105.03407346963077</v>
      </c>
      <c r="V11" s="148">
        <f t="shared" si="5"/>
        <v>0.41796758614961349</v>
      </c>
      <c r="W11" s="148">
        <f t="shared" si="6"/>
        <v>2.0175280379896225</v>
      </c>
      <c r="X11" s="148">
        <f t="shared" si="7"/>
        <v>0.21262965776675044</v>
      </c>
      <c r="Y11" s="148"/>
      <c r="Z11" s="148">
        <f t="shared" si="8"/>
        <v>1.1293986394583955</v>
      </c>
      <c r="AA11" s="148"/>
      <c r="AB11" s="148">
        <f t="shared" si="9"/>
        <v>1.1293986394583955</v>
      </c>
      <c r="AC11" s="147">
        <f t="shared" si="10"/>
        <v>1.4299113017017145E-3</v>
      </c>
      <c r="AD11" s="148">
        <f t="shared" si="11"/>
        <v>6.9021767204425957E-3</v>
      </c>
      <c r="AE11" s="148">
        <f t="shared" si="12"/>
        <v>7.274285394198274E-4</v>
      </c>
      <c r="AF11" s="148"/>
      <c r="AG11" s="148">
        <f t="shared" si="13"/>
        <v>1.2144071392025757E-2</v>
      </c>
      <c r="AH11" s="148"/>
      <c r="AI11" s="148">
        <f t="shared" si="14"/>
        <v>1.2144071392025757E-2</v>
      </c>
      <c r="AJ11" s="148">
        <f t="shared" si="15"/>
        <v>8.3320880221443103E-3</v>
      </c>
      <c r="AK11" s="149">
        <f t="shared" si="16"/>
        <v>1.2871499931445584E-2</v>
      </c>
      <c r="AL11" s="71"/>
      <c r="AM11" s="29" t="s">
        <v>50</v>
      </c>
      <c r="AN11" s="147">
        <f t="shared" si="17"/>
        <v>8.3333333333333339</v>
      </c>
      <c r="AO11" s="150">
        <f>'2023 Snow PPL'!F5</f>
        <v>0.1</v>
      </c>
      <c r="AP11" s="151">
        <f>'2023 Snow PPL'!W5/1000</f>
        <v>0.1</v>
      </c>
      <c r="AQ11" s="151">
        <f>'2023 Snow PPL'!U5</f>
        <v>9.3000000000000007</v>
      </c>
      <c r="AR11" s="150">
        <f>'2023 Snow PPL'!J5</f>
        <v>9.0779040404040394</v>
      </c>
      <c r="AS11" s="152">
        <f>'2023 Snow PPL'!E5</f>
        <v>2653.5</v>
      </c>
      <c r="AT11" s="19"/>
    </row>
    <row r="12" spans="1:46" ht="15.75" customHeight="1" x14ac:dyDescent="0.35">
      <c r="A12" s="7"/>
      <c r="B12" s="39" t="s">
        <v>64</v>
      </c>
      <c r="C12" s="75">
        <v>76</v>
      </c>
      <c r="D12" s="75">
        <v>815.4</v>
      </c>
      <c r="E12" s="77">
        <v>102566.6</v>
      </c>
      <c r="F12" s="153"/>
      <c r="G12" s="153">
        <v>2356375.91</v>
      </c>
      <c r="H12" s="188"/>
      <c r="I12" s="75">
        <v>1.4830000000000001</v>
      </c>
      <c r="J12" s="84">
        <v>2.4470000000000001</v>
      </c>
      <c r="K12" s="77">
        <v>0.85899999999999999</v>
      </c>
      <c r="L12" s="77"/>
      <c r="M12" s="77">
        <v>1.6739999999999999</v>
      </c>
      <c r="N12" s="77"/>
      <c r="O12" s="147">
        <f t="shared" si="0"/>
        <v>29.943458078636318</v>
      </c>
      <c r="P12" s="148">
        <f t="shared" si="1"/>
        <v>85.627711218342839</v>
      </c>
      <c r="Q12" s="148">
        <f t="shared" si="2"/>
        <v>16.430733389188564</v>
      </c>
      <c r="R12" s="148"/>
      <c r="S12" s="148">
        <f t="shared" si="3"/>
        <v>94.271002738158401</v>
      </c>
      <c r="T12" s="148"/>
      <c r="U12" s="149">
        <f t="shared" si="4"/>
        <v>94.271002738158401</v>
      </c>
      <c r="V12" s="148">
        <f t="shared" si="5"/>
        <v>0.32197266751221848</v>
      </c>
      <c r="W12" s="148">
        <f t="shared" si="6"/>
        <v>0.9207280776165897</v>
      </c>
      <c r="X12" s="148">
        <f t="shared" si="7"/>
        <v>0.17667455257192005</v>
      </c>
      <c r="Y12" s="148"/>
      <c r="Z12" s="148">
        <f t="shared" si="8"/>
        <v>1.01366669610923</v>
      </c>
      <c r="AA12" s="148"/>
      <c r="AB12" s="148">
        <f t="shared" si="9"/>
        <v>1.01366669610923</v>
      </c>
      <c r="AC12" s="147">
        <f t="shared" si="10"/>
        <v>1.4013471031849288E-3</v>
      </c>
      <c r="AD12" s="148">
        <f t="shared" si="11"/>
        <v>4.0073576255974354E-3</v>
      </c>
      <c r="AE12" s="148">
        <f t="shared" si="12"/>
        <v>7.6895462700652414E-4</v>
      </c>
      <c r="AF12" s="148"/>
      <c r="AG12" s="148">
        <f t="shared" si="13"/>
        <v>1.0899641893647633E-2</v>
      </c>
      <c r="AH12" s="148"/>
      <c r="AI12" s="148">
        <f t="shared" si="14"/>
        <v>1.0899641893647633E-2</v>
      </c>
      <c r="AJ12" s="148">
        <f t="shared" si="15"/>
        <v>5.4087047287823646E-3</v>
      </c>
      <c r="AK12" s="149">
        <f t="shared" si="16"/>
        <v>1.1668596520654157E-2</v>
      </c>
      <c r="AL12" s="71"/>
      <c r="AM12" s="29" t="s">
        <v>64</v>
      </c>
      <c r="AN12" s="147">
        <f t="shared" si="17"/>
        <v>16.733333333333334</v>
      </c>
      <c r="AO12" s="150">
        <f>'2023 Snow PPL'!F6</f>
        <v>0.20080000000000001</v>
      </c>
      <c r="AP12" s="151">
        <f>'2023 Snow PPL'!W6/1000</f>
        <v>0.1</v>
      </c>
      <c r="AQ12" s="151">
        <f>'2023 Snow PPL'!U6</f>
        <v>9.3000000000000007</v>
      </c>
      <c r="AR12" s="150">
        <f>'2023 Snow PPL'!J6</f>
        <v>9.0681818181818183</v>
      </c>
      <c r="AS12" s="152">
        <f>'2023 Snow PPL'!E6</f>
        <v>2083.5</v>
      </c>
      <c r="AT12" s="19"/>
    </row>
    <row r="13" spans="1:46" ht="15.75" customHeight="1" x14ac:dyDescent="0.35">
      <c r="A13" s="7"/>
      <c r="B13" s="38" t="s">
        <v>67</v>
      </c>
      <c r="C13" s="75">
        <v>284.60000000000002</v>
      </c>
      <c r="D13" s="75">
        <v>1579.6</v>
      </c>
      <c r="E13" s="75"/>
      <c r="F13" s="153"/>
      <c r="G13" s="84">
        <v>328412.83</v>
      </c>
      <c r="H13" s="190">
        <v>162136.16</v>
      </c>
      <c r="I13" s="75">
        <v>1.5669999999999999</v>
      </c>
      <c r="J13" s="84">
        <v>2.609</v>
      </c>
      <c r="K13" s="75"/>
      <c r="L13" s="77"/>
      <c r="M13" s="75">
        <v>1.6879999999999999</v>
      </c>
      <c r="N13" s="75">
        <v>2.7290000000000001</v>
      </c>
      <c r="O13" s="147">
        <f t="shared" si="0"/>
        <v>47.595422273723869</v>
      </c>
      <c r="P13" s="148">
        <f t="shared" si="1"/>
        <v>153.82563883311769</v>
      </c>
      <c r="Q13" s="148">
        <f t="shared" si="2"/>
        <v>7.6051293264128503</v>
      </c>
      <c r="R13" s="148"/>
      <c r="S13" s="148">
        <f t="shared" si="3"/>
        <v>13.474370279602716</v>
      </c>
      <c r="T13" s="148">
        <f>(H13*$I$3+$I$4)</f>
        <v>84.109342937083724</v>
      </c>
      <c r="U13" s="149">
        <f t="shared" si="4"/>
        <v>97.583713216686448</v>
      </c>
      <c r="V13" s="148">
        <f t="shared" si="5"/>
        <v>0.52591626821794335</v>
      </c>
      <c r="W13" s="148">
        <f t="shared" si="6"/>
        <v>1.6997308158355546</v>
      </c>
      <c r="X13" s="148">
        <f t="shared" si="7"/>
        <v>8.4034578192407186E-2</v>
      </c>
      <c r="Y13" s="148"/>
      <c r="Z13" s="148">
        <f t="shared" si="8"/>
        <v>0.1488880693878753</v>
      </c>
      <c r="AA13" s="148">
        <f>T13*AP13/AQ13</f>
        <v>0.92938500482965436</v>
      </c>
      <c r="AB13" s="148">
        <f t="shared" si="9"/>
        <v>1.0782730742175299</v>
      </c>
      <c r="AC13" s="147">
        <f t="shared" si="10"/>
        <v>1.9852546888099987E-3</v>
      </c>
      <c r="AD13" s="148">
        <f t="shared" si="11"/>
        <v>6.4162277833436504E-3</v>
      </c>
      <c r="AE13" s="148">
        <f t="shared" si="12"/>
        <v>3.1721787375763646E-4</v>
      </c>
      <c r="AF13" s="148"/>
      <c r="AG13" s="148">
        <f t="shared" si="13"/>
        <v>1.6451720374350861E-3</v>
      </c>
      <c r="AH13" s="148">
        <f>AA13*AP13/AQ13</f>
        <v>1.0269447567178501E-2</v>
      </c>
      <c r="AI13" s="148">
        <f t="shared" si="14"/>
        <v>1.1914619604613591E-2</v>
      </c>
      <c r="AJ13" s="148">
        <f t="shared" si="15"/>
        <v>8.4014824721536496E-3</v>
      </c>
      <c r="AK13" s="149">
        <f t="shared" si="16"/>
        <v>1.2231837478371229E-2</v>
      </c>
      <c r="AL13" s="71"/>
      <c r="AM13" s="33" t="s">
        <v>67</v>
      </c>
      <c r="AN13" s="147">
        <f t="shared" si="17"/>
        <v>8.3333333333333339</v>
      </c>
      <c r="AO13" s="150">
        <f>'2023 Snow PPL'!F7</f>
        <v>0.1</v>
      </c>
      <c r="AP13" s="151">
        <f>'2023 Snow PPL'!W7/1000</f>
        <v>0.1</v>
      </c>
      <c r="AQ13" s="151">
        <f>'2023 Snow PPL'!U7</f>
        <v>9.0500000000000007</v>
      </c>
      <c r="AR13" s="150">
        <f>'2023 Snow PPL'!J7</f>
        <v>8.9256313131313139</v>
      </c>
      <c r="AS13" s="152">
        <f>'2023 Snow PPL'!E7</f>
        <v>2364.5</v>
      </c>
      <c r="AT13" s="19"/>
    </row>
    <row r="14" spans="1:46" ht="15.75" customHeight="1" x14ac:dyDescent="0.35">
      <c r="A14" s="7"/>
      <c r="B14" s="38" t="s">
        <v>69</v>
      </c>
      <c r="C14" s="75">
        <v>344.2</v>
      </c>
      <c r="D14" s="75">
        <v>5115.7</v>
      </c>
      <c r="E14" s="75">
        <v>104761.26</v>
      </c>
      <c r="F14" s="153"/>
      <c r="G14" s="84">
        <v>2337725.4700000002</v>
      </c>
      <c r="H14" s="190"/>
      <c r="I14" s="75">
        <v>1.6439999999999999</v>
      </c>
      <c r="J14" s="84">
        <v>2.5870000000000002</v>
      </c>
      <c r="K14" s="75">
        <v>0.86599999999999999</v>
      </c>
      <c r="L14" s="77"/>
      <c r="M14" s="75">
        <v>1.67</v>
      </c>
      <c r="N14" s="75"/>
      <c r="O14" s="147">
        <f t="shared" si="0"/>
        <v>52.638840615177457</v>
      </c>
      <c r="P14" s="148">
        <f t="shared" si="1"/>
        <v>469.39053262872801</v>
      </c>
      <c r="Q14" s="148">
        <f t="shared" si="2"/>
        <v>16.619578492881299</v>
      </c>
      <c r="R14" s="148"/>
      <c r="S14" s="148">
        <f t="shared" si="3"/>
        <v>93.527945450414123</v>
      </c>
      <c r="T14" s="148"/>
      <c r="U14" s="149">
        <f t="shared" si="4"/>
        <v>93.527945450414123</v>
      </c>
      <c r="V14" s="148">
        <f t="shared" si="5"/>
        <v>0.53988554477105088</v>
      </c>
      <c r="W14" s="148">
        <f t="shared" si="6"/>
        <v>4.814261873115159</v>
      </c>
      <c r="X14" s="148">
        <f t="shared" si="7"/>
        <v>0.17045721531160307</v>
      </c>
      <c r="Y14" s="148"/>
      <c r="Z14" s="148">
        <f t="shared" si="8"/>
        <v>0.9592609789786064</v>
      </c>
      <c r="AA14" s="148"/>
      <c r="AB14" s="148">
        <f t="shared" si="9"/>
        <v>0.9592609789786064</v>
      </c>
      <c r="AC14" s="147">
        <f t="shared" si="10"/>
        <v>2.219164811713433E-3</v>
      </c>
      <c r="AD14" s="148">
        <f t="shared" si="11"/>
        <v>1.9788713824003882E-2</v>
      </c>
      <c r="AE14" s="148">
        <f t="shared" si="12"/>
        <v>7.0065342142580189E-4</v>
      </c>
      <c r="AF14" s="148"/>
      <c r="AG14" s="148">
        <f t="shared" si="13"/>
        <v>9.8385741433703235E-3</v>
      </c>
      <c r="AH14" s="148"/>
      <c r="AI14" s="148">
        <f t="shared" si="14"/>
        <v>9.8385741433703235E-3</v>
      </c>
      <c r="AJ14" s="148">
        <f t="shared" si="15"/>
        <v>2.2007878635717314E-2</v>
      </c>
      <c r="AK14" s="149">
        <f t="shared" si="16"/>
        <v>1.0539227564796125E-2</v>
      </c>
      <c r="AL14" s="71"/>
      <c r="AM14" s="33" t="s">
        <v>69</v>
      </c>
      <c r="AN14" s="147">
        <f t="shared" si="17"/>
        <v>8.3333333333333339</v>
      </c>
      <c r="AO14" s="150">
        <f>'2023 Snow PPL'!F8</f>
        <v>0.1</v>
      </c>
      <c r="AP14" s="151">
        <f>'2023 Snow PPL'!W8/1000</f>
        <v>0.1</v>
      </c>
      <c r="AQ14" s="151">
        <f>'2023 Snow PPL'!U8</f>
        <v>9.75</v>
      </c>
      <c r="AR14" s="150">
        <f>'2023 Snow PPL'!J8</f>
        <v>9.5896464646464654</v>
      </c>
      <c r="AS14" s="152">
        <f>'2023 Snow PPL'!E8</f>
        <v>2333</v>
      </c>
      <c r="AT14" s="19"/>
    </row>
    <row r="15" spans="1:46" ht="15.75" customHeight="1" x14ac:dyDescent="0.35">
      <c r="A15" s="7"/>
      <c r="B15" s="38" t="s">
        <v>70</v>
      </c>
      <c r="C15" s="75">
        <v>538.4</v>
      </c>
      <c r="D15" s="75">
        <v>7644.3</v>
      </c>
      <c r="E15" s="75">
        <v>130335.27</v>
      </c>
      <c r="F15" s="153"/>
      <c r="G15" s="84">
        <v>1532489.84</v>
      </c>
      <c r="H15" s="190"/>
      <c r="I15" s="75">
        <v>1.635</v>
      </c>
      <c r="J15" s="84">
        <v>2.5619999999999998</v>
      </c>
      <c r="K15" s="75">
        <v>0.83599999999999997</v>
      </c>
      <c r="L15" s="77"/>
      <c r="M15" s="75">
        <v>1.6739999999999999</v>
      </c>
      <c r="N15" s="75"/>
      <c r="O15" s="147">
        <f t="shared" si="0"/>
        <v>69.07226078145743</v>
      </c>
      <c r="P15" s="192">
        <f t="shared" si="1"/>
        <v>695.04517770425764</v>
      </c>
      <c r="Q15" s="148">
        <f t="shared" si="2"/>
        <v>18.820159252675097</v>
      </c>
      <c r="R15" s="148"/>
      <c r="S15" s="148">
        <f t="shared" si="3"/>
        <v>61.44633218966208</v>
      </c>
      <c r="T15" s="148"/>
      <c r="U15" s="149">
        <f t="shared" si="4"/>
        <v>61.44633218966208</v>
      </c>
      <c r="V15" s="148">
        <f t="shared" si="5"/>
        <v>0.73481128490912162</v>
      </c>
      <c r="W15" s="192">
        <f t="shared" si="6"/>
        <v>7.3940976351516765</v>
      </c>
      <c r="X15" s="148">
        <f t="shared" si="7"/>
        <v>0.20021446013484145</v>
      </c>
      <c r="Y15" s="148"/>
      <c r="Z15" s="148">
        <f t="shared" si="8"/>
        <v>0.65368438499640513</v>
      </c>
      <c r="AA15" s="148"/>
      <c r="AB15" s="148">
        <f t="shared" si="9"/>
        <v>0.65368438499640513</v>
      </c>
      <c r="AC15" s="147">
        <f t="shared" si="10"/>
        <v>1.5895586331373614E-3</v>
      </c>
      <c r="AD15" s="192">
        <f t="shared" si="11"/>
        <v>1.5995061550625887E-2</v>
      </c>
      <c r="AE15" s="148">
        <f t="shared" si="12"/>
        <v>4.3310796951850499E-4</v>
      </c>
      <c r="AF15" s="148"/>
      <c r="AG15" s="148">
        <f t="shared" si="13"/>
        <v>6.9540892020894156E-3</v>
      </c>
      <c r="AH15" s="148"/>
      <c r="AI15" s="148">
        <f t="shared" si="14"/>
        <v>6.9540892020894156E-3</v>
      </c>
      <c r="AJ15" s="148">
        <f t="shared" si="15"/>
        <v>1.7584620183763246E-2</v>
      </c>
      <c r="AK15" s="149">
        <f t="shared" si="16"/>
        <v>7.3871971716079204E-3</v>
      </c>
      <c r="AL15" s="71"/>
      <c r="AM15" s="33" t="s">
        <v>70</v>
      </c>
      <c r="AN15" s="147">
        <f t="shared" si="17"/>
        <v>22.683333333333334</v>
      </c>
      <c r="AO15" s="150">
        <f>'2023 Snow PPL'!F9</f>
        <v>0.2722</v>
      </c>
      <c r="AP15" s="151">
        <f>'2023 Snow PPL'!W9/1000</f>
        <v>0.1</v>
      </c>
      <c r="AQ15" s="151">
        <f>'2023 Snow PPL'!U9</f>
        <v>9.4</v>
      </c>
      <c r="AR15" s="150">
        <f>'2023 Snow PPL'!J9</f>
        <v>9.2834595959595969</v>
      </c>
      <c r="AS15" s="152">
        <f>'2023 Snow PPL'!E9</f>
        <v>4291.5</v>
      </c>
      <c r="AT15" s="19"/>
    </row>
    <row r="16" spans="1:46" ht="15.75" customHeight="1" x14ac:dyDescent="0.35">
      <c r="A16" s="7" t="s">
        <v>352</v>
      </c>
      <c r="B16" s="38" t="s">
        <v>71</v>
      </c>
      <c r="C16" s="75">
        <v>493.4</v>
      </c>
      <c r="D16" s="75">
        <v>5769.1</v>
      </c>
      <c r="E16" s="75">
        <v>119472.59</v>
      </c>
      <c r="F16" s="153"/>
      <c r="G16" s="84">
        <v>22453.85</v>
      </c>
      <c r="H16" s="190"/>
      <c r="I16" s="75">
        <v>1.637</v>
      </c>
      <c r="J16" s="84">
        <v>2.573</v>
      </c>
      <c r="K16" s="75">
        <v>0.84899999999999998</v>
      </c>
      <c r="L16" s="77"/>
      <c r="M16" s="75">
        <v>1.6859999999999999</v>
      </c>
      <c r="N16" s="75"/>
      <c r="O16" s="147">
        <f t="shared" si="0"/>
        <v>65.264310691433749</v>
      </c>
      <c r="P16" s="192">
        <f t="shared" si="1"/>
        <v>527.70056390783543</v>
      </c>
      <c r="Q16" s="148">
        <f t="shared" ref="Q16:Q19" si="18">E16*$N$3+$N$4</f>
        <v>17.729990754054292</v>
      </c>
      <c r="R16" s="148"/>
      <c r="S16" s="148"/>
      <c r="T16" s="148"/>
      <c r="U16" s="149"/>
      <c r="V16" s="148">
        <f t="shared" si="5"/>
        <v>0.70176678162831985</v>
      </c>
      <c r="W16" s="192">
        <f t="shared" si="6"/>
        <v>5.6741996119122087</v>
      </c>
      <c r="X16" s="148">
        <f t="shared" si="7"/>
        <v>0.1906450618715515</v>
      </c>
      <c r="Y16" s="148"/>
      <c r="Z16" s="148"/>
      <c r="AA16" s="148"/>
      <c r="AB16" s="148"/>
      <c r="AC16" s="147">
        <f t="shared" si="10"/>
        <v>1.7708742607162099E-3</v>
      </c>
      <c r="AD16" s="192">
        <f t="shared" si="11"/>
        <v>1.4318566090555087E-2</v>
      </c>
      <c r="AE16" s="148">
        <f t="shared" si="12"/>
        <v>4.810835192535361E-4</v>
      </c>
      <c r="AF16" s="148"/>
      <c r="AG16" s="148"/>
      <c r="AH16" s="148"/>
      <c r="AI16" s="148"/>
      <c r="AJ16" s="148">
        <f t="shared" si="15"/>
        <v>1.6089440351271297E-2</v>
      </c>
      <c r="AK16" s="149">
        <f t="shared" si="16"/>
        <v>4.810835192535361E-4</v>
      </c>
      <c r="AL16" s="71"/>
      <c r="AM16" s="33" t="s">
        <v>71</v>
      </c>
      <c r="AN16" s="147">
        <f t="shared" si="17"/>
        <v>8.3333333333333339</v>
      </c>
      <c r="AO16" s="150">
        <f>'2023 Snow PPL'!F10</f>
        <v>0.1</v>
      </c>
      <c r="AP16" s="151">
        <f>'2023 Snow PPL'!W10/1000</f>
        <v>0.1</v>
      </c>
      <c r="AQ16" s="151">
        <f>'2023 Snow PPL'!U10</f>
        <v>9.3000000000000007</v>
      </c>
      <c r="AR16" s="150">
        <f>'2023 Snow PPL'!J10</f>
        <v>9.1979797979797961</v>
      </c>
      <c r="AS16" s="152">
        <f>'2023 Snow PPL'!E10</f>
        <v>3645</v>
      </c>
      <c r="AT16" s="19"/>
    </row>
    <row r="17" spans="1:46" ht="15.75" customHeight="1" x14ac:dyDescent="0.35">
      <c r="A17" s="7"/>
      <c r="B17" s="38" t="s">
        <v>57</v>
      </c>
      <c r="C17" s="75">
        <v>796</v>
      </c>
      <c r="D17" s="75">
        <v>8141.7</v>
      </c>
      <c r="E17" s="75">
        <v>513206.42</v>
      </c>
      <c r="F17" s="153"/>
      <c r="G17" s="84">
        <v>13522267.210000001</v>
      </c>
      <c r="H17" s="190"/>
      <c r="I17" s="75">
        <v>1.6240000000000001</v>
      </c>
      <c r="J17" s="84">
        <v>2.5539999999999998</v>
      </c>
      <c r="K17" s="75">
        <v>0.84599999999999997</v>
      </c>
      <c r="L17" s="77"/>
      <c r="M17" s="75">
        <v>1.66</v>
      </c>
      <c r="N17" s="75"/>
      <c r="O17" s="147">
        <f t="shared" si="0"/>
        <v>90.87065951901522</v>
      </c>
      <c r="P17" s="192">
        <f t="shared" si="1"/>
        <v>739.43362208477186</v>
      </c>
      <c r="Q17" s="148">
        <f t="shared" si="18"/>
        <v>50.780094979521216</v>
      </c>
      <c r="R17" s="148"/>
      <c r="S17" s="148">
        <f t="shared" ref="S17:S19" si="19">(G17*$P$3+$P$4)</f>
        <v>540.44050021115629</v>
      </c>
      <c r="T17" s="148"/>
      <c r="U17" s="149">
        <f t="shared" ref="U17:U19" si="20">SUM(R17:T17)</f>
        <v>540.44050021115629</v>
      </c>
      <c r="V17" s="148">
        <f t="shared" si="5"/>
        <v>0.9823855083136781</v>
      </c>
      <c r="W17" s="192">
        <f t="shared" si="6"/>
        <v>7.9938769955110471</v>
      </c>
      <c r="X17" s="148">
        <f t="shared" si="7"/>
        <v>0.54897399977860784</v>
      </c>
      <c r="Y17" s="148"/>
      <c r="Z17" s="148">
        <f t="shared" ref="Z17:Z19" si="21">S17*AP17/AQ17</f>
        <v>5.8426000022827704</v>
      </c>
      <c r="AA17" s="148"/>
      <c r="AB17" s="148">
        <f t="shared" ref="AB17:AB19" si="22">U17*AP17/AQ17</f>
        <v>5.8426000022827704</v>
      </c>
      <c r="AC17" s="147">
        <f t="shared" si="10"/>
        <v>2.181440463876176E-3</v>
      </c>
      <c r="AD17" s="192">
        <f t="shared" si="11"/>
        <v>1.7750838742715512E-2</v>
      </c>
      <c r="AE17" s="148">
        <f t="shared" si="12"/>
        <v>1.2190266311935701E-3</v>
      </c>
      <c r="AF17" s="148"/>
      <c r="AG17" s="148">
        <f t="shared" ref="AG17:AG19" si="23">Z17*AP17/AQ17</f>
        <v>6.3163243267921845E-2</v>
      </c>
      <c r="AH17" s="148"/>
      <c r="AI17" s="148">
        <f t="shared" ref="AI17:AI19" si="24">AB17*AP17/AQ17</f>
        <v>6.3163243267921845E-2</v>
      </c>
      <c r="AJ17" s="148">
        <f t="shared" si="15"/>
        <v>1.9932279206591689E-2</v>
      </c>
      <c r="AK17" s="149">
        <f t="shared" si="16"/>
        <v>6.4382269899115413E-2</v>
      </c>
      <c r="AL17" s="71"/>
      <c r="AM17" s="33" t="s">
        <v>57</v>
      </c>
      <c r="AN17" s="147">
        <f t="shared" si="17"/>
        <v>26.75</v>
      </c>
      <c r="AO17" s="150">
        <f>'2023 Snow PPL'!F11</f>
        <v>0.32100000000000001</v>
      </c>
      <c r="AP17" s="151">
        <f>'2023 Snow PPL'!W11/1000</f>
        <v>0.1</v>
      </c>
      <c r="AQ17" s="151">
        <f>'2023 Snow PPL'!U11</f>
        <v>9.25</v>
      </c>
      <c r="AR17" s="150">
        <f>'2023 Snow PPL'!J11</f>
        <v>9.1786616161616141</v>
      </c>
      <c r="AS17" s="152">
        <f>'2023 Snow PPL'!E11</f>
        <v>4133.5</v>
      </c>
      <c r="AT17" s="19"/>
    </row>
    <row r="18" spans="1:46" ht="15.75" customHeight="1" x14ac:dyDescent="0.35">
      <c r="A18" s="7"/>
      <c r="B18" s="38" t="s">
        <v>78</v>
      </c>
      <c r="C18" s="75">
        <v>178.3</v>
      </c>
      <c r="D18" s="75">
        <v>1170.2</v>
      </c>
      <c r="E18" s="75">
        <v>66676.899999999994</v>
      </c>
      <c r="F18" s="153"/>
      <c r="G18" s="84">
        <v>466087.75</v>
      </c>
      <c r="H18" s="190">
        <v>7704.17</v>
      </c>
      <c r="I18" s="75">
        <v>1.6220000000000001</v>
      </c>
      <c r="J18" s="84">
        <v>2.6019999999999999</v>
      </c>
      <c r="K18" s="75">
        <v>0.85</v>
      </c>
      <c r="L18" s="77"/>
      <c r="M18" s="75">
        <v>1.6870000000000001</v>
      </c>
      <c r="N18" s="75">
        <v>2.7959999999999998</v>
      </c>
      <c r="O18" s="147">
        <f t="shared" si="0"/>
        <v>38.600197949956822</v>
      </c>
      <c r="P18" s="148">
        <f t="shared" si="1"/>
        <v>117.29039731847648</v>
      </c>
      <c r="Q18" s="148">
        <f t="shared" si="18"/>
        <v>13.298308931957774</v>
      </c>
      <c r="R18" s="148"/>
      <c r="S18" s="148">
        <f t="shared" si="19"/>
        <v>19.075466687890945</v>
      </c>
      <c r="T18" s="148">
        <f t="shared" ref="T18:T19" si="25">(H18*$Q$3+$Q$4)</f>
        <v>33.791822747262145</v>
      </c>
      <c r="U18" s="149">
        <f t="shared" si="20"/>
        <v>52.86728943515309</v>
      </c>
      <c r="V18" s="148">
        <f t="shared" si="5"/>
        <v>0.42652152430891516</v>
      </c>
      <c r="W18" s="148">
        <f t="shared" si="6"/>
        <v>1.2960264897069225</v>
      </c>
      <c r="X18" s="148">
        <f t="shared" si="7"/>
        <v>0.1469426401321301</v>
      </c>
      <c r="Y18" s="148"/>
      <c r="Z18" s="148">
        <f t="shared" si="21"/>
        <v>0.21077863743525904</v>
      </c>
      <c r="AA18" s="148">
        <f t="shared" ref="AA18:AA19" si="26">T18*AP18/AQ18</f>
        <v>0.37339030659958172</v>
      </c>
      <c r="AB18" s="148">
        <f t="shared" si="22"/>
        <v>0.58416894403484076</v>
      </c>
      <c r="AC18" s="147">
        <f t="shared" si="10"/>
        <v>2.1675707916648142E-3</v>
      </c>
      <c r="AD18" s="148">
        <f t="shared" si="11"/>
        <v>6.5863713885585149E-3</v>
      </c>
      <c r="AE18" s="148">
        <f t="shared" si="12"/>
        <v>7.4675850255527575E-4</v>
      </c>
      <c r="AF18" s="148"/>
      <c r="AG18" s="148">
        <f t="shared" si="23"/>
        <v>2.3290457175166746E-3</v>
      </c>
      <c r="AH18" s="148">
        <f t="shared" ref="AH18:AH19" si="27">AA18*AP18/AQ18</f>
        <v>4.1258597414318421E-3</v>
      </c>
      <c r="AI18" s="148">
        <f t="shared" si="24"/>
        <v>6.4549054589485158E-3</v>
      </c>
      <c r="AJ18" s="148">
        <f t="shared" si="15"/>
        <v>8.75394218022333E-3</v>
      </c>
      <c r="AK18" s="149">
        <f t="shared" si="16"/>
        <v>7.201663961503792E-3</v>
      </c>
      <c r="AL18" s="71"/>
      <c r="AM18" s="33" t="s">
        <v>78</v>
      </c>
      <c r="AN18" s="147">
        <f t="shared" si="17"/>
        <v>23.858333333333331</v>
      </c>
      <c r="AO18" s="150">
        <f>'2023 Snow PPL'!F12</f>
        <v>0.2863</v>
      </c>
      <c r="AP18" s="151">
        <f>'2023 Snow PPL'!W12/1000</f>
        <v>0.1</v>
      </c>
      <c r="AQ18" s="151">
        <f>'2023 Snow PPL'!U12</f>
        <v>9.0500000000000007</v>
      </c>
      <c r="AR18" s="150">
        <f>'2023 Snow PPL'!J12</f>
        <v>9.0128787878787868</v>
      </c>
      <c r="AS18" s="152">
        <f>'2023 Snow PPL'!E12</f>
        <v>1773.5</v>
      </c>
      <c r="AT18" s="19"/>
    </row>
    <row r="19" spans="1:46" ht="15.75" customHeight="1" x14ac:dyDescent="0.35">
      <c r="A19" s="7"/>
      <c r="B19" s="40" t="s">
        <v>82</v>
      </c>
      <c r="C19" s="87">
        <v>755</v>
      </c>
      <c r="D19" s="87">
        <v>9251.1</v>
      </c>
      <c r="E19" s="87">
        <v>120063.26</v>
      </c>
      <c r="F19" s="200"/>
      <c r="G19" s="90">
        <v>766660.16</v>
      </c>
      <c r="H19" s="193">
        <v>11785.52</v>
      </c>
      <c r="I19" s="87">
        <v>1.637</v>
      </c>
      <c r="J19" s="90">
        <v>2.5590000000000002</v>
      </c>
      <c r="K19" s="87">
        <v>0.84399999999999997</v>
      </c>
      <c r="L19" s="88"/>
      <c r="M19" s="87">
        <v>1.6919999999999999</v>
      </c>
      <c r="N19" s="87">
        <v>2.778</v>
      </c>
      <c r="O19" s="160">
        <f t="shared" si="0"/>
        <v>87.40119388143809</v>
      </c>
      <c r="P19" s="201">
        <f t="shared" si="1"/>
        <v>838.43752275976703</v>
      </c>
      <c r="Q19" s="161">
        <f t="shared" si="18"/>
        <v>17.779571723672415</v>
      </c>
      <c r="R19" s="161"/>
      <c r="S19" s="161">
        <f t="shared" si="19"/>
        <v>31.07805481835608</v>
      </c>
      <c r="T19" s="161">
        <f t="shared" si="25"/>
        <v>35.043125468902133</v>
      </c>
      <c r="U19" s="162">
        <f t="shared" si="20"/>
        <v>66.121180287258213</v>
      </c>
      <c r="V19" s="161">
        <f t="shared" si="5"/>
        <v>0.96575904841368043</v>
      </c>
      <c r="W19" s="201">
        <f t="shared" si="6"/>
        <v>9.2645030139200788</v>
      </c>
      <c r="X19" s="161">
        <f t="shared" si="7"/>
        <v>0.19645935606267861</v>
      </c>
      <c r="Y19" s="161"/>
      <c r="Z19" s="161">
        <f t="shared" si="21"/>
        <v>0.34340392064481856</v>
      </c>
      <c r="AA19" s="161">
        <f t="shared" si="26"/>
        <v>0.3872168560099683</v>
      </c>
      <c r="AB19" s="161">
        <f t="shared" si="22"/>
        <v>0.73062077665478686</v>
      </c>
      <c r="AC19" s="160">
        <f t="shared" si="10"/>
        <v>2.1703138761337802E-3</v>
      </c>
      <c r="AD19" s="201">
        <f t="shared" si="11"/>
        <v>2.0819768118787791E-2</v>
      </c>
      <c r="AE19" s="161">
        <f t="shared" si="12"/>
        <v>4.4149569942885015E-4</v>
      </c>
      <c r="AF19" s="161"/>
      <c r="AG19" s="161">
        <f t="shared" si="23"/>
        <v>3.7945184601637406E-3</v>
      </c>
      <c r="AH19" s="161">
        <f t="shared" si="27"/>
        <v>4.2786392929278268E-3</v>
      </c>
      <c r="AI19" s="161">
        <f t="shared" si="24"/>
        <v>8.0731577530915675E-3</v>
      </c>
      <c r="AJ19" s="161">
        <f t="shared" si="15"/>
        <v>2.2990081994921571E-2</v>
      </c>
      <c r="AK19" s="162">
        <f t="shared" si="16"/>
        <v>8.5146534525204175E-3</v>
      </c>
      <c r="AL19" s="71"/>
      <c r="AM19" s="34" t="s">
        <v>82</v>
      </c>
      <c r="AN19" s="160">
        <f t="shared" si="17"/>
        <v>19.149999999999999</v>
      </c>
      <c r="AO19" s="165">
        <f>'2023 Snow PPL'!F13</f>
        <v>0.2298</v>
      </c>
      <c r="AP19" s="194">
        <f>'2023 Snow PPL'!W13/1000</f>
        <v>0.1</v>
      </c>
      <c r="AQ19" s="194">
        <f>'2023 Snow PPL'!U13</f>
        <v>9.0500000000000007</v>
      </c>
      <c r="AR19" s="165">
        <f>'2023 Snow PPL'!J13</f>
        <v>8.9474747474747467</v>
      </c>
      <c r="AS19" s="168">
        <f>'2023 Snow PPL'!E13</f>
        <v>3981.5</v>
      </c>
      <c r="AT19" s="19"/>
    </row>
    <row r="20" spans="1:46" ht="15.75" customHeight="1" x14ac:dyDescent="0.35">
      <c r="A20" s="19"/>
      <c r="B20" s="19"/>
      <c r="C20" s="10"/>
      <c r="D20" s="10"/>
      <c r="E20" s="10"/>
      <c r="F20" s="54"/>
      <c r="G20" s="54"/>
      <c r="H20" s="54"/>
      <c r="I20" s="10"/>
      <c r="J20" s="54"/>
      <c r="K20" s="10"/>
      <c r="L20" s="10"/>
      <c r="M20" s="10"/>
      <c r="N20" s="10"/>
      <c r="O20" s="195"/>
      <c r="P20" s="195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19"/>
      <c r="AM20" s="7"/>
      <c r="AN20" s="148"/>
      <c r="AO20" s="148"/>
      <c r="AP20" s="4"/>
      <c r="AQ20" s="4"/>
      <c r="AR20" s="148"/>
      <c r="AS20" s="4"/>
      <c r="AT20" s="19"/>
    </row>
    <row r="21" spans="1:46" ht="15.75" customHeight="1" x14ac:dyDescent="0.25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30"/>
      <c r="AQ21" s="130"/>
      <c r="AR21" s="169"/>
      <c r="AS21" s="19"/>
      <c r="AT21" s="19"/>
    </row>
    <row r="22" spans="1:46" ht="15.75" customHeight="1" x14ac:dyDescent="0.35">
      <c r="A22" s="19"/>
      <c r="B22" s="1" t="s">
        <v>298</v>
      </c>
      <c r="C22" s="3"/>
      <c r="D22" s="62" t="s">
        <v>0</v>
      </c>
      <c r="E22" s="7" t="s">
        <v>191</v>
      </c>
      <c r="F22" s="3"/>
      <c r="G22" s="3"/>
      <c r="H22" s="3"/>
      <c r="I22" s="3"/>
      <c r="J22" s="3"/>
      <c r="K22" s="3"/>
      <c r="L22" s="3"/>
      <c r="M22" s="3"/>
      <c r="N22" s="3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30"/>
      <c r="AN22" s="130"/>
      <c r="AO22" s="130"/>
      <c r="AP22" s="169"/>
      <c r="AQ22" s="19"/>
      <c r="AR22" s="19"/>
      <c r="AS22" s="169"/>
      <c r="AT22" s="19"/>
    </row>
    <row r="23" spans="1:46" ht="15.75" customHeight="1" x14ac:dyDescent="0.35">
      <c r="A23" s="19"/>
      <c r="B23" s="7" t="s">
        <v>299</v>
      </c>
      <c r="C23" s="3"/>
      <c r="D23" s="62" t="s">
        <v>300</v>
      </c>
      <c r="E23" s="7" t="s">
        <v>301</v>
      </c>
      <c r="F23" s="3"/>
      <c r="G23" s="3"/>
      <c r="H23" s="3"/>
      <c r="I23" s="3"/>
      <c r="J23" s="3"/>
      <c r="K23" s="3"/>
      <c r="L23" s="3"/>
      <c r="M23" s="3"/>
      <c r="N23" s="3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30"/>
      <c r="AN23" s="130"/>
      <c r="AO23" s="130"/>
      <c r="AP23" s="19"/>
      <c r="AQ23" s="19"/>
      <c r="AR23" s="19"/>
      <c r="AS23" s="169"/>
      <c r="AT23" s="19"/>
    </row>
    <row r="24" spans="1:46" ht="15.75" customHeight="1" x14ac:dyDescent="0.35">
      <c r="A24" s="19"/>
      <c r="B24" s="7" t="s">
        <v>302</v>
      </c>
      <c r="C24" s="3"/>
      <c r="D24" s="62" t="s">
        <v>303</v>
      </c>
      <c r="E24" s="7" t="s">
        <v>304</v>
      </c>
      <c r="F24" s="3"/>
      <c r="G24" s="3"/>
      <c r="H24" s="3"/>
      <c r="I24" s="3"/>
      <c r="J24" s="3"/>
      <c r="K24" s="3"/>
      <c r="L24" s="3"/>
      <c r="M24" s="3"/>
      <c r="N24" s="3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30"/>
      <c r="AN24" s="130"/>
      <c r="AO24" s="130"/>
      <c r="AP24" s="19"/>
      <c r="AQ24" s="19"/>
      <c r="AR24" s="19"/>
      <c r="AS24" s="169"/>
      <c r="AT24" s="19"/>
    </row>
    <row r="25" spans="1:46" ht="15.75" customHeight="1" x14ac:dyDescent="0.35">
      <c r="A25" s="19"/>
      <c r="B25" s="7" t="s">
        <v>305</v>
      </c>
      <c r="C25" s="3"/>
      <c r="D25" s="42" t="s">
        <v>306</v>
      </c>
      <c r="E25" s="7" t="s">
        <v>307</v>
      </c>
      <c r="F25" s="3"/>
      <c r="G25" s="3"/>
      <c r="H25" s="3"/>
      <c r="I25" s="3"/>
      <c r="J25" s="3"/>
      <c r="K25" s="3"/>
      <c r="L25" s="3"/>
      <c r="M25" s="3"/>
      <c r="N25" s="3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30"/>
      <c r="AN25" s="130"/>
      <c r="AO25" s="130"/>
      <c r="AP25" s="19"/>
      <c r="AQ25" s="19"/>
      <c r="AR25" s="19"/>
      <c r="AS25" s="169"/>
      <c r="AT25" s="19"/>
    </row>
    <row r="26" spans="1:46" ht="15.75" customHeight="1" x14ac:dyDescent="0.35">
      <c r="A26" s="19"/>
      <c r="B26" s="19"/>
      <c r="C26" s="3"/>
      <c r="D26" s="42" t="s">
        <v>308</v>
      </c>
      <c r="E26" s="7" t="s">
        <v>309</v>
      </c>
      <c r="F26" s="3"/>
      <c r="G26" s="3"/>
      <c r="H26" s="3"/>
      <c r="I26" s="3"/>
      <c r="J26" s="3"/>
      <c r="K26" s="3"/>
      <c r="L26" s="3"/>
      <c r="M26" s="3"/>
      <c r="N26" s="3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30"/>
      <c r="AQ26" s="130"/>
      <c r="AR26" s="19"/>
      <c r="AS26" s="19"/>
      <c r="AT26" s="19"/>
    </row>
    <row r="27" spans="1:46" ht="15.75" customHeight="1" x14ac:dyDescent="0.35">
      <c r="A27" s="19"/>
      <c r="C27" s="3"/>
      <c r="D27" s="62" t="s">
        <v>310</v>
      </c>
      <c r="E27" s="7" t="s">
        <v>311</v>
      </c>
      <c r="F27" s="3"/>
      <c r="G27" s="3"/>
      <c r="H27" s="3"/>
      <c r="I27" s="3"/>
      <c r="J27" s="3"/>
      <c r="K27" s="3"/>
      <c r="L27" s="3"/>
      <c r="M27" s="3"/>
      <c r="N27" s="3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30"/>
      <c r="AQ27" s="130"/>
      <c r="AR27" s="19"/>
      <c r="AS27" s="19"/>
      <c r="AT27" s="19"/>
    </row>
    <row r="28" spans="1:46" ht="15.75" customHeight="1" x14ac:dyDescent="0.35">
      <c r="A28" s="19"/>
      <c r="C28" s="3"/>
      <c r="D28" s="62" t="s">
        <v>312</v>
      </c>
      <c r="E28" s="7" t="s">
        <v>313</v>
      </c>
      <c r="F28" s="3"/>
      <c r="G28" s="3"/>
      <c r="H28" s="3"/>
      <c r="I28" s="3"/>
      <c r="J28" s="3"/>
      <c r="K28" s="3"/>
      <c r="L28" s="3"/>
      <c r="M28" s="3"/>
      <c r="N28" s="3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30"/>
      <c r="AQ28" s="130"/>
      <c r="AR28" s="19"/>
      <c r="AS28" s="19"/>
      <c r="AT28" s="19"/>
    </row>
    <row r="29" spans="1:46" ht="15.75" customHeight="1" x14ac:dyDescent="0.35">
      <c r="A29" s="19"/>
      <c r="C29" s="3"/>
      <c r="D29" s="62" t="s">
        <v>314</v>
      </c>
      <c r="E29" s="7" t="s">
        <v>315</v>
      </c>
      <c r="F29" s="3"/>
      <c r="G29" s="3"/>
      <c r="H29" s="3"/>
      <c r="I29" s="3"/>
      <c r="J29" s="3"/>
      <c r="K29" s="3"/>
      <c r="L29" s="3"/>
      <c r="M29" s="3"/>
      <c r="N29" s="3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30"/>
      <c r="AQ29" s="130"/>
      <c r="AR29" s="19"/>
      <c r="AS29" s="19"/>
      <c r="AT29" s="19"/>
    </row>
    <row r="30" spans="1:46" ht="15.75" customHeight="1" x14ac:dyDescent="0.35">
      <c r="A30" s="19"/>
      <c r="C30" s="19"/>
      <c r="D30" s="62" t="s">
        <v>316</v>
      </c>
      <c r="E30" s="7" t="s">
        <v>195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30"/>
      <c r="AQ30" s="130"/>
      <c r="AR30" s="19"/>
      <c r="AS30" s="19"/>
      <c r="AT30" s="19"/>
    </row>
    <row r="31" spans="1:46" ht="15.75" customHeight="1" x14ac:dyDescent="0.35">
      <c r="A31" s="19"/>
      <c r="B31" s="19"/>
      <c r="C31" s="19"/>
      <c r="D31" s="43" t="s">
        <v>317</v>
      </c>
      <c r="E31" s="7" t="s">
        <v>318</v>
      </c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30"/>
      <c r="AQ31" s="130"/>
      <c r="AR31" s="19"/>
      <c r="AS31" s="19"/>
      <c r="AT31" s="19"/>
    </row>
    <row r="32" spans="1:46" ht="15.75" customHeight="1" x14ac:dyDescent="0.35">
      <c r="A32" s="19"/>
      <c r="B32" s="19"/>
      <c r="C32" s="19"/>
      <c r="D32" s="64" t="s">
        <v>319</v>
      </c>
      <c r="E32" s="7" t="s">
        <v>320</v>
      </c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30"/>
      <c r="AQ32" s="130"/>
      <c r="AR32" s="19"/>
      <c r="AS32" s="19"/>
      <c r="AT32" s="19"/>
    </row>
    <row r="33" spans="1:46" ht="15.75" customHeight="1" x14ac:dyDescent="0.35">
      <c r="A33" s="19"/>
      <c r="B33" s="19"/>
      <c r="C33" s="19"/>
      <c r="D33" s="64" t="s">
        <v>196</v>
      </c>
      <c r="E33" s="7" t="s">
        <v>197</v>
      </c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30"/>
      <c r="AQ33" s="130"/>
      <c r="AR33" s="19"/>
      <c r="AS33" s="19"/>
      <c r="AT33" s="19"/>
    </row>
    <row r="34" spans="1:46" ht="15.75" customHeight="1" x14ac:dyDescent="0.35">
      <c r="A34" s="19"/>
      <c r="B34" s="19"/>
      <c r="C34" s="19"/>
      <c r="D34" s="64" t="s">
        <v>192</v>
      </c>
      <c r="E34" s="7" t="s">
        <v>193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30"/>
      <c r="AQ34" s="130"/>
      <c r="AR34" s="19"/>
      <c r="AS34" s="19"/>
      <c r="AT34" s="19"/>
    </row>
    <row r="35" spans="1:46" ht="15.75" customHeight="1" x14ac:dyDescent="0.25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30"/>
      <c r="AP35" s="130"/>
      <c r="AQ35" s="19"/>
      <c r="AR35" s="19"/>
      <c r="AS35" s="19"/>
      <c r="AT35" s="19"/>
    </row>
    <row r="36" spans="1:46" ht="15.75" customHeight="1" x14ac:dyDescent="0.35">
      <c r="A36" s="19"/>
      <c r="B36" s="19"/>
      <c r="C36" s="19"/>
      <c r="D36" s="104"/>
      <c r="E36" s="7" t="s">
        <v>208</v>
      </c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30"/>
      <c r="AP36" s="130"/>
      <c r="AQ36" s="19"/>
      <c r="AR36" s="19"/>
      <c r="AS36" s="19"/>
      <c r="AT36" s="19"/>
    </row>
    <row r="37" spans="1:46" ht="15.75" customHeight="1" x14ac:dyDescent="0.35">
      <c r="A37" s="19"/>
      <c r="B37" s="19"/>
      <c r="C37" s="19"/>
      <c r="D37" s="105"/>
      <c r="E37" s="7" t="s">
        <v>321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30"/>
      <c r="AP37" s="130"/>
      <c r="AQ37" s="19"/>
      <c r="AR37" s="19"/>
      <c r="AS37" s="19"/>
      <c r="AT37" s="19"/>
    </row>
    <row r="38" spans="1:46" ht="15.75" customHeight="1" x14ac:dyDescent="0.35">
      <c r="A38" s="19"/>
      <c r="B38" s="19"/>
      <c r="C38" s="19"/>
      <c r="D38" s="170"/>
      <c r="E38" s="7" t="s">
        <v>322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30"/>
      <c r="AP38" s="130"/>
      <c r="AQ38" s="19"/>
      <c r="AR38" s="19"/>
      <c r="AS38" s="19"/>
      <c r="AT38" s="19"/>
    </row>
    <row r="39" spans="1:46" ht="15.75" customHeight="1" x14ac:dyDescent="0.35">
      <c r="A39" s="19"/>
      <c r="B39" s="19"/>
      <c r="C39" s="19"/>
      <c r="D39" s="171" t="s">
        <v>323</v>
      </c>
      <c r="E39" s="171" t="s">
        <v>324</v>
      </c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30"/>
      <c r="AP39" s="130"/>
      <c r="AQ39" s="19"/>
      <c r="AR39" s="19"/>
      <c r="AS39" s="19"/>
      <c r="AT39" s="19"/>
    </row>
    <row r="40" spans="1:46" ht="15.75" customHeight="1" x14ac:dyDescent="0.35">
      <c r="A40" s="19"/>
      <c r="B40" s="19"/>
      <c r="C40" s="19"/>
      <c r="D40" s="19"/>
      <c r="E40" s="171" t="s">
        <v>325</v>
      </c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30"/>
      <c r="AQ40" s="130"/>
      <c r="AR40" s="19"/>
      <c r="AS40" s="19"/>
      <c r="AT40" s="19"/>
    </row>
    <row r="41" spans="1:46" ht="15.75" customHeight="1" x14ac:dyDescent="0.25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30"/>
      <c r="AQ41" s="130"/>
      <c r="AR41" s="19"/>
      <c r="AS41" s="19"/>
      <c r="AT41" s="19"/>
    </row>
    <row r="42" spans="1:46" ht="15.75" customHeight="1" x14ac:dyDescent="0.25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30"/>
      <c r="AQ42" s="130"/>
      <c r="AR42" s="19"/>
      <c r="AS42" s="19"/>
      <c r="AT42" s="19"/>
    </row>
    <row r="43" spans="1:46" ht="15.75" customHeight="1" x14ac:dyDescent="0.25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30"/>
      <c r="AQ43" s="130"/>
      <c r="AR43" s="19"/>
      <c r="AS43" s="19"/>
      <c r="AT43" s="19"/>
    </row>
    <row r="44" spans="1:46" ht="15.75" customHeight="1" x14ac:dyDescent="0.25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30"/>
      <c r="AQ44" s="130"/>
      <c r="AR44" s="19"/>
      <c r="AS44" s="19"/>
      <c r="AT44" s="19"/>
    </row>
    <row r="45" spans="1:46" ht="15.75" customHeight="1" x14ac:dyDescent="0.25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30"/>
      <c r="AQ45" s="130"/>
      <c r="AR45" s="19"/>
      <c r="AS45" s="19"/>
      <c r="AT45" s="19"/>
    </row>
    <row r="46" spans="1:46" ht="15.75" customHeight="1" x14ac:dyDescent="0.25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30"/>
      <c r="AQ46" s="130"/>
      <c r="AR46" s="19"/>
      <c r="AS46" s="19"/>
      <c r="AT46" s="19"/>
    </row>
    <row r="47" spans="1:46" ht="15.75" customHeight="1" x14ac:dyDescent="0.25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30"/>
      <c r="AQ47" s="130"/>
      <c r="AR47" s="19"/>
      <c r="AS47" s="19"/>
      <c r="AT47" s="19"/>
    </row>
    <row r="48" spans="1:46" ht="15.75" customHeight="1" x14ac:dyDescent="0.25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30"/>
      <c r="AQ48" s="130"/>
      <c r="AR48" s="19"/>
      <c r="AS48" s="19"/>
      <c r="AT48" s="19"/>
    </row>
    <row r="49" spans="1:46" ht="15.75" customHeight="1" x14ac:dyDescent="0.25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30"/>
      <c r="AQ49" s="130"/>
      <c r="AR49" s="19"/>
      <c r="AS49" s="19"/>
      <c r="AT49" s="19"/>
    </row>
    <row r="50" spans="1:46" ht="15.75" customHeight="1" x14ac:dyDescent="0.25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30"/>
      <c r="AQ50" s="130"/>
      <c r="AR50" s="19"/>
      <c r="AS50" s="19"/>
      <c r="AT50" s="19"/>
    </row>
    <row r="51" spans="1:46" ht="15.75" customHeight="1" x14ac:dyDescent="0.2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30"/>
      <c r="AQ51" s="130"/>
      <c r="AR51" s="19"/>
      <c r="AS51" s="19"/>
      <c r="AT51" s="19"/>
    </row>
    <row r="52" spans="1:46" ht="15.75" customHeight="1" x14ac:dyDescent="0.25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30"/>
      <c r="AQ52" s="130"/>
      <c r="AR52" s="19"/>
      <c r="AS52" s="19"/>
      <c r="AT52" s="19"/>
    </row>
    <row r="53" spans="1:46" ht="15.75" customHeight="1" x14ac:dyDescent="0.25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30"/>
      <c r="AQ53" s="130"/>
      <c r="AR53" s="19"/>
      <c r="AS53" s="19"/>
      <c r="AT53" s="19"/>
    </row>
    <row r="54" spans="1:46" ht="15.75" customHeight="1" x14ac:dyDescent="0.25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30"/>
      <c r="AQ54" s="130"/>
      <c r="AR54" s="19"/>
      <c r="AS54" s="19"/>
      <c r="AT54" s="19"/>
    </row>
    <row r="55" spans="1:46" ht="12.5" x14ac:dyDescent="0.25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30"/>
      <c r="AQ55" s="130"/>
      <c r="AR55" s="19"/>
      <c r="AS55" s="19"/>
      <c r="AT55" s="19"/>
    </row>
    <row r="56" spans="1:46" ht="12.5" x14ac:dyDescent="0.25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30"/>
      <c r="AQ56" s="130"/>
      <c r="AR56" s="19"/>
      <c r="AS56" s="19"/>
      <c r="AT56" s="19"/>
    </row>
    <row r="57" spans="1:46" ht="12.5" x14ac:dyDescent="0.25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30"/>
      <c r="AQ57" s="130"/>
      <c r="AR57" s="19"/>
      <c r="AS57" s="19"/>
      <c r="AT57" s="19"/>
    </row>
    <row r="58" spans="1:46" ht="12.5" x14ac:dyDescent="0.25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30"/>
      <c r="AQ58" s="130"/>
      <c r="AR58" s="19"/>
      <c r="AS58" s="19"/>
      <c r="AT58" s="19"/>
    </row>
    <row r="59" spans="1:46" ht="12.5" x14ac:dyDescent="0.25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30"/>
      <c r="AQ59" s="130"/>
      <c r="AR59" s="19"/>
      <c r="AS59" s="19"/>
      <c r="AT59" s="19"/>
    </row>
    <row r="60" spans="1:46" ht="12.5" x14ac:dyDescent="0.25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30"/>
      <c r="AQ60" s="130"/>
      <c r="AR60" s="19"/>
      <c r="AS60" s="19"/>
      <c r="AT60" s="19"/>
    </row>
    <row r="61" spans="1:46" ht="12.5" x14ac:dyDescent="0.25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30"/>
      <c r="AQ61" s="130"/>
      <c r="AR61" s="19"/>
      <c r="AS61" s="19"/>
      <c r="AT61" s="19"/>
    </row>
    <row r="62" spans="1:46" ht="12.5" x14ac:dyDescent="0.25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30"/>
      <c r="AQ62" s="130"/>
      <c r="AR62" s="19"/>
      <c r="AS62" s="19"/>
      <c r="AT62" s="19"/>
    </row>
    <row r="63" spans="1:46" ht="12.5" x14ac:dyDescent="0.25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30"/>
      <c r="AQ63" s="130"/>
      <c r="AR63" s="19"/>
      <c r="AS63" s="19"/>
      <c r="AT63" s="19"/>
    </row>
    <row r="64" spans="1:46" ht="12.5" x14ac:dyDescent="0.25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30"/>
      <c r="AQ64" s="130"/>
      <c r="AR64" s="19"/>
      <c r="AS64" s="19"/>
      <c r="AT64" s="19"/>
    </row>
    <row r="65" spans="1:46" ht="12.5" x14ac:dyDescent="0.25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30"/>
      <c r="AQ65" s="130"/>
      <c r="AR65" s="19"/>
      <c r="AS65" s="19"/>
      <c r="AT65" s="19"/>
    </row>
    <row r="66" spans="1:46" ht="12.5" x14ac:dyDescent="0.25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30"/>
      <c r="AQ66" s="130"/>
      <c r="AR66" s="19"/>
      <c r="AS66" s="19"/>
      <c r="AT66" s="19"/>
    </row>
    <row r="67" spans="1:46" ht="12.5" x14ac:dyDescent="0.25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30"/>
      <c r="AQ67" s="130"/>
      <c r="AR67" s="19"/>
      <c r="AS67" s="19"/>
      <c r="AT67" s="19"/>
    </row>
    <row r="68" spans="1:46" ht="12.5" x14ac:dyDescent="0.25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30"/>
      <c r="AQ68" s="130"/>
      <c r="AR68" s="19"/>
      <c r="AS68" s="19"/>
      <c r="AT68" s="19"/>
    </row>
    <row r="69" spans="1:46" ht="12.5" x14ac:dyDescent="0.25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30"/>
      <c r="AQ69" s="130"/>
      <c r="AR69" s="19"/>
      <c r="AS69" s="19"/>
      <c r="AT69" s="19"/>
    </row>
    <row r="70" spans="1:46" ht="12.5" x14ac:dyDescent="0.25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30"/>
      <c r="AQ70" s="130"/>
      <c r="AR70" s="19"/>
      <c r="AS70" s="19"/>
      <c r="AT70" s="19"/>
    </row>
    <row r="71" spans="1:46" ht="12.5" x14ac:dyDescent="0.25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30"/>
      <c r="AQ71" s="130"/>
      <c r="AR71" s="19"/>
      <c r="AS71" s="19"/>
      <c r="AT71" s="19"/>
    </row>
    <row r="72" spans="1:46" ht="12.5" x14ac:dyDescent="0.25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30"/>
      <c r="AQ72" s="130"/>
      <c r="AR72" s="19"/>
      <c r="AS72" s="19"/>
      <c r="AT72" s="19"/>
    </row>
    <row r="73" spans="1:46" ht="12.5" x14ac:dyDescent="0.25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30"/>
      <c r="AQ73" s="130"/>
      <c r="AR73" s="19"/>
      <c r="AS73" s="19"/>
      <c r="AT73" s="19"/>
    </row>
    <row r="74" spans="1:46" ht="12.5" x14ac:dyDescent="0.25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30"/>
      <c r="AQ74" s="130"/>
      <c r="AR74" s="19"/>
      <c r="AS74" s="19"/>
      <c r="AT74" s="19"/>
    </row>
    <row r="75" spans="1:46" ht="12.5" x14ac:dyDescent="0.25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30"/>
      <c r="AQ75" s="130"/>
      <c r="AR75" s="19"/>
      <c r="AS75" s="19"/>
      <c r="AT75" s="19"/>
    </row>
    <row r="76" spans="1:46" ht="12.5" x14ac:dyDescent="0.25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30"/>
      <c r="AQ76" s="130"/>
      <c r="AR76" s="19"/>
      <c r="AS76" s="19"/>
      <c r="AT76" s="19"/>
    </row>
    <row r="77" spans="1:46" ht="12.5" x14ac:dyDescent="0.25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30"/>
      <c r="AQ77" s="130"/>
      <c r="AR77" s="19"/>
      <c r="AS77" s="19"/>
      <c r="AT77" s="19"/>
    </row>
    <row r="78" spans="1:46" ht="12.5" x14ac:dyDescent="0.25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30"/>
      <c r="AQ78" s="130"/>
      <c r="AR78" s="19"/>
      <c r="AS78" s="19"/>
      <c r="AT78" s="19"/>
    </row>
    <row r="79" spans="1:46" ht="12.5" x14ac:dyDescent="0.25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30"/>
      <c r="AQ79" s="130"/>
      <c r="AR79" s="19"/>
      <c r="AS79" s="19"/>
      <c r="AT79" s="19"/>
    </row>
    <row r="80" spans="1:46" ht="12.5" x14ac:dyDescent="0.25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30"/>
      <c r="AQ80" s="130"/>
      <c r="AR80" s="19"/>
      <c r="AS80" s="19"/>
      <c r="AT80" s="19"/>
    </row>
    <row r="81" spans="1:46" ht="12.5" x14ac:dyDescent="0.25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30"/>
      <c r="AQ81" s="130"/>
      <c r="AR81" s="19"/>
      <c r="AS81" s="19"/>
      <c r="AT81" s="19"/>
    </row>
    <row r="82" spans="1:46" ht="12.5" x14ac:dyDescent="0.25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30"/>
      <c r="AQ82" s="130"/>
      <c r="AR82" s="19"/>
      <c r="AS82" s="19"/>
      <c r="AT82" s="19"/>
    </row>
    <row r="83" spans="1:46" ht="12.5" x14ac:dyDescent="0.25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30"/>
      <c r="AQ83" s="130"/>
      <c r="AR83" s="19"/>
      <c r="AS83" s="19"/>
      <c r="AT83" s="19"/>
    </row>
    <row r="84" spans="1:46" ht="12.5" x14ac:dyDescent="0.25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30"/>
      <c r="AQ84" s="130"/>
      <c r="AR84" s="19"/>
      <c r="AS84" s="19"/>
      <c r="AT84" s="19"/>
    </row>
    <row r="85" spans="1:46" ht="12.5" x14ac:dyDescent="0.25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30"/>
      <c r="AQ85" s="130"/>
      <c r="AR85" s="19"/>
      <c r="AS85" s="19"/>
      <c r="AT85" s="19"/>
    </row>
    <row r="86" spans="1:46" ht="12.5" x14ac:dyDescent="0.25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30"/>
      <c r="AQ86" s="130"/>
      <c r="AR86" s="19"/>
      <c r="AS86" s="19"/>
      <c r="AT86" s="19"/>
    </row>
    <row r="87" spans="1:46" ht="12.5" x14ac:dyDescent="0.25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30"/>
      <c r="AQ87" s="130"/>
      <c r="AR87" s="19"/>
      <c r="AS87" s="19"/>
      <c r="AT87" s="19"/>
    </row>
    <row r="88" spans="1:46" ht="12.5" x14ac:dyDescent="0.25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30"/>
      <c r="AQ88" s="130"/>
      <c r="AR88" s="19"/>
      <c r="AS88" s="19"/>
      <c r="AT88" s="19"/>
    </row>
    <row r="89" spans="1:46" ht="12.5" x14ac:dyDescent="0.25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30"/>
      <c r="AQ89" s="130"/>
      <c r="AR89" s="19"/>
      <c r="AS89" s="19"/>
      <c r="AT89" s="19"/>
    </row>
    <row r="90" spans="1:46" ht="12.5" x14ac:dyDescent="0.25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30"/>
      <c r="AQ90" s="130"/>
      <c r="AR90" s="19"/>
      <c r="AS90" s="19"/>
      <c r="AT90" s="19"/>
    </row>
    <row r="91" spans="1:46" ht="12.5" x14ac:dyDescent="0.25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30"/>
      <c r="AQ91" s="130"/>
      <c r="AR91" s="19"/>
      <c r="AS91" s="19"/>
      <c r="AT91" s="19"/>
    </row>
    <row r="92" spans="1:46" ht="12.5" x14ac:dyDescent="0.25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30"/>
      <c r="AQ92" s="130"/>
      <c r="AR92" s="19"/>
      <c r="AS92" s="19"/>
      <c r="AT92" s="19"/>
    </row>
    <row r="93" spans="1:46" ht="12.5" x14ac:dyDescent="0.25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30"/>
      <c r="AQ93" s="130"/>
      <c r="AR93" s="19"/>
      <c r="AS93" s="19"/>
      <c r="AT93" s="19"/>
    </row>
    <row r="94" spans="1:46" ht="12.5" x14ac:dyDescent="0.25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30"/>
      <c r="AQ94" s="130"/>
      <c r="AR94" s="19"/>
      <c r="AS94" s="19"/>
      <c r="AT94" s="19"/>
    </row>
    <row r="95" spans="1:46" ht="12.5" x14ac:dyDescent="0.25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30"/>
      <c r="AQ95" s="130"/>
      <c r="AR95" s="19"/>
      <c r="AS95" s="19"/>
      <c r="AT95" s="19"/>
    </row>
    <row r="96" spans="1:46" ht="12.5" x14ac:dyDescent="0.25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30"/>
      <c r="AQ96" s="130"/>
      <c r="AR96" s="19"/>
      <c r="AS96" s="19"/>
      <c r="AT96" s="19"/>
    </row>
    <row r="97" spans="1:46" ht="12.5" x14ac:dyDescent="0.25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30"/>
      <c r="AQ97" s="130"/>
      <c r="AR97" s="19"/>
      <c r="AS97" s="19"/>
      <c r="AT97" s="19"/>
    </row>
    <row r="98" spans="1:46" ht="12.5" x14ac:dyDescent="0.25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30"/>
      <c r="AQ98" s="130"/>
      <c r="AR98" s="19"/>
      <c r="AS98" s="19"/>
      <c r="AT98" s="19"/>
    </row>
    <row r="99" spans="1:46" ht="12.5" x14ac:dyDescent="0.25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30"/>
      <c r="AQ99" s="130"/>
      <c r="AR99" s="19"/>
      <c r="AS99" s="19"/>
      <c r="AT99" s="19"/>
    </row>
    <row r="100" spans="1:46" ht="12.5" x14ac:dyDescent="0.25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30"/>
      <c r="AQ100" s="130"/>
      <c r="AR100" s="19"/>
      <c r="AS100" s="19"/>
      <c r="AT100" s="19"/>
    </row>
    <row r="101" spans="1:46" ht="12.5" x14ac:dyDescent="0.25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30"/>
      <c r="AQ101" s="130"/>
      <c r="AR101" s="19"/>
      <c r="AS101" s="19"/>
      <c r="AT101" s="19"/>
    </row>
    <row r="102" spans="1:46" ht="12.5" x14ac:dyDescent="0.25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30"/>
      <c r="AQ102" s="130"/>
      <c r="AR102" s="19"/>
      <c r="AS102" s="19"/>
      <c r="AT102" s="19"/>
    </row>
    <row r="103" spans="1:46" ht="12.5" x14ac:dyDescent="0.25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30"/>
      <c r="AQ103" s="130"/>
      <c r="AR103" s="19"/>
      <c r="AS103" s="19"/>
      <c r="AT103" s="19"/>
    </row>
    <row r="104" spans="1:46" ht="12.5" x14ac:dyDescent="0.25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30"/>
      <c r="AQ104" s="130"/>
      <c r="AR104" s="19"/>
      <c r="AS104" s="19"/>
      <c r="AT104" s="19"/>
    </row>
    <row r="105" spans="1:46" ht="12.5" x14ac:dyDescent="0.2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30"/>
      <c r="AQ105" s="130"/>
      <c r="AR105" s="19"/>
      <c r="AS105" s="19"/>
      <c r="AT105" s="19"/>
    </row>
    <row r="106" spans="1:46" ht="12.5" x14ac:dyDescent="0.25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30"/>
      <c r="AQ106" s="130"/>
      <c r="AR106" s="19"/>
      <c r="AS106" s="19"/>
      <c r="AT106" s="19"/>
    </row>
    <row r="107" spans="1:46" ht="12.5" x14ac:dyDescent="0.25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30"/>
      <c r="AQ107" s="130"/>
      <c r="AR107" s="19"/>
      <c r="AS107" s="19"/>
      <c r="AT107" s="19"/>
    </row>
    <row r="108" spans="1:46" ht="12.5" x14ac:dyDescent="0.25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30"/>
      <c r="AQ108" s="130"/>
      <c r="AR108" s="19"/>
      <c r="AS108" s="19"/>
      <c r="AT108" s="19"/>
    </row>
    <row r="109" spans="1:46" ht="12.5" x14ac:dyDescent="0.25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30"/>
      <c r="AQ109" s="130"/>
      <c r="AR109" s="19"/>
      <c r="AS109" s="19"/>
      <c r="AT109" s="19"/>
    </row>
    <row r="110" spans="1:46" ht="12.5" x14ac:dyDescent="0.25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30"/>
      <c r="AQ110" s="130"/>
      <c r="AR110" s="19"/>
      <c r="AS110" s="19"/>
      <c r="AT110" s="19"/>
    </row>
    <row r="111" spans="1:46" ht="12.5" x14ac:dyDescent="0.25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30"/>
      <c r="AQ111" s="130"/>
      <c r="AR111" s="19"/>
      <c r="AS111" s="19"/>
      <c r="AT111" s="19"/>
    </row>
    <row r="112" spans="1:46" ht="12.5" x14ac:dyDescent="0.25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30"/>
      <c r="AQ112" s="130"/>
      <c r="AR112" s="19"/>
      <c r="AS112" s="19"/>
      <c r="AT112" s="19"/>
    </row>
    <row r="113" spans="1:46" ht="12.5" x14ac:dyDescent="0.25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30"/>
      <c r="AQ113" s="130"/>
      <c r="AR113" s="19"/>
      <c r="AS113" s="19"/>
      <c r="AT113" s="19"/>
    </row>
    <row r="114" spans="1:46" ht="12.5" x14ac:dyDescent="0.25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30"/>
      <c r="AQ114" s="130"/>
      <c r="AR114" s="19"/>
      <c r="AS114" s="19"/>
      <c r="AT114" s="19"/>
    </row>
    <row r="115" spans="1:46" ht="12.5" x14ac:dyDescent="0.2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30"/>
      <c r="AQ115" s="130"/>
      <c r="AR115" s="19"/>
      <c r="AS115" s="19"/>
      <c r="AT115" s="19"/>
    </row>
    <row r="116" spans="1:46" ht="12.5" x14ac:dyDescent="0.25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30"/>
      <c r="AQ116" s="130"/>
      <c r="AR116" s="19"/>
      <c r="AS116" s="19"/>
      <c r="AT116" s="19"/>
    </row>
    <row r="117" spans="1:46" ht="12.5" x14ac:dyDescent="0.25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30"/>
      <c r="AQ117" s="130"/>
      <c r="AR117" s="19"/>
      <c r="AS117" s="19"/>
      <c r="AT117" s="19"/>
    </row>
    <row r="118" spans="1:46" ht="12.5" x14ac:dyDescent="0.25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30"/>
      <c r="AQ118" s="130"/>
      <c r="AR118" s="19"/>
      <c r="AS118" s="19"/>
      <c r="AT118" s="19"/>
    </row>
    <row r="119" spans="1:46" ht="12.5" x14ac:dyDescent="0.25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30"/>
      <c r="AQ119" s="130"/>
      <c r="AR119" s="19"/>
      <c r="AS119" s="19"/>
      <c r="AT119" s="19"/>
    </row>
    <row r="120" spans="1:46" ht="12.5" x14ac:dyDescent="0.25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30"/>
      <c r="AQ120" s="130"/>
      <c r="AR120" s="19"/>
      <c r="AS120" s="19"/>
      <c r="AT120" s="19"/>
    </row>
    <row r="121" spans="1:46" ht="12.5" x14ac:dyDescent="0.25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30"/>
      <c r="AQ121" s="130"/>
      <c r="AR121" s="19"/>
      <c r="AS121" s="19"/>
      <c r="AT121" s="19"/>
    </row>
    <row r="122" spans="1:46" ht="12.5" x14ac:dyDescent="0.25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30"/>
      <c r="AQ122" s="130"/>
      <c r="AR122" s="19"/>
      <c r="AS122" s="19"/>
      <c r="AT122" s="19"/>
    </row>
    <row r="123" spans="1:46" ht="12.5" x14ac:dyDescent="0.25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30"/>
      <c r="AQ123" s="130"/>
      <c r="AR123" s="19"/>
      <c r="AS123" s="19"/>
      <c r="AT123" s="19"/>
    </row>
    <row r="124" spans="1:46" ht="12.5" x14ac:dyDescent="0.25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30"/>
      <c r="AQ124" s="130"/>
      <c r="AR124" s="19"/>
      <c r="AS124" s="19"/>
      <c r="AT124" s="19"/>
    </row>
    <row r="125" spans="1:46" ht="12.5" x14ac:dyDescent="0.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30"/>
      <c r="AQ125" s="130"/>
      <c r="AR125" s="19"/>
      <c r="AS125" s="19"/>
      <c r="AT125" s="19"/>
    </row>
    <row r="126" spans="1:46" ht="12.5" x14ac:dyDescent="0.25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30"/>
      <c r="AQ126" s="130"/>
      <c r="AR126" s="19"/>
      <c r="AS126" s="19"/>
      <c r="AT126" s="19"/>
    </row>
    <row r="127" spans="1:46" ht="12.5" x14ac:dyDescent="0.2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30"/>
      <c r="AQ127" s="130"/>
      <c r="AR127" s="19"/>
      <c r="AS127" s="19"/>
      <c r="AT127" s="19"/>
    </row>
    <row r="128" spans="1:46" ht="12.5" x14ac:dyDescent="0.2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30"/>
      <c r="AQ128" s="130"/>
      <c r="AR128" s="19"/>
      <c r="AS128" s="19"/>
      <c r="AT128" s="19"/>
    </row>
    <row r="129" spans="1:46" ht="12.5" x14ac:dyDescent="0.2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30"/>
      <c r="AQ129" s="130"/>
      <c r="AR129" s="19"/>
      <c r="AS129" s="19"/>
      <c r="AT129" s="19"/>
    </row>
    <row r="130" spans="1:46" ht="12.5" x14ac:dyDescent="0.25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30"/>
      <c r="AQ130" s="130"/>
      <c r="AR130" s="19"/>
      <c r="AS130" s="19"/>
      <c r="AT130" s="19"/>
    </row>
    <row r="131" spans="1:46" ht="12.5" x14ac:dyDescent="0.25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30"/>
      <c r="AQ131" s="130"/>
      <c r="AR131" s="19"/>
      <c r="AS131" s="19"/>
      <c r="AT131" s="19"/>
    </row>
    <row r="132" spans="1:46" ht="12.5" x14ac:dyDescent="0.25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30"/>
      <c r="AQ132" s="130"/>
      <c r="AR132" s="19"/>
      <c r="AS132" s="19"/>
      <c r="AT132" s="19"/>
    </row>
    <row r="133" spans="1:46" ht="12.5" x14ac:dyDescent="0.25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30"/>
      <c r="AQ133" s="130"/>
      <c r="AR133" s="19"/>
      <c r="AS133" s="19"/>
      <c r="AT133" s="19"/>
    </row>
    <row r="134" spans="1:46" ht="12.5" x14ac:dyDescent="0.25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30"/>
      <c r="AQ134" s="130"/>
      <c r="AR134" s="19"/>
      <c r="AS134" s="19"/>
      <c r="AT134" s="19"/>
    </row>
    <row r="135" spans="1:46" ht="12.5" x14ac:dyDescent="0.2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30"/>
      <c r="AQ135" s="130"/>
      <c r="AR135" s="19"/>
      <c r="AS135" s="19"/>
      <c r="AT135" s="19"/>
    </row>
    <row r="136" spans="1:46" ht="12.5" x14ac:dyDescent="0.25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30"/>
      <c r="AQ136" s="130"/>
      <c r="AR136" s="19"/>
      <c r="AS136" s="19"/>
      <c r="AT136" s="19"/>
    </row>
    <row r="137" spans="1:46" ht="12.5" x14ac:dyDescent="0.25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30"/>
      <c r="AQ137" s="130"/>
      <c r="AR137" s="19"/>
      <c r="AS137" s="19"/>
      <c r="AT137" s="19"/>
    </row>
    <row r="138" spans="1:46" ht="12.5" x14ac:dyDescent="0.25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30"/>
      <c r="AQ138" s="130"/>
      <c r="AR138" s="19"/>
      <c r="AS138" s="19"/>
      <c r="AT138" s="19"/>
    </row>
    <row r="139" spans="1:46" ht="12.5" x14ac:dyDescent="0.25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30"/>
      <c r="AQ139" s="130"/>
      <c r="AR139" s="19"/>
      <c r="AS139" s="19"/>
      <c r="AT139" s="19"/>
    </row>
    <row r="140" spans="1:46" ht="12.5" x14ac:dyDescent="0.25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30"/>
      <c r="AQ140" s="130"/>
      <c r="AR140" s="19"/>
      <c r="AS140" s="19"/>
      <c r="AT140" s="19"/>
    </row>
    <row r="141" spans="1:46" ht="12.5" x14ac:dyDescent="0.25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30"/>
      <c r="AQ141" s="130"/>
      <c r="AR141" s="19"/>
      <c r="AS141" s="19"/>
      <c r="AT141" s="19"/>
    </row>
    <row r="142" spans="1:46" ht="12.5" x14ac:dyDescent="0.2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30"/>
      <c r="AQ142" s="130"/>
      <c r="AR142" s="19"/>
      <c r="AS142" s="19"/>
      <c r="AT142" s="19"/>
    </row>
    <row r="143" spans="1:46" ht="12.5" x14ac:dyDescent="0.2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30"/>
      <c r="AQ143" s="130"/>
      <c r="AR143" s="19"/>
      <c r="AS143" s="19"/>
      <c r="AT143" s="19"/>
    </row>
    <row r="144" spans="1:46" ht="12.5" x14ac:dyDescent="0.2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30"/>
      <c r="AQ144" s="130"/>
      <c r="AR144" s="19"/>
      <c r="AS144" s="19"/>
      <c r="AT144" s="19"/>
    </row>
    <row r="145" spans="1:46" ht="12.5" x14ac:dyDescent="0.2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30"/>
      <c r="AQ145" s="130"/>
      <c r="AR145" s="19"/>
      <c r="AS145" s="19"/>
      <c r="AT145" s="19"/>
    </row>
    <row r="146" spans="1:46" ht="12.5" x14ac:dyDescent="0.25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30"/>
      <c r="AQ146" s="130"/>
      <c r="AR146" s="19"/>
      <c r="AS146" s="19"/>
      <c r="AT146" s="19"/>
    </row>
    <row r="147" spans="1:46" ht="12.5" x14ac:dyDescent="0.25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30"/>
      <c r="AQ147" s="130"/>
      <c r="AR147" s="19"/>
      <c r="AS147" s="19"/>
      <c r="AT147" s="19"/>
    </row>
    <row r="148" spans="1:46" ht="12.5" x14ac:dyDescent="0.25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30"/>
      <c r="AQ148" s="130"/>
      <c r="AR148" s="19"/>
      <c r="AS148" s="19"/>
      <c r="AT148" s="19"/>
    </row>
    <row r="149" spans="1:46" ht="12.5" x14ac:dyDescent="0.25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30"/>
      <c r="AQ149" s="130"/>
      <c r="AR149" s="19"/>
      <c r="AS149" s="19"/>
      <c r="AT149" s="19"/>
    </row>
    <row r="150" spans="1:46" ht="12.5" x14ac:dyDescent="0.25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30"/>
      <c r="AQ150" s="130"/>
      <c r="AR150" s="19"/>
      <c r="AS150" s="19"/>
      <c r="AT150" s="19"/>
    </row>
    <row r="151" spans="1:46" ht="12.5" x14ac:dyDescent="0.25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30"/>
      <c r="AQ151" s="130"/>
      <c r="AR151" s="19"/>
      <c r="AS151" s="19"/>
      <c r="AT151" s="19"/>
    </row>
    <row r="152" spans="1:46" ht="12.5" x14ac:dyDescent="0.2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30"/>
      <c r="AQ152" s="130"/>
      <c r="AR152" s="19"/>
      <c r="AS152" s="19"/>
      <c r="AT152" s="19"/>
    </row>
    <row r="153" spans="1:46" ht="12.5" x14ac:dyDescent="0.25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30"/>
      <c r="AQ153" s="130"/>
      <c r="AR153" s="19"/>
      <c r="AS153" s="19"/>
      <c r="AT153" s="19"/>
    </row>
    <row r="154" spans="1:46" ht="12.5" x14ac:dyDescent="0.25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30"/>
      <c r="AQ154" s="130"/>
      <c r="AR154" s="19"/>
      <c r="AS154" s="19"/>
      <c r="AT154" s="19"/>
    </row>
    <row r="155" spans="1:46" ht="12.5" x14ac:dyDescent="0.2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30"/>
      <c r="AQ155" s="130"/>
      <c r="AR155" s="19"/>
      <c r="AS155" s="19"/>
      <c r="AT155" s="19"/>
    </row>
    <row r="156" spans="1:46" ht="12.5" x14ac:dyDescent="0.25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30"/>
      <c r="AQ156" s="130"/>
      <c r="AR156" s="19"/>
      <c r="AS156" s="19"/>
      <c r="AT156" s="19"/>
    </row>
    <row r="157" spans="1:46" ht="12.5" x14ac:dyDescent="0.25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30"/>
      <c r="AQ157" s="130"/>
      <c r="AR157" s="19"/>
      <c r="AS157" s="19"/>
      <c r="AT157" s="19"/>
    </row>
    <row r="158" spans="1:46" ht="12.5" x14ac:dyDescent="0.25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30"/>
      <c r="AQ158" s="130"/>
      <c r="AR158" s="19"/>
      <c r="AS158" s="19"/>
      <c r="AT158" s="19"/>
    </row>
    <row r="159" spans="1:46" ht="12.5" x14ac:dyDescent="0.25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30"/>
      <c r="AQ159" s="130"/>
      <c r="AR159" s="19"/>
      <c r="AS159" s="19"/>
      <c r="AT159" s="19"/>
    </row>
    <row r="160" spans="1:46" ht="12.5" x14ac:dyDescent="0.25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30"/>
      <c r="AQ160" s="130"/>
      <c r="AR160" s="19"/>
      <c r="AS160" s="19"/>
      <c r="AT160" s="19"/>
    </row>
    <row r="161" spans="1:46" ht="12.5" x14ac:dyDescent="0.25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30"/>
      <c r="AQ161" s="130"/>
      <c r="AR161" s="19"/>
      <c r="AS161" s="19"/>
      <c r="AT161" s="19"/>
    </row>
    <row r="162" spans="1:46" ht="12.5" x14ac:dyDescent="0.25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30"/>
      <c r="AQ162" s="130"/>
      <c r="AR162" s="19"/>
      <c r="AS162" s="19"/>
      <c r="AT162" s="19"/>
    </row>
    <row r="163" spans="1:46" ht="12.5" x14ac:dyDescent="0.25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30"/>
      <c r="AQ163" s="130"/>
      <c r="AR163" s="19"/>
      <c r="AS163" s="19"/>
      <c r="AT163" s="19"/>
    </row>
    <row r="164" spans="1:46" ht="12.5" x14ac:dyDescent="0.25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30"/>
      <c r="AQ164" s="130"/>
      <c r="AR164" s="19"/>
      <c r="AS164" s="19"/>
      <c r="AT164" s="19"/>
    </row>
    <row r="165" spans="1:46" ht="12.5" x14ac:dyDescent="0.2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30"/>
      <c r="AQ165" s="130"/>
      <c r="AR165" s="19"/>
      <c r="AS165" s="19"/>
      <c r="AT165" s="19"/>
    </row>
    <row r="166" spans="1:46" ht="12.5" x14ac:dyDescent="0.25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30"/>
      <c r="AQ166" s="130"/>
      <c r="AR166" s="19"/>
      <c r="AS166" s="19"/>
      <c r="AT166" s="19"/>
    </row>
    <row r="167" spans="1:46" ht="12.5" x14ac:dyDescent="0.25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30"/>
      <c r="AQ167" s="130"/>
      <c r="AR167" s="19"/>
      <c r="AS167" s="19"/>
      <c r="AT167" s="19"/>
    </row>
    <row r="168" spans="1:46" ht="12.5" x14ac:dyDescent="0.25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30"/>
      <c r="AQ168" s="130"/>
      <c r="AR168" s="19"/>
      <c r="AS168" s="19"/>
      <c r="AT168" s="19"/>
    </row>
    <row r="169" spans="1:46" ht="12.5" x14ac:dyDescent="0.25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30"/>
      <c r="AQ169" s="130"/>
      <c r="AR169" s="19"/>
      <c r="AS169" s="19"/>
      <c r="AT169" s="19"/>
    </row>
    <row r="170" spans="1:46" ht="12.5" x14ac:dyDescent="0.25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30"/>
      <c r="AQ170" s="130"/>
      <c r="AR170" s="19"/>
      <c r="AS170" s="19"/>
      <c r="AT170" s="19"/>
    </row>
    <row r="171" spans="1:46" ht="12.5" x14ac:dyDescent="0.25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30"/>
      <c r="AQ171" s="130"/>
      <c r="AR171" s="19"/>
      <c r="AS171" s="19"/>
      <c r="AT171" s="19"/>
    </row>
    <row r="172" spans="1:46" ht="12.5" x14ac:dyDescent="0.25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30"/>
      <c r="AQ172" s="130"/>
      <c r="AR172" s="19"/>
      <c r="AS172" s="19"/>
      <c r="AT172" s="19"/>
    </row>
    <row r="173" spans="1:46" ht="12.5" x14ac:dyDescent="0.25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30"/>
      <c r="AQ173" s="130"/>
      <c r="AR173" s="19"/>
      <c r="AS173" s="19"/>
      <c r="AT173" s="19"/>
    </row>
    <row r="174" spans="1:46" ht="12.5" x14ac:dyDescent="0.25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30"/>
      <c r="AQ174" s="130"/>
      <c r="AR174" s="19"/>
      <c r="AS174" s="19"/>
      <c r="AT174" s="19"/>
    </row>
    <row r="175" spans="1:46" ht="12.5" x14ac:dyDescent="0.2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30"/>
      <c r="AQ175" s="130"/>
      <c r="AR175" s="19"/>
      <c r="AS175" s="19"/>
      <c r="AT175" s="19"/>
    </row>
    <row r="176" spans="1:46" ht="12.5" x14ac:dyDescent="0.25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30"/>
      <c r="AQ176" s="130"/>
      <c r="AR176" s="19"/>
      <c r="AS176" s="19"/>
      <c r="AT176" s="19"/>
    </row>
    <row r="177" spans="1:46" ht="12.5" x14ac:dyDescent="0.25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30"/>
      <c r="AQ177" s="130"/>
      <c r="AR177" s="19"/>
      <c r="AS177" s="19"/>
      <c r="AT177" s="19"/>
    </row>
    <row r="178" spans="1:46" ht="12.5" x14ac:dyDescent="0.25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30"/>
      <c r="AQ178" s="130"/>
      <c r="AR178" s="19"/>
      <c r="AS178" s="19"/>
      <c r="AT178" s="19"/>
    </row>
    <row r="179" spans="1:46" ht="12.5" x14ac:dyDescent="0.25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30"/>
      <c r="AQ179" s="130"/>
      <c r="AR179" s="19"/>
      <c r="AS179" s="19"/>
      <c r="AT179" s="19"/>
    </row>
    <row r="180" spans="1:46" ht="12.5" x14ac:dyDescent="0.25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30"/>
      <c r="AQ180" s="130"/>
      <c r="AR180" s="19"/>
      <c r="AS180" s="19"/>
      <c r="AT180" s="19"/>
    </row>
    <row r="181" spans="1:46" ht="12.5" x14ac:dyDescent="0.25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30"/>
      <c r="AQ181" s="130"/>
      <c r="AR181" s="19"/>
      <c r="AS181" s="19"/>
      <c r="AT181" s="19"/>
    </row>
    <row r="182" spans="1:46" ht="12.5" x14ac:dyDescent="0.25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30"/>
      <c r="AQ182" s="130"/>
      <c r="AR182" s="19"/>
      <c r="AS182" s="19"/>
      <c r="AT182" s="19"/>
    </row>
    <row r="183" spans="1:46" ht="12.5" x14ac:dyDescent="0.25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30"/>
      <c r="AQ183" s="130"/>
      <c r="AR183" s="19"/>
      <c r="AS183" s="19"/>
      <c r="AT183" s="19"/>
    </row>
    <row r="184" spans="1:46" ht="12.5" x14ac:dyDescent="0.25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30"/>
      <c r="AQ184" s="130"/>
      <c r="AR184" s="19"/>
      <c r="AS184" s="19"/>
      <c r="AT184" s="19"/>
    </row>
    <row r="185" spans="1:46" ht="12.5" x14ac:dyDescent="0.2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30"/>
      <c r="AQ185" s="130"/>
      <c r="AR185" s="19"/>
      <c r="AS185" s="19"/>
      <c r="AT185" s="19"/>
    </row>
    <row r="186" spans="1:46" ht="12.5" x14ac:dyDescent="0.25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30"/>
      <c r="AQ186" s="130"/>
      <c r="AR186" s="19"/>
      <c r="AS186" s="19"/>
      <c r="AT186" s="19"/>
    </row>
    <row r="187" spans="1:46" ht="12.5" x14ac:dyDescent="0.25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30"/>
      <c r="AQ187" s="130"/>
      <c r="AR187" s="19"/>
      <c r="AS187" s="19"/>
      <c r="AT187" s="19"/>
    </row>
    <row r="188" spans="1:46" ht="12.5" x14ac:dyDescent="0.25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30"/>
      <c r="AQ188" s="130"/>
      <c r="AR188" s="19"/>
      <c r="AS188" s="19"/>
      <c r="AT188" s="19"/>
    </row>
    <row r="189" spans="1:46" ht="12.5" x14ac:dyDescent="0.25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30"/>
      <c r="AQ189" s="130"/>
      <c r="AR189" s="19"/>
      <c r="AS189" s="19"/>
      <c r="AT189" s="19"/>
    </row>
    <row r="190" spans="1:46" ht="12.5" x14ac:dyDescent="0.25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30"/>
      <c r="AQ190" s="130"/>
      <c r="AR190" s="19"/>
      <c r="AS190" s="19"/>
      <c r="AT190" s="19"/>
    </row>
    <row r="191" spans="1:46" ht="12.5" x14ac:dyDescent="0.25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30"/>
      <c r="AQ191" s="130"/>
      <c r="AR191" s="19"/>
      <c r="AS191" s="19"/>
      <c r="AT191" s="19"/>
    </row>
    <row r="192" spans="1:46" ht="12.5" x14ac:dyDescent="0.25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30"/>
      <c r="AQ192" s="130"/>
      <c r="AR192" s="19"/>
      <c r="AS192" s="19"/>
      <c r="AT192" s="19"/>
    </row>
    <row r="193" spans="1:46" ht="12.5" x14ac:dyDescent="0.25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30"/>
      <c r="AQ193" s="130"/>
      <c r="AR193" s="19"/>
      <c r="AS193" s="19"/>
      <c r="AT193" s="19"/>
    </row>
    <row r="194" spans="1:46" ht="12.5" x14ac:dyDescent="0.25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30"/>
      <c r="AQ194" s="130"/>
      <c r="AR194" s="19"/>
      <c r="AS194" s="19"/>
      <c r="AT194" s="19"/>
    </row>
    <row r="195" spans="1:46" ht="12.5" x14ac:dyDescent="0.2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30"/>
      <c r="AQ195" s="130"/>
      <c r="AR195" s="19"/>
      <c r="AS195" s="19"/>
      <c r="AT195" s="19"/>
    </row>
    <row r="196" spans="1:46" ht="12.5" x14ac:dyDescent="0.25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30"/>
      <c r="AQ196" s="130"/>
      <c r="AR196" s="19"/>
      <c r="AS196" s="19"/>
      <c r="AT196" s="19"/>
    </row>
    <row r="197" spans="1:46" ht="12.5" x14ac:dyDescent="0.25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30"/>
      <c r="AQ197" s="130"/>
      <c r="AR197" s="19"/>
      <c r="AS197" s="19"/>
      <c r="AT197" s="19"/>
    </row>
    <row r="198" spans="1:46" ht="12.5" x14ac:dyDescent="0.25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30"/>
      <c r="AQ198" s="130"/>
      <c r="AR198" s="19"/>
      <c r="AS198" s="19"/>
      <c r="AT198" s="19"/>
    </row>
    <row r="199" spans="1:46" ht="12.5" x14ac:dyDescent="0.25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30"/>
      <c r="AQ199" s="130"/>
      <c r="AR199" s="19"/>
      <c r="AS199" s="19"/>
      <c r="AT199" s="19"/>
    </row>
    <row r="200" spans="1:46" ht="12.5" x14ac:dyDescent="0.25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30"/>
      <c r="AQ200" s="130"/>
      <c r="AR200" s="19"/>
      <c r="AS200" s="19"/>
      <c r="AT200" s="19"/>
    </row>
    <row r="201" spans="1:46" ht="12.5" x14ac:dyDescent="0.25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30"/>
      <c r="AQ201" s="130"/>
      <c r="AR201" s="19"/>
      <c r="AS201" s="19"/>
      <c r="AT201" s="19"/>
    </row>
    <row r="202" spans="1:46" ht="12.5" x14ac:dyDescent="0.25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30"/>
      <c r="AQ202" s="130"/>
      <c r="AR202" s="19"/>
      <c r="AS202" s="19"/>
      <c r="AT202" s="19"/>
    </row>
    <row r="203" spans="1:46" ht="12.5" x14ac:dyDescent="0.25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30"/>
      <c r="AQ203" s="130"/>
      <c r="AR203" s="19"/>
      <c r="AS203" s="19"/>
      <c r="AT203" s="19"/>
    </row>
    <row r="204" spans="1:46" ht="12.5" x14ac:dyDescent="0.25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30"/>
      <c r="AQ204" s="130"/>
      <c r="AR204" s="19"/>
      <c r="AS204" s="19"/>
      <c r="AT204" s="19"/>
    </row>
    <row r="205" spans="1:46" ht="12.5" x14ac:dyDescent="0.2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30"/>
      <c r="AQ205" s="130"/>
      <c r="AR205" s="19"/>
      <c r="AS205" s="19"/>
      <c r="AT205" s="19"/>
    </row>
    <row r="206" spans="1:46" ht="12.5" x14ac:dyDescent="0.25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30"/>
      <c r="AQ206" s="130"/>
      <c r="AR206" s="19"/>
      <c r="AS206" s="19"/>
      <c r="AT206" s="19"/>
    </row>
    <row r="207" spans="1:46" ht="12.5" x14ac:dyDescent="0.25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30"/>
      <c r="AQ207" s="130"/>
      <c r="AR207" s="19"/>
      <c r="AS207" s="19"/>
      <c r="AT207" s="19"/>
    </row>
    <row r="208" spans="1:46" ht="12.5" x14ac:dyDescent="0.25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30"/>
      <c r="AQ208" s="130"/>
      <c r="AR208" s="19"/>
      <c r="AS208" s="19"/>
      <c r="AT208" s="19"/>
    </row>
    <row r="209" spans="1:46" ht="12.5" x14ac:dyDescent="0.25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30"/>
      <c r="AQ209" s="130"/>
      <c r="AR209" s="19"/>
      <c r="AS209" s="19"/>
      <c r="AT209" s="19"/>
    </row>
    <row r="210" spans="1:46" ht="12.5" x14ac:dyDescent="0.25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30"/>
      <c r="AQ210" s="130"/>
      <c r="AR210" s="19"/>
      <c r="AS210" s="19"/>
      <c r="AT210" s="19"/>
    </row>
    <row r="211" spans="1:46" ht="12.5" x14ac:dyDescent="0.25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30"/>
      <c r="AQ211" s="130"/>
      <c r="AR211" s="19"/>
      <c r="AS211" s="19"/>
      <c r="AT211" s="19"/>
    </row>
    <row r="212" spans="1:46" ht="12.5" x14ac:dyDescent="0.25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30"/>
      <c r="AQ212" s="130"/>
      <c r="AR212" s="19"/>
      <c r="AS212" s="19"/>
      <c r="AT212" s="19"/>
    </row>
    <row r="213" spans="1:46" ht="12.5" x14ac:dyDescent="0.25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30"/>
      <c r="AQ213" s="130"/>
      <c r="AR213" s="19"/>
      <c r="AS213" s="19"/>
      <c r="AT213" s="19"/>
    </row>
    <row r="214" spans="1:46" ht="12.5" x14ac:dyDescent="0.25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30"/>
      <c r="AQ214" s="130"/>
      <c r="AR214" s="19"/>
      <c r="AS214" s="19"/>
      <c r="AT214" s="19"/>
    </row>
    <row r="215" spans="1:46" ht="12.5" x14ac:dyDescent="0.2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30"/>
      <c r="AQ215" s="130"/>
      <c r="AR215" s="19"/>
      <c r="AS215" s="19"/>
      <c r="AT215" s="19"/>
    </row>
    <row r="216" spans="1:46" ht="12.5" x14ac:dyDescent="0.25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30"/>
      <c r="AQ216" s="130"/>
      <c r="AR216" s="19"/>
      <c r="AS216" s="19"/>
      <c r="AT216" s="19"/>
    </row>
    <row r="217" spans="1:46" ht="12.5" x14ac:dyDescent="0.25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30"/>
      <c r="AQ217" s="130"/>
      <c r="AR217" s="19"/>
      <c r="AS217" s="19"/>
      <c r="AT217" s="19"/>
    </row>
    <row r="218" spans="1:46" ht="12.5" x14ac:dyDescent="0.25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30"/>
      <c r="AQ218" s="130"/>
      <c r="AR218" s="19"/>
      <c r="AS218" s="19"/>
      <c r="AT218" s="19"/>
    </row>
    <row r="219" spans="1:46" ht="12.5" x14ac:dyDescent="0.25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30"/>
      <c r="AQ219" s="130"/>
      <c r="AR219" s="19"/>
      <c r="AS219" s="19"/>
      <c r="AT219" s="19"/>
    </row>
    <row r="220" spans="1:46" ht="12.5" x14ac:dyDescent="0.25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30"/>
      <c r="AQ220" s="130"/>
      <c r="AR220" s="19"/>
      <c r="AS220" s="19"/>
      <c r="AT220" s="19"/>
    </row>
    <row r="221" spans="1:46" ht="12.5" x14ac:dyDescent="0.25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30"/>
      <c r="AQ221" s="130"/>
      <c r="AR221" s="19"/>
      <c r="AS221" s="19"/>
      <c r="AT221" s="19"/>
    </row>
    <row r="222" spans="1:46" ht="12.5" x14ac:dyDescent="0.25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30"/>
      <c r="AQ222" s="130"/>
      <c r="AR222" s="19"/>
      <c r="AS222" s="19"/>
      <c r="AT222" s="19"/>
    </row>
    <row r="223" spans="1:46" ht="12.5" x14ac:dyDescent="0.25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30"/>
      <c r="AQ223" s="130"/>
      <c r="AR223" s="19"/>
      <c r="AS223" s="19"/>
      <c r="AT223" s="19"/>
    </row>
    <row r="224" spans="1:46" ht="12.5" x14ac:dyDescent="0.25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30"/>
      <c r="AQ224" s="130"/>
      <c r="AR224" s="19"/>
      <c r="AS224" s="19"/>
      <c r="AT224" s="19"/>
    </row>
    <row r="225" spans="1:46" ht="12.5" x14ac:dyDescent="0.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30"/>
      <c r="AQ225" s="130"/>
      <c r="AR225" s="19"/>
      <c r="AS225" s="19"/>
      <c r="AT225" s="19"/>
    </row>
    <row r="226" spans="1:46" ht="12.5" x14ac:dyDescent="0.25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30"/>
      <c r="AQ226" s="130"/>
      <c r="AR226" s="19"/>
      <c r="AS226" s="19"/>
      <c r="AT226" s="19"/>
    </row>
    <row r="227" spans="1:46" ht="12.5" x14ac:dyDescent="0.25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30"/>
      <c r="AQ227" s="130"/>
      <c r="AR227" s="19"/>
      <c r="AS227" s="19"/>
      <c r="AT227" s="19"/>
    </row>
    <row r="228" spans="1:46" ht="12.5" x14ac:dyDescent="0.25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30"/>
      <c r="AQ228" s="130"/>
      <c r="AR228" s="19"/>
      <c r="AS228" s="19"/>
      <c r="AT228" s="19"/>
    </row>
    <row r="229" spans="1:46" ht="12.5" x14ac:dyDescent="0.25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30"/>
      <c r="AQ229" s="130"/>
      <c r="AR229" s="19"/>
      <c r="AS229" s="19"/>
      <c r="AT229" s="19"/>
    </row>
    <row r="230" spans="1:46" ht="12.5" x14ac:dyDescent="0.25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30"/>
      <c r="AQ230" s="130"/>
      <c r="AR230" s="19"/>
      <c r="AS230" s="19"/>
      <c r="AT230" s="19"/>
    </row>
    <row r="231" spans="1:46" ht="12.5" x14ac:dyDescent="0.25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30"/>
      <c r="AQ231" s="130"/>
      <c r="AR231" s="19"/>
      <c r="AS231" s="19"/>
      <c r="AT231" s="19"/>
    </row>
    <row r="232" spans="1:46" ht="12.5" x14ac:dyDescent="0.25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30"/>
      <c r="AQ232" s="130"/>
      <c r="AR232" s="19"/>
      <c r="AS232" s="19"/>
      <c r="AT232" s="19"/>
    </row>
    <row r="233" spans="1:46" ht="12.5" x14ac:dyDescent="0.25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30"/>
      <c r="AQ233" s="130"/>
      <c r="AR233" s="19"/>
      <c r="AS233" s="19"/>
      <c r="AT233" s="19"/>
    </row>
    <row r="234" spans="1:46" ht="12.5" x14ac:dyDescent="0.25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30"/>
      <c r="AQ234" s="130"/>
      <c r="AR234" s="19"/>
      <c r="AS234" s="19"/>
      <c r="AT234" s="19"/>
    </row>
    <row r="235" spans="1:46" ht="12.5" x14ac:dyDescent="0.2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30"/>
      <c r="AQ235" s="130"/>
      <c r="AR235" s="19"/>
      <c r="AS235" s="19"/>
      <c r="AT235" s="19"/>
    </row>
    <row r="236" spans="1:46" ht="12.5" x14ac:dyDescent="0.25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30"/>
      <c r="AQ236" s="130"/>
      <c r="AR236" s="19"/>
      <c r="AS236" s="19"/>
      <c r="AT236" s="19"/>
    </row>
    <row r="237" spans="1:46" ht="12.5" x14ac:dyDescent="0.25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30"/>
      <c r="AQ237" s="130"/>
      <c r="AR237" s="19"/>
      <c r="AS237" s="19"/>
      <c r="AT237" s="19"/>
    </row>
    <row r="238" spans="1:46" ht="12.5" x14ac:dyDescent="0.25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30"/>
      <c r="AQ238" s="130"/>
      <c r="AR238" s="19"/>
      <c r="AS238" s="19"/>
      <c r="AT238" s="19"/>
    </row>
    <row r="239" spans="1:46" ht="12.5" x14ac:dyDescent="0.25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30"/>
      <c r="AQ239" s="130"/>
      <c r="AR239" s="19"/>
      <c r="AS239" s="19"/>
      <c r="AT239" s="19"/>
    </row>
    <row r="240" spans="1:46" ht="12.5" x14ac:dyDescent="0.25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30"/>
      <c r="AQ240" s="130"/>
      <c r="AR240" s="19"/>
      <c r="AS240" s="19"/>
      <c r="AT240" s="19"/>
    </row>
    <row r="241" spans="1:46" ht="12.5" x14ac:dyDescent="0.25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30"/>
      <c r="AQ241" s="130"/>
      <c r="AR241" s="19"/>
      <c r="AS241" s="19"/>
      <c r="AT241" s="19"/>
    </row>
    <row r="242" spans="1:46" ht="12.5" x14ac:dyDescent="0.25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30"/>
      <c r="AQ242" s="130"/>
      <c r="AR242" s="19"/>
      <c r="AS242" s="19"/>
      <c r="AT242" s="19"/>
    </row>
    <row r="243" spans="1:46" ht="12.5" x14ac:dyDescent="0.25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30"/>
      <c r="AQ243" s="130"/>
      <c r="AR243" s="19"/>
      <c r="AS243" s="19"/>
      <c r="AT243" s="19"/>
    </row>
    <row r="244" spans="1:46" ht="12.5" x14ac:dyDescent="0.25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30"/>
      <c r="AQ244" s="130"/>
      <c r="AR244" s="19"/>
      <c r="AS244" s="19"/>
      <c r="AT244" s="19"/>
    </row>
    <row r="245" spans="1:46" ht="12.5" x14ac:dyDescent="0.2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30"/>
      <c r="AQ245" s="130"/>
      <c r="AR245" s="19"/>
      <c r="AS245" s="19"/>
      <c r="AT245" s="19"/>
    </row>
    <row r="246" spans="1:46" ht="12.5" x14ac:dyDescent="0.25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30"/>
      <c r="AQ246" s="130"/>
      <c r="AR246" s="19"/>
      <c r="AS246" s="19"/>
      <c r="AT246" s="19"/>
    </row>
    <row r="247" spans="1:46" ht="12.5" x14ac:dyDescent="0.25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30"/>
      <c r="AQ247" s="130"/>
      <c r="AR247" s="19"/>
      <c r="AS247" s="19"/>
      <c r="AT247" s="19"/>
    </row>
    <row r="248" spans="1:46" ht="12.5" x14ac:dyDescent="0.25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30"/>
      <c r="AQ248" s="130"/>
      <c r="AR248" s="19"/>
      <c r="AS248" s="19"/>
      <c r="AT248" s="19"/>
    </row>
    <row r="249" spans="1:46" ht="12.5" x14ac:dyDescent="0.25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30"/>
      <c r="AQ249" s="130"/>
      <c r="AR249" s="19"/>
      <c r="AS249" s="19"/>
      <c r="AT249" s="19"/>
    </row>
    <row r="250" spans="1:46" ht="12.5" x14ac:dyDescent="0.25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30"/>
      <c r="AQ250" s="130"/>
      <c r="AR250" s="19"/>
      <c r="AS250" s="19"/>
      <c r="AT250" s="19"/>
    </row>
    <row r="251" spans="1:46" ht="12.5" x14ac:dyDescent="0.25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30"/>
      <c r="AQ251" s="130"/>
      <c r="AR251" s="19"/>
      <c r="AS251" s="19"/>
      <c r="AT251" s="19"/>
    </row>
    <row r="252" spans="1:46" ht="12.5" x14ac:dyDescent="0.25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30"/>
      <c r="AQ252" s="130"/>
      <c r="AR252" s="19"/>
      <c r="AS252" s="19"/>
      <c r="AT252" s="19"/>
    </row>
    <row r="253" spans="1:46" ht="12.5" x14ac:dyDescent="0.25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30"/>
      <c r="AQ253" s="130"/>
      <c r="AR253" s="19"/>
      <c r="AS253" s="19"/>
      <c r="AT253" s="19"/>
    </row>
    <row r="254" spans="1:46" ht="12.5" x14ac:dyDescent="0.25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30"/>
      <c r="AQ254" s="130"/>
      <c r="AR254" s="19"/>
      <c r="AS254" s="19"/>
      <c r="AT254" s="19"/>
    </row>
    <row r="255" spans="1:46" ht="12.5" x14ac:dyDescent="0.2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30"/>
      <c r="AQ255" s="130"/>
      <c r="AR255" s="19"/>
      <c r="AS255" s="19"/>
      <c r="AT255" s="19"/>
    </row>
    <row r="256" spans="1:46" ht="12.5" x14ac:dyDescent="0.25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30"/>
      <c r="AQ256" s="130"/>
      <c r="AR256" s="19"/>
      <c r="AS256" s="19"/>
      <c r="AT256" s="19"/>
    </row>
    <row r="257" spans="1:46" ht="12.5" x14ac:dyDescent="0.25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30"/>
      <c r="AQ257" s="130"/>
      <c r="AR257" s="19"/>
      <c r="AS257" s="19"/>
      <c r="AT257" s="19"/>
    </row>
    <row r="258" spans="1:46" ht="12.5" x14ac:dyDescent="0.25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30"/>
      <c r="AQ258" s="130"/>
      <c r="AR258" s="19"/>
      <c r="AS258" s="19"/>
      <c r="AT258" s="19"/>
    </row>
    <row r="259" spans="1:46" ht="12.5" x14ac:dyDescent="0.25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30"/>
      <c r="AQ259" s="130"/>
      <c r="AR259" s="19"/>
      <c r="AS259" s="19"/>
      <c r="AT259" s="19"/>
    </row>
    <row r="260" spans="1:46" ht="12.5" x14ac:dyDescent="0.25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30"/>
      <c r="AQ260" s="130"/>
      <c r="AR260" s="19"/>
      <c r="AS260" s="19"/>
      <c r="AT260" s="19"/>
    </row>
    <row r="261" spans="1:46" ht="12.5" x14ac:dyDescent="0.25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30"/>
      <c r="AQ261" s="130"/>
      <c r="AR261" s="19"/>
      <c r="AS261" s="19"/>
      <c r="AT261" s="19"/>
    </row>
    <row r="262" spans="1:46" ht="12.5" x14ac:dyDescent="0.25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30"/>
      <c r="AQ262" s="130"/>
      <c r="AR262" s="19"/>
      <c r="AS262" s="19"/>
      <c r="AT262" s="19"/>
    </row>
    <row r="263" spans="1:46" ht="12.5" x14ac:dyDescent="0.25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30"/>
      <c r="AQ263" s="130"/>
      <c r="AR263" s="19"/>
      <c r="AS263" s="19"/>
      <c r="AT263" s="19"/>
    </row>
    <row r="264" spans="1:46" ht="12.5" x14ac:dyDescent="0.25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30"/>
      <c r="AQ264" s="130"/>
      <c r="AR264" s="19"/>
      <c r="AS264" s="19"/>
      <c r="AT264" s="19"/>
    </row>
    <row r="265" spans="1:46" ht="12.5" x14ac:dyDescent="0.2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30"/>
      <c r="AQ265" s="130"/>
      <c r="AR265" s="19"/>
      <c r="AS265" s="19"/>
      <c r="AT265" s="19"/>
    </row>
    <row r="266" spans="1:46" ht="12.5" x14ac:dyDescent="0.25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30"/>
      <c r="AQ266" s="130"/>
      <c r="AR266" s="19"/>
      <c r="AS266" s="19"/>
      <c r="AT266" s="19"/>
    </row>
    <row r="267" spans="1:46" ht="12.5" x14ac:dyDescent="0.2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30"/>
      <c r="AQ267" s="130"/>
      <c r="AR267" s="19"/>
      <c r="AS267" s="19"/>
      <c r="AT267" s="19"/>
    </row>
    <row r="268" spans="1:46" ht="12.5" x14ac:dyDescent="0.25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30"/>
      <c r="AQ268" s="130"/>
      <c r="AR268" s="19"/>
      <c r="AS268" s="19"/>
      <c r="AT268" s="19"/>
    </row>
    <row r="269" spans="1:46" ht="12.5" x14ac:dyDescent="0.25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30"/>
      <c r="AQ269" s="130"/>
      <c r="AR269" s="19"/>
      <c r="AS269" s="19"/>
      <c r="AT269" s="19"/>
    </row>
    <row r="270" spans="1:46" ht="12.5" x14ac:dyDescent="0.25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30"/>
      <c r="AQ270" s="130"/>
      <c r="AR270" s="19"/>
      <c r="AS270" s="19"/>
      <c r="AT270" s="19"/>
    </row>
    <row r="271" spans="1:46" ht="12.5" x14ac:dyDescent="0.25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30"/>
      <c r="AQ271" s="130"/>
      <c r="AR271" s="19"/>
      <c r="AS271" s="19"/>
      <c r="AT271" s="19"/>
    </row>
    <row r="272" spans="1:46" ht="12.5" x14ac:dyDescent="0.25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30"/>
      <c r="AQ272" s="130"/>
      <c r="AR272" s="19"/>
      <c r="AS272" s="19"/>
      <c r="AT272" s="19"/>
    </row>
    <row r="273" spans="1:46" ht="12.5" x14ac:dyDescent="0.25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30"/>
      <c r="AQ273" s="130"/>
      <c r="AR273" s="19"/>
      <c r="AS273" s="19"/>
      <c r="AT273" s="19"/>
    </row>
    <row r="274" spans="1:46" ht="12.5" x14ac:dyDescent="0.25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30"/>
      <c r="AQ274" s="130"/>
      <c r="AR274" s="19"/>
      <c r="AS274" s="19"/>
      <c r="AT274" s="19"/>
    </row>
    <row r="275" spans="1:46" ht="12.5" x14ac:dyDescent="0.2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30"/>
      <c r="AQ275" s="130"/>
      <c r="AR275" s="19"/>
      <c r="AS275" s="19"/>
      <c r="AT275" s="19"/>
    </row>
    <row r="276" spans="1:46" ht="12.5" x14ac:dyDescent="0.25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30"/>
      <c r="AQ276" s="130"/>
      <c r="AR276" s="19"/>
      <c r="AS276" s="19"/>
      <c r="AT276" s="19"/>
    </row>
    <row r="277" spans="1:46" ht="12.5" x14ac:dyDescent="0.2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30"/>
      <c r="AQ277" s="130"/>
      <c r="AR277" s="19"/>
      <c r="AS277" s="19"/>
      <c r="AT277" s="19"/>
    </row>
    <row r="278" spans="1:46" ht="12.5" x14ac:dyDescent="0.25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30"/>
      <c r="AQ278" s="130"/>
      <c r="AR278" s="19"/>
      <c r="AS278" s="19"/>
      <c r="AT278" s="19"/>
    </row>
    <row r="279" spans="1:46" ht="12.5" x14ac:dyDescent="0.25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30"/>
      <c r="AQ279" s="130"/>
      <c r="AR279" s="19"/>
      <c r="AS279" s="19"/>
      <c r="AT279" s="19"/>
    </row>
    <row r="280" spans="1:46" ht="12.5" x14ac:dyDescent="0.25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30"/>
      <c r="AQ280" s="130"/>
      <c r="AR280" s="19"/>
      <c r="AS280" s="19"/>
      <c r="AT280" s="19"/>
    </row>
    <row r="281" spans="1:46" ht="12.5" x14ac:dyDescent="0.25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30"/>
      <c r="AQ281" s="130"/>
      <c r="AR281" s="19"/>
      <c r="AS281" s="19"/>
      <c r="AT281" s="19"/>
    </row>
    <row r="282" spans="1:46" ht="12.5" x14ac:dyDescent="0.25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30"/>
      <c r="AQ282" s="130"/>
      <c r="AR282" s="19"/>
      <c r="AS282" s="19"/>
      <c r="AT282" s="19"/>
    </row>
    <row r="283" spans="1:46" ht="12.5" x14ac:dyDescent="0.25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30"/>
      <c r="AQ283" s="130"/>
      <c r="AR283" s="19"/>
      <c r="AS283" s="19"/>
      <c r="AT283" s="19"/>
    </row>
    <row r="284" spans="1:46" ht="12.5" x14ac:dyDescent="0.25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30"/>
      <c r="AQ284" s="130"/>
      <c r="AR284" s="19"/>
      <c r="AS284" s="19"/>
      <c r="AT284" s="19"/>
    </row>
    <row r="285" spans="1:46" ht="12.5" x14ac:dyDescent="0.2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30"/>
      <c r="AQ285" s="130"/>
      <c r="AR285" s="19"/>
      <c r="AS285" s="19"/>
      <c r="AT285" s="19"/>
    </row>
    <row r="286" spans="1:46" ht="12.5" x14ac:dyDescent="0.25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30"/>
      <c r="AQ286" s="130"/>
      <c r="AR286" s="19"/>
      <c r="AS286" s="19"/>
      <c r="AT286" s="19"/>
    </row>
    <row r="287" spans="1:46" ht="12.5" x14ac:dyDescent="0.25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30"/>
      <c r="AQ287" s="130"/>
      <c r="AR287" s="19"/>
      <c r="AS287" s="19"/>
      <c r="AT287" s="19"/>
    </row>
    <row r="288" spans="1:46" ht="12.5" x14ac:dyDescent="0.25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30"/>
      <c r="AQ288" s="130"/>
      <c r="AR288" s="19"/>
      <c r="AS288" s="19"/>
      <c r="AT288" s="19"/>
    </row>
    <row r="289" spans="1:46" ht="12.5" x14ac:dyDescent="0.25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30"/>
      <c r="AQ289" s="130"/>
      <c r="AR289" s="19"/>
      <c r="AS289" s="19"/>
      <c r="AT289" s="19"/>
    </row>
    <row r="290" spans="1:46" ht="12.5" x14ac:dyDescent="0.25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30"/>
      <c r="AQ290" s="130"/>
      <c r="AR290" s="19"/>
      <c r="AS290" s="19"/>
      <c r="AT290" s="19"/>
    </row>
    <row r="291" spans="1:46" ht="12.5" x14ac:dyDescent="0.25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30"/>
      <c r="AQ291" s="130"/>
      <c r="AR291" s="19"/>
      <c r="AS291" s="19"/>
      <c r="AT291" s="19"/>
    </row>
    <row r="292" spans="1:46" ht="12.5" x14ac:dyDescent="0.25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30"/>
      <c r="AQ292" s="130"/>
      <c r="AR292" s="19"/>
      <c r="AS292" s="19"/>
      <c r="AT292" s="19"/>
    </row>
    <row r="293" spans="1:46" ht="12.5" x14ac:dyDescent="0.25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30"/>
      <c r="AQ293" s="130"/>
      <c r="AR293" s="19"/>
      <c r="AS293" s="19"/>
      <c r="AT293" s="19"/>
    </row>
    <row r="294" spans="1:46" ht="12.5" x14ac:dyDescent="0.25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30"/>
      <c r="AQ294" s="130"/>
      <c r="AR294" s="19"/>
      <c r="AS294" s="19"/>
      <c r="AT294" s="19"/>
    </row>
    <row r="295" spans="1:46" ht="12.5" x14ac:dyDescent="0.2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30"/>
      <c r="AQ295" s="130"/>
      <c r="AR295" s="19"/>
      <c r="AS295" s="19"/>
      <c r="AT295" s="19"/>
    </row>
    <row r="296" spans="1:46" ht="12.5" x14ac:dyDescent="0.25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30"/>
      <c r="AQ296" s="130"/>
      <c r="AR296" s="19"/>
      <c r="AS296" s="19"/>
      <c r="AT296" s="19"/>
    </row>
    <row r="297" spans="1:46" ht="12.5" x14ac:dyDescent="0.25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30"/>
      <c r="AQ297" s="130"/>
      <c r="AR297" s="19"/>
      <c r="AS297" s="19"/>
      <c r="AT297" s="19"/>
    </row>
    <row r="298" spans="1:46" ht="12.5" x14ac:dyDescent="0.25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30"/>
      <c r="AQ298" s="130"/>
      <c r="AR298" s="19"/>
      <c r="AS298" s="19"/>
      <c r="AT298" s="19"/>
    </row>
    <row r="299" spans="1:46" ht="12.5" x14ac:dyDescent="0.25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30"/>
      <c r="AQ299" s="130"/>
      <c r="AR299" s="19"/>
      <c r="AS299" s="19"/>
      <c r="AT299" s="19"/>
    </row>
    <row r="300" spans="1:46" ht="12.5" x14ac:dyDescent="0.25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30"/>
      <c r="AQ300" s="130"/>
      <c r="AR300" s="19"/>
      <c r="AS300" s="19"/>
      <c r="AT300" s="19"/>
    </row>
    <row r="301" spans="1:46" ht="12.5" x14ac:dyDescent="0.25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30"/>
      <c r="AQ301" s="130"/>
      <c r="AR301" s="19"/>
      <c r="AS301" s="19"/>
      <c r="AT301" s="19"/>
    </row>
    <row r="302" spans="1:46" ht="12.5" x14ac:dyDescent="0.25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30"/>
      <c r="AQ302" s="130"/>
      <c r="AR302" s="19"/>
      <c r="AS302" s="19"/>
      <c r="AT302" s="19"/>
    </row>
    <row r="303" spans="1:46" ht="12.5" x14ac:dyDescent="0.25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30"/>
      <c r="AQ303" s="130"/>
      <c r="AR303" s="19"/>
      <c r="AS303" s="19"/>
      <c r="AT303" s="19"/>
    </row>
    <row r="304" spans="1:46" ht="12.5" x14ac:dyDescent="0.25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30"/>
      <c r="AQ304" s="130"/>
      <c r="AR304" s="19"/>
      <c r="AS304" s="19"/>
      <c r="AT304" s="19"/>
    </row>
    <row r="305" spans="1:46" ht="12.5" x14ac:dyDescent="0.2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30"/>
      <c r="AQ305" s="130"/>
      <c r="AR305" s="19"/>
      <c r="AS305" s="19"/>
      <c r="AT305" s="19"/>
    </row>
    <row r="306" spans="1:46" ht="12.5" x14ac:dyDescent="0.25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30"/>
      <c r="AQ306" s="130"/>
      <c r="AR306" s="19"/>
      <c r="AS306" s="19"/>
      <c r="AT306" s="19"/>
    </row>
    <row r="307" spans="1:46" ht="12.5" x14ac:dyDescent="0.25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30"/>
      <c r="AQ307" s="130"/>
      <c r="AR307" s="19"/>
      <c r="AS307" s="19"/>
      <c r="AT307" s="19"/>
    </row>
    <row r="308" spans="1:46" ht="12.5" x14ac:dyDescent="0.2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30"/>
      <c r="AQ308" s="130"/>
      <c r="AR308" s="19"/>
      <c r="AS308" s="19"/>
      <c r="AT308" s="19"/>
    </row>
    <row r="309" spans="1:46" ht="12.5" x14ac:dyDescent="0.25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30"/>
      <c r="AQ309" s="130"/>
      <c r="AR309" s="19"/>
      <c r="AS309" s="19"/>
      <c r="AT309" s="19"/>
    </row>
    <row r="310" spans="1:46" ht="12.5" x14ac:dyDescent="0.25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30"/>
      <c r="AQ310" s="130"/>
      <c r="AR310" s="19"/>
      <c r="AS310" s="19"/>
      <c r="AT310" s="19"/>
    </row>
    <row r="311" spans="1:46" ht="12.5" x14ac:dyDescent="0.25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30"/>
      <c r="AQ311" s="130"/>
      <c r="AR311" s="19"/>
      <c r="AS311" s="19"/>
      <c r="AT311" s="19"/>
    </row>
    <row r="312" spans="1:46" ht="12.5" x14ac:dyDescent="0.25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30"/>
      <c r="AQ312" s="130"/>
      <c r="AR312" s="19"/>
      <c r="AS312" s="19"/>
      <c r="AT312" s="19"/>
    </row>
    <row r="313" spans="1:46" ht="12.5" x14ac:dyDescent="0.25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30"/>
      <c r="AQ313" s="130"/>
      <c r="AR313" s="19"/>
      <c r="AS313" s="19"/>
      <c r="AT313" s="19"/>
    </row>
    <row r="314" spans="1:46" ht="12.5" x14ac:dyDescent="0.25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30"/>
      <c r="AQ314" s="130"/>
      <c r="AR314" s="19"/>
      <c r="AS314" s="19"/>
      <c r="AT314" s="19"/>
    </row>
    <row r="315" spans="1:46" ht="12.5" x14ac:dyDescent="0.2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30"/>
      <c r="AQ315" s="130"/>
      <c r="AR315" s="19"/>
      <c r="AS315" s="19"/>
      <c r="AT315" s="19"/>
    </row>
    <row r="316" spans="1:46" ht="12.5" x14ac:dyDescent="0.25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30"/>
      <c r="AQ316" s="130"/>
      <c r="AR316" s="19"/>
      <c r="AS316" s="19"/>
      <c r="AT316" s="19"/>
    </row>
    <row r="317" spans="1:46" ht="12.5" x14ac:dyDescent="0.25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30"/>
      <c r="AQ317" s="130"/>
      <c r="AR317" s="19"/>
      <c r="AS317" s="19"/>
      <c r="AT317" s="19"/>
    </row>
    <row r="318" spans="1:46" ht="12.5" x14ac:dyDescent="0.25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30"/>
      <c r="AQ318" s="130"/>
      <c r="AR318" s="19"/>
      <c r="AS318" s="19"/>
      <c r="AT318" s="19"/>
    </row>
    <row r="319" spans="1:46" ht="12.5" x14ac:dyDescent="0.25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30"/>
      <c r="AQ319" s="130"/>
      <c r="AR319" s="19"/>
      <c r="AS319" s="19"/>
      <c r="AT319" s="19"/>
    </row>
    <row r="320" spans="1:46" ht="12.5" x14ac:dyDescent="0.25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30"/>
      <c r="AQ320" s="130"/>
      <c r="AR320" s="19"/>
      <c r="AS320" s="19"/>
      <c r="AT320" s="19"/>
    </row>
    <row r="321" spans="1:46" ht="12.5" x14ac:dyDescent="0.25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30"/>
      <c r="AQ321" s="130"/>
      <c r="AR321" s="19"/>
      <c r="AS321" s="19"/>
      <c r="AT321" s="19"/>
    </row>
    <row r="322" spans="1:46" ht="12.5" x14ac:dyDescent="0.25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30"/>
      <c r="AQ322" s="130"/>
      <c r="AR322" s="19"/>
      <c r="AS322" s="19"/>
      <c r="AT322" s="19"/>
    </row>
    <row r="323" spans="1:46" ht="12.5" x14ac:dyDescent="0.25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30"/>
      <c r="AQ323" s="130"/>
      <c r="AR323" s="19"/>
      <c r="AS323" s="19"/>
      <c r="AT323" s="19"/>
    </row>
    <row r="324" spans="1:46" ht="12.5" x14ac:dyDescent="0.25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30"/>
      <c r="AQ324" s="130"/>
      <c r="AR324" s="19"/>
      <c r="AS324" s="19"/>
      <c r="AT324" s="19"/>
    </row>
    <row r="325" spans="1:46" ht="12.5" x14ac:dyDescent="0.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30"/>
      <c r="AQ325" s="130"/>
      <c r="AR325" s="19"/>
      <c r="AS325" s="19"/>
      <c r="AT325" s="19"/>
    </row>
    <row r="326" spans="1:46" ht="12.5" x14ac:dyDescent="0.25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30"/>
      <c r="AQ326" s="130"/>
      <c r="AR326" s="19"/>
      <c r="AS326" s="19"/>
      <c r="AT326" s="19"/>
    </row>
    <row r="327" spans="1:46" ht="12.5" x14ac:dyDescent="0.25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30"/>
      <c r="AQ327" s="130"/>
      <c r="AR327" s="19"/>
      <c r="AS327" s="19"/>
      <c r="AT327" s="19"/>
    </row>
    <row r="328" spans="1:46" ht="12.5" x14ac:dyDescent="0.25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30"/>
      <c r="AQ328" s="130"/>
      <c r="AR328" s="19"/>
      <c r="AS328" s="19"/>
      <c r="AT328" s="19"/>
    </row>
    <row r="329" spans="1:46" ht="12.5" x14ac:dyDescent="0.25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30"/>
      <c r="AQ329" s="130"/>
      <c r="AR329" s="19"/>
      <c r="AS329" s="19"/>
      <c r="AT329" s="19"/>
    </row>
    <row r="330" spans="1:46" ht="12.5" x14ac:dyDescent="0.25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30"/>
      <c r="AQ330" s="130"/>
      <c r="AR330" s="19"/>
      <c r="AS330" s="19"/>
      <c r="AT330" s="19"/>
    </row>
    <row r="331" spans="1:46" ht="12.5" x14ac:dyDescent="0.25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30"/>
      <c r="AQ331" s="130"/>
      <c r="AR331" s="19"/>
      <c r="AS331" s="19"/>
      <c r="AT331" s="19"/>
    </row>
    <row r="332" spans="1:46" ht="12.5" x14ac:dyDescent="0.25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30"/>
      <c r="AQ332" s="130"/>
      <c r="AR332" s="19"/>
      <c r="AS332" s="19"/>
      <c r="AT332" s="19"/>
    </row>
    <row r="333" spans="1:46" ht="12.5" x14ac:dyDescent="0.25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30"/>
      <c r="AQ333" s="130"/>
      <c r="AR333" s="19"/>
      <c r="AS333" s="19"/>
      <c r="AT333" s="19"/>
    </row>
    <row r="334" spans="1:46" ht="12.5" x14ac:dyDescent="0.2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30"/>
      <c r="AQ334" s="130"/>
      <c r="AR334" s="19"/>
      <c r="AS334" s="19"/>
      <c r="AT334" s="19"/>
    </row>
    <row r="335" spans="1:46" ht="12.5" x14ac:dyDescent="0.2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30"/>
      <c r="AQ335" s="130"/>
      <c r="AR335" s="19"/>
      <c r="AS335" s="19"/>
      <c r="AT335" s="19"/>
    </row>
    <row r="336" spans="1:46" ht="12.5" x14ac:dyDescent="0.25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30"/>
      <c r="AQ336" s="130"/>
      <c r="AR336" s="19"/>
      <c r="AS336" s="19"/>
      <c r="AT336" s="19"/>
    </row>
    <row r="337" spans="1:46" ht="12.5" x14ac:dyDescent="0.25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30"/>
      <c r="AQ337" s="130"/>
      <c r="AR337" s="19"/>
      <c r="AS337" s="19"/>
      <c r="AT337" s="19"/>
    </row>
    <row r="338" spans="1:46" ht="12.5" x14ac:dyDescent="0.25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30"/>
      <c r="AQ338" s="130"/>
      <c r="AR338" s="19"/>
      <c r="AS338" s="19"/>
      <c r="AT338" s="19"/>
    </row>
    <row r="339" spans="1:46" ht="12.5" x14ac:dyDescent="0.25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30"/>
      <c r="AQ339" s="130"/>
      <c r="AR339" s="19"/>
      <c r="AS339" s="19"/>
      <c r="AT339" s="19"/>
    </row>
    <row r="340" spans="1:46" ht="12.5" x14ac:dyDescent="0.25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30"/>
      <c r="AQ340" s="130"/>
      <c r="AR340" s="19"/>
      <c r="AS340" s="19"/>
      <c r="AT340" s="19"/>
    </row>
    <row r="341" spans="1:46" ht="12.5" x14ac:dyDescent="0.25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30"/>
      <c r="AQ341" s="130"/>
      <c r="AR341" s="19"/>
      <c r="AS341" s="19"/>
      <c r="AT341" s="19"/>
    </row>
    <row r="342" spans="1:46" ht="12.5" x14ac:dyDescent="0.25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30"/>
      <c r="AQ342" s="130"/>
      <c r="AR342" s="19"/>
      <c r="AS342" s="19"/>
      <c r="AT342" s="19"/>
    </row>
    <row r="343" spans="1:46" ht="12.5" x14ac:dyDescent="0.25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30"/>
      <c r="AQ343" s="130"/>
      <c r="AR343" s="19"/>
      <c r="AS343" s="19"/>
      <c r="AT343" s="19"/>
    </row>
    <row r="344" spans="1:46" ht="12.5" x14ac:dyDescent="0.25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30"/>
      <c r="AQ344" s="130"/>
      <c r="AR344" s="19"/>
      <c r="AS344" s="19"/>
      <c r="AT344" s="19"/>
    </row>
    <row r="345" spans="1:46" ht="12.5" x14ac:dyDescent="0.2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30"/>
      <c r="AQ345" s="130"/>
      <c r="AR345" s="19"/>
      <c r="AS345" s="19"/>
      <c r="AT345" s="19"/>
    </row>
    <row r="346" spans="1:46" ht="12.5" x14ac:dyDescent="0.25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30"/>
      <c r="AQ346" s="130"/>
      <c r="AR346" s="19"/>
      <c r="AS346" s="19"/>
      <c r="AT346" s="19"/>
    </row>
    <row r="347" spans="1:46" ht="12.5" x14ac:dyDescent="0.25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30"/>
      <c r="AQ347" s="130"/>
      <c r="AR347" s="19"/>
      <c r="AS347" s="19"/>
      <c r="AT347" s="19"/>
    </row>
    <row r="348" spans="1:46" ht="12.5" x14ac:dyDescent="0.25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30"/>
      <c r="AQ348" s="130"/>
      <c r="AR348" s="19"/>
      <c r="AS348" s="19"/>
      <c r="AT348" s="19"/>
    </row>
    <row r="349" spans="1:46" ht="12.5" x14ac:dyDescent="0.25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30"/>
      <c r="AQ349" s="130"/>
      <c r="AR349" s="19"/>
      <c r="AS349" s="19"/>
      <c r="AT349" s="19"/>
    </row>
    <row r="350" spans="1:46" ht="12.5" x14ac:dyDescent="0.2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30"/>
      <c r="AQ350" s="130"/>
      <c r="AR350" s="19"/>
      <c r="AS350" s="19"/>
      <c r="AT350" s="19"/>
    </row>
    <row r="351" spans="1:46" ht="12.5" x14ac:dyDescent="0.25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30"/>
      <c r="AQ351" s="130"/>
      <c r="AR351" s="19"/>
      <c r="AS351" s="19"/>
      <c r="AT351" s="19"/>
    </row>
    <row r="352" spans="1:46" ht="12.5" x14ac:dyDescent="0.25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30"/>
      <c r="AQ352" s="130"/>
      <c r="AR352" s="19"/>
      <c r="AS352" s="19"/>
      <c r="AT352" s="19"/>
    </row>
    <row r="353" spans="1:46" ht="12.5" x14ac:dyDescent="0.25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30"/>
      <c r="AQ353" s="130"/>
      <c r="AR353" s="19"/>
      <c r="AS353" s="19"/>
      <c r="AT353" s="19"/>
    </row>
    <row r="354" spans="1:46" ht="12.5" x14ac:dyDescent="0.25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30"/>
      <c r="AQ354" s="130"/>
      <c r="AR354" s="19"/>
      <c r="AS354" s="19"/>
      <c r="AT354" s="19"/>
    </row>
    <row r="355" spans="1:46" ht="12.5" x14ac:dyDescent="0.2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30"/>
      <c r="AQ355" s="130"/>
      <c r="AR355" s="19"/>
      <c r="AS355" s="19"/>
      <c r="AT355" s="19"/>
    </row>
    <row r="356" spans="1:46" ht="12.5" x14ac:dyDescent="0.25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30"/>
      <c r="AQ356" s="130"/>
      <c r="AR356" s="19"/>
      <c r="AS356" s="19"/>
      <c r="AT356" s="19"/>
    </row>
    <row r="357" spans="1:46" ht="12.5" x14ac:dyDescent="0.25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30"/>
      <c r="AQ357" s="130"/>
      <c r="AR357" s="19"/>
      <c r="AS357" s="19"/>
      <c r="AT357" s="19"/>
    </row>
    <row r="358" spans="1:46" ht="12.5" x14ac:dyDescent="0.25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30"/>
      <c r="AQ358" s="130"/>
      <c r="AR358" s="19"/>
      <c r="AS358" s="19"/>
      <c r="AT358" s="19"/>
    </row>
    <row r="359" spans="1:46" ht="12.5" x14ac:dyDescent="0.25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30"/>
      <c r="AQ359" s="130"/>
      <c r="AR359" s="19"/>
      <c r="AS359" s="19"/>
      <c r="AT359" s="19"/>
    </row>
    <row r="360" spans="1:46" ht="12.5" x14ac:dyDescent="0.25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30"/>
      <c r="AQ360" s="130"/>
      <c r="AR360" s="19"/>
      <c r="AS360" s="19"/>
      <c r="AT360" s="19"/>
    </row>
    <row r="361" spans="1:46" ht="12.5" x14ac:dyDescent="0.25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30"/>
      <c r="AQ361" s="130"/>
      <c r="AR361" s="19"/>
      <c r="AS361" s="19"/>
      <c r="AT361" s="19"/>
    </row>
    <row r="362" spans="1:46" ht="12.5" x14ac:dyDescent="0.25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30"/>
      <c r="AQ362" s="130"/>
      <c r="AR362" s="19"/>
      <c r="AS362" s="19"/>
      <c r="AT362" s="19"/>
    </row>
    <row r="363" spans="1:46" ht="12.5" x14ac:dyDescent="0.25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30"/>
      <c r="AQ363" s="130"/>
      <c r="AR363" s="19"/>
      <c r="AS363" s="19"/>
      <c r="AT363" s="19"/>
    </row>
    <row r="364" spans="1:46" ht="12.5" x14ac:dyDescent="0.25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30"/>
      <c r="AQ364" s="130"/>
      <c r="AR364" s="19"/>
      <c r="AS364" s="19"/>
      <c r="AT364" s="19"/>
    </row>
    <row r="365" spans="1:46" ht="12.5" x14ac:dyDescent="0.2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30"/>
      <c r="AQ365" s="130"/>
      <c r="AR365" s="19"/>
      <c r="AS365" s="19"/>
      <c r="AT365" s="19"/>
    </row>
    <row r="366" spans="1:46" ht="12.5" x14ac:dyDescent="0.25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30"/>
      <c r="AQ366" s="130"/>
      <c r="AR366" s="19"/>
      <c r="AS366" s="19"/>
      <c r="AT366" s="19"/>
    </row>
    <row r="367" spans="1:46" ht="12.5" x14ac:dyDescent="0.25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30"/>
      <c r="AQ367" s="130"/>
      <c r="AR367" s="19"/>
      <c r="AS367" s="19"/>
      <c r="AT367" s="19"/>
    </row>
    <row r="368" spans="1:46" ht="12.5" x14ac:dyDescent="0.25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30"/>
      <c r="AQ368" s="130"/>
      <c r="AR368" s="19"/>
      <c r="AS368" s="19"/>
      <c r="AT368" s="19"/>
    </row>
    <row r="369" spans="1:46" ht="12.5" x14ac:dyDescent="0.25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30"/>
      <c r="AQ369" s="130"/>
      <c r="AR369" s="19"/>
      <c r="AS369" s="19"/>
      <c r="AT369" s="19"/>
    </row>
    <row r="370" spans="1:46" ht="12.5" x14ac:dyDescent="0.25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30"/>
      <c r="AQ370" s="130"/>
      <c r="AR370" s="19"/>
      <c r="AS370" s="19"/>
      <c r="AT370" s="19"/>
    </row>
    <row r="371" spans="1:46" ht="12.5" x14ac:dyDescent="0.25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30"/>
      <c r="AQ371" s="130"/>
      <c r="AR371" s="19"/>
      <c r="AS371" s="19"/>
      <c r="AT371" s="19"/>
    </row>
    <row r="372" spans="1:46" ht="12.5" x14ac:dyDescent="0.25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30"/>
      <c r="AQ372" s="130"/>
      <c r="AR372" s="19"/>
      <c r="AS372" s="19"/>
      <c r="AT372" s="19"/>
    </row>
    <row r="373" spans="1:46" ht="12.5" x14ac:dyDescent="0.25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30"/>
      <c r="AQ373" s="130"/>
      <c r="AR373" s="19"/>
      <c r="AS373" s="19"/>
      <c r="AT373" s="19"/>
    </row>
    <row r="374" spans="1:46" ht="12.5" x14ac:dyDescent="0.25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30"/>
      <c r="AQ374" s="130"/>
      <c r="AR374" s="19"/>
      <c r="AS374" s="19"/>
      <c r="AT374" s="19"/>
    </row>
    <row r="375" spans="1:46" ht="12.5" x14ac:dyDescent="0.2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30"/>
      <c r="AQ375" s="130"/>
      <c r="AR375" s="19"/>
      <c r="AS375" s="19"/>
      <c r="AT375" s="19"/>
    </row>
    <row r="376" spans="1:46" ht="12.5" x14ac:dyDescent="0.25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30"/>
      <c r="AQ376" s="130"/>
      <c r="AR376" s="19"/>
      <c r="AS376" s="19"/>
      <c r="AT376" s="19"/>
    </row>
    <row r="377" spans="1:46" ht="12.5" x14ac:dyDescent="0.25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30"/>
      <c r="AQ377" s="130"/>
      <c r="AR377" s="19"/>
      <c r="AS377" s="19"/>
      <c r="AT377" s="19"/>
    </row>
    <row r="378" spans="1:46" ht="12.5" x14ac:dyDescent="0.25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30"/>
      <c r="AQ378" s="130"/>
      <c r="AR378" s="19"/>
      <c r="AS378" s="19"/>
      <c r="AT378" s="19"/>
    </row>
    <row r="379" spans="1:46" ht="12.5" x14ac:dyDescent="0.25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30"/>
      <c r="AQ379" s="130"/>
      <c r="AR379" s="19"/>
      <c r="AS379" s="19"/>
      <c r="AT379" s="19"/>
    </row>
    <row r="380" spans="1:46" ht="12.5" x14ac:dyDescent="0.25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30"/>
      <c r="AQ380" s="130"/>
      <c r="AR380" s="19"/>
      <c r="AS380" s="19"/>
      <c r="AT380" s="19"/>
    </row>
    <row r="381" spans="1:46" ht="12.5" x14ac:dyDescent="0.25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30"/>
      <c r="AQ381" s="130"/>
      <c r="AR381" s="19"/>
      <c r="AS381" s="19"/>
      <c r="AT381" s="19"/>
    </row>
    <row r="382" spans="1:46" ht="12.5" x14ac:dyDescent="0.25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30"/>
      <c r="AQ382" s="130"/>
      <c r="AR382" s="19"/>
      <c r="AS382" s="19"/>
      <c r="AT382" s="19"/>
    </row>
    <row r="383" spans="1:46" ht="12.5" x14ac:dyDescent="0.25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30"/>
      <c r="AQ383" s="130"/>
      <c r="AR383" s="19"/>
      <c r="AS383" s="19"/>
      <c r="AT383" s="19"/>
    </row>
    <row r="384" spans="1:46" ht="12.5" x14ac:dyDescent="0.25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30"/>
      <c r="AQ384" s="130"/>
      <c r="AR384" s="19"/>
      <c r="AS384" s="19"/>
      <c r="AT384" s="19"/>
    </row>
    <row r="385" spans="1:46" ht="12.5" x14ac:dyDescent="0.2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30"/>
      <c r="AQ385" s="130"/>
      <c r="AR385" s="19"/>
      <c r="AS385" s="19"/>
      <c r="AT385" s="19"/>
    </row>
    <row r="386" spans="1:46" ht="12.5" x14ac:dyDescent="0.25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30"/>
      <c r="AQ386" s="130"/>
      <c r="AR386" s="19"/>
      <c r="AS386" s="19"/>
      <c r="AT386" s="19"/>
    </row>
    <row r="387" spans="1:46" ht="12.5" x14ac:dyDescent="0.25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30"/>
      <c r="AQ387" s="130"/>
      <c r="AR387" s="19"/>
      <c r="AS387" s="19"/>
      <c r="AT387" s="19"/>
    </row>
    <row r="388" spans="1:46" ht="12.5" x14ac:dyDescent="0.25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30"/>
      <c r="AQ388" s="130"/>
      <c r="AR388" s="19"/>
      <c r="AS388" s="19"/>
      <c r="AT388" s="19"/>
    </row>
    <row r="389" spans="1:46" ht="12.5" x14ac:dyDescent="0.25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30"/>
      <c r="AQ389" s="130"/>
      <c r="AR389" s="19"/>
      <c r="AS389" s="19"/>
      <c r="AT389" s="19"/>
    </row>
    <row r="390" spans="1:46" ht="12.5" x14ac:dyDescent="0.25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30"/>
      <c r="AQ390" s="130"/>
      <c r="AR390" s="19"/>
      <c r="AS390" s="19"/>
      <c r="AT390" s="19"/>
    </row>
    <row r="391" spans="1:46" ht="12.5" x14ac:dyDescent="0.25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30"/>
      <c r="AQ391" s="130"/>
      <c r="AR391" s="19"/>
      <c r="AS391" s="19"/>
      <c r="AT391" s="19"/>
    </row>
    <row r="392" spans="1:46" ht="12.5" x14ac:dyDescent="0.25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30"/>
      <c r="AQ392" s="130"/>
      <c r="AR392" s="19"/>
      <c r="AS392" s="19"/>
      <c r="AT392" s="19"/>
    </row>
    <row r="393" spans="1:46" ht="12.5" x14ac:dyDescent="0.25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30"/>
      <c r="AQ393" s="130"/>
      <c r="AR393" s="19"/>
      <c r="AS393" s="19"/>
      <c r="AT393" s="19"/>
    </row>
    <row r="394" spans="1:46" ht="12.5" x14ac:dyDescent="0.25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30"/>
      <c r="AQ394" s="130"/>
      <c r="AR394" s="19"/>
      <c r="AS394" s="19"/>
      <c r="AT394" s="19"/>
    </row>
    <row r="395" spans="1:46" ht="12.5" x14ac:dyDescent="0.2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30"/>
      <c r="AQ395" s="130"/>
      <c r="AR395" s="19"/>
      <c r="AS395" s="19"/>
      <c r="AT395" s="19"/>
    </row>
    <row r="396" spans="1:46" ht="12.5" x14ac:dyDescent="0.2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30"/>
      <c r="AQ396" s="130"/>
      <c r="AR396" s="19"/>
      <c r="AS396" s="19"/>
      <c r="AT396" s="19"/>
    </row>
    <row r="397" spans="1:46" ht="12.5" x14ac:dyDescent="0.25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30"/>
      <c r="AQ397" s="130"/>
      <c r="AR397" s="19"/>
      <c r="AS397" s="19"/>
      <c r="AT397" s="19"/>
    </row>
    <row r="398" spans="1:46" ht="12.5" x14ac:dyDescent="0.25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30"/>
      <c r="AQ398" s="130"/>
      <c r="AR398" s="19"/>
      <c r="AS398" s="19"/>
      <c r="AT398" s="19"/>
    </row>
    <row r="399" spans="1:46" ht="12.5" x14ac:dyDescent="0.25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30"/>
      <c r="AQ399" s="130"/>
      <c r="AR399" s="19"/>
      <c r="AS399" s="19"/>
      <c r="AT399" s="19"/>
    </row>
    <row r="400" spans="1:46" ht="12.5" x14ac:dyDescent="0.25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30"/>
      <c r="AQ400" s="130"/>
      <c r="AR400" s="19"/>
      <c r="AS400" s="19"/>
      <c r="AT400" s="19"/>
    </row>
    <row r="401" spans="1:46" ht="12.5" x14ac:dyDescent="0.25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30"/>
      <c r="AQ401" s="130"/>
      <c r="AR401" s="19"/>
      <c r="AS401" s="19"/>
      <c r="AT401" s="19"/>
    </row>
    <row r="402" spans="1:46" ht="12.5" x14ac:dyDescent="0.25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30"/>
      <c r="AQ402" s="130"/>
      <c r="AR402" s="19"/>
      <c r="AS402" s="19"/>
      <c r="AT402" s="19"/>
    </row>
    <row r="403" spans="1:46" ht="12.5" x14ac:dyDescent="0.2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30"/>
      <c r="AQ403" s="130"/>
      <c r="AR403" s="19"/>
      <c r="AS403" s="19"/>
      <c r="AT403" s="19"/>
    </row>
    <row r="404" spans="1:46" ht="12.5" x14ac:dyDescent="0.25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30"/>
      <c r="AQ404" s="130"/>
      <c r="AR404" s="19"/>
      <c r="AS404" s="19"/>
      <c r="AT404" s="19"/>
    </row>
    <row r="405" spans="1:46" ht="12.5" x14ac:dyDescent="0.2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30"/>
      <c r="AQ405" s="130"/>
      <c r="AR405" s="19"/>
      <c r="AS405" s="19"/>
      <c r="AT405" s="19"/>
    </row>
    <row r="406" spans="1:46" ht="12.5" x14ac:dyDescent="0.25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30"/>
      <c r="AQ406" s="130"/>
      <c r="AR406" s="19"/>
      <c r="AS406" s="19"/>
      <c r="AT406" s="19"/>
    </row>
    <row r="407" spans="1:46" ht="12.5" x14ac:dyDescent="0.25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30"/>
      <c r="AQ407" s="130"/>
      <c r="AR407" s="19"/>
      <c r="AS407" s="19"/>
      <c r="AT407" s="19"/>
    </row>
    <row r="408" spans="1:46" ht="12.5" x14ac:dyDescent="0.25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30"/>
      <c r="AQ408" s="130"/>
      <c r="AR408" s="19"/>
      <c r="AS408" s="19"/>
      <c r="AT408" s="19"/>
    </row>
    <row r="409" spans="1:46" ht="12.5" x14ac:dyDescent="0.25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30"/>
      <c r="AQ409" s="130"/>
      <c r="AR409" s="19"/>
      <c r="AS409" s="19"/>
      <c r="AT409" s="19"/>
    </row>
    <row r="410" spans="1:46" ht="12.5" x14ac:dyDescent="0.25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30"/>
      <c r="AQ410" s="130"/>
      <c r="AR410" s="19"/>
      <c r="AS410" s="19"/>
      <c r="AT410" s="19"/>
    </row>
    <row r="411" spans="1:46" ht="12.5" x14ac:dyDescent="0.25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30"/>
      <c r="AQ411" s="130"/>
      <c r="AR411" s="19"/>
      <c r="AS411" s="19"/>
      <c r="AT411" s="19"/>
    </row>
    <row r="412" spans="1:46" ht="12.5" x14ac:dyDescent="0.25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30"/>
      <c r="AQ412" s="130"/>
      <c r="AR412" s="19"/>
      <c r="AS412" s="19"/>
      <c r="AT412" s="19"/>
    </row>
    <row r="413" spans="1:46" ht="12.5" x14ac:dyDescent="0.25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30"/>
      <c r="AQ413" s="130"/>
      <c r="AR413" s="19"/>
      <c r="AS413" s="19"/>
      <c r="AT413" s="19"/>
    </row>
    <row r="414" spans="1:46" ht="12.5" x14ac:dyDescent="0.25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30"/>
      <c r="AQ414" s="130"/>
      <c r="AR414" s="19"/>
      <c r="AS414" s="19"/>
      <c r="AT414" s="19"/>
    </row>
    <row r="415" spans="1:46" ht="12.5" x14ac:dyDescent="0.2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30"/>
      <c r="AQ415" s="130"/>
      <c r="AR415" s="19"/>
      <c r="AS415" s="19"/>
      <c r="AT415" s="19"/>
    </row>
    <row r="416" spans="1:46" ht="12.5" x14ac:dyDescent="0.25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30"/>
      <c r="AQ416" s="130"/>
      <c r="AR416" s="19"/>
      <c r="AS416" s="19"/>
      <c r="AT416" s="19"/>
    </row>
    <row r="417" spans="1:46" ht="12.5" x14ac:dyDescent="0.25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30"/>
      <c r="AQ417" s="130"/>
      <c r="AR417" s="19"/>
      <c r="AS417" s="19"/>
      <c r="AT417" s="19"/>
    </row>
    <row r="418" spans="1:46" ht="12.5" x14ac:dyDescent="0.25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30"/>
      <c r="AQ418" s="130"/>
      <c r="AR418" s="19"/>
      <c r="AS418" s="19"/>
      <c r="AT418" s="19"/>
    </row>
    <row r="419" spans="1:46" ht="12.5" x14ac:dyDescent="0.2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30"/>
      <c r="AQ419" s="130"/>
      <c r="AR419" s="19"/>
      <c r="AS419" s="19"/>
      <c r="AT419" s="19"/>
    </row>
    <row r="420" spans="1:46" ht="12.5" x14ac:dyDescent="0.25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30"/>
      <c r="AQ420" s="130"/>
      <c r="AR420" s="19"/>
      <c r="AS420" s="19"/>
      <c r="AT420" s="19"/>
    </row>
    <row r="421" spans="1:46" ht="12.5" x14ac:dyDescent="0.25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30"/>
      <c r="AQ421" s="130"/>
      <c r="AR421" s="19"/>
      <c r="AS421" s="19"/>
      <c r="AT421" s="19"/>
    </row>
    <row r="422" spans="1:46" ht="12.5" x14ac:dyDescent="0.25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30"/>
      <c r="AQ422" s="130"/>
      <c r="AR422" s="19"/>
      <c r="AS422" s="19"/>
      <c r="AT422" s="19"/>
    </row>
    <row r="423" spans="1:46" ht="12.5" x14ac:dyDescent="0.25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30"/>
      <c r="AQ423" s="130"/>
      <c r="AR423" s="19"/>
      <c r="AS423" s="19"/>
      <c r="AT423" s="19"/>
    </row>
    <row r="424" spans="1:46" ht="12.5" x14ac:dyDescent="0.25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30"/>
      <c r="AQ424" s="130"/>
      <c r="AR424" s="19"/>
      <c r="AS424" s="19"/>
      <c r="AT424" s="19"/>
    </row>
    <row r="425" spans="1:46" ht="12.5" x14ac:dyDescent="0.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30"/>
      <c r="AQ425" s="130"/>
      <c r="AR425" s="19"/>
      <c r="AS425" s="19"/>
      <c r="AT425" s="19"/>
    </row>
    <row r="426" spans="1:46" ht="12.5" x14ac:dyDescent="0.2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30"/>
      <c r="AQ426" s="130"/>
      <c r="AR426" s="19"/>
      <c r="AS426" s="19"/>
      <c r="AT426" s="19"/>
    </row>
    <row r="427" spans="1:46" ht="12.5" x14ac:dyDescent="0.25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30"/>
      <c r="AQ427" s="130"/>
      <c r="AR427" s="19"/>
      <c r="AS427" s="19"/>
      <c r="AT427" s="19"/>
    </row>
    <row r="428" spans="1:46" ht="12.5" x14ac:dyDescent="0.25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30"/>
      <c r="AQ428" s="130"/>
      <c r="AR428" s="19"/>
      <c r="AS428" s="19"/>
      <c r="AT428" s="19"/>
    </row>
    <row r="429" spans="1:46" ht="12.5" x14ac:dyDescent="0.25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30"/>
      <c r="AQ429" s="130"/>
      <c r="AR429" s="19"/>
      <c r="AS429" s="19"/>
      <c r="AT429" s="19"/>
    </row>
    <row r="430" spans="1:46" ht="12.5" x14ac:dyDescent="0.25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30"/>
      <c r="AQ430" s="130"/>
      <c r="AR430" s="19"/>
      <c r="AS430" s="19"/>
      <c r="AT430" s="19"/>
    </row>
    <row r="431" spans="1:46" ht="12.5" x14ac:dyDescent="0.25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30"/>
      <c r="AQ431" s="130"/>
      <c r="AR431" s="19"/>
      <c r="AS431" s="19"/>
      <c r="AT431" s="19"/>
    </row>
    <row r="432" spans="1:46" ht="12.5" x14ac:dyDescent="0.25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30"/>
      <c r="AQ432" s="130"/>
      <c r="AR432" s="19"/>
      <c r="AS432" s="19"/>
      <c r="AT432" s="19"/>
    </row>
    <row r="433" spans="1:46" ht="12.5" x14ac:dyDescent="0.25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30"/>
      <c r="AQ433" s="130"/>
      <c r="AR433" s="19"/>
      <c r="AS433" s="19"/>
      <c r="AT433" s="19"/>
    </row>
    <row r="434" spans="1:46" ht="12.5" x14ac:dyDescent="0.25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30"/>
      <c r="AQ434" s="130"/>
      <c r="AR434" s="19"/>
      <c r="AS434" s="19"/>
      <c r="AT434" s="19"/>
    </row>
    <row r="435" spans="1:46" ht="12.5" x14ac:dyDescent="0.2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30"/>
      <c r="AQ435" s="130"/>
      <c r="AR435" s="19"/>
      <c r="AS435" s="19"/>
      <c r="AT435" s="19"/>
    </row>
    <row r="436" spans="1:46" ht="12.5" x14ac:dyDescent="0.25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30"/>
      <c r="AQ436" s="130"/>
      <c r="AR436" s="19"/>
      <c r="AS436" s="19"/>
      <c r="AT436" s="19"/>
    </row>
    <row r="437" spans="1:46" ht="12.5" x14ac:dyDescent="0.25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30"/>
      <c r="AQ437" s="130"/>
      <c r="AR437" s="19"/>
      <c r="AS437" s="19"/>
      <c r="AT437" s="19"/>
    </row>
    <row r="438" spans="1:46" ht="12.5" x14ac:dyDescent="0.25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30"/>
      <c r="AQ438" s="130"/>
      <c r="AR438" s="19"/>
      <c r="AS438" s="19"/>
      <c r="AT438" s="19"/>
    </row>
    <row r="439" spans="1:46" ht="12.5" x14ac:dyDescent="0.25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30"/>
      <c r="AQ439" s="130"/>
      <c r="AR439" s="19"/>
      <c r="AS439" s="19"/>
      <c r="AT439" s="19"/>
    </row>
    <row r="440" spans="1:46" ht="12.5" x14ac:dyDescent="0.2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30"/>
      <c r="AQ440" s="130"/>
      <c r="AR440" s="19"/>
      <c r="AS440" s="19"/>
      <c r="AT440" s="19"/>
    </row>
    <row r="441" spans="1:46" ht="12.5" x14ac:dyDescent="0.25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30"/>
      <c r="AQ441" s="130"/>
      <c r="AR441" s="19"/>
      <c r="AS441" s="19"/>
      <c r="AT441" s="19"/>
    </row>
    <row r="442" spans="1:46" ht="12.5" x14ac:dyDescent="0.25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30"/>
      <c r="AQ442" s="130"/>
      <c r="AR442" s="19"/>
      <c r="AS442" s="19"/>
      <c r="AT442" s="19"/>
    </row>
    <row r="443" spans="1:46" ht="12.5" x14ac:dyDescent="0.2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30"/>
      <c r="AQ443" s="130"/>
      <c r="AR443" s="19"/>
      <c r="AS443" s="19"/>
      <c r="AT443" s="19"/>
    </row>
    <row r="444" spans="1:46" ht="12.5" x14ac:dyDescent="0.25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30"/>
      <c r="AQ444" s="130"/>
      <c r="AR444" s="19"/>
      <c r="AS444" s="19"/>
      <c r="AT444" s="19"/>
    </row>
    <row r="445" spans="1:46" ht="12.5" x14ac:dyDescent="0.2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30"/>
      <c r="AQ445" s="130"/>
      <c r="AR445" s="19"/>
      <c r="AS445" s="19"/>
      <c r="AT445" s="19"/>
    </row>
    <row r="446" spans="1:46" ht="12.5" x14ac:dyDescent="0.25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30"/>
      <c r="AQ446" s="130"/>
      <c r="AR446" s="19"/>
      <c r="AS446" s="19"/>
      <c r="AT446" s="19"/>
    </row>
    <row r="447" spans="1:46" ht="12.5" x14ac:dyDescent="0.25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30"/>
      <c r="AQ447" s="130"/>
      <c r="AR447" s="19"/>
      <c r="AS447" s="19"/>
      <c r="AT447" s="19"/>
    </row>
    <row r="448" spans="1:46" ht="12.5" x14ac:dyDescent="0.25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30"/>
      <c r="AQ448" s="130"/>
      <c r="AR448" s="19"/>
      <c r="AS448" s="19"/>
      <c r="AT448" s="19"/>
    </row>
    <row r="449" spans="1:46" ht="12.5" x14ac:dyDescent="0.25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30"/>
      <c r="AQ449" s="130"/>
      <c r="AR449" s="19"/>
      <c r="AS449" s="19"/>
      <c r="AT449" s="19"/>
    </row>
    <row r="450" spans="1:46" ht="12.5" x14ac:dyDescent="0.25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30"/>
      <c r="AQ450" s="130"/>
      <c r="AR450" s="19"/>
      <c r="AS450" s="19"/>
      <c r="AT450" s="19"/>
    </row>
    <row r="451" spans="1:46" ht="12.5" x14ac:dyDescent="0.25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30"/>
      <c r="AQ451" s="130"/>
      <c r="AR451" s="19"/>
      <c r="AS451" s="19"/>
      <c r="AT451" s="19"/>
    </row>
    <row r="452" spans="1:46" ht="12.5" x14ac:dyDescent="0.25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30"/>
      <c r="AQ452" s="130"/>
      <c r="AR452" s="19"/>
      <c r="AS452" s="19"/>
      <c r="AT452" s="19"/>
    </row>
    <row r="453" spans="1:46" ht="12.5" x14ac:dyDescent="0.25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30"/>
      <c r="AQ453" s="130"/>
      <c r="AR453" s="19"/>
      <c r="AS453" s="19"/>
      <c r="AT453" s="19"/>
    </row>
    <row r="454" spans="1:46" ht="12.5" x14ac:dyDescent="0.25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30"/>
      <c r="AQ454" s="130"/>
      <c r="AR454" s="19"/>
      <c r="AS454" s="19"/>
      <c r="AT454" s="19"/>
    </row>
    <row r="455" spans="1:46" ht="12.5" x14ac:dyDescent="0.2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30"/>
      <c r="AQ455" s="130"/>
      <c r="AR455" s="19"/>
      <c r="AS455" s="19"/>
      <c r="AT455" s="19"/>
    </row>
    <row r="456" spans="1:46" ht="12.5" x14ac:dyDescent="0.25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30"/>
      <c r="AQ456" s="130"/>
      <c r="AR456" s="19"/>
      <c r="AS456" s="19"/>
      <c r="AT456" s="19"/>
    </row>
    <row r="457" spans="1:46" ht="12.5" x14ac:dyDescent="0.2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30"/>
      <c r="AQ457" s="130"/>
      <c r="AR457" s="19"/>
      <c r="AS457" s="19"/>
      <c r="AT457" s="19"/>
    </row>
    <row r="458" spans="1:46" ht="12.5" x14ac:dyDescent="0.25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30"/>
      <c r="AQ458" s="130"/>
      <c r="AR458" s="19"/>
      <c r="AS458" s="19"/>
      <c r="AT458" s="19"/>
    </row>
    <row r="459" spans="1:46" ht="12.5" x14ac:dyDescent="0.25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30"/>
      <c r="AQ459" s="130"/>
      <c r="AR459" s="19"/>
      <c r="AS459" s="19"/>
      <c r="AT459" s="19"/>
    </row>
    <row r="460" spans="1:46" ht="12.5" x14ac:dyDescent="0.25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30"/>
      <c r="AQ460" s="130"/>
      <c r="AR460" s="19"/>
      <c r="AS460" s="19"/>
      <c r="AT460" s="19"/>
    </row>
    <row r="461" spans="1:46" ht="12.5" x14ac:dyDescent="0.25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30"/>
      <c r="AQ461" s="130"/>
      <c r="AR461" s="19"/>
      <c r="AS461" s="19"/>
      <c r="AT461" s="19"/>
    </row>
    <row r="462" spans="1:46" ht="12.5" x14ac:dyDescent="0.25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30"/>
      <c r="AQ462" s="130"/>
      <c r="AR462" s="19"/>
      <c r="AS462" s="19"/>
      <c r="AT462" s="19"/>
    </row>
    <row r="463" spans="1:46" ht="12.5" x14ac:dyDescent="0.25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30"/>
      <c r="AQ463" s="130"/>
      <c r="AR463" s="19"/>
      <c r="AS463" s="19"/>
      <c r="AT463" s="19"/>
    </row>
    <row r="464" spans="1:46" ht="12.5" x14ac:dyDescent="0.25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30"/>
      <c r="AQ464" s="130"/>
      <c r="AR464" s="19"/>
      <c r="AS464" s="19"/>
      <c r="AT464" s="19"/>
    </row>
    <row r="465" spans="1:46" ht="12.5" x14ac:dyDescent="0.2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30"/>
      <c r="AQ465" s="130"/>
      <c r="AR465" s="19"/>
      <c r="AS465" s="19"/>
      <c r="AT465" s="19"/>
    </row>
    <row r="466" spans="1:46" ht="12.5" x14ac:dyDescent="0.25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30"/>
      <c r="AQ466" s="130"/>
      <c r="AR466" s="19"/>
      <c r="AS466" s="19"/>
      <c r="AT466" s="19"/>
    </row>
    <row r="467" spans="1:46" ht="12.5" x14ac:dyDescent="0.25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30"/>
      <c r="AQ467" s="130"/>
      <c r="AR467" s="19"/>
      <c r="AS467" s="19"/>
      <c r="AT467" s="19"/>
    </row>
    <row r="468" spans="1:46" ht="12.5" x14ac:dyDescent="0.25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30"/>
      <c r="AQ468" s="130"/>
      <c r="AR468" s="19"/>
      <c r="AS468" s="19"/>
      <c r="AT468" s="19"/>
    </row>
    <row r="469" spans="1:46" ht="12.5" x14ac:dyDescent="0.25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30"/>
      <c r="AQ469" s="130"/>
      <c r="AR469" s="19"/>
      <c r="AS469" s="19"/>
      <c r="AT469" s="19"/>
    </row>
    <row r="470" spans="1:46" ht="12.5" x14ac:dyDescent="0.25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30"/>
      <c r="AQ470" s="130"/>
      <c r="AR470" s="19"/>
      <c r="AS470" s="19"/>
      <c r="AT470" s="19"/>
    </row>
    <row r="471" spans="1:46" ht="12.5" x14ac:dyDescent="0.25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30"/>
      <c r="AQ471" s="130"/>
      <c r="AR471" s="19"/>
      <c r="AS471" s="19"/>
      <c r="AT471" s="19"/>
    </row>
    <row r="472" spans="1:46" ht="12.5" x14ac:dyDescent="0.25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30"/>
      <c r="AQ472" s="130"/>
      <c r="AR472" s="19"/>
      <c r="AS472" s="19"/>
      <c r="AT472" s="19"/>
    </row>
    <row r="473" spans="1:46" ht="12.5" x14ac:dyDescent="0.25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30"/>
      <c r="AQ473" s="130"/>
      <c r="AR473" s="19"/>
      <c r="AS473" s="19"/>
      <c r="AT473" s="19"/>
    </row>
    <row r="474" spans="1:46" ht="12.5" x14ac:dyDescent="0.25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30"/>
      <c r="AQ474" s="130"/>
      <c r="AR474" s="19"/>
      <c r="AS474" s="19"/>
      <c r="AT474" s="19"/>
    </row>
    <row r="475" spans="1:46" ht="12.5" x14ac:dyDescent="0.2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30"/>
      <c r="AQ475" s="130"/>
      <c r="AR475" s="19"/>
      <c r="AS475" s="19"/>
      <c r="AT475" s="19"/>
    </row>
    <row r="476" spans="1:46" ht="12.5" x14ac:dyDescent="0.25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30"/>
      <c r="AQ476" s="130"/>
      <c r="AR476" s="19"/>
      <c r="AS476" s="19"/>
      <c r="AT476" s="19"/>
    </row>
    <row r="477" spans="1:46" ht="12.5" x14ac:dyDescent="0.25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30"/>
      <c r="AQ477" s="130"/>
      <c r="AR477" s="19"/>
      <c r="AS477" s="19"/>
      <c r="AT477" s="19"/>
    </row>
    <row r="478" spans="1:46" ht="12.5" x14ac:dyDescent="0.25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30"/>
      <c r="AQ478" s="130"/>
      <c r="AR478" s="19"/>
      <c r="AS478" s="19"/>
      <c r="AT478" s="19"/>
    </row>
    <row r="479" spans="1:46" ht="12.5" x14ac:dyDescent="0.25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30"/>
      <c r="AQ479" s="130"/>
      <c r="AR479" s="19"/>
      <c r="AS479" s="19"/>
      <c r="AT479" s="19"/>
    </row>
    <row r="480" spans="1:46" ht="12.5" x14ac:dyDescent="0.25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30"/>
      <c r="AQ480" s="130"/>
      <c r="AR480" s="19"/>
      <c r="AS480" s="19"/>
      <c r="AT480" s="19"/>
    </row>
    <row r="481" spans="1:46" ht="12.5" x14ac:dyDescent="0.25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30"/>
      <c r="AQ481" s="130"/>
      <c r="AR481" s="19"/>
      <c r="AS481" s="19"/>
      <c r="AT481" s="19"/>
    </row>
    <row r="482" spans="1:46" ht="12.5" x14ac:dyDescent="0.25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30"/>
      <c r="AQ482" s="130"/>
      <c r="AR482" s="19"/>
      <c r="AS482" s="19"/>
      <c r="AT482" s="19"/>
    </row>
    <row r="483" spans="1:46" ht="12.5" x14ac:dyDescent="0.25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19"/>
      <c r="AL483" s="19"/>
      <c r="AM483" s="19"/>
      <c r="AN483" s="19"/>
      <c r="AO483" s="19"/>
      <c r="AP483" s="130"/>
      <c r="AQ483" s="130"/>
      <c r="AR483" s="19"/>
      <c r="AS483" s="19"/>
      <c r="AT483" s="19"/>
    </row>
    <row r="484" spans="1:46" ht="12.5" x14ac:dyDescent="0.25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  <c r="AK484" s="19"/>
      <c r="AL484" s="19"/>
      <c r="AM484" s="19"/>
      <c r="AN484" s="19"/>
      <c r="AO484" s="19"/>
      <c r="AP484" s="130"/>
      <c r="AQ484" s="130"/>
      <c r="AR484" s="19"/>
      <c r="AS484" s="19"/>
      <c r="AT484" s="19"/>
    </row>
    <row r="485" spans="1:46" ht="12.5" x14ac:dyDescent="0.2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30"/>
      <c r="AQ485" s="130"/>
      <c r="AR485" s="19"/>
      <c r="AS485" s="19"/>
      <c r="AT485" s="19"/>
    </row>
    <row r="486" spans="1:46" ht="12.5" x14ac:dyDescent="0.25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30"/>
      <c r="AQ486" s="130"/>
      <c r="AR486" s="19"/>
      <c r="AS486" s="19"/>
      <c r="AT486" s="19"/>
    </row>
    <row r="487" spans="1:46" ht="12.5" x14ac:dyDescent="0.25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30"/>
      <c r="AQ487" s="130"/>
      <c r="AR487" s="19"/>
      <c r="AS487" s="19"/>
      <c r="AT487" s="19"/>
    </row>
    <row r="488" spans="1:46" ht="12.5" x14ac:dyDescent="0.25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30"/>
      <c r="AQ488" s="130"/>
      <c r="AR488" s="19"/>
      <c r="AS488" s="19"/>
      <c r="AT488" s="19"/>
    </row>
    <row r="489" spans="1:46" ht="12.5" x14ac:dyDescent="0.25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30"/>
      <c r="AQ489" s="130"/>
      <c r="AR489" s="19"/>
      <c r="AS489" s="19"/>
      <c r="AT489" s="19"/>
    </row>
    <row r="490" spans="1:46" ht="12.5" x14ac:dyDescent="0.25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30"/>
      <c r="AQ490" s="130"/>
      <c r="AR490" s="19"/>
      <c r="AS490" s="19"/>
      <c r="AT490" s="19"/>
    </row>
    <row r="491" spans="1:46" ht="12.5" x14ac:dyDescent="0.25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30"/>
      <c r="AQ491" s="130"/>
      <c r="AR491" s="19"/>
      <c r="AS491" s="19"/>
      <c r="AT491" s="19"/>
    </row>
    <row r="492" spans="1:46" ht="12.5" x14ac:dyDescent="0.25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30"/>
      <c r="AQ492" s="130"/>
      <c r="AR492" s="19"/>
      <c r="AS492" s="19"/>
      <c r="AT492" s="19"/>
    </row>
    <row r="493" spans="1:46" ht="12.5" x14ac:dyDescent="0.25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30"/>
      <c r="AQ493" s="130"/>
      <c r="AR493" s="19"/>
      <c r="AS493" s="19"/>
      <c r="AT493" s="19"/>
    </row>
    <row r="494" spans="1:46" ht="12.5" x14ac:dyDescent="0.25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30"/>
      <c r="AQ494" s="130"/>
      <c r="AR494" s="19"/>
      <c r="AS494" s="19"/>
      <c r="AT494" s="19"/>
    </row>
    <row r="495" spans="1:46" ht="12.5" x14ac:dyDescent="0.2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30"/>
      <c r="AQ495" s="130"/>
      <c r="AR495" s="19"/>
      <c r="AS495" s="19"/>
      <c r="AT495" s="19"/>
    </row>
    <row r="496" spans="1:46" ht="12.5" x14ac:dyDescent="0.25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30"/>
      <c r="AQ496" s="130"/>
      <c r="AR496" s="19"/>
      <c r="AS496" s="19"/>
      <c r="AT496" s="19"/>
    </row>
    <row r="497" spans="1:46" ht="12.5" x14ac:dyDescent="0.25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30"/>
      <c r="AQ497" s="130"/>
      <c r="AR497" s="19"/>
      <c r="AS497" s="19"/>
      <c r="AT497" s="19"/>
    </row>
    <row r="498" spans="1:46" ht="12.5" x14ac:dyDescent="0.25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30"/>
      <c r="AQ498" s="130"/>
      <c r="AR498" s="19"/>
      <c r="AS498" s="19"/>
      <c r="AT498" s="19"/>
    </row>
    <row r="499" spans="1:46" ht="12.5" x14ac:dyDescent="0.25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30"/>
      <c r="AQ499" s="130"/>
      <c r="AR499" s="19"/>
      <c r="AS499" s="19"/>
      <c r="AT499" s="19"/>
    </row>
    <row r="500" spans="1:46" ht="12.5" x14ac:dyDescent="0.25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30"/>
      <c r="AQ500" s="130"/>
      <c r="AR500" s="19"/>
      <c r="AS500" s="19"/>
      <c r="AT500" s="19"/>
    </row>
    <row r="501" spans="1:46" ht="12.5" x14ac:dyDescent="0.2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30"/>
      <c r="AQ501" s="130"/>
      <c r="AR501" s="19"/>
      <c r="AS501" s="19"/>
      <c r="AT501" s="19"/>
    </row>
    <row r="502" spans="1:46" ht="12.5" x14ac:dyDescent="0.25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30"/>
      <c r="AQ502" s="130"/>
      <c r="AR502" s="19"/>
      <c r="AS502" s="19"/>
      <c r="AT502" s="19"/>
    </row>
    <row r="503" spans="1:46" ht="12.5" x14ac:dyDescent="0.25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30"/>
      <c r="AQ503" s="130"/>
      <c r="AR503" s="19"/>
      <c r="AS503" s="19"/>
      <c r="AT503" s="19"/>
    </row>
    <row r="504" spans="1:46" ht="12.5" x14ac:dyDescent="0.25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30"/>
      <c r="AQ504" s="130"/>
      <c r="AR504" s="19"/>
      <c r="AS504" s="19"/>
      <c r="AT504" s="19"/>
    </row>
    <row r="505" spans="1:46" ht="12.5" x14ac:dyDescent="0.2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30"/>
      <c r="AQ505" s="130"/>
      <c r="AR505" s="19"/>
      <c r="AS505" s="19"/>
      <c r="AT505" s="19"/>
    </row>
    <row r="506" spans="1:46" ht="12.5" x14ac:dyDescent="0.25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30"/>
      <c r="AQ506" s="130"/>
      <c r="AR506" s="19"/>
      <c r="AS506" s="19"/>
      <c r="AT506" s="19"/>
    </row>
    <row r="507" spans="1:46" ht="12.5" x14ac:dyDescent="0.25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30"/>
      <c r="AQ507" s="130"/>
      <c r="AR507" s="19"/>
      <c r="AS507" s="19"/>
      <c r="AT507" s="19"/>
    </row>
    <row r="508" spans="1:46" ht="12.5" x14ac:dyDescent="0.25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30"/>
      <c r="AQ508" s="130"/>
      <c r="AR508" s="19"/>
      <c r="AS508" s="19"/>
      <c r="AT508" s="19"/>
    </row>
    <row r="509" spans="1:46" ht="12.5" x14ac:dyDescent="0.25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30"/>
      <c r="AQ509" s="130"/>
      <c r="AR509" s="19"/>
      <c r="AS509" s="19"/>
      <c r="AT509" s="19"/>
    </row>
    <row r="510" spans="1:46" ht="12.5" x14ac:dyDescent="0.25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30"/>
      <c r="AQ510" s="130"/>
      <c r="AR510" s="19"/>
      <c r="AS510" s="19"/>
      <c r="AT510" s="19"/>
    </row>
    <row r="511" spans="1:46" ht="12.5" x14ac:dyDescent="0.25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30"/>
      <c r="AQ511" s="130"/>
      <c r="AR511" s="19"/>
      <c r="AS511" s="19"/>
      <c r="AT511" s="19"/>
    </row>
    <row r="512" spans="1:46" ht="12.5" x14ac:dyDescent="0.25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30"/>
      <c r="AQ512" s="130"/>
      <c r="AR512" s="19"/>
      <c r="AS512" s="19"/>
      <c r="AT512" s="19"/>
    </row>
    <row r="513" spans="1:46" ht="12.5" x14ac:dyDescent="0.25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30"/>
      <c r="AQ513" s="130"/>
      <c r="AR513" s="19"/>
      <c r="AS513" s="19"/>
      <c r="AT513" s="19"/>
    </row>
    <row r="514" spans="1:46" ht="12.5" x14ac:dyDescent="0.25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30"/>
      <c r="AQ514" s="130"/>
      <c r="AR514" s="19"/>
      <c r="AS514" s="19"/>
      <c r="AT514" s="19"/>
    </row>
    <row r="515" spans="1:46" ht="12.5" x14ac:dyDescent="0.2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30"/>
      <c r="AQ515" s="130"/>
      <c r="AR515" s="19"/>
      <c r="AS515" s="19"/>
      <c r="AT515" s="19"/>
    </row>
    <row r="516" spans="1:46" ht="12.5" x14ac:dyDescent="0.25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30"/>
      <c r="AQ516" s="130"/>
      <c r="AR516" s="19"/>
      <c r="AS516" s="19"/>
      <c r="AT516" s="19"/>
    </row>
    <row r="517" spans="1:46" ht="12.5" x14ac:dyDescent="0.25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30"/>
      <c r="AQ517" s="130"/>
      <c r="AR517" s="19"/>
      <c r="AS517" s="19"/>
      <c r="AT517" s="19"/>
    </row>
    <row r="518" spans="1:46" ht="12.5" x14ac:dyDescent="0.25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30"/>
      <c r="AQ518" s="130"/>
      <c r="AR518" s="19"/>
      <c r="AS518" s="19"/>
      <c r="AT518" s="19"/>
    </row>
    <row r="519" spans="1:46" ht="12.5" x14ac:dyDescent="0.25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30"/>
      <c r="AQ519" s="130"/>
      <c r="AR519" s="19"/>
      <c r="AS519" s="19"/>
      <c r="AT519" s="19"/>
    </row>
    <row r="520" spans="1:46" ht="12.5" x14ac:dyDescent="0.25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30"/>
      <c r="AQ520" s="130"/>
      <c r="AR520" s="19"/>
      <c r="AS520" s="19"/>
      <c r="AT520" s="19"/>
    </row>
    <row r="521" spans="1:46" ht="12.5" x14ac:dyDescent="0.25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30"/>
      <c r="AQ521" s="130"/>
      <c r="AR521" s="19"/>
      <c r="AS521" s="19"/>
      <c r="AT521" s="19"/>
    </row>
    <row r="522" spans="1:46" ht="12.5" x14ac:dyDescent="0.25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30"/>
      <c r="AQ522" s="130"/>
      <c r="AR522" s="19"/>
      <c r="AS522" s="19"/>
      <c r="AT522" s="19"/>
    </row>
    <row r="523" spans="1:46" ht="12.5" x14ac:dyDescent="0.25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30"/>
      <c r="AQ523" s="130"/>
      <c r="AR523" s="19"/>
      <c r="AS523" s="19"/>
      <c r="AT523" s="19"/>
    </row>
    <row r="524" spans="1:46" ht="12.5" x14ac:dyDescent="0.25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30"/>
      <c r="AQ524" s="130"/>
      <c r="AR524" s="19"/>
      <c r="AS524" s="19"/>
      <c r="AT524" s="19"/>
    </row>
    <row r="525" spans="1:46" ht="12.5" x14ac:dyDescent="0.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30"/>
      <c r="AQ525" s="130"/>
      <c r="AR525" s="19"/>
      <c r="AS525" s="19"/>
      <c r="AT525" s="19"/>
    </row>
    <row r="526" spans="1:46" ht="12.5" x14ac:dyDescent="0.25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30"/>
      <c r="AQ526" s="130"/>
      <c r="AR526" s="19"/>
      <c r="AS526" s="19"/>
      <c r="AT526" s="19"/>
    </row>
    <row r="527" spans="1:46" ht="12.5" x14ac:dyDescent="0.25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30"/>
      <c r="AQ527" s="130"/>
      <c r="AR527" s="19"/>
      <c r="AS527" s="19"/>
      <c r="AT527" s="19"/>
    </row>
    <row r="528" spans="1:46" ht="12.5" x14ac:dyDescent="0.25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30"/>
      <c r="AQ528" s="130"/>
      <c r="AR528" s="19"/>
      <c r="AS528" s="19"/>
      <c r="AT528" s="19"/>
    </row>
    <row r="529" spans="1:46" ht="12.5" x14ac:dyDescent="0.25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30"/>
      <c r="AQ529" s="130"/>
      <c r="AR529" s="19"/>
      <c r="AS529" s="19"/>
      <c r="AT529" s="19"/>
    </row>
    <row r="530" spans="1:46" ht="12.5" x14ac:dyDescent="0.25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30"/>
      <c r="AQ530" s="130"/>
      <c r="AR530" s="19"/>
      <c r="AS530" s="19"/>
      <c r="AT530" s="19"/>
    </row>
    <row r="531" spans="1:46" ht="12.5" x14ac:dyDescent="0.25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30"/>
      <c r="AQ531" s="130"/>
      <c r="AR531" s="19"/>
      <c r="AS531" s="19"/>
      <c r="AT531" s="19"/>
    </row>
    <row r="532" spans="1:46" ht="12.5" x14ac:dyDescent="0.25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30"/>
      <c r="AQ532" s="130"/>
      <c r="AR532" s="19"/>
      <c r="AS532" s="19"/>
      <c r="AT532" s="19"/>
    </row>
    <row r="533" spans="1:46" ht="12.5" x14ac:dyDescent="0.25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30"/>
      <c r="AQ533" s="130"/>
      <c r="AR533" s="19"/>
      <c r="AS533" s="19"/>
      <c r="AT533" s="19"/>
    </row>
    <row r="534" spans="1:46" ht="12.5" x14ac:dyDescent="0.25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30"/>
      <c r="AQ534" s="130"/>
      <c r="AR534" s="19"/>
      <c r="AS534" s="19"/>
      <c r="AT534" s="19"/>
    </row>
    <row r="535" spans="1:46" ht="12.5" x14ac:dyDescent="0.2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30"/>
      <c r="AQ535" s="130"/>
      <c r="AR535" s="19"/>
      <c r="AS535" s="19"/>
      <c r="AT535" s="19"/>
    </row>
    <row r="536" spans="1:46" ht="12.5" x14ac:dyDescent="0.25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30"/>
      <c r="AQ536" s="130"/>
      <c r="AR536" s="19"/>
      <c r="AS536" s="19"/>
      <c r="AT536" s="19"/>
    </row>
    <row r="537" spans="1:46" ht="12.5" x14ac:dyDescent="0.25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30"/>
      <c r="AQ537" s="130"/>
      <c r="AR537" s="19"/>
      <c r="AS537" s="19"/>
      <c r="AT537" s="19"/>
    </row>
    <row r="538" spans="1:46" ht="12.5" x14ac:dyDescent="0.25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30"/>
      <c r="AQ538" s="130"/>
      <c r="AR538" s="19"/>
      <c r="AS538" s="19"/>
      <c r="AT538" s="19"/>
    </row>
    <row r="539" spans="1:46" ht="12.5" x14ac:dyDescent="0.25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30"/>
      <c r="AQ539" s="130"/>
      <c r="AR539" s="19"/>
      <c r="AS539" s="19"/>
      <c r="AT539" s="19"/>
    </row>
    <row r="540" spans="1:46" ht="12.5" x14ac:dyDescent="0.25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30"/>
      <c r="AQ540" s="130"/>
      <c r="AR540" s="19"/>
      <c r="AS540" s="19"/>
      <c r="AT540" s="19"/>
    </row>
    <row r="541" spans="1:46" ht="12.5" x14ac:dyDescent="0.25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30"/>
      <c r="AQ541" s="130"/>
      <c r="AR541" s="19"/>
      <c r="AS541" s="19"/>
      <c r="AT541" s="19"/>
    </row>
    <row r="542" spans="1:46" ht="12.5" x14ac:dyDescent="0.25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30"/>
      <c r="AQ542" s="130"/>
      <c r="AR542" s="19"/>
      <c r="AS542" s="19"/>
      <c r="AT542" s="19"/>
    </row>
    <row r="543" spans="1:46" ht="12.5" x14ac:dyDescent="0.25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30"/>
      <c r="AQ543" s="130"/>
      <c r="AR543" s="19"/>
      <c r="AS543" s="19"/>
      <c r="AT543" s="19"/>
    </row>
    <row r="544" spans="1:46" ht="12.5" x14ac:dyDescent="0.25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30"/>
      <c r="AQ544" s="130"/>
      <c r="AR544" s="19"/>
      <c r="AS544" s="19"/>
      <c r="AT544" s="19"/>
    </row>
    <row r="545" spans="1:46" ht="12.5" x14ac:dyDescent="0.2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30"/>
      <c r="AQ545" s="130"/>
      <c r="AR545" s="19"/>
      <c r="AS545" s="19"/>
      <c r="AT545" s="19"/>
    </row>
    <row r="546" spans="1:46" ht="12.5" x14ac:dyDescent="0.25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30"/>
      <c r="AQ546" s="130"/>
      <c r="AR546" s="19"/>
      <c r="AS546" s="19"/>
      <c r="AT546" s="19"/>
    </row>
    <row r="547" spans="1:46" ht="12.5" x14ac:dyDescent="0.25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30"/>
      <c r="AQ547" s="130"/>
      <c r="AR547" s="19"/>
      <c r="AS547" s="19"/>
      <c r="AT547" s="19"/>
    </row>
    <row r="548" spans="1:46" ht="12.5" x14ac:dyDescent="0.25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30"/>
      <c r="AQ548" s="130"/>
      <c r="AR548" s="19"/>
      <c r="AS548" s="19"/>
      <c r="AT548" s="19"/>
    </row>
    <row r="549" spans="1:46" ht="12.5" x14ac:dyDescent="0.25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30"/>
      <c r="AQ549" s="130"/>
      <c r="AR549" s="19"/>
      <c r="AS549" s="19"/>
      <c r="AT549" s="19"/>
    </row>
    <row r="550" spans="1:46" ht="12.5" x14ac:dyDescent="0.25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30"/>
      <c r="AQ550" s="130"/>
      <c r="AR550" s="19"/>
      <c r="AS550" s="19"/>
      <c r="AT550" s="19"/>
    </row>
    <row r="551" spans="1:46" ht="12.5" x14ac:dyDescent="0.25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30"/>
      <c r="AQ551" s="130"/>
      <c r="AR551" s="19"/>
      <c r="AS551" s="19"/>
      <c r="AT551" s="19"/>
    </row>
    <row r="552" spans="1:46" ht="12.5" x14ac:dyDescent="0.25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30"/>
      <c r="AQ552" s="130"/>
      <c r="AR552" s="19"/>
      <c r="AS552" s="19"/>
      <c r="AT552" s="19"/>
    </row>
    <row r="553" spans="1:46" ht="12.5" x14ac:dyDescent="0.25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30"/>
      <c r="AQ553" s="130"/>
      <c r="AR553" s="19"/>
      <c r="AS553" s="19"/>
      <c r="AT553" s="19"/>
    </row>
    <row r="554" spans="1:46" ht="12.5" x14ac:dyDescent="0.25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30"/>
      <c r="AQ554" s="130"/>
      <c r="AR554" s="19"/>
      <c r="AS554" s="19"/>
      <c r="AT554" s="19"/>
    </row>
    <row r="555" spans="1:46" ht="12.5" x14ac:dyDescent="0.2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30"/>
      <c r="AQ555" s="130"/>
      <c r="AR555" s="19"/>
      <c r="AS555" s="19"/>
      <c r="AT555" s="19"/>
    </row>
    <row r="556" spans="1:46" ht="12.5" x14ac:dyDescent="0.25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30"/>
      <c r="AQ556" s="130"/>
      <c r="AR556" s="19"/>
      <c r="AS556" s="19"/>
      <c r="AT556" s="19"/>
    </row>
    <row r="557" spans="1:46" ht="12.5" x14ac:dyDescent="0.25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30"/>
      <c r="AQ557" s="130"/>
      <c r="AR557" s="19"/>
      <c r="AS557" s="19"/>
      <c r="AT557" s="19"/>
    </row>
    <row r="558" spans="1:46" ht="12.5" x14ac:dyDescent="0.25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30"/>
      <c r="AQ558" s="130"/>
      <c r="AR558" s="19"/>
      <c r="AS558" s="19"/>
      <c r="AT558" s="19"/>
    </row>
    <row r="559" spans="1:46" ht="12.5" x14ac:dyDescent="0.25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30"/>
      <c r="AQ559" s="130"/>
      <c r="AR559" s="19"/>
      <c r="AS559" s="19"/>
      <c r="AT559" s="19"/>
    </row>
    <row r="560" spans="1:46" ht="12.5" x14ac:dyDescent="0.25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30"/>
      <c r="AQ560" s="130"/>
      <c r="AR560" s="19"/>
      <c r="AS560" s="19"/>
      <c r="AT560" s="19"/>
    </row>
    <row r="561" spans="1:46" ht="12.5" x14ac:dyDescent="0.25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30"/>
      <c r="AQ561" s="130"/>
      <c r="AR561" s="19"/>
      <c r="AS561" s="19"/>
      <c r="AT561" s="19"/>
    </row>
    <row r="562" spans="1:46" ht="12.5" x14ac:dyDescent="0.25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30"/>
      <c r="AQ562" s="130"/>
      <c r="AR562" s="19"/>
      <c r="AS562" s="19"/>
      <c r="AT562" s="19"/>
    </row>
    <row r="563" spans="1:46" ht="12.5" x14ac:dyDescent="0.25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30"/>
      <c r="AQ563" s="130"/>
      <c r="AR563" s="19"/>
      <c r="AS563" s="19"/>
      <c r="AT563" s="19"/>
    </row>
    <row r="564" spans="1:46" ht="12.5" x14ac:dyDescent="0.25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30"/>
      <c r="AQ564" s="130"/>
      <c r="AR564" s="19"/>
      <c r="AS564" s="19"/>
      <c r="AT564" s="19"/>
    </row>
    <row r="565" spans="1:46" ht="12.5" x14ac:dyDescent="0.2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30"/>
      <c r="AQ565" s="130"/>
      <c r="AR565" s="19"/>
      <c r="AS565" s="19"/>
      <c r="AT565" s="19"/>
    </row>
    <row r="566" spans="1:46" ht="12.5" x14ac:dyDescent="0.25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30"/>
      <c r="AQ566" s="130"/>
      <c r="AR566" s="19"/>
      <c r="AS566" s="19"/>
      <c r="AT566" s="19"/>
    </row>
    <row r="567" spans="1:46" ht="12.5" x14ac:dyDescent="0.25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30"/>
      <c r="AQ567" s="130"/>
      <c r="AR567" s="19"/>
      <c r="AS567" s="19"/>
      <c r="AT567" s="19"/>
    </row>
    <row r="568" spans="1:46" ht="12.5" x14ac:dyDescent="0.25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30"/>
      <c r="AQ568" s="130"/>
      <c r="AR568" s="19"/>
      <c r="AS568" s="19"/>
      <c r="AT568" s="19"/>
    </row>
    <row r="569" spans="1:46" ht="12.5" x14ac:dyDescent="0.25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30"/>
      <c r="AQ569" s="130"/>
      <c r="AR569" s="19"/>
      <c r="AS569" s="19"/>
      <c r="AT569" s="19"/>
    </row>
    <row r="570" spans="1:46" ht="12.5" x14ac:dyDescent="0.25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30"/>
      <c r="AQ570" s="130"/>
      <c r="AR570" s="19"/>
      <c r="AS570" s="19"/>
      <c r="AT570" s="19"/>
    </row>
    <row r="571" spans="1:46" ht="12.5" x14ac:dyDescent="0.25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30"/>
      <c r="AQ571" s="130"/>
      <c r="AR571" s="19"/>
      <c r="AS571" s="19"/>
      <c r="AT571" s="19"/>
    </row>
    <row r="572" spans="1:46" ht="12.5" x14ac:dyDescent="0.25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30"/>
      <c r="AQ572" s="130"/>
      <c r="AR572" s="19"/>
      <c r="AS572" s="19"/>
      <c r="AT572" s="19"/>
    </row>
    <row r="573" spans="1:46" ht="12.5" x14ac:dyDescent="0.25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30"/>
      <c r="AQ573" s="130"/>
      <c r="AR573" s="19"/>
      <c r="AS573" s="19"/>
      <c r="AT573" s="19"/>
    </row>
    <row r="574" spans="1:46" ht="12.5" x14ac:dyDescent="0.25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30"/>
      <c r="AQ574" s="130"/>
      <c r="AR574" s="19"/>
      <c r="AS574" s="19"/>
      <c r="AT574" s="19"/>
    </row>
    <row r="575" spans="1:46" ht="12.5" x14ac:dyDescent="0.2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30"/>
      <c r="AQ575" s="130"/>
      <c r="AR575" s="19"/>
      <c r="AS575" s="19"/>
      <c r="AT575" s="19"/>
    </row>
    <row r="576" spans="1:46" ht="12.5" x14ac:dyDescent="0.25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30"/>
      <c r="AQ576" s="130"/>
      <c r="AR576" s="19"/>
      <c r="AS576" s="19"/>
      <c r="AT576" s="19"/>
    </row>
    <row r="577" spans="1:46" ht="12.5" x14ac:dyDescent="0.25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30"/>
      <c r="AQ577" s="130"/>
      <c r="AR577" s="19"/>
      <c r="AS577" s="19"/>
      <c r="AT577" s="19"/>
    </row>
    <row r="578" spans="1:46" ht="12.5" x14ac:dyDescent="0.25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30"/>
      <c r="AQ578" s="130"/>
      <c r="AR578" s="19"/>
      <c r="AS578" s="19"/>
      <c r="AT578" s="19"/>
    </row>
    <row r="579" spans="1:46" ht="12.5" x14ac:dyDescent="0.25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30"/>
      <c r="AQ579" s="130"/>
      <c r="AR579" s="19"/>
      <c r="AS579" s="19"/>
      <c r="AT579" s="19"/>
    </row>
    <row r="580" spans="1:46" ht="12.5" x14ac:dyDescent="0.25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30"/>
      <c r="AQ580" s="130"/>
      <c r="AR580" s="19"/>
      <c r="AS580" s="19"/>
      <c r="AT580" s="19"/>
    </row>
    <row r="581" spans="1:46" ht="12.5" x14ac:dyDescent="0.25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30"/>
      <c r="AQ581" s="130"/>
      <c r="AR581" s="19"/>
      <c r="AS581" s="19"/>
      <c r="AT581" s="19"/>
    </row>
    <row r="582" spans="1:46" ht="12.5" x14ac:dyDescent="0.25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30"/>
      <c r="AQ582" s="130"/>
      <c r="AR582" s="19"/>
      <c r="AS582" s="19"/>
      <c r="AT582" s="19"/>
    </row>
    <row r="583" spans="1:46" ht="12.5" x14ac:dyDescent="0.25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30"/>
      <c r="AQ583" s="130"/>
      <c r="AR583" s="19"/>
      <c r="AS583" s="19"/>
      <c r="AT583" s="19"/>
    </row>
    <row r="584" spans="1:46" ht="12.5" x14ac:dyDescent="0.25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30"/>
      <c r="AQ584" s="130"/>
      <c r="AR584" s="19"/>
      <c r="AS584" s="19"/>
      <c r="AT584" s="19"/>
    </row>
    <row r="585" spans="1:46" ht="12.5" x14ac:dyDescent="0.2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30"/>
      <c r="AQ585" s="130"/>
      <c r="AR585" s="19"/>
      <c r="AS585" s="19"/>
      <c r="AT585" s="19"/>
    </row>
    <row r="586" spans="1:46" ht="12.5" x14ac:dyDescent="0.25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30"/>
      <c r="AQ586" s="130"/>
      <c r="AR586" s="19"/>
      <c r="AS586" s="19"/>
      <c r="AT586" s="19"/>
    </row>
    <row r="587" spans="1:46" ht="12.5" x14ac:dyDescent="0.25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30"/>
      <c r="AQ587" s="130"/>
      <c r="AR587" s="19"/>
      <c r="AS587" s="19"/>
      <c r="AT587" s="19"/>
    </row>
    <row r="588" spans="1:46" ht="12.5" x14ac:dyDescent="0.25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30"/>
      <c r="AQ588" s="130"/>
      <c r="AR588" s="19"/>
      <c r="AS588" s="19"/>
      <c r="AT588" s="19"/>
    </row>
    <row r="589" spans="1:46" ht="12.5" x14ac:dyDescent="0.25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30"/>
      <c r="AQ589" s="130"/>
      <c r="AR589" s="19"/>
      <c r="AS589" s="19"/>
      <c r="AT589" s="19"/>
    </row>
    <row r="590" spans="1:46" ht="12.5" x14ac:dyDescent="0.25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30"/>
      <c r="AQ590" s="130"/>
      <c r="AR590" s="19"/>
      <c r="AS590" s="19"/>
      <c r="AT590" s="19"/>
    </row>
    <row r="591" spans="1:46" ht="12.5" x14ac:dyDescent="0.25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30"/>
      <c r="AQ591" s="130"/>
      <c r="AR591" s="19"/>
      <c r="AS591" s="19"/>
      <c r="AT591" s="19"/>
    </row>
    <row r="592" spans="1:46" ht="12.5" x14ac:dyDescent="0.2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30"/>
      <c r="AQ592" s="130"/>
      <c r="AR592" s="19"/>
      <c r="AS592" s="19"/>
      <c r="AT592" s="19"/>
    </row>
    <row r="593" spans="1:46" ht="12.5" x14ac:dyDescent="0.25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30"/>
      <c r="AQ593" s="130"/>
      <c r="AR593" s="19"/>
      <c r="AS593" s="19"/>
      <c r="AT593" s="19"/>
    </row>
    <row r="594" spans="1:46" ht="12.5" x14ac:dyDescent="0.25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30"/>
      <c r="AQ594" s="130"/>
      <c r="AR594" s="19"/>
      <c r="AS594" s="19"/>
      <c r="AT594" s="19"/>
    </row>
    <row r="595" spans="1:46" ht="12.5" x14ac:dyDescent="0.2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30"/>
      <c r="AQ595" s="130"/>
      <c r="AR595" s="19"/>
      <c r="AS595" s="19"/>
      <c r="AT595" s="19"/>
    </row>
    <row r="596" spans="1:46" ht="12.5" x14ac:dyDescent="0.25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30"/>
      <c r="AQ596" s="130"/>
      <c r="AR596" s="19"/>
      <c r="AS596" s="19"/>
      <c r="AT596" s="19"/>
    </row>
    <row r="597" spans="1:46" ht="12.5" x14ac:dyDescent="0.25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30"/>
      <c r="AQ597" s="130"/>
      <c r="AR597" s="19"/>
      <c r="AS597" s="19"/>
      <c r="AT597" s="19"/>
    </row>
    <row r="598" spans="1:46" ht="12.5" x14ac:dyDescent="0.25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30"/>
      <c r="AQ598" s="130"/>
      <c r="AR598" s="19"/>
      <c r="AS598" s="19"/>
      <c r="AT598" s="19"/>
    </row>
    <row r="599" spans="1:46" ht="12.5" x14ac:dyDescent="0.25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30"/>
      <c r="AQ599" s="130"/>
      <c r="AR599" s="19"/>
      <c r="AS599" s="19"/>
      <c r="AT599" s="19"/>
    </row>
    <row r="600" spans="1:46" ht="12.5" x14ac:dyDescent="0.25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30"/>
      <c r="AQ600" s="130"/>
      <c r="AR600" s="19"/>
      <c r="AS600" s="19"/>
      <c r="AT600" s="19"/>
    </row>
    <row r="601" spans="1:46" ht="12.5" x14ac:dyDescent="0.25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30"/>
      <c r="AQ601" s="130"/>
      <c r="AR601" s="19"/>
      <c r="AS601" s="19"/>
      <c r="AT601" s="19"/>
    </row>
    <row r="602" spans="1:46" ht="12.5" x14ac:dyDescent="0.25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30"/>
      <c r="AQ602" s="130"/>
      <c r="AR602" s="19"/>
      <c r="AS602" s="19"/>
      <c r="AT602" s="19"/>
    </row>
    <row r="603" spans="1:46" ht="12.5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30"/>
      <c r="AQ603" s="130"/>
      <c r="AR603" s="19"/>
      <c r="AS603" s="19"/>
      <c r="AT603" s="19"/>
    </row>
    <row r="604" spans="1:46" ht="12.5" x14ac:dyDescent="0.25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30"/>
      <c r="AQ604" s="130"/>
      <c r="AR604" s="19"/>
      <c r="AS604" s="19"/>
      <c r="AT604" s="19"/>
    </row>
    <row r="605" spans="1:46" ht="12.5" x14ac:dyDescent="0.2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30"/>
      <c r="AQ605" s="130"/>
      <c r="AR605" s="19"/>
      <c r="AS605" s="19"/>
      <c r="AT605" s="19"/>
    </row>
    <row r="606" spans="1:46" ht="12.5" x14ac:dyDescent="0.25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30"/>
      <c r="AQ606" s="130"/>
      <c r="AR606" s="19"/>
      <c r="AS606" s="19"/>
      <c r="AT606" s="19"/>
    </row>
    <row r="607" spans="1:46" ht="12.5" x14ac:dyDescent="0.25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30"/>
      <c r="AQ607" s="130"/>
      <c r="AR607" s="19"/>
      <c r="AS607" s="19"/>
      <c r="AT607" s="19"/>
    </row>
    <row r="608" spans="1:46" ht="12.5" x14ac:dyDescent="0.25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30"/>
      <c r="AQ608" s="130"/>
      <c r="AR608" s="19"/>
      <c r="AS608" s="19"/>
      <c r="AT608" s="19"/>
    </row>
    <row r="609" spans="1:46" ht="12.5" x14ac:dyDescent="0.25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30"/>
      <c r="AQ609" s="130"/>
      <c r="AR609" s="19"/>
      <c r="AS609" s="19"/>
      <c r="AT609" s="19"/>
    </row>
    <row r="610" spans="1:46" ht="12.5" x14ac:dyDescent="0.25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30"/>
      <c r="AQ610" s="130"/>
      <c r="AR610" s="19"/>
      <c r="AS610" s="19"/>
      <c r="AT610" s="19"/>
    </row>
    <row r="611" spans="1:46" ht="12.5" x14ac:dyDescent="0.25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30"/>
      <c r="AQ611" s="130"/>
      <c r="AR611" s="19"/>
      <c r="AS611" s="19"/>
      <c r="AT611" s="19"/>
    </row>
    <row r="612" spans="1:46" ht="12.5" x14ac:dyDescent="0.2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30"/>
      <c r="AQ612" s="130"/>
      <c r="AR612" s="19"/>
      <c r="AS612" s="19"/>
      <c r="AT612" s="19"/>
    </row>
    <row r="613" spans="1:46" ht="12.5" x14ac:dyDescent="0.25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30"/>
      <c r="AQ613" s="130"/>
      <c r="AR613" s="19"/>
      <c r="AS613" s="19"/>
      <c r="AT613" s="19"/>
    </row>
    <row r="614" spans="1:46" ht="12.5" x14ac:dyDescent="0.25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30"/>
      <c r="AQ614" s="130"/>
      <c r="AR614" s="19"/>
      <c r="AS614" s="19"/>
      <c r="AT614" s="19"/>
    </row>
    <row r="615" spans="1:46" ht="12.5" x14ac:dyDescent="0.2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30"/>
      <c r="AQ615" s="130"/>
      <c r="AR615" s="19"/>
      <c r="AS615" s="19"/>
      <c r="AT615" s="19"/>
    </row>
    <row r="616" spans="1:46" ht="12.5" x14ac:dyDescent="0.25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30"/>
      <c r="AQ616" s="130"/>
      <c r="AR616" s="19"/>
      <c r="AS616" s="19"/>
      <c r="AT616" s="19"/>
    </row>
    <row r="617" spans="1:46" ht="12.5" x14ac:dyDescent="0.25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30"/>
      <c r="AQ617" s="130"/>
      <c r="AR617" s="19"/>
      <c r="AS617" s="19"/>
      <c r="AT617" s="19"/>
    </row>
    <row r="618" spans="1:46" ht="12.5" x14ac:dyDescent="0.25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30"/>
      <c r="AQ618" s="130"/>
      <c r="AR618" s="19"/>
      <c r="AS618" s="19"/>
      <c r="AT618" s="19"/>
    </row>
    <row r="619" spans="1:46" ht="12.5" x14ac:dyDescent="0.25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30"/>
      <c r="AQ619" s="130"/>
      <c r="AR619" s="19"/>
      <c r="AS619" s="19"/>
      <c r="AT619" s="19"/>
    </row>
    <row r="620" spans="1:46" ht="12.5" x14ac:dyDescent="0.25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30"/>
      <c r="AQ620" s="130"/>
      <c r="AR620" s="19"/>
      <c r="AS620" s="19"/>
      <c r="AT620" s="19"/>
    </row>
    <row r="621" spans="1:46" ht="12.5" x14ac:dyDescent="0.25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30"/>
      <c r="AQ621" s="130"/>
      <c r="AR621" s="19"/>
      <c r="AS621" s="19"/>
      <c r="AT621" s="19"/>
    </row>
    <row r="622" spans="1:46" ht="12.5" x14ac:dyDescent="0.25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30"/>
      <c r="AQ622" s="130"/>
      <c r="AR622" s="19"/>
      <c r="AS622" s="19"/>
      <c r="AT622" s="19"/>
    </row>
    <row r="623" spans="1:46" ht="12.5" x14ac:dyDescent="0.25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30"/>
      <c r="AQ623" s="130"/>
      <c r="AR623" s="19"/>
      <c r="AS623" s="19"/>
      <c r="AT623" s="19"/>
    </row>
    <row r="624" spans="1:46" ht="12.5" x14ac:dyDescent="0.25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30"/>
      <c r="AQ624" s="130"/>
      <c r="AR624" s="19"/>
      <c r="AS624" s="19"/>
      <c r="AT624" s="19"/>
    </row>
    <row r="625" spans="1:46" ht="12.5" x14ac:dyDescent="0.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30"/>
      <c r="AQ625" s="130"/>
      <c r="AR625" s="19"/>
      <c r="AS625" s="19"/>
      <c r="AT625" s="19"/>
    </row>
    <row r="626" spans="1:46" ht="12.5" x14ac:dyDescent="0.25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30"/>
      <c r="AQ626" s="130"/>
      <c r="AR626" s="19"/>
      <c r="AS626" s="19"/>
      <c r="AT626" s="19"/>
    </row>
    <row r="627" spans="1:46" ht="12.5" x14ac:dyDescent="0.25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30"/>
      <c r="AQ627" s="130"/>
      <c r="AR627" s="19"/>
      <c r="AS627" s="19"/>
      <c r="AT627" s="19"/>
    </row>
    <row r="628" spans="1:46" ht="12.5" x14ac:dyDescent="0.25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30"/>
      <c r="AQ628" s="130"/>
      <c r="AR628" s="19"/>
      <c r="AS628" s="19"/>
      <c r="AT628" s="19"/>
    </row>
    <row r="629" spans="1:46" ht="12.5" x14ac:dyDescent="0.25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30"/>
      <c r="AQ629" s="130"/>
      <c r="AR629" s="19"/>
      <c r="AS629" s="19"/>
      <c r="AT629" s="19"/>
    </row>
    <row r="630" spans="1:46" ht="12.5" x14ac:dyDescent="0.25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30"/>
      <c r="AQ630" s="130"/>
      <c r="AR630" s="19"/>
      <c r="AS630" s="19"/>
      <c r="AT630" s="19"/>
    </row>
    <row r="631" spans="1:46" ht="12.5" x14ac:dyDescent="0.25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30"/>
      <c r="AQ631" s="130"/>
      <c r="AR631" s="19"/>
      <c r="AS631" s="19"/>
      <c r="AT631" s="19"/>
    </row>
    <row r="632" spans="1:46" ht="12.5" x14ac:dyDescent="0.25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30"/>
      <c r="AQ632" s="130"/>
      <c r="AR632" s="19"/>
      <c r="AS632" s="19"/>
      <c r="AT632" s="19"/>
    </row>
    <row r="633" spans="1:46" ht="12.5" x14ac:dyDescent="0.25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30"/>
      <c r="AQ633" s="130"/>
      <c r="AR633" s="19"/>
      <c r="AS633" s="19"/>
      <c r="AT633" s="19"/>
    </row>
    <row r="634" spans="1:46" ht="12.5" x14ac:dyDescent="0.25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30"/>
      <c r="AQ634" s="130"/>
      <c r="AR634" s="19"/>
      <c r="AS634" s="19"/>
      <c r="AT634" s="19"/>
    </row>
    <row r="635" spans="1:46" ht="12.5" x14ac:dyDescent="0.2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30"/>
      <c r="AQ635" s="130"/>
      <c r="AR635" s="19"/>
      <c r="AS635" s="19"/>
      <c r="AT635" s="19"/>
    </row>
    <row r="636" spans="1:46" ht="12.5" x14ac:dyDescent="0.2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30"/>
      <c r="AQ636" s="130"/>
      <c r="AR636" s="19"/>
      <c r="AS636" s="19"/>
      <c r="AT636" s="19"/>
    </row>
    <row r="637" spans="1:46" ht="12.5" x14ac:dyDescent="0.25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30"/>
      <c r="AQ637" s="130"/>
      <c r="AR637" s="19"/>
      <c r="AS637" s="19"/>
      <c r="AT637" s="19"/>
    </row>
    <row r="638" spans="1:46" ht="12.5" x14ac:dyDescent="0.25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30"/>
      <c r="AQ638" s="130"/>
      <c r="AR638" s="19"/>
      <c r="AS638" s="19"/>
      <c r="AT638" s="19"/>
    </row>
    <row r="639" spans="1:46" ht="12.5" x14ac:dyDescent="0.25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30"/>
      <c r="AQ639" s="130"/>
      <c r="AR639" s="19"/>
      <c r="AS639" s="19"/>
      <c r="AT639" s="19"/>
    </row>
    <row r="640" spans="1:46" ht="12.5" x14ac:dyDescent="0.25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30"/>
      <c r="AQ640" s="130"/>
      <c r="AR640" s="19"/>
      <c r="AS640" s="19"/>
      <c r="AT640" s="19"/>
    </row>
    <row r="641" spans="1:46" ht="12.5" x14ac:dyDescent="0.25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30"/>
      <c r="AQ641" s="130"/>
      <c r="AR641" s="19"/>
      <c r="AS641" s="19"/>
      <c r="AT641" s="19"/>
    </row>
    <row r="642" spans="1:46" ht="12.5" x14ac:dyDescent="0.25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30"/>
      <c r="AQ642" s="130"/>
      <c r="AR642" s="19"/>
      <c r="AS642" s="19"/>
      <c r="AT642" s="19"/>
    </row>
    <row r="643" spans="1:46" ht="12.5" x14ac:dyDescent="0.25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30"/>
      <c r="AQ643" s="130"/>
      <c r="AR643" s="19"/>
      <c r="AS643" s="19"/>
      <c r="AT643" s="19"/>
    </row>
    <row r="644" spans="1:46" ht="12.5" x14ac:dyDescent="0.25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30"/>
      <c r="AQ644" s="130"/>
      <c r="AR644" s="19"/>
      <c r="AS644" s="19"/>
      <c r="AT644" s="19"/>
    </row>
    <row r="645" spans="1:46" ht="12.5" x14ac:dyDescent="0.2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30"/>
      <c r="AQ645" s="130"/>
      <c r="AR645" s="19"/>
      <c r="AS645" s="19"/>
      <c r="AT645" s="19"/>
    </row>
    <row r="646" spans="1:46" ht="12.5" x14ac:dyDescent="0.25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30"/>
      <c r="AQ646" s="130"/>
      <c r="AR646" s="19"/>
      <c r="AS646" s="19"/>
      <c r="AT646" s="19"/>
    </row>
    <row r="647" spans="1:46" ht="12.5" x14ac:dyDescent="0.25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30"/>
      <c r="AQ647" s="130"/>
      <c r="AR647" s="19"/>
      <c r="AS647" s="19"/>
      <c r="AT647" s="19"/>
    </row>
    <row r="648" spans="1:46" ht="12.5" x14ac:dyDescent="0.25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30"/>
      <c r="AQ648" s="130"/>
      <c r="AR648" s="19"/>
      <c r="AS648" s="19"/>
      <c r="AT648" s="19"/>
    </row>
    <row r="649" spans="1:46" ht="12.5" x14ac:dyDescent="0.25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30"/>
      <c r="AQ649" s="130"/>
      <c r="AR649" s="19"/>
      <c r="AS649" s="19"/>
      <c r="AT649" s="19"/>
    </row>
    <row r="650" spans="1:46" ht="12.5" x14ac:dyDescent="0.25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30"/>
      <c r="AQ650" s="130"/>
      <c r="AR650" s="19"/>
      <c r="AS650" s="19"/>
      <c r="AT650" s="19"/>
    </row>
    <row r="651" spans="1:46" ht="12.5" x14ac:dyDescent="0.25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30"/>
      <c r="AQ651" s="130"/>
      <c r="AR651" s="19"/>
      <c r="AS651" s="19"/>
      <c r="AT651" s="19"/>
    </row>
    <row r="652" spans="1:46" ht="12.5" x14ac:dyDescent="0.25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30"/>
      <c r="AQ652" s="130"/>
      <c r="AR652" s="19"/>
      <c r="AS652" s="19"/>
      <c r="AT652" s="19"/>
    </row>
    <row r="653" spans="1:46" ht="12.5" x14ac:dyDescent="0.25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30"/>
      <c r="AQ653" s="130"/>
      <c r="AR653" s="19"/>
      <c r="AS653" s="19"/>
      <c r="AT653" s="19"/>
    </row>
    <row r="654" spans="1:46" ht="12.5" x14ac:dyDescent="0.25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30"/>
      <c r="AQ654" s="130"/>
      <c r="AR654" s="19"/>
      <c r="AS654" s="19"/>
      <c r="AT654" s="19"/>
    </row>
    <row r="655" spans="1:46" ht="12.5" x14ac:dyDescent="0.2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30"/>
      <c r="AQ655" s="130"/>
      <c r="AR655" s="19"/>
      <c r="AS655" s="19"/>
      <c r="AT655" s="19"/>
    </row>
    <row r="656" spans="1:46" ht="12.5" x14ac:dyDescent="0.25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30"/>
      <c r="AQ656" s="130"/>
      <c r="AR656" s="19"/>
      <c r="AS656" s="19"/>
      <c r="AT656" s="19"/>
    </row>
    <row r="657" spans="1:46" ht="12.5" x14ac:dyDescent="0.25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30"/>
      <c r="AQ657" s="130"/>
      <c r="AR657" s="19"/>
      <c r="AS657" s="19"/>
      <c r="AT657" s="19"/>
    </row>
    <row r="658" spans="1:46" ht="12.5" x14ac:dyDescent="0.25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30"/>
      <c r="AQ658" s="130"/>
      <c r="AR658" s="19"/>
      <c r="AS658" s="19"/>
      <c r="AT658" s="19"/>
    </row>
    <row r="659" spans="1:46" ht="12.5" x14ac:dyDescent="0.25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30"/>
      <c r="AQ659" s="130"/>
      <c r="AR659" s="19"/>
      <c r="AS659" s="19"/>
      <c r="AT659" s="19"/>
    </row>
    <row r="660" spans="1:46" ht="12.5" x14ac:dyDescent="0.25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30"/>
      <c r="AQ660" s="130"/>
      <c r="AR660" s="19"/>
      <c r="AS660" s="19"/>
      <c r="AT660" s="19"/>
    </row>
    <row r="661" spans="1:46" ht="12.5" x14ac:dyDescent="0.25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30"/>
      <c r="AQ661" s="130"/>
      <c r="AR661" s="19"/>
      <c r="AS661" s="19"/>
      <c r="AT661" s="19"/>
    </row>
    <row r="662" spans="1:46" ht="12.5" x14ac:dyDescent="0.25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30"/>
      <c r="AQ662" s="130"/>
      <c r="AR662" s="19"/>
      <c r="AS662" s="19"/>
      <c r="AT662" s="19"/>
    </row>
    <row r="663" spans="1:46" ht="12.5" x14ac:dyDescent="0.25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30"/>
      <c r="AQ663" s="130"/>
      <c r="AR663" s="19"/>
      <c r="AS663" s="19"/>
      <c r="AT663" s="19"/>
    </row>
    <row r="664" spans="1:46" ht="12.5" x14ac:dyDescent="0.25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30"/>
      <c r="AQ664" s="130"/>
      <c r="AR664" s="19"/>
      <c r="AS664" s="19"/>
      <c r="AT664" s="19"/>
    </row>
    <row r="665" spans="1:46" ht="12.5" x14ac:dyDescent="0.2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30"/>
      <c r="AQ665" s="130"/>
      <c r="AR665" s="19"/>
      <c r="AS665" s="19"/>
      <c r="AT665" s="19"/>
    </row>
    <row r="666" spans="1:46" ht="12.5" x14ac:dyDescent="0.25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30"/>
      <c r="AQ666" s="130"/>
      <c r="AR666" s="19"/>
      <c r="AS666" s="19"/>
      <c r="AT666" s="19"/>
    </row>
    <row r="667" spans="1:46" ht="12.5" x14ac:dyDescent="0.25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30"/>
      <c r="AQ667" s="130"/>
      <c r="AR667" s="19"/>
      <c r="AS667" s="19"/>
      <c r="AT667" s="19"/>
    </row>
    <row r="668" spans="1:46" ht="12.5" x14ac:dyDescent="0.25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30"/>
      <c r="AQ668" s="130"/>
      <c r="AR668" s="19"/>
      <c r="AS668" s="19"/>
      <c r="AT668" s="19"/>
    </row>
    <row r="669" spans="1:46" ht="12.5" x14ac:dyDescent="0.25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30"/>
      <c r="AQ669" s="130"/>
      <c r="AR669" s="19"/>
      <c r="AS669" s="19"/>
      <c r="AT669" s="19"/>
    </row>
    <row r="670" spans="1:46" ht="12.5" x14ac:dyDescent="0.25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30"/>
      <c r="AQ670" s="130"/>
      <c r="AR670" s="19"/>
      <c r="AS670" s="19"/>
      <c r="AT670" s="19"/>
    </row>
    <row r="671" spans="1:46" ht="12.5" x14ac:dyDescent="0.25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30"/>
      <c r="AQ671" s="130"/>
      <c r="AR671" s="19"/>
      <c r="AS671" s="19"/>
      <c r="AT671" s="19"/>
    </row>
    <row r="672" spans="1:46" ht="12.5" x14ac:dyDescent="0.25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30"/>
      <c r="AQ672" s="130"/>
      <c r="AR672" s="19"/>
      <c r="AS672" s="19"/>
      <c r="AT672" s="19"/>
    </row>
    <row r="673" spans="1:46" ht="12.5" x14ac:dyDescent="0.25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30"/>
      <c r="AQ673" s="130"/>
      <c r="AR673" s="19"/>
      <c r="AS673" s="19"/>
      <c r="AT673" s="19"/>
    </row>
    <row r="674" spans="1:46" ht="12.5" x14ac:dyDescent="0.25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30"/>
      <c r="AQ674" s="130"/>
      <c r="AR674" s="19"/>
      <c r="AS674" s="19"/>
      <c r="AT674" s="19"/>
    </row>
    <row r="675" spans="1:46" ht="12.5" x14ac:dyDescent="0.2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30"/>
      <c r="AQ675" s="130"/>
      <c r="AR675" s="19"/>
      <c r="AS675" s="19"/>
      <c r="AT675" s="19"/>
    </row>
    <row r="676" spans="1:46" ht="12.5" x14ac:dyDescent="0.25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30"/>
      <c r="AQ676" s="130"/>
      <c r="AR676" s="19"/>
      <c r="AS676" s="19"/>
      <c r="AT676" s="19"/>
    </row>
    <row r="677" spans="1:46" ht="12.5" x14ac:dyDescent="0.25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30"/>
      <c r="AQ677" s="130"/>
      <c r="AR677" s="19"/>
      <c r="AS677" s="19"/>
      <c r="AT677" s="19"/>
    </row>
    <row r="678" spans="1:46" ht="12.5" x14ac:dyDescent="0.25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30"/>
      <c r="AQ678" s="130"/>
      <c r="AR678" s="19"/>
      <c r="AS678" s="19"/>
      <c r="AT678" s="19"/>
    </row>
    <row r="679" spans="1:46" ht="12.5" x14ac:dyDescent="0.25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30"/>
      <c r="AQ679" s="130"/>
      <c r="AR679" s="19"/>
      <c r="AS679" s="19"/>
      <c r="AT679" s="19"/>
    </row>
    <row r="680" spans="1:46" ht="12.5" x14ac:dyDescent="0.25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30"/>
      <c r="AQ680" s="130"/>
      <c r="AR680" s="19"/>
      <c r="AS680" s="19"/>
      <c r="AT680" s="19"/>
    </row>
    <row r="681" spans="1:46" ht="12.5" x14ac:dyDescent="0.25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30"/>
      <c r="AQ681" s="130"/>
      <c r="AR681" s="19"/>
      <c r="AS681" s="19"/>
      <c r="AT681" s="19"/>
    </row>
    <row r="682" spans="1:46" ht="12.5" x14ac:dyDescent="0.25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30"/>
      <c r="AQ682" s="130"/>
      <c r="AR682" s="19"/>
      <c r="AS682" s="19"/>
      <c r="AT682" s="19"/>
    </row>
    <row r="683" spans="1:46" ht="12.5" x14ac:dyDescent="0.25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30"/>
      <c r="AQ683" s="130"/>
      <c r="AR683" s="19"/>
      <c r="AS683" s="19"/>
      <c r="AT683" s="19"/>
    </row>
    <row r="684" spans="1:46" ht="12.5" x14ac:dyDescent="0.25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30"/>
      <c r="AQ684" s="130"/>
      <c r="AR684" s="19"/>
      <c r="AS684" s="19"/>
      <c r="AT684" s="19"/>
    </row>
    <row r="685" spans="1:46" ht="12.5" x14ac:dyDescent="0.2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30"/>
      <c r="AQ685" s="130"/>
      <c r="AR685" s="19"/>
      <c r="AS685" s="19"/>
      <c r="AT685" s="19"/>
    </row>
    <row r="686" spans="1:46" ht="12.5" x14ac:dyDescent="0.25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30"/>
      <c r="AQ686" s="130"/>
      <c r="AR686" s="19"/>
      <c r="AS686" s="19"/>
      <c r="AT686" s="19"/>
    </row>
    <row r="687" spans="1:46" ht="12.5" x14ac:dyDescent="0.25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30"/>
      <c r="AQ687" s="130"/>
      <c r="AR687" s="19"/>
      <c r="AS687" s="19"/>
      <c r="AT687" s="19"/>
    </row>
    <row r="688" spans="1:46" ht="12.5" x14ac:dyDescent="0.25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30"/>
      <c r="AQ688" s="130"/>
      <c r="AR688" s="19"/>
      <c r="AS688" s="19"/>
      <c r="AT688" s="19"/>
    </row>
    <row r="689" spans="1:46" ht="12.5" x14ac:dyDescent="0.25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30"/>
      <c r="AQ689" s="130"/>
      <c r="AR689" s="19"/>
      <c r="AS689" s="19"/>
      <c r="AT689" s="19"/>
    </row>
    <row r="690" spans="1:46" ht="12.5" x14ac:dyDescent="0.25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30"/>
      <c r="AQ690" s="130"/>
      <c r="AR690" s="19"/>
      <c r="AS690" s="19"/>
      <c r="AT690" s="19"/>
    </row>
    <row r="691" spans="1:46" ht="12.5" x14ac:dyDescent="0.25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30"/>
      <c r="AQ691" s="130"/>
      <c r="AR691" s="19"/>
      <c r="AS691" s="19"/>
      <c r="AT691" s="19"/>
    </row>
    <row r="692" spans="1:46" ht="12.5" x14ac:dyDescent="0.25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30"/>
      <c r="AQ692" s="130"/>
      <c r="AR692" s="19"/>
      <c r="AS692" s="19"/>
      <c r="AT692" s="19"/>
    </row>
    <row r="693" spans="1:46" ht="12.5" x14ac:dyDescent="0.25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30"/>
      <c r="AQ693" s="130"/>
      <c r="AR693" s="19"/>
      <c r="AS693" s="19"/>
      <c r="AT693" s="19"/>
    </row>
    <row r="694" spans="1:46" ht="12.5" x14ac:dyDescent="0.25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30"/>
      <c r="AQ694" s="130"/>
      <c r="AR694" s="19"/>
      <c r="AS694" s="19"/>
      <c r="AT694" s="19"/>
    </row>
    <row r="695" spans="1:46" ht="12.5" x14ac:dyDescent="0.2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30"/>
      <c r="AQ695" s="130"/>
      <c r="AR695" s="19"/>
      <c r="AS695" s="19"/>
      <c r="AT695" s="19"/>
    </row>
    <row r="696" spans="1:46" ht="12.5" x14ac:dyDescent="0.25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30"/>
      <c r="AQ696" s="130"/>
      <c r="AR696" s="19"/>
      <c r="AS696" s="19"/>
      <c r="AT696" s="19"/>
    </row>
    <row r="697" spans="1:46" ht="12.5" x14ac:dyDescent="0.25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30"/>
      <c r="AQ697" s="130"/>
      <c r="AR697" s="19"/>
      <c r="AS697" s="19"/>
      <c r="AT697" s="19"/>
    </row>
    <row r="698" spans="1:46" ht="12.5" x14ac:dyDescent="0.25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30"/>
      <c r="AQ698" s="130"/>
      <c r="AR698" s="19"/>
      <c r="AS698" s="19"/>
      <c r="AT698" s="19"/>
    </row>
    <row r="699" spans="1:46" ht="12.5" x14ac:dyDescent="0.25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30"/>
      <c r="AQ699" s="130"/>
      <c r="AR699" s="19"/>
      <c r="AS699" s="19"/>
      <c r="AT699" s="19"/>
    </row>
    <row r="700" spans="1:46" ht="12.5" x14ac:dyDescent="0.25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30"/>
      <c r="AQ700" s="130"/>
      <c r="AR700" s="19"/>
      <c r="AS700" s="19"/>
      <c r="AT700" s="19"/>
    </row>
    <row r="701" spans="1:46" ht="12.5" x14ac:dyDescent="0.25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30"/>
      <c r="AQ701" s="130"/>
      <c r="AR701" s="19"/>
      <c r="AS701" s="19"/>
      <c r="AT701" s="19"/>
    </row>
    <row r="702" spans="1:46" ht="12.5" x14ac:dyDescent="0.25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30"/>
      <c r="AQ702" s="130"/>
      <c r="AR702" s="19"/>
      <c r="AS702" s="19"/>
      <c r="AT702" s="19"/>
    </row>
    <row r="703" spans="1:46" ht="12.5" x14ac:dyDescent="0.2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30"/>
      <c r="AQ703" s="130"/>
      <c r="AR703" s="19"/>
      <c r="AS703" s="19"/>
      <c r="AT703" s="19"/>
    </row>
    <row r="704" spans="1:46" ht="12.5" x14ac:dyDescent="0.25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30"/>
      <c r="AQ704" s="130"/>
      <c r="AR704" s="19"/>
      <c r="AS704" s="19"/>
      <c r="AT704" s="19"/>
    </row>
    <row r="705" spans="1:46" ht="12.5" x14ac:dyDescent="0.2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30"/>
      <c r="AQ705" s="130"/>
      <c r="AR705" s="19"/>
      <c r="AS705" s="19"/>
      <c r="AT705" s="19"/>
    </row>
    <row r="706" spans="1:46" ht="12.5" x14ac:dyDescent="0.25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30"/>
      <c r="AQ706" s="130"/>
      <c r="AR706" s="19"/>
      <c r="AS706" s="19"/>
      <c r="AT706" s="19"/>
    </row>
    <row r="707" spans="1:46" ht="12.5" x14ac:dyDescent="0.25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30"/>
      <c r="AQ707" s="130"/>
      <c r="AR707" s="19"/>
      <c r="AS707" s="19"/>
      <c r="AT707" s="19"/>
    </row>
    <row r="708" spans="1:46" ht="12.5" x14ac:dyDescent="0.25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30"/>
      <c r="AQ708" s="130"/>
      <c r="AR708" s="19"/>
      <c r="AS708" s="19"/>
      <c r="AT708" s="19"/>
    </row>
    <row r="709" spans="1:46" ht="12.5" x14ac:dyDescent="0.25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30"/>
      <c r="AQ709" s="130"/>
      <c r="AR709" s="19"/>
      <c r="AS709" s="19"/>
      <c r="AT709" s="19"/>
    </row>
    <row r="710" spans="1:46" ht="12.5" x14ac:dyDescent="0.25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30"/>
      <c r="AQ710" s="130"/>
      <c r="AR710" s="19"/>
      <c r="AS710" s="19"/>
      <c r="AT710" s="19"/>
    </row>
    <row r="711" spans="1:46" ht="12.5" x14ac:dyDescent="0.25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30"/>
      <c r="AQ711" s="130"/>
      <c r="AR711" s="19"/>
      <c r="AS711" s="19"/>
      <c r="AT711" s="19"/>
    </row>
    <row r="712" spans="1:46" ht="12.5" x14ac:dyDescent="0.25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30"/>
      <c r="AQ712" s="130"/>
      <c r="AR712" s="19"/>
      <c r="AS712" s="19"/>
      <c r="AT712" s="19"/>
    </row>
    <row r="713" spans="1:46" ht="12.5" x14ac:dyDescent="0.25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30"/>
      <c r="AQ713" s="130"/>
      <c r="AR713" s="19"/>
      <c r="AS713" s="19"/>
      <c r="AT713" s="19"/>
    </row>
    <row r="714" spans="1:46" ht="12.5" x14ac:dyDescent="0.25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30"/>
      <c r="AQ714" s="130"/>
      <c r="AR714" s="19"/>
      <c r="AS714" s="19"/>
      <c r="AT714" s="19"/>
    </row>
    <row r="715" spans="1:46" ht="12.5" x14ac:dyDescent="0.2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30"/>
      <c r="AQ715" s="130"/>
      <c r="AR715" s="19"/>
      <c r="AS715" s="19"/>
      <c r="AT715" s="19"/>
    </row>
    <row r="716" spans="1:46" ht="12.5" x14ac:dyDescent="0.25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30"/>
      <c r="AQ716" s="130"/>
      <c r="AR716" s="19"/>
      <c r="AS716" s="19"/>
      <c r="AT716" s="19"/>
    </row>
    <row r="717" spans="1:46" ht="12.5" x14ac:dyDescent="0.25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30"/>
      <c r="AQ717" s="130"/>
      <c r="AR717" s="19"/>
      <c r="AS717" s="19"/>
      <c r="AT717" s="19"/>
    </row>
    <row r="718" spans="1:46" ht="12.5" x14ac:dyDescent="0.25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30"/>
      <c r="AQ718" s="130"/>
      <c r="AR718" s="19"/>
      <c r="AS718" s="19"/>
      <c r="AT718" s="19"/>
    </row>
    <row r="719" spans="1:46" ht="12.5" x14ac:dyDescent="0.25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30"/>
      <c r="AQ719" s="130"/>
      <c r="AR719" s="19"/>
      <c r="AS719" s="19"/>
      <c r="AT719" s="19"/>
    </row>
    <row r="720" spans="1:46" ht="12.5" x14ac:dyDescent="0.25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30"/>
      <c r="AQ720" s="130"/>
      <c r="AR720" s="19"/>
      <c r="AS720" s="19"/>
      <c r="AT720" s="19"/>
    </row>
    <row r="721" spans="1:46" ht="12.5" x14ac:dyDescent="0.25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30"/>
      <c r="AQ721" s="130"/>
      <c r="AR721" s="19"/>
      <c r="AS721" s="19"/>
      <c r="AT721" s="19"/>
    </row>
    <row r="722" spans="1:46" ht="12.5" x14ac:dyDescent="0.25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30"/>
      <c r="AQ722" s="130"/>
      <c r="AR722" s="19"/>
      <c r="AS722" s="19"/>
      <c r="AT722" s="19"/>
    </row>
    <row r="723" spans="1:46" ht="12.5" x14ac:dyDescent="0.25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30"/>
      <c r="AQ723" s="130"/>
      <c r="AR723" s="19"/>
      <c r="AS723" s="19"/>
      <c r="AT723" s="19"/>
    </row>
    <row r="724" spans="1:46" ht="12.5" x14ac:dyDescent="0.25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30"/>
      <c r="AQ724" s="130"/>
      <c r="AR724" s="19"/>
      <c r="AS724" s="19"/>
      <c r="AT724" s="19"/>
    </row>
    <row r="725" spans="1:46" ht="12.5" x14ac:dyDescent="0.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30"/>
      <c r="AQ725" s="130"/>
      <c r="AR725" s="19"/>
      <c r="AS725" s="19"/>
      <c r="AT725" s="19"/>
    </row>
    <row r="726" spans="1:46" ht="12.5" x14ac:dyDescent="0.25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30"/>
      <c r="AQ726" s="130"/>
      <c r="AR726" s="19"/>
      <c r="AS726" s="19"/>
      <c r="AT726" s="19"/>
    </row>
    <row r="727" spans="1:46" ht="12.5" x14ac:dyDescent="0.25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30"/>
      <c r="AQ727" s="130"/>
      <c r="AR727" s="19"/>
      <c r="AS727" s="19"/>
      <c r="AT727" s="19"/>
    </row>
    <row r="728" spans="1:46" ht="12.5" x14ac:dyDescent="0.25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30"/>
      <c r="AQ728" s="130"/>
      <c r="AR728" s="19"/>
      <c r="AS728" s="19"/>
      <c r="AT728" s="19"/>
    </row>
    <row r="729" spans="1:46" ht="12.5" x14ac:dyDescent="0.25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30"/>
      <c r="AQ729" s="130"/>
      <c r="AR729" s="19"/>
      <c r="AS729" s="19"/>
      <c r="AT729" s="19"/>
    </row>
    <row r="730" spans="1:46" ht="12.5" x14ac:dyDescent="0.25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30"/>
      <c r="AQ730" s="130"/>
      <c r="AR730" s="19"/>
      <c r="AS730" s="19"/>
      <c r="AT730" s="19"/>
    </row>
    <row r="731" spans="1:46" ht="12.5" x14ac:dyDescent="0.25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30"/>
      <c r="AQ731" s="130"/>
      <c r="AR731" s="19"/>
      <c r="AS731" s="19"/>
      <c r="AT731" s="19"/>
    </row>
    <row r="732" spans="1:46" ht="12.5" x14ac:dyDescent="0.25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30"/>
      <c r="AQ732" s="130"/>
      <c r="AR732" s="19"/>
      <c r="AS732" s="19"/>
      <c r="AT732" s="19"/>
    </row>
    <row r="733" spans="1:46" ht="12.5" x14ac:dyDescent="0.25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30"/>
      <c r="AQ733" s="130"/>
      <c r="AR733" s="19"/>
      <c r="AS733" s="19"/>
      <c r="AT733" s="19"/>
    </row>
    <row r="734" spans="1:46" ht="12.5" x14ac:dyDescent="0.25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30"/>
      <c r="AQ734" s="130"/>
      <c r="AR734" s="19"/>
      <c r="AS734" s="19"/>
      <c r="AT734" s="19"/>
    </row>
    <row r="735" spans="1:46" ht="12.5" x14ac:dyDescent="0.2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30"/>
      <c r="AQ735" s="130"/>
      <c r="AR735" s="19"/>
      <c r="AS735" s="19"/>
      <c r="AT735" s="19"/>
    </row>
    <row r="736" spans="1:46" ht="12.5" x14ac:dyDescent="0.25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30"/>
      <c r="AQ736" s="130"/>
      <c r="AR736" s="19"/>
      <c r="AS736" s="19"/>
      <c r="AT736" s="19"/>
    </row>
    <row r="737" spans="1:46" ht="12.5" x14ac:dyDescent="0.25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30"/>
      <c r="AQ737" s="130"/>
      <c r="AR737" s="19"/>
      <c r="AS737" s="19"/>
      <c r="AT737" s="19"/>
    </row>
    <row r="738" spans="1:46" ht="12.5" x14ac:dyDescent="0.25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30"/>
      <c r="AQ738" s="130"/>
      <c r="AR738" s="19"/>
      <c r="AS738" s="19"/>
      <c r="AT738" s="19"/>
    </row>
    <row r="739" spans="1:46" ht="12.5" x14ac:dyDescent="0.25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30"/>
      <c r="AQ739" s="130"/>
      <c r="AR739" s="19"/>
      <c r="AS739" s="19"/>
      <c r="AT739" s="19"/>
    </row>
    <row r="740" spans="1:46" ht="12.5" x14ac:dyDescent="0.25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30"/>
      <c r="AQ740" s="130"/>
      <c r="AR740" s="19"/>
      <c r="AS740" s="19"/>
      <c r="AT740" s="19"/>
    </row>
    <row r="741" spans="1:46" ht="12.5" x14ac:dyDescent="0.25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30"/>
      <c r="AQ741" s="130"/>
      <c r="AR741" s="19"/>
      <c r="AS741" s="19"/>
      <c r="AT741" s="19"/>
    </row>
    <row r="742" spans="1:46" ht="12.5" x14ac:dyDescent="0.25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30"/>
      <c r="AQ742" s="130"/>
      <c r="AR742" s="19"/>
      <c r="AS742" s="19"/>
      <c r="AT742" s="19"/>
    </row>
    <row r="743" spans="1:46" ht="12.5" x14ac:dyDescent="0.25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30"/>
      <c r="AQ743" s="130"/>
      <c r="AR743" s="19"/>
      <c r="AS743" s="19"/>
      <c r="AT743" s="19"/>
    </row>
    <row r="744" spans="1:46" ht="12.5" x14ac:dyDescent="0.25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30"/>
      <c r="AQ744" s="130"/>
      <c r="AR744" s="19"/>
      <c r="AS744" s="19"/>
      <c r="AT744" s="19"/>
    </row>
    <row r="745" spans="1:46" ht="12.5" x14ac:dyDescent="0.2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30"/>
      <c r="AQ745" s="130"/>
      <c r="AR745" s="19"/>
      <c r="AS745" s="19"/>
      <c r="AT745" s="19"/>
    </row>
    <row r="746" spans="1:46" ht="12.5" x14ac:dyDescent="0.25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30"/>
      <c r="AQ746" s="130"/>
      <c r="AR746" s="19"/>
      <c r="AS746" s="19"/>
      <c r="AT746" s="19"/>
    </row>
    <row r="747" spans="1:46" ht="12.5" x14ac:dyDescent="0.25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30"/>
      <c r="AQ747" s="130"/>
      <c r="AR747" s="19"/>
      <c r="AS747" s="19"/>
      <c r="AT747" s="19"/>
    </row>
    <row r="748" spans="1:46" ht="12.5" x14ac:dyDescent="0.25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30"/>
      <c r="AQ748" s="130"/>
      <c r="AR748" s="19"/>
      <c r="AS748" s="19"/>
      <c r="AT748" s="19"/>
    </row>
    <row r="749" spans="1:46" ht="12.5" x14ac:dyDescent="0.25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30"/>
      <c r="AQ749" s="130"/>
      <c r="AR749" s="19"/>
      <c r="AS749" s="19"/>
      <c r="AT749" s="19"/>
    </row>
    <row r="750" spans="1:46" ht="12.5" x14ac:dyDescent="0.25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30"/>
      <c r="AQ750" s="130"/>
      <c r="AR750" s="19"/>
      <c r="AS750" s="19"/>
      <c r="AT750" s="19"/>
    </row>
    <row r="751" spans="1:46" ht="12.5" x14ac:dyDescent="0.25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30"/>
      <c r="AQ751" s="130"/>
      <c r="AR751" s="19"/>
      <c r="AS751" s="19"/>
      <c r="AT751" s="19"/>
    </row>
    <row r="752" spans="1:46" ht="12.5" x14ac:dyDescent="0.25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30"/>
      <c r="AQ752" s="130"/>
      <c r="AR752" s="19"/>
      <c r="AS752" s="19"/>
      <c r="AT752" s="19"/>
    </row>
    <row r="753" spans="1:46" ht="12.5" x14ac:dyDescent="0.25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30"/>
      <c r="AQ753" s="130"/>
      <c r="AR753" s="19"/>
      <c r="AS753" s="19"/>
      <c r="AT753" s="19"/>
    </row>
    <row r="754" spans="1:46" ht="12.5" x14ac:dyDescent="0.25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30"/>
      <c r="AQ754" s="130"/>
      <c r="AR754" s="19"/>
      <c r="AS754" s="19"/>
      <c r="AT754" s="19"/>
    </row>
    <row r="755" spans="1:46" ht="12.5" x14ac:dyDescent="0.2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30"/>
      <c r="AQ755" s="130"/>
      <c r="AR755" s="19"/>
      <c r="AS755" s="19"/>
      <c r="AT755" s="19"/>
    </row>
    <row r="756" spans="1:46" ht="12.5" x14ac:dyDescent="0.25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30"/>
      <c r="AQ756" s="130"/>
      <c r="AR756" s="19"/>
      <c r="AS756" s="19"/>
      <c r="AT756" s="19"/>
    </row>
    <row r="757" spans="1:46" ht="12.5" x14ac:dyDescent="0.25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30"/>
      <c r="AQ757" s="130"/>
      <c r="AR757" s="19"/>
      <c r="AS757" s="19"/>
      <c r="AT757" s="19"/>
    </row>
    <row r="758" spans="1:46" ht="12.5" x14ac:dyDescent="0.25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30"/>
      <c r="AQ758" s="130"/>
      <c r="AR758" s="19"/>
      <c r="AS758" s="19"/>
      <c r="AT758" s="19"/>
    </row>
    <row r="759" spans="1:46" ht="12.5" x14ac:dyDescent="0.25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30"/>
      <c r="AQ759" s="130"/>
      <c r="AR759" s="19"/>
      <c r="AS759" s="19"/>
      <c r="AT759" s="19"/>
    </row>
    <row r="760" spans="1:46" ht="12.5" x14ac:dyDescent="0.25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30"/>
      <c r="AQ760" s="130"/>
      <c r="AR760" s="19"/>
      <c r="AS760" s="19"/>
      <c r="AT760" s="19"/>
    </row>
    <row r="761" spans="1:46" ht="12.5" x14ac:dyDescent="0.25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30"/>
      <c r="AQ761" s="130"/>
      <c r="AR761" s="19"/>
      <c r="AS761" s="19"/>
      <c r="AT761" s="19"/>
    </row>
    <row r="762" spans="1:46" ht="12.5" x14ac:dyDescent="0.25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30"/>
      <c r="AQ762" s="130"/>
      <c r="AR762" s="19"/>
      <c r="AS762" s="19"/>
      <c r="AT762" s="19"/>
    </row>
    <row r="763" spans="1:46" ht="12.5" x14ac:dyDescent="0.25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30"/>
      <c r="AQ763" s="130"/>
      <c r="AR763" s="19"/>
      <c r="AS763" s="19"/>
      <c r="AT763" s="19"/>
    </row>
    <row r="764" spans="1:46" ht="12.5" x14ac:dyDescent="0.25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30"/>
      <c r="AQ764" s="130"/>
      <c r="AR764" s="19"/>
      <c r="AS764" s="19"/>
      <c r="AT764" s="19"/>
    </row>
    <row r="765" spans="1:46" ht="12.5" x14ac:dyDescent="0.2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30"/>
      <c r="AQ765" s="130"/>
      <c r="AR765" s="19"/>
      <c r="AS765" s="19"/>
      <c r="AT765" s="19"/>
    </row>
    <row r="766" spans="1:46" ht="12.5" x14ac:dyDescent="0.25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30"/>
      <c r="AQ766" s="130"/>
      <c r="AR766" s="19"/>
      <c r="AS766" s="19"/>
      <c r="AT766" s="19"/>
    </row>
    <row r="767" spans="1:46" ht="12.5" x14ac:dyDescent="0.25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30"/>
      <c r="AQ767" s="130"/>
      <c r="AR767" s="19"/>
      <c r="AS767" s="19"/>
      <c r="AT767" s="19"/>
    </row>
    <row r="768" spans="1:46" ht="12.5" x14ac:dyDescent="0.25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30"/>
      <c r="AQ768" s="130"/>
      <c r="AR768" s="19"/>
      <c r="AS768" s="19"/>
      <c r="AT768" s="19"/>
    </row>
    <row r="769" spans="1:46" ht="12.5" x14ac:dyDescent="0.25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30"/>
      <c r="AQ769" s="130"/>
      <c r="AR769" s="19"/>
      <c r="AS769" s="19"/>
      <c r="AT769" s="19"/>
    </row>
    <row r="770" spans="1:46" ht="12.5" x14ac:dyDescent="0.25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30"/>
      <c r="AQ770" s="130"/>
      <c r="AR770" s="19"/>
      <c r="AS770" s="19"/>
      <c r="AT770" s="19"/>
    </row>
    <row r="771" spans="1:46" ht="12.5" x14ac:dyDescent="0.25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30"/>
      <c r="AQ771" s="130"/>
      <c r="AR771" s="19"/>
      <c r="AS771" s="19"/>
      <c r="AT771" s="19"/>
    </row>
    <row r="772" spans="1:46" ht="12.5" x14ac:dyDescent="0.25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30"/>
      <c r="AQ772" s="130"/>
      <c r="AR772" s="19"/>
      <c r="AS772" s="19"/>
      <c r="AT772" s="19"/>
    </row>
    <row r="773" spans="1:46" ht="12.5" x14ac:dyDescent="0.25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30"/>
      <c r="AQ773" s="130"/>
      <c r="AR773" s="19"/>
      <c r="AS773" s="19"/>
      <c r="AT773" s="19"/>
    </row>
    <row r="774" spans="1:46" ht="12.5" x14ac:dyDescent="0.25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30"/>
      <c r="AQ774" s="130"/>
      <c r="AR774" s="19"/>
      <c r="AS774" s="19"/>
      <c r="AT774" s="19"/>
    </row>
    <row r="775" spans="1:46" ht="12.5" x14ac:dyDescent="0.2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30"/>
      <c r="AQ775" s="130"/>
      <c r="AR775" s="19"/>
      <c r="AS775" s="19"/>
      <c r="AT775" s="19"/>
    </row>
    <row r="776" spans="1:46" ht="12.5" x14ac:dyDescent="0.25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30"/>
      <c r="AQ776" s="130"/>
      <c r="AR776" s="19"/>
      <c r="AS776" s="19"/>
      <c r="AT776" s="19"/>
    </row>
    <row r="777" spans="1:46" ht="12.5" x14ac:dyDescent="0.25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30"/>
      <c r="AQ777" s="130"/>
      <c r="AR777" s="19"/>
      <c r="AS777" s="19"/>
      <c r="AT777" s="19"/>
    </row>
    <row r="778" spans="1:46" ht="12.5" x14ac:dyDescent="0.25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30"/>
      <c r="AQ778" s="130"/>
      <c r="AR778" s="19"/>
      <c r="AS778" s="19"/>
      <c r="AT778" s="19"/>
    </row>
    <row r="779" spans="1:46" ht="12.5" x14ac:dyDescent="0.25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30"/>
      <c r="AQ779" s="130"/>
      <c r="AR779" s="19"/>
      <c r="AS779" s="19"/>
      <c r="AT779" s="19"/>
    </row>
    <row r="780" spans="1:46" ht="12.5" x14ac:dyDescent="0.25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30"/>
      <c r="AQ780" s="130"/>
      <c r="AR780" s="19"/>
      <c r="AS780" s="19"/>
      <c r="AT780" s="19"/>
    </row>
    <row r="781" spans="1:46" ht="12.5" x14ac:dyDescent="0.25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30"/>
      <c r="AQ781" s="130"/>
      <c r="AR781" s="19"/>
      <c r="AS781" s="19"/>
      <c r="AT781" s="19"/>
    </row>
    <row r="782" spans="1:46" ht="12.5" x14ac:dyDescent="0.25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30"/>
      <c r="AQ782" s="130"/>
      <c r="AR782" s="19"/>
      <c r="AS782" s="19"/>
      <c r="AT782" s="19"/>
    </row>
    <row r="783" spans="1:46" ht="12.5" x14ac:dyDescent="0.25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30"/>
      <c r="AQ783" s="130"/>
      <c r="AR783" s="19"/>
      <c r="AS783" s="19"/>
      <c r="AT783" s="19"/>
    </row>
    <row r="784" spans="1:46" ht="12.5" x14ac:dyDescent="0.25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30"/>
      <c r="AQ784" s="130"/>
      <c r="AR784" s="19"/>
      <c r="AS784" s="19"/>
      <c r="AT784" s="19"/>
    </row>
    <row r="785" spans="1:46" ht="12.5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30"/>
      <c r="AQ785" s="130"/>
      <c r="AR785" s="19"/>
      <c r="AS785" s="19"/>
      <c r="AT785" s="19"/>
    </row>
    <row r="786" spans="1:46" ht="12.5" x14ac:dyDescent="0.25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30"/>
      <c r="AQ786" s="130"/>
      <c r="AR786" s="19"/>
      <c r="AS786" s="19"/>
      <c r="AT786" s="19"/>
    </row>
    <row r="787" spans="1:46" ht="12.5" x14ac:dyDescent="0.25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30"/>
      <c r="AQ787" s="130"/>
      <c r="AR787" s="19"/>
      <c r="AS787" s="19"/>
      <c r="AT787" s="19"/>
    </row>
    <row r="788" spans="1:46" ht="12.5" x14ac:dyDescent="0.25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30"/>
      <c r="AQ788" s="130"/>
      <c r="AR788" s="19"/>
      <c r="AS788" s="19"/>
      <c r="AT788" s="19"/>
    </row>
    <row r="789" spans="1:46" ht="12.5" x14ac:dyDescent="0.25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30"/>
      <c r="AQ789" s="130"/>
      <c r="AR789" s="19"/>
      <c r="AS789" s="19"/>
      <c r="AT789" s="19"/>
    </row>
    <row r="790" spans="1:46" ht="12.5" x14ac:dyDescent="0.25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30"/>
      <c r="AQ790" s="130"/>
      <c r="AR790" s="19"/>
      <c r="AS790" s="19"/>
      <c r="AT790" s="19"/>
    </row>
    <row r="791" spans="1:46" ht="12.5" x14ac:dyDescent="0.25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30"/>
      <c r="AQ791" s="130"/>
      <c r="AR791" s="19"/>
      <c r="AS791" s="19"/>
      <c r="AT791" s="19"/>
    </row>
    <row r="792" spans="1:46" ht="12.5" x14ac:dyDescent="0.25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30"/>
      <c r="AQ792" s="130"/>
      <c r="AR792" s="19"/>
      <c r="AS792" s="19"/>
      <c r="AT792" s="19"/>
    </row>
    <row r="793" spans="1:46" ht="12.5" x14ac:dyDescent="0.25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30"/>
      <c r="AQ793" s="130"/>
      <c r="AR793" s="19"/>
      <c r="AS793" s="19"/>
      <c r="AT793" s="19"/>
    </row>
    <row r="794" spans="1:46" ht="12.5" x14ac:dyDescent="0.25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30"/>
      <c r="AQ794" s="130"/>
      <c r="AR794" s="19"/>
      <c r="AS794" s="19"/>
      <c r="AT794" s="19"/>
    </row>
    <row r="795" spans="1:46" ht="12.5" x14ac:dyDescent="0.2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30"/>
      <c r="AQ795" s="130"/>
      <c r="AR795" s="19"/>
      <c r="AS795" s="19"/>
      <c r="AT795" s="19"/>
    </row>
    <row r="796" spans="1:46" ht="12.5" x14ac:dyDescent="0.25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30"/>
      <c r="AQ796" s="130"/>
      <c r="AR796" s="19"/>
      <c r="AS796" s="19"/>
      <c r="AT796" s="19"/>
    </row>
    <row r="797" spans="1:46" ht="12.5" x14ac:dyDescent="0.25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30"/>
      <c r="AQ797" s="130"/>
      <c r="AR797" s="19"/>
      <c r="AS797" s="19"/>
      <c r="AT797" s="19"/>
    </row>
    <row r="798" spans="1:46" ht="12.5" x14ac:dyDescent="0.25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30"/>
      <c r="AQ798" s="130"/>
      <c r="AR798" s="19"/>
      <c r="AS798" s="19"/>
      <c r="AT798" s="19"/>
    </row>
    <row r="799" spans="1:46" ht="12.5" x14ac:dyDescent="0.25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30"/>
      <c r="AQ799" s="130"/>
      <c r="AR799" s="19"/>
      <c r="AS799" s="19"/>
      <c r="AT799" s="19"/>
    </row>
    <row r="800" spans="1:46" ht="12.5" x14ac:dyDescent="0.2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30"/>
      <c r="AQ800" s="130"/>
      <c r="AR800" s="19"/>
      <c r="AS800" s="19"/>
      <c r="AT800" s="19"/>
    </row>
    <row r="801" spans="1:46" ht="12.5" x14ac:dyDescent="0.25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30"/>
      <c r="AQ801" s="130"/>
      <c r="AR801" s="19"/>
      <c r="AS801" s="19"/>
      <c r="AT801" s="19"/>
    </row>
    <row r="802" spans="1:46" ht="12.5" x14ac:dyDescent="0.25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30"/>
      <c r="AQ802" s="130"/>
      <c r="AR802" s="19"/>
      <c r="AS802" s="19"/>
      <c r="AT802" s="19"/>
    </row>
    <row r="803" spans="1:46" ht="12.5" x14ac:dyDescent="0.25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30"/>
      <c r="AQ803" s="130"/>
      <c r="AR803" s="19"/>
      <c r="AS803" s="19"/>
      <c r="AT803" s="19"/>
    </row>
    <row r="804" spans="1:46" ht="12.5" x14ac:dyDescent="0.25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30"/>
      <c r="AQ804" s="130"/>
      <c r="AR804" s="19"/>
      <c r="AS804" s="19"/>
      <c r="AT804" s="19"/>
    </row>
    <row r="805" spans="1:46" ht="12.5" x14ac:dyDescent="0.2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30"/>
      <c r="AQ805" s="130"/>
      <c r="AR805" s="19"/>
      <c r="AS805" s="19"/>
      <c r="AT805" s="19"/>
    </row>
    <row r="806" spans="1:46" ht="12.5" x14ac:dyDescent="0.25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30"/>
      <c r="AQ806" s="130"/>
      <c r="AR806" s="19"/>
      <c r="AS806" s="19"/>
      <c r="AT806" s="19"/>
    </row>
    <row r="807" spans="1:46" ht="12.5" x14ac:dyDescent="0.2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30"/>
      <c r="AQ807" s="130"/>
      <c r="AR807" s="19"/>
      <c r="AS807" s="19"/>
      <c r="AT807" s="19"/>
    </row>
    <row r="808" spans="1:46" ht="12.5" x14ac:dyDescent="0.25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30"/>
      <c r="AQ808" s="130"/>
      <c r="AR808" s="19"/>
      <c r="AS808" s="19"/>
      <c r="AT808" s="19"/>
    </row>
    <row r="809" spans="1:46" ht="12.5" x14ac:dyDescent="0.25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30"/>
      <c r="AQ809" s="130"/>
      <c r="AR809" s="19"/>
      <c r="AS809" s="19"/>
      <c r="AT809" s="19"/>
    </row>
    <row r="810" spans="1:46" ht="12.5" x14ac:dyDescent="0.25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30"/>
      <c r="AQ810" s="130"/>
      <c r="AR810" s="19"/>
      <c r="AS810" s="19"/>
      <c r="AT810" s="19"/>
    </row>
    <row r="811" spans="1:46" ht="12.5" x14ac:dyDescent="0.2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30"/>
      <c r="AQ811" s="130"/>
      <c r="AR811" s="19"/>
      <c r="AS811" s="19"/>
      <c r="AT811" s="19"/>
    </row>
    <row r="812" spans="1:46" ht="12.5" x14ac:dyDescent="0.25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30"/>
      <c r="AQ812" s="130"/>
      <c r="AR812" s="19"/>
      <c r="AS812" s="19"/>
      <c r="AT812" s="19"/>
    </row>
    <row r="813" spans="1:46" ht="12.5" x14ac:dyDescent="0.25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30"/>
      <c r="AQ813" s="130"/>
      <c r="AR813" s="19"/>
      <c r="AS813" s="19"/>
      <c r="AT813" s="19"/>
    </row>
    <row r="814" spans="1:46" ht="12.5" x14ac:dyDescent="0.25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30"/>
      <c r="AQ814" s="130"/>
      <c r="AR814" s="19"/>
      <c r="AS814" s="19"/>
      <c r="AT814" s="19"/>
    </row>
    <row r="815" spans="1:46" ht="12.5" x14ac:dyDescent="0.2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30"/>
      <c r="AQ815" s="130"/>
      <c r="AR815" s="19"/>
      <c r="AS815" s="19"/>
      <c r="AT815" s="19"/>
    </row>
    <row r="816" spans="1:46" ht="12.5" x14ac:dyDescent="0.25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30"/>
      <c r="AQ816" s="130"/>
      <c r="AR816" s="19"/>
      <c r="AS816" s="19"/>
      <c r="AT816" s="19"/>
    </row>
    <row r="817" spans="1:46" ht="12.5" x14ac:dyDescent="0.25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30"/>
      <c r="AQ817" s="130"/>
      <c r="AR817" s="19"/>
      <c r="AS817" s="19"/>
      <c r="AT817" s="19"/>
    </row>
    <row r="818" spans="1:46" ht="12.5" x14ac:dyDescent="0.25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30"/>
      <c r="AQ818" s="130"/>
      <c r="AR818" s="19"/>
      <c r="AS818" s="19"/>
      <c r="AT818" s="19"/>
    </row>
    <row r="819" spans="1:46" ht="12.5" x14ac:dyDescent="0.25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30"/>
      <c r="AQ819" s="130"/>
      <c r="AR819" s="19"/>
      <c r="AS819" s="19"/>
      <c r="AT819" s="19"/>
    </row>
    <row r="820" spans="1:46" ht="12.5" x14ac:dyDescent="0.25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30"/>
      <c r="AQ820" s="130"/>
      <c r="AR820" s="19"/>
      <c r="AS820" s="19"/>
      <c r="AT820" s="19"/>
    </row>
    <row r="821" spans="1:46" ht="12.5" x14ac:dyDescent="0.25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30"/>
      <c r="AQ821" s="130"/>
      <c r="AR821" s="19"/>
      <c r="AS821" s="19"/>
      <c r="AT821" s="19"/>
    </row>
    <row r="822" spans="1:46" ht="12.5" x14ac:dyDescent="0.25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30"/>
      <c r="AQ822" s="130"/>
      <c r="AR822" s="19"/>
      <c r="AS822" s="19"/>
      <c r="AT822" s="19"/>
    </row>
    <row r="823" spans="1:46" ht="12.5" x14ac:dyDescent="0.25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30"/>
      <c r="AQ823" s="130"/>
      <c r="AR823" s="19"/>
      <c r="AS823" s="19"/>
      <c r="AT823" s="19"/>
    </row>
    <row r="824" spans="1:46" ht="12.5" x14ac:dyDescent="0.25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30"/>
      <c r="AQ824" s="130"/>
      <c r="AR824" s="19"/>
      <c r="AS824" s="19"/>
      <c r="AT824" s="19"/>
    </row>
    <row r="825" spans="1:46" ht="12.5" x14ac:dyDescent="0.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30"/>
      <c r="AQ825" s="130"/>
      <c r="AR825" s="19"/>
      <c r="AS825" s="19"/>
      <c r="AT825" s="19"/>
    </row>
    <row r="826" spans="1:46" ht="12.5" x14ac:dyDescent="0.25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30"/>
      <c r="AQ826" s="130"/>
      <c r="AR826" s="19"/>
      <c r="AS826" s="19"/>
      <c r="AT826" s="19"/>
    </row>
    <row r="827" spans="1:46" ht="12.5" x14ac:dyDescent="0.25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30"/>
      <c r="AQ827" s="130"/>
      <c r="AR827" s="19"/>
      <c r="AS827" s="19"/>
      <c r="AT827" s="19"/>
    </row>
    <row r="828" spans="1:46" ht="12.5" x14ac:dyDescent="0.25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30"/>
      <c r="AQ828" s="130"/>
      <c r="AR828" s="19"/>
      <c r="AS828" s="19"/>
      <c r="AT828" s="19"/>
    </row>
    <row r="829" spans="1:46" ht="12.5" x14ac:dyDescent="0.25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30"/>
      <c r="AQ829" s="130"/>
      <c r="AR829" s="19"/>
      <c r="AS829" s="19"/>
      <c r="AT829" s="19"/>
    </row>
    <row r="830" spans="1:46" ht="12.5" x14ac:dyDescent="0.25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30"/>
      <c r="AQ830" s="130"/>
      <c r="AR830" s="19"/>
      <c r="AS830" s="19"/>
      <c r="AT830" s="19"/>
    </row>
    <row r="831" spans="1:46" ht="12.5" x14ac:dyDescent="0.25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30"/>
      <c r="AQ831" s="130"/>
      <c r="AR831" s="19"/>
      <c r="AS831" s="19"/>
      <c r="AT831" s="19"/>
    </row>
    <row r="832" spans="1:46" ht="12.5" x14ac:dyDescent="0.25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30"/>
      <c r="AQ832" s="130"/>
      <c r="AR832" s="19"/>
      <c r="AS832" s="19"/>
      <c r="AT832" s="19"/>
    </row>
    <row r="833" spans="1:46" ht="12.5" x14ac:dyDescent="0.25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30"/>
      <c r="AQ833" s="130"/>
      <c r="AR833" s="19"/>
      <c r="AS833" s="19"/>
      <c r="AT833" s="19"/>
    </row>
    <row r="834" spans="1:46" ht="12.5" x14ac:dyDescent="0.25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30"/>
      <c r="AQ834" s="130"/>
      <c r="AR834" s="19"/>
      <c r="AS834" s="19"/>
      <c r="AT834" s="19"/>
    </row>
    <row r="835" spans="1:46" ht="12.5" x14ac:dyDescent="0.2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30"/>
      <c r="AQ835" s="130"/>
      <c r="AR835" s="19"/>
      <c r="AS835" s="19"/>
      <c r="AT835" s="19"/>
    </row>
    <row r="836" spans="1:46" ht="12.5" x14ac:dyDescent="0.25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30"/>
      <c r="AQ836" s="130"/>
      <c r="AR836" s="19"/>
      <c r="AS836" s="19"/>
      <c r="AT836" s="19"/>
    </row>
    <row r="837" spans="1:46" ht="12.5" x14ac:dyDescent="0.25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30"/>
      <c r="AQ837" s="130"/>
      <c r="AR837" s="19"/>
      <c r="AS837" s="19"/>
      <c r="AT837" s="19"/>
    </row>
    <row r="838" spans="1:46" ht="12.5" x14ac:dyDescent="0.25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30"/>
      <c r="AQ838" s="130"/>
      <c r="AR838" s="19"/>
      <c r="AS838" s="19"/>
      <c r="AT838" s="19"/>
    </row>
    <row r="839" spans="1:46" ht="12.5" x14ac:dyDescent="0.25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30"/>
      <c r="AQ839" s="130"/>
      <c r="AR839" s="19"/>
      <c r="AS839" s="19"/>
      <c r="AT839" s="19"/>
    </row>
    <row r="840" spans="1:46" ht="12.5" x14ac:dyDescent="0.25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30"/>
      <c r="AQ840" s="130"/>
      <c r="AR840" s="19"/>
      <c r="AS840" s="19"/>
      <c r="AT840" s="19"/>
    </row>
    <row r="841" spans="1:46" ht="12.5" x14ac:dyDescent="0.25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30"/>
      <c r="AQ841" s="130"/>
      <c r="AR841" s="19"/>
      <c r="AS841" s="19"/>
      <c r="AT841" s="19"/>
    </row>
    <row r="842" spans="1:46" ht="12.5" x14ac:dyDescent="0.25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30"/>
      <c r="AQ842" s="130"/>
      <c r="AR842" s="19"/>
      <c r="AS842" s="19"/>
      <c r="AT842" s="19"/>
    </row>
    <row r="843" spans="1:46" ht="12.5" x14ac:dyDescent="0.25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30"/>
      <c r="AQ843" s="130"/>
      <c r="AR843" s="19"/>
      <c r="AS843" s="19"/>
      <c r="AT843" s="19"/>
    </row>
    <row r="844" spans="1:46" ht="12.5" x14ac:dyDescent="0.25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30"/>
      <c r="AQ844" s="130"/>
      <c r="AR844" s="19"/>
      <c r="AS844" s="19"/>
      <c r="AT844" s="19"/>
    </row>
    <row r="845" spans="1:46" ht="12.5" x14ac:dyDescent="0.2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30"/>
      <c r="AQ845" s="130"/>
      <c r="AR845" s="19"/>
      <c r="AS845" s="19"/>
      <c r="AT845" s="19"/>
    </row>
    <row r="846" spans="1:46" ht="12.5" x14ac:dyDescent="0.25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30"/>
      <c r="AQ846" s="130"/>
      <c r="AR846" s="19"/>
      <c r="AS846" s="19"/>
      <c r="AT846" s="19"/>
    </row>
    <row r="847" spans="1:46" ht="12.5" x14ac:dyDescent="0.25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30"/>
      <c r="AQ847" s="130"/>
      <c r="AR847" s="19"/>
      <c r="AS847" s="19"/>
      <c r="AT847" s="19"/>
    </row>
    <row r="848" spans="1:46" ht="12.5" x14ac:dyDescent="0.25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30"/>
      <c r="AQ848" s="130"/>
      <c r="AR848" s="19"/>
      <c r="AS848" s="19"/>
      <c r="AT848" s="19"/>
    </row>
    <row r="849" spans="1:46" ht="12.5" x14ac:dyDescent="0.25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30"/>
      <c r="AQ849" s="130"/>
      <c r="AR849" s="19"/>
      <c r="AS849" s="19"/>
      <c r="AT849" s="19"/>
    </row>
    <row r="850" spans="1:46" ht="12.5" x14ac:dyDescent="0.25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30"/>
      <c r="AQ850" s="130"/>
      <c r="AR850" s="19"/>
      <c r="AS850" s="19"/>
      <c r="AT850" s="19"/>
    </row>
    <row r="851" spans="1:46" ht="12.5" x14ac:dyDescent="0.25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30"/>
      <c r="AQ851" s="130"/>
      <c r="AR851" s="19"/>
      <c r="AS851" s="19"/>
      <c r="AT851" s="19"/>
    </row>
    <row r="852" spans="1:46" ht="12.5" x14ac:dyDescent="0.25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30"/>
      <c r="AQ852" s="130"/>
      <c r="AR852" s="19"/>
      <c r="AS852" s="19"/>
      <c r="AT852" s="19"/>
    </row>
    <row r="853" spans="1:46" ht="12.5" x14ac:dyDescent="0.25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30"/>
      <c r="AQ853" s="130"/>
      <c r="AR853" s="19"/>
      <c r="AS853" s="19"/>
      <c r="AT853" s="19"/>
    </row>
    <row r="854" spans="1:46" ht="12.5" x14ac:dyDescent="0.25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30"/>
      <c r="AQ854" s="130"/>
      <c r="AR854" s="19"/>
      <c r="AS854" s="19"/>
      <c r="AT854" s="19"/>
    </row>
    <row r="855" spans="1:46" ht="12.5" x14ac:dyDescent="0.2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30"/>
      <c r="AQ855" s="130"/>
      <c r="AR855" s="19"/>
      <c r="AS855" s="19"/>
      <c r="AT855" s="19"/>
    </row>
    <row r="856" spans="1:46" ht="12.5" x14ac:dyDescent="0.25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30"/>
      <c r="AQ856" s="130"/>
      <c r="AR856" s="19"/>
      <c r="AS856" s="19"/>
      <c r="AT856" s="19"/>
    </row>
    <row r="857" spans="1:46" ht="12.5" x14ac:dyDescent="0.25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30"/>
      <c r="AQ857" s="130"/>
      <c r="AR857" s="19"/>
      <c r="AS857" s="19"/>
      <c r="AT857" s="19"/>
    </row>
    <row r="858" spans="1:46" ht="12.5" x14ac:dyDescent="0.25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30"/>
      <c r="AQ858" s="130"/>
      <c r="AR858" s="19"/>
      <c r="AS858" s="19"/>
      <c r="AT858" s="19"/>
    </row>
    <row r="859" spans="1:46" ht="12.5" x14ac:dyDescent="0.25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30"/>
      <c r="AQ859" s="130"/>
      <c r="AR859" s="19"/>
      <c r="AS859" s="19"/>
      <c r="AT859" s="19"/>
    </row>
    <row r="860" spans="1:46" ht="12.5" x14ac:dyDescent="0.25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30"/>
      <c r="AQ860" s="130"/>
      <c r="AR860" s="19"/>
      <c r="AS860" s="19"/>
      <c r="AT860" s="19"/>
    </row>
    <row r="861" spans="1:46" ht="12.5" x14ac:dyDescent="0.25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30"/>
      <c r="AQ861" s="130"/>
      <c r="AR861" s="19"/>
      <c r="AS861" s="19"/>
      <c r="AT861" s="19"/>
    </row>
    <row r="862" spans="1:46" ht="12.5" x14ac:dyDescent="0.25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30"/>
      <c r="AQ862" s="130"/>
      <c r="AR862" s="19"/>
      <c r="AS862" s="19"/>
      <c r="AT862" s="19"/>
    </row>
    <row r="863" spans="1:46" ht="12.5" x14ac:dyDescent="0.25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30"/>
      <c r="AQ863" s="130"/>
      <c r="AR863" s="19"/>
      <c r="AS863" s="19"/>
      <c r="AT863" s="19"/>
    </row>
    <row r="864" spans="1:46" ht="12.5" x14ac:dyDescent="0.25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30"/>
      <c r="AQ864" s="130"/>
      <c r="AR864" s="19"/>
      <c r="AS864" s="19"/>
      <c r="AT864" s="19"/>
    </row>
    <row r="865" spans="1:46" ht="12.5" x14ac:dyDescent="0.2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30"/>
      <c r="AQ865" s="130"/>
      <c r="AR865" s="19"/>
      <c r="AS865" s="19"/>
      <c r="AT865" s="19"/>
    </row>
    <row r="866" spans="1:46" ht="12.5" x14ac:dyDescent="0.25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30"/>
      <c r="AQ866" s="130"/>
      <c r="AR866" s="19"/>
      <c r="AS866" s="19"/>
      <c r="AT866" s="19"/>
    </row>
    <row r="867" spans="1:46" ht="12.5" x14ac:dyDescent="0.25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30"/>
      <c r="AQ867" s="130"/>
      <c r="AR867" s="19"/>
      <c r="AS867" s="19"/>
      <c r="AT867" s="19"/>
    </row>
    <row r="868" spans="1:46" ht="12.5" x14ac:dyDescent="0.25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30"/>
      <c r="AQ868" s="130"/>
      <c r="AR868" s="19"/>
      <c r="AS868" s="19"/>
      <c r="AT868" s="19"/>
    </row>
    <row r="869" spans="1:46" ht="12.5" x14ac:dyDescent="0.25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30"/>
      <c r="AQ869" s="130"/>
      <c r="AR869" s="19"/>
      <c r="AS869" s="19"/>
      <c r="AT869" s="19"/>
    </row>
    <row r="870" spans="1:46" ht="12.5" x14ac:dyDescent="0.25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30"/>
      <c r="AQ870" s="130"/>
      <c r="AR870" s="19"/>
      <c r="AS870" s="19"/>
      <c r="AT870" s="19"/>
    </row>
    <row r="871" spans="1:46" ht="12.5" x14ac:dyDescent="0.25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30"/>
      <c r="AQ871" s="130"/>
      <c r="AR871" s="19"/>
      <c r="AS871" s="19"/>
      <c r="AT871" s="19"/>
    </row>
    <row r="872" spans="1:46" ht="12.5" x14ac:dyDescent="0.25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30"/>
      <c r="AQ872" s="130"/>
      <c r="AR872" s="19"/>
      <c r="AS872" s="19"/>
      <c r="AT872" s="19"/>
    </row>
    <row r="873" spans="1:46" ht="12.5" x14ac:dyDescent="0.25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30"/>
      <c r="AQ873" s="130"/>
      <c r="AR873" s="19"/>
      <c r="AS873" s="19"/>
      <c r="AT873" s="19"/>
    </row>
    <row r="874" spans="1:46" ht="12.5" x14ac:dyDescent="0.25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30"/>
      <c r="AQ874" s="130"/>
      <c r="AR874" s="19"/>
      <c r="AS874" s="19"/>
      <c r="AT874" s="19"/>
    </row>
    <row r="875" spans="1:46" ht="12.5" x14ac:dyDescent="0.2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30"/>
      <c r="AQ875" s="130"/>
      <c r="AR875" s="19"/>
      <c r="AS875" s="19"/>
      <c r="AT875" s="19"/>
    </row>
    <row r="876" spans="1:46" ht="12.5" x14ac:dyDescent="0.25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30"/>
      <c r="AQ876" s="130"/>
      <c r="AR876" s="19"/>
      <c r="AS876" s="19"/>
      <c r="AT876" s="19"/>
    </row>
    <row r="877" spans="1:46" ht="12.5" x14ac:dyDescent="0.25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30"/>
      <c r="AQ877" s="130"/>
      <c r="AR877" s="19"/>
      <c r="AS877" s="19"/>
      <c r="AT877" s="19"/>
    </row>
    <row r="878" spans="1:46" ht="12.5" x14ac:dyDescent="0.25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30"/>
      <c r="AQ878" s="130"/>
      <c r="AR878" s="19"/>
      <c r="AS878" s="19"/>
      <c r="AT878" s="19"/>
    </row>
    <row r="879" spans="1:46" ht="12.5" x14ac:dyDescent="0.25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30"/>
      <c r="AQ879" s="130"/>
      <c r="AR879" s="19"/>
      <c r="AS879" s="19"/>
      <c r="AT879" s="19"/>
    </row>
    <row r="880" spans="1:46" ht="12.5" x14ac:dyDescent="0.25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30"/>
      <c r="AQ880" s="130"/>
      <c r="AR880" s="19"/>
      <c r="AS880" s="19"/>
      <c r="AT880" s="19"/>
    </row>
    <row r="881" spans="1:46" ht="12.5" x14ac:dyDescent="0.25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30"/>
      <c r="AQ881" s="130"/>
      <c r="AR881" s="19"/>
      <c r="AS881" s="19"/>
      <c r="AT881" s="19"/>
    </row>
    <row r="882" spans="1:46" ht="12.5" x14ac:dyDescent="0.25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30"/>
      <c r="AQ882" s="130"/>
      <c r="AR882" s="19"/>
      <c r="AS882" s="19"/>
      <c r="AT882" s="19"/>
    </row>
    <row r="883" spans="1:46" ht="12.5" x14ac:dyDescent="0.25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30"/>
      <c r="AQ883" s="130"/>
      <c r="AR883" s="19"/>
      <c r="AS883" s="19"/>
      <c r="AT883" s="19"/>
    </row>
    <row r="884" spans="1:46" ht="12.5" x14ac:dyDescent="0.25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30"/>
      <c r="AQ884" s="130"/>
      <c r="AR884" s="19"/>
      <c r="AS884" s="19"/>
      <c r="AT884" s="19"/>
    </row>
    <row r="885" spans="1:46" ht="12.5" x14ac:dyDescent="0.2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30"/>
      <c r="AQ885" s="130"/>
      <c r="AR885" s="19"/>
      <c r="AS885" s="19"/>
      <c r="AT885" s="19"/>
    </row>
    <row r="886" spans="1:46" ht="12.5" x14ac:dyDescent="0.25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30"/>
      <c r="AQ886" s="130"/>
      <c r="AR886" s="19"/>
      <c r="AS886" s="19"/>
      <c r="AT886" s="19"/>
    </row>
    <row r="887" spans="1:46" ht="12.5" x14ac:dyDescent="0.25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30"/>
      <c r="AQ887" s="130"/>
      <c r="AR887" s="19"/>
      <c r="AS887" s="19"/>
      <c r="AT887" s="19"/>
    </row>
    <row r="888" spans="1:46" ht="12.5" x14ac:dyDescent="0.25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30"/>
      <c r="AQ888" s="130"/>
      <c r="AR888" s="19"/>
      <c r="AS888" s="19"/>
      <c r="AT888" s="19"/>
    </row>
    <row r="889" spans="1:46" ht="12.5" x14ac:dyDescent="0.25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30"/>
      <c r="AQ889" s="130"/>
      <c r="AR889" s="19"/>
      <c r="AS889" s="19"/>
      <c r="AT889" s="19"/>
    </row>
    <row r="890" spans="1:46" ht="12.5" x14ac:dyDescent="0.25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30"/>
      <c r="AQ890" s="130"/>
      <c r="AR890" s="19"/>
      <c r="AS890" s="19"/>
      <c r="AT890" s="19"/>
    </row>
    <row r="891" spans="1:46" ht="12.5" x14ac:dyDescent="0.25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30"/>
      <c r="AQ891" s="130"/>
      <c r="AR891" s="19"/>
      <c r="AS891" s="19"/>
      <c r="AT891" s="19"/>
    </row>
    <row r="892" spans="1:46" ht="12.5" x14ac:dyDescent="0.25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30"/>
      <c r="AQ892" s="130"/>
      <c r="AR892" s="19"/>
      <c r="AS892" s="19"/>
      <c r="AT892" s="19"/>
    </row>
    <row r="893" spans="1:46" ht="12.5" x14ac:dyDescent="0.25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30"/>
      <c r="AQ893" s="130"/>
      <c r="AR893" s="19"/>
      <c r="AS893" s="19"/>
      <c r="AT893" s="19"/>
    </row>
    <row r="894" spans="1:46" ht="12.5" x14ac:dyDescent="0.25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30"/>
      <c r="AQ894" s="130"/>
      <c r="AR894" s="19"/>
      <c r="AS894" s="19"/>
      <c r="AT894" s="19"/>
    </row>
    <row r="895" spans="1:46" ht="12.5" x14ac:dyDescent="0.2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30"/>
      <c r="AQ895" s="130"/>
      <c r="AR895" s="19"/>
      <c r="AS895" s="19"/>
      <c r="AT895" s="19"/>
    </row>
    <row r="896" spans="1:46" ht="12.5" x14ac:dyDescent="0.25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30"/>
      <c r="AQ896" s="130"/>
      <c r="AR896" s="19"/>
      <c r="AS896" s="19"/>
      <c r="AT896" s="19"/>
    </row>
    <row r="897" spans="1:46" ht="12.5" x14ac:dyDescent="0.25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30"/>
      <c r="AQ897" s="130"/>
      <c r="AR897" s="19"/>
      <c r="AS897" s="19"/>
      <c r="AT897" s="19"/>
    </row>
    <row r="898" spans="1:46" ht="12.5" x14ac:dyDescent="0.25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30"/>
      <c r="AQ898" s="130"/>
      <c r="AR898" s="19"/>
      <c r="AS898" s="19"/>
      <c r="AT898" s="19"/>
    </row>
    <row r="899" spans="1:46" ht="12.5" x14ac:dyDescent="0.25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30"/>
      <c r="AQ899" s="130"/>
      <c r="AR899" s="19"/>
      <c r="AS899" s="19"/>
      <c r="AT899" s="19"/>
    </row>
    <row r="900" spans="1:46" ht="12.5" x14ac:dyDescent="0.25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30"/>
      <c r="AQ900" s="130"/>
      <c r="AR900" s="19"/>
      <c r="AS900" s="19"/>
      <c r="AT900" s="19"/>
    </row>
    <row r="901" spans="1:46" ht="12.5" x14ac:dyDescent="0.25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30"/>
      <c r="AQ901" s="130"/>
      <c r="AR901" s="19"/>
      <c r="AS901" s="19"/>
      <c r="AT901" s="19"/>
    </row>
    <row r="902" spans="1:46" ht="12.5" x14ac:dyDescent="0.25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30"/>
      <c r="AQ902" s="130"/>
      <c r="AR902" s="19"/>
      <c r="AS902" s="19"/>
      <c r="AT902" s="19"/>
    </row>
    <row r="903" spans="1:46" ht="12.5" x14ac:dyDescent="0.25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30"/>
      <c r="AQ903" s="130"/>
      <c r="AR903" s="19"/>
      <c r="AS903" s="19"/>
      <c r="AT903" s="19"/>
    </row>
    <row r="904" spans="1:46" ht="12.5" x14ac:dyDescent="0.25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30"/>
      <c r="AQ904" s="130"/>
      <c r="AR904" s="19"/>
      <c r="AS904" s="19"/>
      <c r="AT904" s="19"/>
    </row>
    <row r="905" spans="1:46" ht="12.5" x14ac:dyDescent="0.2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30"/>
      <c r="AQ905" s="130"/>
      <c r="AR905" s="19"/>
      <c r="AS905" s="19"/>
      <c r="AT905" s="19"/>
    </row>
    <row r="906" spans="1:46" ht="12.5" x14ac:dyDescent="0.25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30"/>
      <c r="AQ906" s="130"/>
      <c r="AR906" s="19"/>
      <c r="AS906" s="19"/>
      <c r="AT906" s="19"/>
    </row>
    <row r="907" spans="1:46" ht="12.5" x14ac:dyDescent="0.25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30"/>
      <c r="AQ907" s="130"/>
      <c r="AR907" s="19"/>
      <c r="AS907" s="19"/>
      <c r="AT907" s="19"/>
    </row>
    <row r="908" spans="1:46" ht="12.5" x14ac:dyDescent="0.25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30"/>
      <c r="AQ908" s="130"/>
      <c r="AR908" s="19"/>
      <c r="AS908" s="19"/>
      <c r="AT908" s="19"/>
    </row>
    <row r="909" spans="1:46" ht="12.5" x14ac:dyDescent="0.25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30"/>
      <c r="AQ909" s="130"/>
      <c r="AR909" s="19"/>
      <c r="AS909" s="19"/>
      <c r="AT909" s="19"/>
    </row>
    <row r="910" spans="1:46" ht="12.5" x14ac:dyDescent="0.25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30"/>
      <c r="AQ910" s="130"/>
      <c r="AR910" s="19"/>
      <c r="AS910" s="19"/>
      <c r="AT910" s="19"/>
    </row>
    <row r="911" spans="1:46" ht="12.5" x14ac:dyDescent="0.25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30"/>
      <c r="AQ911" s="130"/>
      <c r="AR911" s="19"/>
      <c r="AS911" s="19"/>
      <c r="AT911" s="19"/>
    </row>
    <row r="912" spans="1:46" ht="12.5" x14ac:dyDescent="0.25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30"/>
      <c r="AQ912" s="130"/>
      <c r="AR912" s="19"/>
      <c r="AS912" s="19"/>
      <c r="AT912" s="19"/>
    </row>
    <row r="913" spans="1:46" ht="12.5" x14ac:dyDescent="0.25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30"/>
      <c r="AQ913" s="130"/>
      <c r="AR913" s="19"/>
      <c r="AS913" s="19"/>
      <c r="AT913" s="19"/>
    </row>
    <row r="914" spans="1:46" ht="12.5" x14ac:dyDescent="0.25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30"/>
      <c r="AQ914" s="130"/>
      <c r="AR914" s="19"/>
      <c r="AS914" s="19"/>
      <c r="AT914" s="19"/>
    </row>
    <row r="915" spans="1:46" ht="12.5" x14ac:dyDescent="0.2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30"/>
      <c r="AQ915" s="130"/>
      <c r="AR915" s="19"/>
      <c r="AS915" s="19"/>
      <c r="AT915" s="19"/>
    </row>
    <row r="916" spans="1:46" ht="12.5" x14ac:dyDescent="0.25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30"/>
      <c r="AQ916" s="130"/>
      <c r="AR916" s="19"/>
      <c r="AS916" s="19"/>
      <c r="AT916" s="19"/>
    </row>
    <row r="917" spans="1:46" ht="12.5" x14ac:dyDescent="0.25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30"/>
      <c r="AQ917" s="130"/>
      <c r="AR917" s="19"/>
      <c r="AS917" s="19"/>
      <c r="AT917" s="19"/>
    </row>
    <row r="918" spans="1:46" ht="12.5" x14ac:dyDescent="0.25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30"/>
      <c r="AQ918" s="130"/>
      <c r="AR918" s="19"/>
      <c r="AS918" s="19"/>
      <c r="AT918" s="19"/>
    </row>
    <row r="919" spans="1:46" ht="12.5" x14ac:dyDescent="0.25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30"/>
      <c r="AQ919" s="130"/>
      <c r="AR919" s="19"/>
      <c r="AS919" s="19"/>
      <c r="AT919" s="19"/>
    </row>
    <row r="920" spans="1:46" ht="12.5" x14ac:dyDescent="0.25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30"/>
      <c r="AQ920" s="130"/>
      <c r="AR920" s="19"/>
      <c r="AS920" s="19"/>
      <c r="AT920" s="19"/>
    </row>
    <row r="921" spans="1:46" ht="12.5" x14ac:dyDescent="0.25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30"/>
      <c r="AQ921" s="130"/>
      <c r="AR921" s="19"/>
      <c r="AS921" s="19"/>
      <c r="AT921" s="19"/>
    </row>
    <row r="922" spans="1:46" ht="12.5" x14ac:dyDescent="0.25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30"/>
      <c r="AQ922" s="130"/>
      <c r="AR922" s="19"/>
      <c r="AS922" s="19"/>
      <c r="AT922" s="19"/>
    </row>
    <row r="923" spans="1:46" ht="12.5" x14ac:dyDescent="0.25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30"/>
      <c r="AQ923" s="130"/>
      <c r="AR923" s="19"/>
      <c r="AS923" s="19"/>
      <c r="AT923" s="19"/>
    </row>
    <row r="924" spans="1:46" ht="12.5" x14ac:dyDescent="0.25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30"/>
      <c r="AQ924" s="130"/>
      <c r="AR924" s="19"/>
      <c r="AS924" s="19"/>
      <c r="AT924" s="19"/>
    </row>
    <row r="925" spans="1:46" ht="12.5" x14ac:dyDescent="0.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30"/>
      <c r="AQ925" s="130"/>
      <c r="AR925" s="19"/>
      <c r="AS925" s="19"/>
      <c r="AT925" s="19"/>
    </row>
    <row r="926" spans="1:46" ht="12.5" x14ac:dyDescent="0.25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30"/>
      <c r="AQ926" s="130"/>
      <c r="AR926" s="19"/>
      <c r="AS926" s="19"/>
      <c r="AT926" s="19"/>
    </row>
    <row r="927" spans="1:46" ht="12.5" x14ac:dyDescent="0.25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30"/>
      <c r="AQ927" s="130"/>
      <c r="AR927" s="19"/>
      <c r="AS927" s="19"/>
      <c r="AT927" s="19"/>
    </row>
    <row r="928" spans="1:46" ht="12.5" x14ac:dyDescent="0.25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30"/>
      <c r="AQ928" s="130"/>
      <c r="AR928" s="19"/>
      <c r="AS928" s="19"/>
      <c r="AT928" s="19"/>
    </row>
    <row r="929" spans="1:46" ht="12.5" x14ac:dyDescent="0.25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30"/>
      <c r="AQ929" s="130"/>
      <c r="AR929" s="19"/>
      <c r="AS929" s="19"/>
      <c r="AT929" s="19"/>
    </row>
    <row r="930" spans="1:46" ht="12.5" x14ac:dyDescent="0.25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30"/>
      <c r="AQ930" s="130"/>
      <c r="AR930" s="19"/>
      <c r="AS930" s="19"/>
      <c r="AT930" s="19"/>
    </row>
    <row r="931" spans="1:46" ht="12.5" x14ac:dyDescent="0.25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30"/>
      <c r="AQ931" s="130"/>
      <c r="AR931" s="19"/>
      <c r="AS931" s="19"/>
      <c r="AT931" s="19"/>
    </row>
    <row r="932" spans="1:46" ht="12.5" x14ac:dyDescent="0.25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30"/>
      <c r="AQ932" s="130"/>
      <c r="AR932" s="19"/>
      <c r="AS932" s="19"/>
      <c r="AT932" s="19"/>
    </row>
    <row r="933" spans="1:46" ht="12.5" x14ac:dyDescent="0.25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30"/>
      <c r="AQ933" s="130"/>
      <c r="AR933" s="19"/>
      <c r="AS933" s="19"/>
      <c r="AT933" s="19"/>
    </row>
    <row r="934" spans="1:46" ht="12.5" x14ac:dyDescent="0.25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30"/>
      <c r="AQ934" s="130"/>
      <c r="AR934" s="19"/>
      <c r="AS934" s="19"/>
      <c r="AT934" s="19"/>
    </row>
    <row r="935" spans="1:46" ht="12.5" x14ac:dyDescent="0.2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30"/>
      <c r="AQ935" s="130"/>
      <c r="AR935" s="19"/>
      <c r="AS935" s="19"/>
      <c r="AT935" s="19"/>
    </row>
    <row r="936" spans="1:46" ht="12.5" x14ac:dyDescent="0.25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30"/>
      <c r="AQ936" s="130"/>
      <c r="AR936" s="19"/>
      <c r="AS936" s="19"/>
      <c r="AT936" s="19"/>
    </row>
    <row r="937" spans="1:46" ht="12.5" x14ac:dyDescent="0.25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30"/>
      <c r="AQ937" s="130"/>
      <c r="AR937" s="19"/>
      <c r="AS937" s="19"/>
      <c r="AT937" s="19"/>
    </row>
    <row r="938" spans="1:46" ht="12.5" x14ac:dyDescent="0.25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30"/>
      <c r="AQ938" s="130"/>
      <c r="AR938" s="19"/>
      <c r="AS938" s="19"/>
      <c r="AT938" s="19"/>
    </row>
    <row r="939" spans="1:46" ht="12.5" x14ac:dyDescent="0.25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30"/>
      <c r="AQ939" s="130"/>
      <c r="AR939" s="19"/>
      <c r="AS939" s="19"/>
      <c r="AT939" s="19"/>
    </row>
    <row r="940" spans="1:46" ht="12.5" x14ac:dyDescent="0.25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30"/>
      <c r="AQ940" s="130"/>
      <c r="AR940" s="19"/>
      <c r="AS940" s="19"/>
      <c r="AT940" s="19"/>
    </row>
    <row r="941" spans="1:46" ht="12.5" x14ac:dyDescent="0.25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30"/>
      <c r="AQ941" s="130"/>
      <c r="AR941" s="19"/>
      <c r="AS941" s="19"/>
      <c r="AT941" s="19"/>
    </row>
    <row r="942" spans="1:46" ht="12.5" x14ac:dyDescent="0.25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30"/>
      <c r="AQ942" s="130"/>
      <c r="AR942" s="19"/>
      <c r="AS942" s="19"/>
      <c r="AT942" s="19"/>
    </row>
    <row r="943" spans="1:46" ht="12.5" x14ac:dyDescent="0.25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30"/>
      <c r="AQ943" s="130"/>
      <c r="AR943" s="19"/>
      <c r="AS943" s="19"/>
      <c r="AT943" s="19"/>
    </row>
    <row r="944" spans="1:46" ht="12.5" x14ac:dyDescent="0.25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30"/>
      <c r="AQ944" s="130"/>
      <c r="AR944" s="19"/>
      <c r="AS944" s="19"/>
      <c r="AT944" s="19"/>
    </row>
    <row r="945" spans="1:46" ht="12.5" x14ac:dyDescent="0.2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30"/>
      <c r="AQ945" s="130"/>
      <c r="AR945" s="19"/>
      <c r="AS945" s="19"/>
      <c r="AT945" s="19"/>
    </row>
    <row r="946" spans="1:46" ht="12.5" x14ac:dyDescent="0.25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30"/>
      <c r="AQ946" s="130"/>
      <c r="AR946" s="19"/>
      <c r="AS946" s="19"/>
      <c r="AT946" s="19"/>
    </row>
    <row r="947" spans="1:46" ht="12.5" x14ac:dyDescent="0.25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30"/>
      <c r="AQ947" s="130"/>
      <c r="AR947" s="19"/>
      <c r="AS947" s="19"/>
      <c r="AT947" s="19"/>
    </row>
    <row r="948" spans="1:46" ht="12.5" x14ac:dyDescent="0.25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30"/>
      <c r="AQ948" s="130"/>
      <c r="AR948" s="19"/>
      <c r="AS948" s="19"/>
      <c r="AT948" s="19"/>
    </row>
    <row r="949" spans="1:46" ht="12.5" x14ac:dyDescent="0.25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30"/>
      <c r="AQ949" s="130"/>
      <c r="AR949" s="19"/>
      <c r="AS949" s="19"/>
      <c r="AT949" s="19"/>
    </row>
    <row r="950" spans="1:46" ht="12.5" x14ac:dyDescent="0.25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30"/>
      <c r="AQ950" s="130"/>
      <c r="AR950" s="19"/>
      <c r="AS950" s="19"/>
      <c r="AT950" s="19"/>
    </row>
    <row r="951" spans="1:46" ht="12.5" x14ac:dyDescent="0.25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30"/>
      <c r="AQ951" s="130"/>
      <c r="AR951" s="19"/>
      <c r="AS951" s="19"/>
      <c r="AT951" s="19"/>
    </row>
    <row r="952" spans="1:46" ht="12.5" x14ac:dyDescent="0.25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30"/>
      <c r="AQ952" s="130"/>
      <c r="AR952" s="19"/>
      <c r="AS952" s="19"/>
      <c r="AT952" s="19"/>
    </row>
    <row r="953" spans="1:46" ht="12.5" x14ac:dyDescent="0.25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30"/>
      <c r="AQ953" s="130"/>
      <c r="AR953" s="19"/>
      <c r="AS953" s="19"/>
      <c r="AT953" s="19"/>
    </row>
    <row r="954" spans="1:46" ht="12.5" x14ac:dyDescent="0.25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30"/>
      <c r="AQ954" s="130"/>
      <c r="AR954" s="19"/>
      <c r="AS954" s="19"/>
      <c r="AT954" s="19"/>
    </row>
    <row r="955" spans="1:46" ht="12.5" x14ac:dyDescent="0.2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30"/>
      <c r="AQ955" s="130"/>
      <c r="AR955" s="19"/>
      <c r="AS955" s="19"/>
      <c r="AT955" s="19"/>
    </row>
    <row r="956" spans="1:46" ht="12.5" x14ac:dyDescent="0.25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30"/>
      <c r="AQ956" s="130"/>
      <c r="AR956" s="19"/>
      <c r="AS956" s="19"/>
      <c r="AT956" s="19"/>
    </row>
    <row r="957" spans="1:46" ht="12.5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30"/>
      <c r="AQ957" s="130"/>
      <c r="AR957" s="19"/>
      <c r="AS957" s="19"/>
      <c r="AT957" s="19"/>
    </row>
    <row r="958" spans="1:46" ht="12.5" x14ac:dyDescent="0.25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30"/>
      <c r="AQ958" s="130"/>
      <c r="AR958" s="19"/>
      <c r="AS958" s="19"/>
      <c r="AT958" s="19"/>
    </row>
    <row r="959" spans="1:46" ht="12.5" x14ac:dyDescent="0.25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30"/>
      <c r="AQ959" s="130"/>
      <c r="AR959" s="19"/>
      <c r="AS959" s="19"/>
      <c r="AT959" s="19"/>
    </row>
    <row r="960" spans="1:46" ht="12.5" x14ac:dyDescent="0.25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30"/>
      <c r="AQ960" s="130"/>
      <c r="AR960" s="19"/>
      <c r="AS960" s="19"/>
      <c r="AT960" s="19"/>
    </row>
    <row r="961" spans="1:46" ht="12.5" x14ac:dyDescent="0.25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30"/>
      <c r="AQ961" s="130"/>
      <c r="AR961" s="19"/>
      <c r="AS961" s="19"/>
      <c r="AT961" s="19"/>
    </row>
    <row r="962" spans="1:46" ht="12.5" x14ac:dyDescent="0.25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30"/>
      <c r="AQ962" s="130"/>
      <c r="AR962" s="19"/>
      <c r="AS962" s="19"/>
      <c r="AT962" s="19"/>
    </row>
    <row r="963" spans="1:46" ht="12.5" x14ac:dyDescent="0.25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30"/>
      <c r="AQ963" s="130"/>
      <c r="AR963" s="19"/>
      <c r="AS963" s="19"/>
      <c r="AT963" s="19"/>
    </row>
    <row r="964" spans="1:46" ht="12.5" x14ac:dyDescent="0.25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30"/>
      <c r="AQ964" s="130"/>
      <c r="AR964" s="19"/>
      <c r="AS964" s="19"/>
      <c r="AT964" s="19"/>
    </row>
    <row r="965" spans="1:46" ht="12.5" x14ac:dyDescent="0.2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30"/>
      <c r="AQ965" s="130"/>
      <c r="AR965" s="19"/>
      <c r="AS965" s="19"/>
      <c r="AT965" s="19"/>
    </row>
    <row r="966" spans="1:46" ht="12.5" x14ac:dyDescent="0.25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30"/>
      <c r="AQ966" s="130"/>
      <c r="AR966" s="19"/>
      <c r="AS966" s="19"/>
      <c r="AT966" s="19"/>
    </row>
    <row r="967" spans="1:46" ht="12.5" x14ac:dyDescent="0.25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30"/>
      <c r="AQ967" s="130"/>
      <c r="AR967" s="19"/>
      <c r="AS967" s="19"/>
      <c r="AT967" s="19"/>
    </row>
    <row r="968" spans="1:46" ht="12.5" x14ac:dyDescent="0.25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30"/>
      <c r="AQ968" s="130"/>
      <c r="AR968" s="19"/>
      <c r="AS968" s="19"/>
      <c r="AT968" s="19"/>
    </row>
    <row r="969" spans="1:46" ht="12.5" x14ac:dyDescent="0.25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30"/>
      <c r="AQ969" s="130"/>
      <c r="AR969" s="19"/>
      <c r="AS969" s="19"/>
      <c r="AT969" s="19"/>
    </row>
    <row r="970" spans="1:46" ht="12.5" x14ac:dyDescent="0.25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30"/>
      <c r="AQ970" s="130"/>
      <c r="AR970" s="19"/>
      <c r="AS970" s="19"/>
      <c r="AT970" s="19"/>
    </row>
    <row r="971" spans="1:46" ht="12.5" x14ac:dyDescent="0.25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30"/>
      <c r="AQ971" s="130"/>
      <c r="AR971" s="19"/>
      <c r="AS971" s="19"/>
      <c r="AT971" s="19"/>
    </row>
    <row r="972" spans="1:46" ht="12.5" x14ac:dyDescent="0.25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30"/>
      <c r="AQ972" s="130"/>
      <c r="AR972" s="19"/>
      <c r="AS972" s="19"/>
      <c r="AT972" s="19"/>
    </row>
    <row r="973" spans="1:46" ht="12.5" x14ac:dyDescent="0.25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30"/>
      <c r="AQ973" s="130"/>
      <c r="AR973" s="19"/>
      <c r="AS973" s="19"/>
      <c r="AT973" s="19"/>
    </row>
    <row r="974" spans="1:46" ht="12.5" x14ac:dyDescent="0.25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30"/>
      <c r="AQ974" s="130"/>
      <c r="AR974" s="19"/>
      <c r="AS974" s="19"/>
      <c r="AT974" s="19"/>
    </row>
    <row r="975" spans="1:46" ht="12.5" x14ac:dyDescent="0.2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30"/>
      <c r="AQ975" s="130"/>
      <c r="AR975" s="19"/>
      <c r="AS975" s="19"/>
      <c r="AT975" s="19"/>
    </row>
    <row r="976" spans="1:46" ht="12.5" x14ac:dyDescent="0.25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30"/>
      <c r="AQ976" s="130"/>
      <c r="AR976" s="19"/>
      <c r="AS976" s="19"/>
      <c r="AT976" s="19"/>
    </row>
    <row r="977" spans="1:46" ht="12.5" x14ac:dyDescent="0.25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30"/>
      <c r="AQ977" s="130"/>
      <c r="AR977" s="19"/>
      <c r="AS977" s="19"/>
      <c r="AT977" s="19"/>
    </row>
    <row r="978" spans="1:46" ht="12.5" x14ac:dyDescent="0.25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30"/>
      <c r="AQ978" s="130"/>
      <c r="AR978" s="19"/>
      <c r="AS978" s="19"/>
      <c r="AT978" s="19"/>
    </row>
    <row r="979" spans="1:46" ht="12.5" x14ac:dyDescent="0.25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30"/>
      <c r="AQ979" s="130"/>
      <c r="AR979" s="19"/>
      <c r="AS979" s="19"/>
      <c r="AT979" s="19"/>
    </row>
    <row r="980" spans="1:46" ht="12.5" x14ac:dyDescent="0.25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30"/>
      <c r="AQ980" s="130"/>
      <c r="AR980" s="19"/>
      <c r="AS980" s="19"/>
      <c r="AT980" s="19"/>
    </row>
    <row r="981" spans="1:46" ht="12.5" x14ac:dyDescent="0.25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30"/>
      <c r="AQ981" s="130"/>
      <c r="AR981" s="19"/>
      <c r="AS981" s="19"/>
      <c r="AT981" s="19"/>
    </row>
    <row r="982" spans="1:46" ht="12.5" x14ac:dyDescent="0.25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30"/>
      <c r="AQ982" s="130"/>
      <c r="AR982" s="19"/>
      <c r="AS982" s="19"/>
      <c r="AT982" s="19"/>
    </row>
    <row r="983" spans="1:46" ht="12.5" x14ac:dyDescent="0.25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30"/>
      <c r="AQ983" s="130"/>
      <c r="AR983" s="19"/>
      <c r="AS983" s="19"/>
      <c r="AT983" s="19"/>
    </row>
    <row r="984" spans="1:46" ht="12.5" x14ac:dyDescent="0.25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30"/>
      <c r="AQ984" s="130"/>
      <c r="AR984" s="19"/>
      <c r="AS984" s="19"/>
      <c r="AT984" s="19"/>
    </row>
    <row r="985" spans="1:46" ht="12.5" x14ac:dyDescent="0.2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30"/>
      <c r="AQ985" s="130"/>
      <c r="AR985" s="19"/>
      <c r="AS985" s="19"/>
      <c r="AT985" s="19"/>
    </row>
    <row r="986" spans="1:46" ht="12.5" x14ac:dyDescent="0.2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30"/>
      <c r="AQ986" s="130"/>
      <c r="AR986" s="19"/>
      <c r="AS986" s="19"/>
      <c r="AT986" s="19"/>
    </row>
    <row r="987" spans="1:46" ht="12.5" x14ac:dyDescent="0.25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30"/>
      <c r="AQ987" s="130"/>
      <c r="AR987" s="19"/>
      <c r="AS987" s="19"/>
      <c r="AT987" s="19"/>
    </row>
    <row r="988" spans="1:46" ht="12.5" x14ac:dyDescent="0.25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30"/>
      <c r="AQ988" s="130"/>
      <c r="AR988" s="19"/>
      <c r="AS988" s="19"/>
      <c r="AT988" s="19"/>
    </row>
    <row r="989" spans="1:46" ht="12.5" x14ac:dyDescent="0.25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30"/>
      <c r="AQ989" s="130"/>
      <c r="AR989" s="19"/>
      <c r="AS989" s="19"/>
      <c r="AT989" s="19"/>
    </row>
    <row r="990" spans="1:46" ht="12.5" x14ac:dyDescent="0.25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30"/>
      <c r="AQ990" s="130"/>
      <c r="AR990" s="19"/>
      <c r="AS990" s="19"/>
      <c r="AT990" s="19"/>
    </row>
    <row r="991" spans="1:46" ht="12.5" x14ac:dyDescent="0.25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30"/>
      <c r="AQ991" s="130"/>
      <c r="AR991" s="19"/>
      <c r="AS991" s="19"/>
      <c r="AT991" s="19"/>
    </row>
    <row r="992" spans="1:46" ht="12.5" x14ac:dyDescent="0.25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30"/>
      <c r="AQ992" s="130"/>
      <c r="AR992" s="19"/>
      <c r="AS992" s="19"/>
      <c r="AT992" s="19"/>
    </row>
    <row r="993" spans="1:46" ht="12.5" x14ac:dyDescent="0.25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9"/>
      <c r="AQ993" s="19"/>
      <c r="AR993" s="19"/>
      <c r="AS993" s="19"/>
      <c r="AT993" s="19"/>
    </row>
    <row r="994" spans="1:46" ht="12.5" x14ac:dyDescent="0.25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  <c r="AP994" s="19"/>
      <c r="AQ994" s="19"/>
      <c r="AR994" s="19"/>
      <c r="AS994" s="19"/>
      <c r="AT994" s="19"/>
    </row>
    <row r="995" spans="1:46" ht="12.5" x14ac:dyDescent="0.2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  <c r="AP995" s="19"/>
      <c r="AQ995" s="19"/>
      <c r="AR995" s="19"/>
      <c r="AS995" s="19"/>
      <c r="AT995" s="19"/>
    </row>
    <row r="996" spans="1:46" ht="12.5" x14ac:dyDescent="0.25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  <c r="AP996" s="19"/>
      <c r="AQ996" s="19"/>
      <c r="AR996" s="19"/>
      <c r="AS996" s="19"/>
      <c r="AT996" s="19"/>
    </row>
  </sheetData>
  <mergeCells count="5">
    <mergeCell ref="C6:N6"/>
    <mergeCell ref="O6:U6"/>
    <mergeCell ref="V6:AB6"/>
    <mergeCell ref="AC6:AK6"/>
    <mergeCell ref="AN6:AS6"/>
  </mergeCells>
  <conditionalFormatting sqref="C8:C19">
    <cfRule type="cellIs" dxfId="24" priority="1" operator="greaterThan">
      <formula>4775.4</formula>
    </cfRule>
    <cfRule type="cellIs" dxfId="23" priority="2" operator="lessThan">
      <formula>5.1</formula>
    </cfRule>
  </conditionalFormatting>
  <conditionalFormatting sqref="D8:D19">
    <cfRule type="cellIs" dxfId="22" priority="3" operator="greaterThan">
      <formula>5142</formula>
    </cfRule>
    <cfRule type="cellIs" dxfId="21" priority="4" operator="lessThan">
      <formula>5.8</formula>
    </cfRule>
  </conditionalFormatting>
  <conditionalFormatting sqref="E8:E15">
    <cfRule type="cellIs" dxfId="20" priority="5" operator="greaterThan">
      <formula>5244782.62</formula>
    </cfRule>
    <cfRule type="cellIs" dxfId="19" priority="6" operator="lessThan">
      <formula>7634.51</formula>
    </cfRule>
  </conditionalFormatting>
  <conditionalFormatting sqref="E16:E19">
    <cfRule type="cellIs" dxfId="18" priority="13" operator="greaterThan">
      <formula>5431983.17</formula>
    </cfRule>
    <cfRule type="cellIs" dxfId="17" priority="14" operator="lessThan">
      <formula>8288.85</formula>
    </cfRule>
  </conditionalFormatting>
  <conditionalFormatting sqref="F8:F15">
    <cfRule type="cellIs" dxfId="16" priority="7" operator="greaterThan">
      <formula>369107.67</formula>
    </cfRule>
    <cfRule type="cellIs" dxfId="15" priority="8" operator="lessThan">
      <formula>5501.64</formula>
    </cfRule>
  </conditionalFormatting>
  <conditionalFormatting sqref="G8:G15">
    <cfRule type="cellIs" dxfId="14" priority="9" operator="greaterThan">
      <formula>13842182.18</formula>
    </cfRule>
    <cfRule type="cellIs" dxfId="13" priority="10" operator="lessThan">
      <formula>27090.83</formula>
    </cfRule>
  </conditionalFormatting>
  <conditionalFormatting sqref="G16:G19">
    <cfRule type="cellIs" dxfId="12" priority="15" operator="greaterThan">
      <formula>13820865.39</formula>
    </cfRule>
    <cfRule type="cellIs" dxfId="11" priority="16" operator="lessThan">
      <formula>26845.62</formula>
    </cfRule>
  </conditionalFormatting>
  <conditionalFormatting sqref="H8:H15">
    <cfRule type="cellIs" dxfId="10" priority="11" operator="greaterThan">
      <formula>1798000.76</formula>
    </cfRule>
    <cfRule type="cellIs" dxfId="9" priority="12" operator="lessThan">
      <formula>4643.64</formula>
    </cfRule>
  </conditionalFormatting>
  <conditionalFormatting sqref="H16:H19">
    <cfRule type="cellIs" dxfId="8" priority="17" operator="greaterThan">
      <formula>1777608.86</formula>
    </cfRule>
    <cfRule type="cellIs" dxfId="7" priority="18" operator="lessThan">
      <formula>307.39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039"/>
  <sheetViews>
    <sheetView workbookViewId="0"/>
  </sheetViews>
  <sheetFormatPr defaultColWidth="12.6328125" defaultRowHeight="15.75" customHeight="1" x14ac:dyDescent="0.25"/>
  <cols>
    <col min="2" max="2" width="27.7265625" customWidth="1"/>
    <col min="3" max="3" width="16" customWidth="1"/>
    <col min="5" max="5" width="16.08984375" customWidth="1"/>
  </cols>
  <sheetData>
    <row r="1" spans="1:27" ht="15.75" customHeight="1" x14ac:dyDescent="0.35">
      <c r="A1" s="7" t="s">
        <v>353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7"/>
      <c r="X1" s="7"/>
      <c r="Y1" s="7"/>
      <c r="Z1" s="7"/>
      <c r="AA1" s="7"/>
    </row>
    <row r="2" spans="1:27" ht="15.75" customHeight="1" x14ac:dyDescent="0.35">
      <c r="A2" s="7"/>
      <c r="B2" s="99" t="s">
        <v>354</v>
      </c>
      <c r="C2" s="224" t="s">
        <v>210</v>
      </c>
      <c r="D2" s="226"/>
      <c r="E2" s="224" t="s">
        <v>211</v>
      </c>
      <c r="F2" s="226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7"/>
      <c r="X2" s="7"/>
      <c r="Y2" s="7"/>
      <c r="Z2" s="7"/>
      <c r="AA2" s="7"/>
    </row>
    <row r="3" spans="1:27" ht="15.75" customHeight="1" x14ac:dyDescent="0.35">
      <c r="A3" s="7"/>
      <c r="B3" s="72" t="s">
        <v>213</v>
      </c>
      <c r="C3" s="72" t="s">
        <v>214</v>
      </c>
      <c r="D3" s="1" t="s">
        <v>215</v>
      </c>
      <c r="E3" s="72" t="s">
        <v>220</v>
      </c>
      <c r="F3" s="73" t="s">
        <v>221</v>
      </c>
      <c r="G3" s="45"/>
      <c r="H3" s="45" t="s">
        <v>213</v>
      </c>
      <c r="I3" s="7" t="s">
        <v>226</v>
      </c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7"/>
      <c r="X3" s="7"/>
      <c r="Y3" s="7"/>
      <c r="Z3" s="7"/>
      <c r="AA3" s="7"/>
    </row>
    <row r="4" spans="1:27" ht="15.75" customHeight="1" x14ac:dyDescent="0.35">
      <c r="A4" s="7"/>
      <c r="B4" s="102">
        <v>10000</v>
      </c>
      <c r="C4" s="74">
        <v>8175.2</v>
      </c>
      <c r="D4" s="75">
        <v>11053.8</v>
      </c>
      <c r="E4" s="74">
        <v>1.5680000000000001</v>
      </c>
      <c r="F4" s="76">
        <v>2.7330000000000001</v>
      </c>
      <c r="G4" s="45"/>
      <c r="H4" s="45"/>
      <c r="I4" s="7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7"/>
      <c r="X4" s="7"/>
      <c r="Y4" s="7"/>
      <c r="Z4" s="7"/>
      <c r="AA4" s="7"/>
    </row>
    <row r="5" spans="1:27" ht="15.75" customHeight="1" x14ac:dyDescent="0.35">
      <c r="A5" s="7"/>
      <c r="B5" s="102">
        <v>10000</v>
      </c>
      <c r="C5" s="74">
        <v>7516</v>
      </c>
      <c r="D5" s="75">
        <v>10395.4</v>
      </c>
      <c r="E5" s="74">
        <v>1.502</v>
      </c>
      <c r="F5" s="76">
        <v>2.484</v>
      </c>
      <c r="G5" s="45"/>
      <c r="H5" s="45"/>
      <c r="I5" s="7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7"/>
      <c r="X5" s="7"/>
      <c r="Y5" s="7"/>
      <c r="Z5" s="7"/>
      <c r="AA5" s="7"/>
    </row>
    <row r="6" spans="1:27" ht="15.75" customHeight="1" x14ac:dyDescent="0.35">
      <c r="A6" s="7"/>
      <c r="B6" s="102">
        <v>10000</v>
      </c>
      <c r="C6" s="74"/>
      <c r="D6" s="75"/>
      <c r="E6" s="74"/>
      <c r="F6" s="76"/>
      <c r="G6" s="45"/>
      <c r="H6" s="45"/>
      <c r="I6" s="7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7"/>
      <c r="X6" s="7"/>
      <c r="Y6" s="7"/>
      <c r="Z6" s="7"/>
      <c r="AA6" s="7"/>
    </row>
    <row r="7" spans="1:27" ht="15.75" customHeight="1" x14ac:dyDescent="0.35">
      <c r="A7" s="7"/>
      <c r="B7" s="102">
        <v>5000</v>
      </c>
      <c r="C7" s="74">
        <v>4131.1000000000004</v>
      </c>
      <c r="D7" s="75">
        <v>5225.8</v>
      </c>
      <c r="E7" s="74">
        <v>1.5249999999999999</v>
      </c>
      <c r="F7" s="76">
        <v>2.726</v>
      </c>
      <c r="G7" s="45"/>
      <c r="H7" s="45" t="s">
        <v>227</v>
      </c>
      <c r="I7" s="7" t="s">
        <v>228</v>
      </c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7"/>
      <c r="X7" s="7"/>
      <c r="Y7" s="7"/>
      <c r="Z7" s="7"/>
      <c r="AA7" s="7"/>
    </row>
    <row r="8" spans="1:27" ht="15.75" customHeight="1" x14ac:dyDescent="0.35">
      <c r="A8" s="7"/>
      <c r="B8" s="102">
        <v>5000</v>
      </c>
      <c r="C8" s="74">
        <v>3878.7</v>
      </c>
      <c r="D8" s="75">
        <v>4393</v>
      </c>
      <c r="E8" s="74">
        <v>1.472</v>
      </c>
      <c r="F8" s="76">
        <v>2.4849999999999999</v>
      </c>
      <c r="G8" s="41"/>
      <c r="H8" s="41" t="s">
        <v>229</v>
      </c>
      <c r="I8" s="7" t="s">
        <v>230</v>
      </c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7"/>
      <c r="X8" s="7"/>
      <c r="Y8" s="7"/>
      <c r="Z8" s="7"/>
      <c r="AA8" s="7"/>
    </row>
    <row r="9" spans="1:27" ht="15.75" customHeight="1" x14ac:dyDescent="0.35">
      <c r="A9" s="7"/>
      <c r="B9" s="102">
        <v>5000</v>
      </c>
      <c r="C9" s="74"/>
      <c r="D9" s="75"/>
      <c r="E9" s="74"/>
      <c r="F9" s="76"/>
      <c r="G9" s="45"/>
      <c r="H9" s="45" t="s">
        <v>231</v>
      </c>
      <c r="I9" s="7" t="s">
        <v>232</v>
      </c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7"/>
      <c r="X9" s="7"/>
      <c r="Y9" s="7"/>
      <c r="Z9" s="7"/>
      <c r="AA9" s="7"/>
    </row>
    <row r="10" spans="1:27" ht="15.75" customHeight="1" x14ac:dyDescent="0.35">
      <c r="A10" s="7"/>
      <c r="B10" s="102">
        <v>2000</v>
      </c>
      <c r="C10" s="74">
        <v>1059.5999999999999</v>
      </c>
      <c r="D10" s="75">
        <v>1702.1</v>
      </c>
      <c r="E10" s="74">
        <v>1.5389999999999999</v>
      </c>
      <c r="F10" s="76">
        <v>2.7829999999999999</v>
      </c>
      <c r="G10" s="45"/>
      <c r="H10" s="41" t="s">
        <v>233</v>
      </c>
      <c r="I10" s="7" t="s">
        <v>234</v>
      </c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7"/>
      <c r="X10" s="7"/>
      <c r="Y10" s="7"/>
      <c r="Z10" s="7"/>
      <c r="AA10" s="7"/>
    </row>
    <row r="11" spans="1:27" ht="15.75" customHeight="1" x14ac:dyDescent="0.35">
      <c r="A11" s="7"/>
      <c r="B11" s="102">
        <v>2000</v>
      </c>
      <c r="C11" s="74">
        <v>1020.9</v>
      </c>
      <c r="D11" s="75">
        <v>1379.3</v>
      </c>
      <c r="E11" s="74">
        <v>1.488</v>
      </c>
      <c r="F11" s="76">
        <v>2.5390000000000001</v>
      </c>
      <c r="G11" s="41"/>
      <c r="H11" s="80">
        <v>100</v>
      </c>
      <c r="I11" s="7" t="s">
        <v>235</v>
      </c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7"/>
      <c r="X11" s="7"/>
      <c r="Y11" s="7"/>
      <c r="Z11" s="7"/>
      <c r="AA11" s="7"/>
    </row>
    <row r="12" spans="1:27" ht="15.75" customHeight="1" x14ac:dyDescent="0.35">
      <c r="A12" s="7"/>
      <c r="B12" s="102">
        <v>2000</v>
      </c>
      <c r="C12" s="74"/>
      <c r="D12" s="75"/>
      <c r="E12" s="74"/>
      <c r="F12" s="76"/>
      <c r="G12" s="41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7"/>
      <c r="X12" s="7"/>
      <c r="Y12" s="7"/>
      <c r="Z12" s="7"/>
      <c r="AA12" s="7"/>
    </row>
    <row r="13" spans="1:27" ht="15.75" customHeight="1" x14ac:dyDescent="0.35">
      <c r="A13" s="7"/>
      <c r="B13" s="102">
        <v>1000</v>
      </c>
      <c r="C13" s="74">
        <v>398.4</v>
      </c>
      <c r="D13" s="75">
        <v>623.1</v>
      </c>
      <c r="E13" s="74">
        <v>1.5369999999999999</v>
      </c>
      <c r="F13" s="76">
        <v>2.81</v>
      </c>
      <c r="G13" s="41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7"/>
      <c r="X13" s="7"/>
      <c r="Y13" s="7"/>
      <c r="Z13" s="7"/>
      <c r="AA13" s="7"/>
    </row>
    <row r="14" spans="1:27" ht="15.75" customHeight="1" x14ac:dyDescent="0.35">
      <c r="A14" s="7"/>
      <c r="B14" s="102">
        <v>1000</v>
      </c>
      <c r="C14" s="74">
        <v>377.2</v>
      </c>
      <c r="D14" s="75">
        <v>582.20000000000005</v>
      </c>
      <c r="E14" s="74">
        <v>1.4770000000000001</v>
      </c>
      <c r="F14" s="83">
        <v>2.536</v>
      </c>
      <c r="G14" s="19"/>
      <c r="H14" s="97" t="s">
        <v>244</v>
      </c>
      <c r="I14" s="98" t="s">
        <v>245</v>
      </c>
      <c r="J14" s="98" t="s">
        <v>246</v>
      </c>
      <c r="K14" s="98" t="s">
        <v>247</v>
      </c>
      <c r="L14" s="98" t="s">
        <v>248</v>
      </c>
      <c r="M14" s="98" t="s">
        <v>249</v>
      </c>
      <c r="N14" s="239" t="s">
        <v>250</v>
      </c>
      <c r="O14" s="240" t="s">
        <v>251</v>
      </c>
      <c r="P14" s="19"/>
      <c r="Q14" s="19"/>
      <c r="R14" s="19"/>
      <c r="S14" s="19"/>
      <c r="T14" s="19"/>
      <c r="U14" s="19"/>
      <c r="V14" s="19"/>
      <c r="W14" s="7"/>
      <c r="X14" s="7"/>
      <c r="Y14" s="7"/>
      <c r="Z14" s="7"/>
      <c r="AA14" s="7"/>
    </row>
    <row r="15" spans="1:27" ht="15.75" customHeight="1" x14ac:dyDescent="0.35">
      <c r="A15" s="7"/>
      <c r="B15" s="102">
        <v>1000</v>
      </c>
      <c r="C15" s="74"/>
      <c r="D15" s="75"/>
      <c r="E15" s="81"/>
      <c r="F15" s="76"/>
      <c r="G15" s="82"/>
      <c r="H15" s="100" t="s">
        <v>253</v>
      </c>
      <c r="I15" s="101" t="s">
        <v>254</v>
      </c>
      <c r="J15" s="101" t="s">
        <v>255</v>
      </c>
      <c r="K15" s="101" t="s">
        <v>246</v>
      </c>
      <c r="L15" s="101" t="s">
        <v>256</v>
      </c>
      <c r="M15" s="101" t="s">
        <v>257</v>
      </c>
      <c r="N15" s="228"/>
      <c r="O15" s="230"/>
      <c r="P15" s="19"/>
      <c r="Q15" s="19"/>
      <c r="R15" s="19"/>
      <c r="S15" s="19"/>
      <c r="T15" s="19"/>
      <c r="U15" s="19"/>
      <c r="V15" s="19"/>
      <c r="W15" s="7"/>
      <c r="X15" s="7"/>
      <c r="Y15" s="7"/>
      <c r="Z15" s="7"/>
      <c r="AA15" s="7"/>
    </row>
    <row r="16" spans="1:27" ht="15.75" customHeight="1" x14ac:dyDescent="0.35">
      <c r="A16" s="7"/>
      <c r="B16" s="102">
        <v>200</v>
      </c>
      <c r="C16" s="74">
        <v>105.1</v>
      </c>
      <c r="D16" s="75">
        <v>128.4</v>
      </c>
      <c r="E16" s="81">
        <v>1.542</v>
      </c>
      <c r="F16" s="76">
        <v>2.847</v>
      </c>
      <c r="G16" s="82"/>
      <c r="N16" s="4"/>
      <c r="O16" s="202"/>
      <c r="P16" s="19"/>
      <c r="Q16" s="19"/>
      <c r="R16" s="19"/>
      <c r="S16" s="19"/>
      <c r="T16" s="19"/>
      <c r="U16" s="19"/>
      <c r="V16" s="19"/>
      <c r="W16" s="7"/>
      <c r="X16" s="7"/>
      <c r="Y16" s="7"/>
      <c r="Z16" s="7"/>
      <c r="AA16" s="7"/>
    </row>
    <row r="17" spans="1:27" ht="15.75" customHeight="1" x14ac:dyDescent="0.35">
      <c r="A17" s="7"/>
      <c r="B17" s="102">
        <v>200</v>
      </c>
      <c r="C17" s="74">
        <v>101.3</v>
      </c>
      <c r="D17" s="75">
        <v>129.1</v>
      </c>
      <c r="E17" s="74">
        <v>1.504</v>
      </c>
      <c r="F17" s="76">
        <v>2.593</v>
      </c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7"/>
      <c r="X17" s="7"/>
      <c r="Y17" s="7"/>
      <c r="Z17" s="7"/>
      <c r="AA17" s="7"/>
    </row>
    <row r="18" spans="1:27" ht="15.75" customHeight="1" x14ac:dyDescent="0.35">
      <c r="A18" s="7"/>
      <c r="B18" s="102">
        <v>200</v>
      </c>
      <c r="C18" s="74"/>
      <c r="D18" s="75"/>
      <c r="E18" s="74"/>
      <c r="F18" s="76"/>
      <c r="G18" s="19"/>
      <c r="H18" s="104"/>
      <c r="I18" s="7" t="s">
        <v>208</v>
      </c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7"/>
      <c r="X18" s="7"/>
      <c r="Y18" s="7"/>
      <c r="Z18" s="7"/>
      <c r="AA18" s="7"/>
    </row>
    <row r="19" spans="1:27" ht="15.75" customHeight="1" x14ac:dyDescent="0.35">
      <c r="A19" s="7"/>
      <c r="B19" s="102">
        <v>100</v>
      </c>
      <c r="C19" s="74">
        <v>39.6</v>
      </c>
      <c r="D19" s="75">
        <v>50.1</v>
      </c>
      <c r="E19" s="74">
        <v>1.5449999999999999</v>
      </c>
      <c r="F19" s="76">
        <v>2.8919999999999999</v>
      </c>
      <c r="G19" s="19"/>
      <c r="H19" s="105"/>
      <c r="I19" s="7" t="s">
        <v>258</v>
      </c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7"/>
      <c r="X19" s="7"/>
      <c r="Y19" s="7"/>
      <c r="Z19" s="7"/>
      <c r="AA19" s="7"/>
    </row>
    <row r="20" spans="1:27" ht="15.75" customHeight="1" x14ac:dyDescent="0.35">
      <c r="A20" s="7"/>
      <c r="B20" s="102">
        <v>100</v>
      </c>
      <c r="C20" s="74">
        <v>40.6</v>
      </c>
      <c r="D20" s="75">
        <v>50.8</v>
      </c>
      <c r="E20" s="74">
        <v>1.4770000000000001</v>
      </c>
      <c r="F20" s="76">
        <v>2.573</v>
      </c>
      <c r="G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7"/>
      <c r="X20" s="7"/>
      <c r="Y20" s="7"/>
      <c r="Z20" s="7"/>
      <c r="AA20" s="7"/>
    </row>
    <row r="21" spans="1:27" ht="15.75" customHeight="1" x14ac:dyDescent="0.35">
      <c r="A21" s="7"/>
      <c r="B21" s="102">
        <v>100</v>
      </c>
      <c r="C21" s="74"/>
      <c r="D21" s="75"/>
      <c r="E21" s="74"/>
      <c r="F21" s="203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7"/>
      <c r="X21" s="7"/>
      <c r="Y21" s="7"/>
      <c r="Z21" s="7"/>
      <c r="AA21" s="7"/>
    </row>
    <row r="22" spans="1:27" ht="15.75" customHeight="1" x14ac:dyDescent="0.35">
      <c r="A22" s="7"/>
      <c r="B22" s="102">
        <v>12.5</v>
      </c>
      <c r="C22" s="74">
        <v>10</v>
      </c>
      <c r="D22" s="75">
        <v>8.9</v>
      </c>
      <c r="E22" s="74">
        <v>1.4990000000000001</v>
      </c>
      <c r="F22" s="203">
        <v>2.9449999999999998</v>
      </c>
      <c r="G22" s="19"/>
      <c r="H22" s="7" t="s">
        <v>259</v>
      </c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7"/>
      <c r="X22" s="7"/>
      <c r="Y22" s="7"/>
      <c r="Z22" s="7"/>
      <c r="AA22" s="7"/>
    </row>
    <row r="23" spans="1:27" ht="15.75" customHeight="1" x14ac:dyDescent="0.35">
      <c r="A23" s="7"/>
      <c r="B23" s="102">
        <v>12.5</v>
      </c>
      <c r="C23" s="74">
        <v>14.4</v>
      </c>
      <c r="D23" s="75">
        <v>10.4</v>
      </c>
      <c r="E23" s="74">
        <v>1.4430000000000001</v>
      </c>
      <c r="F23" s="203">
        <v>2.5870000000000002</v>
      </c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7"/>
      <c r="X23" s="7"/>
      <c r="Y23" s="7"/>
      <c r="Z23" s="7"/>
      <c r="AA23" s="7"/>
    </row>
    <row r="24" spans="1:27" ht="15.75" customHeight="1" x14ac:dyDescent="0.35">
      <c r="A24" s="7"/>
      <c r="B24" s="106">
        <v>12.5</v>
      </c>
      <c r="C24" s="86"/>
      <c r="D24" s="87"/>
      <c r="E24" s="86"/>
      <c r="F24" s="204"/>
      <c r="G24" s="19"/>
      <c r="H24" s="7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7"/>
      <c r="X24" s="7"/>
      <c r="Y24" s="7"/>
      <c r="Z24" s="7"/>
      <c r="AA24" s="7"/>
    </row>
    <row r="25" spans="1:27" ht="15.75" customHeight="1" x14ac:dyDescent="0.35">
      <c r="A25" s="7"/>
      <c r="B25" s="19"/>
      <c r="C25" s="19"/>
      <c r="D25" s="19"/>
      <c r="E25" s="19"/>
      <c r="F25" s="19"/>
      <c r="G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7"/>
      <c r="X25" s="7"/>
      <c r="Y25" s="7"/>
      <c r="Z25" s="7"/>
      <c r="AA25" s="7"/>
    </row>
    <row r="26" spans="1:27" ht="15.75" customHeight="1" x14ac:dyDescent="0.35">
      <c r="A26" s="7"/>
      <c r="B26" s="20" t="s">
        <v>355</v>
      </c>
      <c r="C26" s="232" t="s">
        <v>210</v>
      </c>
      <c r="D26" s="226"/>
      <c r="E26" s="224" t="s">
        <v>211</v>
      </c>
      <c r="F26" s="226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7"/>
      <c r="X26" s="7"/>
      <c r="Y26" s="7"/>
      <c r="Z26" s="7"/>
      <c r="AA26" s="7"/>
    </row>
    <row r="27" spans="1:27" ht="15.75" customHeight="1" x14ac:dyDescent="0.35">
      <c r="A27" s="7"/>
      <c r="B27" s="180" t="s">
        <v>213</v>
      </c>
      <c r="C27" s="1" t="s">
        <v>214</v>
      </c>
      <c r="D27" s="1" t="s">
        <v>215</v>
      </c>
      <c r="E27" s="72" t="s">
        <v>220</v>
      </c>
      <c r="F27" s="73" t="s">
        <v>221</v>
      </c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7"/>
      <c r="X27" s="7"/>
      <c r="Y27" s="7"/>
      <c r="Z27" s="7"/>
      <c r="AA27" s="7"/>
    </row>
    <row r="28" spans="1:27" ht="15.75" customHeight="1" x14ac:dyDescent="0.35">
      <c r="A28" s="7"/>
      <c r="B28" s="181">
        <v>10000</v>
      </c>
      <c r="C28" s="75">
        <v>7787.5</v>
      </c>
      <c r="D28" s="75">
        <v>8852.2000000000007</v>
      </c>
      <c r="E28" s="74">
        <v>1.512</v>
      </c>
      <c r="F28" s="76">
        <v>2.4820000000000002</v>
      </c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7"/>
      <c r="X28" s="7"/>
      <c r="Y28" s="7"/>
      <c r="Z28" s="7"/>
      <c r="AA28" s="7"/>
    </row>
    <row r="29" spans="1:27" ht="15.75" customHeight="1" x14ac:dyDescent="0.35">
      <c r="A29" s="7"/>
      <c r="B29" s="181">
        <v>10000</v>
      </c>
      <c r="C29" s="75"/>
      <c r="D29" s="75"/>
      <c r="E29" s="74"/>
      <c r="F29" s="76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7"/>
      <c r="X29" s="7"/>
      <c r="Y29" s="7"/>
      <c r="Z29" s="7"/>
      <c r="AA29" s="7"/>
    </row>
    <row r="30" spans="1:27" ht="15.75" customHeight="1" x14ac:dyDescent="0.35">
      <c r="A30" s="7"/>
      <c r="B30" s="181">
        <v>10000</v>
      </c>
      <c r="C30" s="75"/>
      <c r="D30" s="75"/>
      <c r="E30" s="74"/>
      <c r="F30" s="76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7"/>
      <c r="X30" s="7"/>
      <c r="Y30" s="7"/>
      <c r="Z30" s="7"/>
      <c r="AA30" s="7"/>
    </row>
    <row r="31" spans="1:27" ht="15.75" customHeight="1" x14ac:dyDescent="0.35">
      <c r="A31" s="7"/>
      <c r="B31" s="181">
        <v>5000</v>
      </c>
      <c r="C31" s="75">
        <v>4089</v>
      </c>
      <c r="D31" s="75">
        <v>4508.8999999999996</v>
      </c>
      <c r="E31" s="74">
        <v>1.5249999999999999</v>
      </c>
      <c r="F31" s="76">
        <v>2.5680000000000001</v>
      </c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7"/>
      <c r="X31" s="7"/>
      <c r="Y31" s="7"/>
      <c r="Z31" s="7"/>
      <c r="AA31" s="7"/>
    </row>
    <row r="32" spans="1:27" ht="15.75" customHeight="1" x14ac:dyDescent="0.35">
      <c r="A32" s="7"/>
      <c r="B32" s="181">
        <v>5000</v>
      </c>
      <c r="C32" s="75"/>
      <c r="D32" s="75"/>
      <c r="E32" s="74"/>
      <c r="F32" s="76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7"/>
      <c r="X32" s="7"/>
      <c r="Y32" s="7"/>
      <c r="Z32" s="7"/>
      <c r="AA32" s="7"/>
    </row>
    <row r="33" spans="1:27" ht="15.75" customHeight="1" x14ac:dyDescent="0.35">
      <c r="A33" s="7"/>
      <c r="B33" s="181">
        <v>5000</v>
      </c>
      <c r="C33" s="104"/>
      <c r="D33" s="75"/>
      <c r="E33" s="119"/>
      <c r="F33" s="83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7"/>
      <c r="X33" s="7"/>
      <c r="Y33" s="7"/>
      <c r="Z33" s="7"/>
      <c r="AA33" s="7"/>
    </row>
    <row r="34" spans="1:27" ht="15.75" customHeight="1" x14ac:dyDescent="0.35">
      <c r="A34" s="7"/>
      <c r="B34" s="181">
        <v>2000</v>
      </c>
      <c r="C34" s="104">
        <v>1080</v>
      </c>
      <c r="D34" s="75">
        <v>1536.3</v>
      </c>
      <c r="E34" s="119">
        <v>1.52</v>
      </c>
      <c r="F34" s="83">
        <v>2.6440000000000001</v>
      </c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7"/>
      <c r="X34" s="7"/>
      <c r="Y34" s="7"/>
      <c r="Z34" s="7"/>
      <c r="AA34" s="7"/>
    </row>
    <row r="35" spans="1:27" ht="15.75" customHeight="1" x14ac:dyDescent="0.35">
      <c r="A35" s="7"/>
      <c r="B35" s="181">
        <v>2000</v>
      </c>
      <c r="C35" s="75"/>
      <c r="D35" s="75"/>
      <c r="E35" s="74"/>
      <c r="F35" s="76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7"/>
      <c r="X35" s="7"/>
      <c r="Y35" s="7"/>
      <c r="Z35" s="7"/>
      <c r="AA35" s="7"/>
    </row>
    <row r="36" spans="1:27" ht="15.75" customHeight="1" x14ac:dyDescent="0.35">
      <c r="A36" s="7"/>
      <c r="B36" s="181">
        <v>2000</v>
      </c>
      <c r="C36" s="75"/>
      <c r="D36" s="75"/>
      <c r="E36" s="74"/>
      <c r="F36" s="76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7"/>
      <c r="X36" s="7"/>
      <c r="Y36" s="7"/>
      <c r="Z36" s="7"/>
      <c r="AA36" s="7"/>
    </row>
    <row r="37" spans="1:27" ht="15.75" customHeight="1" x14ac:dyDescent="0.35">
      <c r="A37" s="7"/>
      <c r="B37" s="181">
        <v>1000</v>
      </c>
      <c r="C37" s="75">
        <v>404.6</v>
      </c>
      <c r="D37" s="75">
        <v>646.4</v>
      </c>
      <c r="E37" s="74">
        <v>1.462</v>
      </c>
      <c r="F37" s="76">
        <v>2.577</v>
      </c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7"/>
      <c r="X37" s="7"/>
      <c r="Y37" s="7"/>
      <c r="Z37" s="7"/>
      <c r="AA37" s="7"/>
    </row>
    <row r="38" spans="1:27" ht="15.75" customHeight="1" x14ac:dyDescent="0.35">
      <c r="A38" s="7"/>
      <c r="B38" s="181">
        <v>1000</v>
      </c>
      <c r="C38" s="75"/>
      <c r="D38" s="75"/>
      <c r="E38" s="74"/>
      <c r="F38" s="83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7"/>
      <c r="X38" s="7"/>
      <c r="Y38" s="7"/>
      <c r="Z38" s="7"/>
      <c r="AA38" s="7"/>
    </row>
    <row r="39" spans="1:27" ht="15.75" customHeight="1" x14ac:dyDescent="0.35">
      <c r="A39" s="7"/>
      <c r="B39" s="181">
        <v>1000</v>
      </c>
      <c r="C39" s="75"/>
      <c r="D39" s="75"/>
      <c r="E39" s="81"/>
      <c r="F39" s="76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7"/>
      <c r="X39" s="7"/>
      <c r="Y39" s="7"/>
      <c r="Z39" s="7"/>
      <c r="AA39" s="7"/>
    </row>
    <row r="40" spans="1:27" ht="15.75" customHeight="1" x14ac:dyDescent="0.35">
      <c r="A40" s="7"/>
      <c r="B40" s="181">
        <v>200</v>
      </c>
      <c r="C40" s="75">
        <v>109.5</v>
      </c>
      <c r="D40" s="75">
        <v>135.19999999999999</v>
      </c>
      <c r="E40" s="81">
        <v>1.5089999999999999</v>
      </c>
      <c r="F40" s="76">
        <v>2.6309999999999998</v>
      </c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7"/>
      <c r="X40" s="7"/>
      <c r="Y40" s="7"/>
      <c r="Z40" s="7"/>
      <c r="AA40" s="7"/>
    </row>
    <row r="41" spans="1:27" ht="15.75" customHeight="1" x14ac:dyDescent="0.35">
      <c r="A41" s="7"/>
      <c r="B41" s="181">
        <v>200</v>
      </c>
      <c r="C41" s="75"/>
      <c r="D41" s="75"/>
      <c r="E41" s="74"/>
      <c r="F41" s="76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7"/>
      <c r="X41" s="7"/>
      <c r="Y41" s="7"/>
      <c r="Z41" s="7"/>
      <c r="AA41" s="7"/>
    </row>
    <row r="42" spans="1:27" ht="15.75" customHeight="1" x14ac:dyDescent="0.35">
      <c r="A42" s="7"/>
      <c r="B42" s="181">
        <v>200</v>
      </c>
      <c r="C42" s="75"/>
      <c r="D42" s="75"/>
      <c r="E42" s="74"/>
      <c r="F42" s="76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7"/>
      <c r="X42" s="7"/>
      <c r="Y42" s="7"/>
      <c r="Z42" s="7"/>
      <c r="AA42" s="7"/>
    </row>
    <row r="43" spans="1:27" ht="15.75" customHeight="1" x14ac:dyDescent="0.35">
      <c r="A43" s="7"/>
      <c r="B43" s="181">
        <v>100</v>
      </c>
      <c r="C43" s="75">
        <v>46.8</v>
      </c>
      <c r="D43" s="75">
        <v>55.1</v>
      </c>
      <c r="E43" s="74">
        <v>1.506</v>
      </c>
      <c r="F43" s="76">
        <v>2.6389999999999998</v>
      </c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7"/>
      <c r="X43" s="7"/>
      <c r="Y43" s="7"/>
      <c r="Z43" s="7"/>
      <c r="AA43" s="7"/>
    </row>
    <row r="44" spans="1:27" ht="15.75" customHeight="1" x14ac:dyDescent="0.35">
      <c r="A44" s="7"/>
      <c r="B44" s="181">
        <v>100</v>
      </c>
      <c r="C44" s="75"/>
      <c r="D44" s="75"/>
      <c r="E44" s="74"/>
      <c r="F44" s="76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7"/>
      <c r="X44" s="7"/>
      <c r="Y44" s="7"/>
      <c r="Z44" s="7"/>
      <c r="AA44" s="7"/>
    </row>
    <row r="45" spans="1:27" ht="15.75" customHeight="1" x14ac:dyDescent="0.35">
      <c r="A45" s="7"/>
      <c r="B45" s="181">
        <v>100</v>
      </c>
      <c r="C45" s="75"/>
      <c r="D45" s="75"/>
      <c r="E45" s="205"/>
      <c r="F45" s="76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7"/>
      <c r="X45" s="7"/>
      <c r="Y45" s="7"/>
      <c r="Z45" s="7"/>
      <c r="AA45" s="7"/>
    </row>
    <row r="46" spans="1:27" ht="15.75" customHeight="1" x14ac:dyDescent="0.35">
      <c r="A46" s="7"/>
      <c r="B46" s="181">
        <v>12.5</v>
      </c>
      <c r="C46" s="75">
        <v>12.6</v>
      </c>
      <c r="D46" s="75">
        <v>10.7</v>
      </c>
      <c r="E46" s="205">
        <v>1.504</v>
      </c>
      <c r="F46" s="76">
        <v>2.649</v>
      </c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7"/>
      <c r="X46" s="7"/>
      <c r="Y46" s="7"/>
      <c r="Z46" s="7"/>
      <c r="AA46" s="7"/>
    </row>
    <row r="47" spans="1:27" ht="15.75" customHeight="1" x14ac:dyDescent="0.35">
      <c r="A47" s="7"/>
      <c r="B47" s="181">
        <v>12.5</v>
      </c>
      <c r="C47" s="75"/>
      <c r="D47" s="75"/>
      <c r="E47" s="205"/>
      <c r="F47" s="76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7"/>
      <c r="X47" s="7"/>
      <c r="Y47" s="7"/>
      <c r="Z47" s="7"/>
      <c r="AA47" s="7"/>
    </row>
    <row r="48" spans="1:27" ht="15.75" customHeight="1" x14ac:dyDescent="0.35">
      <c r="A48" s="7"/>
      <c r="B48" s="182">
        <v>12.5</v>
      </c>
      <c r="C48" s="87"/>
      <c r="D48" s="87"/>
      <c r="E48" s="86"/>
      <c r="F48" s="204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7"/>
      <c r="X48" s="7"/>
      <c r="Y48" s="7"/>
      <c r="Z48" s="7"/>
      <c r="AA48" s="7"/>
    </row>
    <row r="49" spans="1:27" ht="15.75" customHeight="1" x14ac:dyDescent="0.35">
      <c r="A49" s="7"/>
      <c r="B49" s="19"/>
      <c r="C49" s="1"/>
      <c r="D49" s="1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7"/>
      <c r="X49" s="7"/>
      <c r="Y49" s="7"/>
      <c r="Z49" s="7"/>
      <c r="AA49" s="7"/>
    </row>
    <row r="50" spans="1:27" ht="15.75" customHeight="1" x14ac:dyDescent="0.35">
      <c r="A50" s="7"/>
      <c r="B50" s="99" t="s">
        <v>356</v>
      </c>
      <c r="C50" s="224" t="s">
        <v>210</v>
      </c>
      <c r="D50" s="226"/>
      <c r="E50" s="224" t="s">
        <v>211</v>
      </c>
      <c r="F50" s="226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7"/>
      <c r="X50" s="7"/>
      <c r="Y50" s="7"/>
      <c r="Z50" s="7"/>
      <c r="AA50" s="7"/>
    </row>
    <row r="51" spans="1:27" ht="15.75" customHeight="1" x14ac:dyDescent="0.35">
      <c r="A51" s="7"/>
      <c r="B51" s="72" t="s">
        <v>213</v>
      </c>
      <c r="C51" s="72" t="s">
        <v>214</v>
      </c>
      <c r="D51" s="1" t="s">
        <v>215</v>
      </c>
      <c r="E51" s="72" t="s">
        <v>220</v>
      </c>
      <c r="F51" s="73" t="s">
        <v>221</v>
      </c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7"/>
      <c r="X51" s="7"/>
      <c r="Y51" s="7"/>
      <c r="Z51" s="7"/>
      <c r="AA51" s="7"/>
    </row>
    <row r="52" spans="1:27" ht="15.75" customHeight="1" x14ac:dyDescent="0.35">
      <c r="A52" s="7"/>
      <c r="B52" s="102">
        <v>10000</v>
      </c>
      <c r="C52" s="74">
        <v>8300.5</v>
      </c>
      <c r="D52" s="75">
        <v>10683.9</v>
      </c>
      <c r="E52" s="74">
        <v>1.5740000000000001</v>
      </c>
      <c r="F52" s="76">
        <v>2.7509999999999999</v>
      </c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7"/>
      <c r="X52" s="7"/>
      <c r="Y52" s="7"/>
      <c r="Z52" s="7"/>
      <c r="AA52" s="7"/>
    </row>
    <row r="53" spans="1:27" ht="15.75" customHeight="1" x14ac:dyDescent="0.35">
      <c r="A53" s="7"/>
      <c r="B53" s="102">
        <v>10000</v>
      </c>
      <c r="C53" s="74">
        <v>8335.6</v>
      </c>
      <c r="D53" s="75">
        <v>8882.4</v>
      </c>
      <c r="E53" s="74">
        <v>1.55</v>
      </c>
      <c r="F53" s="76">
        <v>2.7330000000000001</v>
      </c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7"/>
      <c r="X53" s="7"/>
      <c r="Y53" s="7"/>
      <c r="Z53" s="7"/>
      <c r="AA53" s="7"/>
    </row>
    <row r="54" spans="1:27" ht="15.75" customHeight="1" x14ac:dyDescent="0.35">
      <c r="A54" s="7"/>
      <c r="B54" s="102">
        <v>10000</v>
      </c>
      <c r="C54" s="74">
        <v>8096.6</v>
      </c>
      <c r="D54" s="75">
        <v>9000.4</v>
      </c>
      <c r="E54" s="74">
        <v>1.528</v>
      </c>
      <c r="F54" s="76">
        <v>2.6320000000000001</v>
      </c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7"/>
      <c r="X54" s="7"/>
      <c r="Y54" s="7"/>
      <c r="Z54" s="7"/>
      <c r="AA54" s="7"/>
    </row>
    <row r="55" spans="1:27" ht="14.5" x14ac:dyDescent="0.35">
      <c r="A55" s="7"/>
      <c r="B55" s="102">
        <v>5000</v>
      </c>
      <c r="C55" s="74">
        <v>4168.1000000000004</v>
      </c>
      <c r="D55" s="75">
        <v>4595.5</v>
      </c>
      <c r="E55" s="74">
        <v>1.536</v>
      </c>
      <c r="F55" s="76">
        <v>2.7549999999999999</v>
      </c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7"/>
      <c r="X55" s="7"/>
      <c r="Y55" s="7"/>
      <c r="Z55" s="7"/>
      <c r="AA55" s="7"/>
    </row>
    <row r="56" spans="1:27" ht="14.5" x14ac:dyDescent="0.35">
      <c r="A56" s="7"/>
      <c r="B56" s="102">
        <v>5000</v>
      </c>
      <c r="C56" s="74">
        <v>4033.3</v>
      </c>
      <c r="D56" s="75">
        <v>4594.7</v>
      </c>
      <c r="E56" s="74">
        <v>1.5149999999999999</v>
      </c>
      <c r="F56" s="76">
        <v>2.7309999999999999</v>
      </c>
      <c r="G56" s="4"/>
      <c r="P56" s="19"/>
      <c r="Q56" s="19"/>
      <c r="R56" s="19"/>
      <c r="S56" s="19"/>
      <c r="T56" s="19"/>
      <c r="U56" s="19"/>
      <c r="V56" s="19"/>
      <c r="W56" s="7"/>
      <c r="X56" s="7"/>
      <c r="Y56" s="7"/>
      <c r="Z56" s="7"/>
      <c r="AA56" s="7"/>
    </row>
    <row r="57" spans="1:27" ht="14.5" x14ac:dyDescent="0.35">
      <c r="A57" s="7"/>
      <c r="B57" s="102">
        <v>5000</v>
      </c>
      <c r="C57" s="74">
        <v>4004.2</v>
      </c>
      <c r="D57" s="75">
        <v>4441.2</v>
      </c>
      <c r="E57" s="74">
        <v>1.496</v>
      </c>
      <c r="F57" s="83">
        <v>2.617</v>
      </c>
      <c r="G57" s="4"/>
      <c r="P57" s="19"/>
      <c r="Q57" s="19"/>
      <c r="R57" s="19"/>
      <c r="S57" s="19"/>
      <c r="T57" s="19"/>
      <c r="U57" s="19"/>
      <c r="V57" s="19"/>
      <c r="W57" s="7"/>
      <c r="X57" s="7"/>
      <c r="Y57" s="7"/>
      <c r="Z57" s="7"/>
      <c r="AA57" s="7"/>
    </row>
    <row r="58" spans="1:27" ht="14.5" x14ac:dyDescent="0.35">
      <c r="A58" s="7"/>
      <c r="B58" s="102">
        <v>2000</v>
      </c>
      <c r="C58" s="74">
        <v>1090.5</v>
      </c>
      <c r="D58" s="75">
        <v>1497</v>
      </c>
      <c r="E58" s="74">
        <v>1.5429999999999999</v>
      </c>
      <c r="F58" s="83">
        <v>2.78</v>
      </c>
      <c r="G58" s="4"/>
      <c r="P58" s="19"/>
      <c r="Q58" s="19"/>
      <c r="R58" s="19"/>
      <c r="S58" s="19"/>
      <c r="T58" s="19"/>
      <c r="U58" s="19"/>
      <c r="V58" s="19"/>
      <c r="W58" s="7"/>
      <c r="X58" s="7"/>
      <c r="Y58" s="7"/>
      <c r="Z58" s="7"/>
      <c r="AA58" s="7"/>
    </row>
    <row r="59" spans="1:27" ht="14.5" x14ac:dyDescent="0.35">
      <c r="A59" s="7"/>
      <c r="B59" s="102">
        <v>2000</v>
      </c>
      <c r="C59" s="74">
        <v>1034.9000000000001</v>
      </c>
      <c r="D59" s="75">
        <v>1475.1</v>
      </c>
      <c r="E59" s="74">
        <v>1.5169999999999999</v>
      </c>
      <c r="F59" s="76">
        <v>2.74</v>
      </c>
      <c r="G59" s="19"/>
      <c r="P59" s="19"/>
      <c r="Q59" s="19"/>
      <c r="R59" s="19"/>
      <c r="S59" s="19"/>
      <c r="T59" s="19"/>
      <c r="U59" s="19"/>
      <c r="V59" s="19"/>
      <c r="W59" s="7"/>
      <c r="X59" s="7"/>
      <c r="Y59" s="7"/>
      <c r="Z59" s="7"/>
      <c r="AA59" s="7"/>
    </row>
    <row r="60" spans="1:27" ht="14.5" x14ac:dyDescent="0.35">
      <c r="A60" s="7"/>
      <c r="B60" s="102">
        <v>2000</v>
      </c>
      <c r="C60" s="74">
        <v>1021.3</v>
      </c>
      <c r="D60" s="75">
        <v>1493</v>
      </c>
      <c r="E60" s="74">
        <v>1.4990000000000001</v>
      </c>
      <c r="F60" s="76">
        <v>2.6419999999999999</v>
      </c>
      <c r="G60" s="19"/>
      <c r="P60" s="19"/>
      <c r="Q60" s="19"/>
      <c r="R60" s="19"/>
      <c r="S60" s="19"/>
      <c r="T60" s="19"/>
      <c r="U60" s="19"/>
      <c r="V60" s="19"/>
      <c r="W60" s="7"/>
      <c r="X60" s="7"/>
      <c r="Y60" s="7"/>
      <c r="Z60" s="7"/>
      <c r="AA60" s="7"/>
    </row>
    <row r="61" spans="1:27" ht="14.5" x14ac:dyDescent="0.35">
      <c r="A61" s="7"/>
      <c r="B61" s="102">
        <v>1000</v>
      </c>
      <c r="C61" s="74">
        <v>403.8</v>
      </c>
      <c r="D61" s="75">
        <v>627.70000000000005</v>
      </c>
      <c r="E61" s="74">
        <v>1.5449999999999999</v>
      </c>
      <c r="F61" s="76">
        <v>2.8</v>
      </c>
      <c r="G61" s="19"/>
      <c r="P61" s="19"/>
      <c r="Q61" s="19"/>
      <c r="R61" s="19"/>
      <c r="S61" s="19"/>
      <c r="T61" s="19"/>
      <c r="U61" s="19"/>
      <c r="V61" s="19"/>
      <c r="W61" s="7"/>
      <c r="X61" s="7"/>
      <c r="Y61" s="7"/>
      <c r="Z61" s="7"/>
      <c r="AA61" s="7"/>
    </row>
    <row r="62" spans="1:27" ht="14.5" x14ac:dyDescent="0.35">
      <c r="A62" s="7"/>
      <c r="B62" s="102">
        <v>1000</v>
      </c>
      <c r="C62" s="74">
        <v>387.8</v>
      </c>
      <c r="D62" s="75">
        <v>608.20000000000005</v>
      </c>
      <c r="E62" s="74">
        <v>1.518</v>
      </c>
      <c r="F62" s="83">
        <v>2.7570000000000001</v>
      </c>
      <c r="G62" s="19"/>
      <c r="P62" s="19"/>
      <c r="Q62" s="19"/>
      <c r="R62" s="19"/>
      <c r="S62" s="19"/>
      <c r="T62" s="19"/>
      <c r="U62" s="19"/>
      <c r="V62" s="19"/>
      <c r="W62" s="7"/>
      <c r="X62" s="7"/>
      <c r="Y62" s="7"/>
      <c r="Z62" s="7"/>
      <c r="AA62" s="7"/>
    </row>
    <row r="63" spans="1:27" ht="14.5" x14ac:dyDescent="0.35">
      <c r="A63" s="7"/>
      <c r="B63" s="102">
        <v>1000</v>
      </c>
      <c r="C63" s="74">
        <v>381.5</v>
      </c>
      <c r="D63" s="75">
        <v>615.20000000000005</v>
      </c>
      <c r="E63" s="81">
        <v>1.502</v>
      </c>
      <c r="F63" s="76">
        <v>2.669</v>
      </c>
      <c r="G63" s="19"/>
      <c r="P63" s="19"/>
      <c r="Q63" s="19"/>
      <c r="R63" s="19"/>
      <c r="S63" s="19"/>
      <c r="T63" s="19"/>
      <c r="U63" s="19"/>
      <c r="V63" s="19"/>
      <c r="W63" s="7"/>
      <c r="X63" s="7"/>
      <c r="Y63" s="7"/>
      <c r="Z63" s="7"/>
      <c r="AA63" s="7"/>
    </row>
    <row r="64" spans="1:27" ht="14.5" x14ac:dyDescent="0.35">
      <c r="A64" s="7"/>
      <c r="B64" s="102">
        <v>200</v>
      </c>
      <c r="C64" s="74">
        <v>103.1</v>
      </c>
      <c r="D64" s="75">
        <v>135.1</v>
      </c>
      <c r="E64" s="81">
        <v>1.5449999999999999</v>
      </c>
      <c r="F64" s="76">
        <v>2.819</v>
      </c>
      <c r="G64" s="19"/>
      <c r="P64" s="19"/>
      <c r="Q64" s="19"/>
      <c r="R64" s="19"/>
      <c r="S64" s="19"/>
      <c r="T64" s="19"/>
      <c r="U64" s="19"/>
      <c r="V64" s="19"/>
      <c r="W64" s="7"/>
      <c r="X64" s="7"/>
      <c r="Y64" s="7"/>
      <c r="Z64" s="7"/>
      <c r="AA64" s="7"/>
    </row>
    <row r="65" spans="1:27" ht="14.5" x14ac:dyDescent="0.35">
      <c r="A65" s="7"/>
      <c r="B65" s="102">
        <v>200</v>
      </c>
      <c r="C65" s="74">
        <v>97.1</v>
      </c>
      <c r="D65" s="75">
        <v>130.4</v>
      </c>
      <c r="E65" s="74">
        <v>1.5169999999999999</v>
      </c>
      <c r="F65" s="76">
        <v>2.7440000000000002</v>
      </c>
      <c r="G65" s="19"/>
      <c r="P65" s="19"/>
      <c r="Q65" s="19"/>
      <c r="R65" s="19"/>
      <c r="S65" s="19"/>
      <c r="T65" s="19"/>
      <c r="U65" s="19"/>
      <c r="V65" s="19"/>
      <c r="W65" s="7"/>
      <c r="X65" s="7"/>
      <c r="Y65" s="7"/>
      <c r="Z65" s="7"/>
      <c r="AA65" s="7"/>
    </row>
    <row r="66" spans="1:27" ht="14.5" x14ac:dyDescent="0.35">
      <c r="A66" s="7"/>
      <c r="B66" s="102">
        <v>200</v>
      </c>
      <c r="C66" s="74">
        <v>93.8</v>
      </c>
      <c r="D66" s="75">
        <v>134.6</v>
      </c>
      <c r="E66" s="74">
        <v>1.5029999999999999</v>
      </c>
      <c r="F66" s="76">
        <v>2.6760000000000002</v>
      </c>
      <c r="G66" s="7"/>
      <c r="P66" s="19"/>
      <c r="Q66" s="19"/>
      <c r="R66" s="19"/>
      <c r="S66" s="19"/>
      <c r="T66" s="19"/>
      <c r="U66" s="19"/>
      <c r="V66" s="19"/>
      <c r="W66" s="7"/>
      <c r="X66" s="7"/>
      <c r="Y66" s="7"/>
      <c r="Z66" s="7"/>
      <c r="AA66" s="7"/>
    </row>
    <row r="67" spans="1:27" ht="14.5" x14ac:dyDescent="0.35">
      <c r="A67" s="7"/>
      <c r="B67" s="102">
        <v>100</v>
      </c>
      <c r="C67" s="74">
        <v>40</v>
      </c>
      <c r="D67" s="75">
        <v>52</v>
      </c>
      <c r="E67" s="74">
        <v>1.544</v>
      </c>
      <c r="F67" s="76">
        <v>2.84</v>
      </c>
      <c r="G67" s="7"/>
      <c r="P67" s="19"/>
      <c r="Q67" s="19"/>
      <c r="R67" s="19"/>
      <c r="S67" s="19"/>
      <c r="T67" s="19"/>
      <c r="U67" s="19"/>
      <c r="V67" s="19"/>
      <c r="W67" s="7"/>
      <c r="X67" s="7"/>
      <c r="Y67" s="7"/>
      <c r="Z67" s="7"/>
      <c r="AA67" s="7"/>
    </row>
    <row r="68" spans="1:27" ht="14.5" x14ac:dyDescent="0.35">
      <c r="A68" s="7"/>
      <c r="B68" s="102">
        <v>100</v>
      </c>
      <c r="C68" s="74">
        <v>36.1</v>
      </c>
      <c r="D68" s="75">
        <v>53.9</v>
      </c>
      <c r="E68" s="74">
        <v>1.516</v>
      </c>
      <c r="F68" s="76">
        <v>2.7429999999999999</v>
      </c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7"/>
      <c r="X68" s="7"/>
      <c r="Y68" s="7"/>
      <c r="Z68" s="7"/>
      <c r="AA68" s="7"/>
    </row>
    <row r="69" spans="1:27" ht="14.5" x14ac:dyDescent="0.35">
      <c r="A69" s="7"/>
      <c r="B69" s="102">
        <v>100</v>
      </c>
      <c r="C69" s="74">
        <v>31.9</v>
      </c>
      <c r="D69" s="75">
        <v>51</v>
      </c>
      <c r="E69" s="205">
        <v>1.5029999999999999</v>
      </c>
      <c r="F69" s="76">
        <v>2.6840000000000002</v>
      </c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7"/>
      <c r="X69" s="7"/>
      <c r="Y69" s="7"/>
      <c r="Z69" s="7"/>
      <c r="AA69" s="7"/>
    </row>
    <row r="70" spans="1:27" ht="14.5" x14ac:dyDescent="0.35">
      <c r="A70" s="7"/>
      <c r="B70" s="102">
        <v>12.5</v>
      </c>
      <c r="C70" s="74">
        <v>15.1</v>
      </c>
      <c r="D70" s="75">
        <v>11.9</v>
      </c>
      <c r="E70" s="205">
        <v>1.5409999999999999</v>
      </c>
      <c r="F70" s="76">
        <v>2.87</v>
      </c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7"/>
      <c r="X70" s="7"/>
      <c r="Y70" s="7"/>
      <c r="Z70" s="7"/>
      <c r="AA70" s="7"/>
    </row>
    <row r="71" spans="1:27" ht="14.5" x14ac:dyDescent="0.35">
      <c r="A71" s="7"/>
      <c r="B71" s="102">
        <v>12.5</v>
      </c>
      <c r="C71" s="74">
        <v>13.8</v>
      </c>
      <c r="D71" s="75">
        <v>11.5</v>
      </c>
      <c r="E71" s="74">
        <v>1.5129999999999999</v>
      </c>
      <c r="F71" s="203">
        <v>2.75</v>
      </c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7"/>
      <c r="X71" s="7"/>
      <c r="Y71" s="7"/>
      <c r="Z71" s="7"/>
      <c r="AA71" s="7"/>
    </row>
    <row r="72" spans="1:27" ht="14.5" x14ac:dyDescent="0.35">
      <c r="A72" s="7"/>
      <c r="B72" s="106">
        <v>12.5</v>
      </c>
      <c r="C72" s="86">
        <v>11</v>
      </c>
      <c r="D72" s="87">
        <v>10.1</v>
      </c>
      <c r="E72" s="86">
        <v>1.4990000000000001</v>
      </c>
      <c r="F72" s="204">
        <v>2.677</v>
      </c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7"/>
      <c r="X72" s="7"/>
      <c r="Y72" s="7"/>
      <c r="Z72" s="7"/>
      <c r="AA72" s="7"/>
    </row>
    <row r="73" spans="1:27" ht="14.5" x14ac:dyDescent="0.35">
      <c r="A73" s="7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7"/>
      <c r="X73" s="7"/>
      <c r="Y73" s="7"/>
      <c r="Z73" s="7"/>
      <c r="AA73" s="7"/>
    </row>
    <row r="74" spans="1:27" ht="14.5" x14ac:dyDescent="0.35">
      <c r="A74" s="7"/>
      <c r="B74" s="92"/>
      <c r="C74" s="93" t="s">
        <v>236</v>
      </c>
      <c r="D74" s="94" t="s">
        <v>237</v>
      </c>
    </row>
    <row r="75" spans="1:27" ht="14.5" x14ac:dyDescent="0.35">
      <c r="A75" s="7"/>
      <c r="B75" s="95" t="s">
        <v>242</v>
      </c>
      <c r="C75" s="87">
        <v>14.2</v>
      </c>
      <c r="D75" s="89">
        <v>13.6</v>
      </c>
      <c r="E75" s="96" t="s">
        <v>357</v>
      </c>
    </row>
    <row r="76" spans="1:27" ht="14.5" x14ac:dyDescent="0.35">
      <c r="A76" s="7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7"/>
      <c r="X76" s="7"/>
      <c r="Y76" s="7"/>
      <c r="Z76" s="7"/>
      <c r="AA76" s="7"/>
    </row>
    <row r="77" spans="1:27" ht="14.5" x14ac:dyDescent="0.35">
      <c r="A77" s="7"/>
      <c r="B77" s="99" t="s">
        <v>213</v>
      </c>
      <c r="C77" s="93" t="s">
        <v>22</v>
      </c>
      <c r="D77" s="94" t="s">
        <v>23</v>
      </c>
      <c r="E77" s="19"/>
      <c r="F77" s="19"/>
      <c r="G77" s="19"/>
      <c r="H77" s="19"/>
      <c r="I77" s="7" t="s">
        <v>260</v>
      </c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7"/>
      <c r="X77" s="7"/>
      <c r="Y77" s="7"/>
      <c r="Z77" s="7"/>
      <c r="AA77" s="7"/>
    </row>
    <row r="78" spans="1:27" ht="14.5" x14ac:dyDescent="0.35">
      <c r="A78" s="7"/>
      <c r="B78" s="102">
        <v>10000</v>
      </c>
      <c r="C78" s="54">
        <f t="shared" ref="C78:D78" si="0">C81*2</f>
        <v>829.99678522371926</v>
      </c>
      <c r="D78" s="127">
        <f t="shared" si="0"/>
        <v>912.26187281996238</v>
      </c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7"/>
      <c r="X78" s="7"/>
      <c r="Y78" s="7"/>
      <c r="Z78" s="7"/>
      <c r="AA78" s="7"/>
    </row>
    <row r="79" spans="1:27" ht="14.5" x14ac:dyDescent="0.35">
      <c r="A79" s="7"/>
      <c r="B79" s="102">
        <v>10000</v>
      </c>
      <c r="C79" s="54">
        <f t="shared" ref="C79:D79" si="1">C82*2</f>
        <v>829.99678522371926</v>
      </c>
      <c r="D79" s="127">
        <f t="shared" si="1"/>
        <v>912.26187281996238</v>
      </c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7"/>
      <c r="X79" s="7"/>
      <c r="Y79" s="7"/>
      <c r="Z79" s="7"/>
      <c r="AA79" s="7"/>
    </row>
    <row r="80" spans="1:27" ht="14.5" x14ac:dyDescent="0.35">
      <c r="A80" s="7"/>
      <c r="B80" s="102">
        <v>10000</v>
      </c>
      <c r="C80" s="54">
        <f t="shared" ref="C80:D80" si="2">C83*2</f>
        <v>829.99678522371926</v>
      </c>
      <c r="D80" s="127">
        <f t="shared" si="2"/>
        <v>912.26187281996238</v>
      </c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7"/>
      <c r="X80" s="7"/>
      <c r="Y80" s="7"/>
      <c r="Z80" s="7"/>
      <c r="AA80" s="7"/>
    </row>
    <row r="81" spans="1:27" ht="14.5" x14ac:dyDescent="0.35">
      <c r="A81" s="7"/>
      <c r="B81" s="102">
        <v>5000</v>
      </c>
      <c r="C81" s="54">
        <f>C75/1000/$C$116*1000*1000/$H$11*1000</f>
        <v>414.99839261185963</v>
      </c>
      <c r="D81" s="127">
        <f>D75*1000*1000/$H$11/$C$117</f>
        <v>456.13093640998119</v>
      </c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7"/>
      <c r="X81" s="7"/>
      <c r="Y81" s="7"/>
      <c r="Z81" s="7"/>
      <c r="AA81" s="7"/>
    </row>
    <row r="82" spans="1:27" ht="14.5" x14ac:dyDescent="0.35">
      <c r="A82" s="7"/>
      <c r="B82" s="102">
        <v>5000</v>
      </c>
      <c r="C82" s="54">
        <f>C75/1000/$C$116*1000*1000/$H$11*1000</f>
        <v>414.99839261185963</v>
      </c>
      <c r="D82" s="127">
        <f>D75*1000*1000/$H$11/$C$117</f>
        <v>456.13093640998119</v>
      </c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7"/>
      <c r="X82" s="7"/>
      <c r="Y82" s="7"/>
      <c r="Z82" s="7"/>
      <c r="AA82" s="7"/>
    </row>
    <row r="83" spans="1:27" ht="14.5" x14ac:dyDescent="0.35">
      <c r="A83" s="7"/>
      <c r="B83" s="102">
        <v>5000</v>
      </c>
      <c r="C83" s="54">
        <f>C75/1000/$C$116*1000*1000/$H$11*1000</f>
        <v>414.99839261185963</v>
      </c>
      <c r="D83" s="127">
        <f>D75*1000*1000/$H$11/$C$117</f>
        <v>456.13093640998119</v>
      </c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7"/>
      <c r="X83" s="7"/>
      <c r="Y83" s="7"/>
      <c r="Z83" s="7"/>
      <c r="AA83" s="7"/>
    </row>
    <row r="84" spans="1:27" ht="14.5" x14ac:dyDescent="0.35">
      <c r="A84" s="7"/>
      <c r="B84" s="102">
        <v>2000</v>
      </c>
      <c r="C84" s="178">
        <f>B84*$C$81/$B$81</f>
        <v>165.99935704474387</v>
      </c>
      <c r="D84" s="127">
        <f t="shared" ref="D84:D87" si="3">B84*$D$81/$B$81</f>
        <v>182.45237456399246</v>
      </c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7"/>
      <c r="X84" s="7"/>
      <c r="Y84" s="7"/>
      <c r="Z84" s="7"/>
      <c r="AA84" s="7"/>
    </row>
    <row r="85" spans="1:27" ht="14.5" x14ac:dyDescent="0.35">
      <c r="A85" s="7"/>
      <c r="B85" s="102">
        <v>2000</v>
      </c>
      <c r="C85" s="54">
        <f>B84*$C$81/$B$81</f>
        <v>165.99935704474387</v>
      </c>
      <c r="D85" s="127">
        <f t="shared" si="3"/>
        <v>182.45237456399246</v>
      </c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7"/>
      <c r="X85" s="7"/>
      <c r="Y85" s="7"/>
      <c r="Z85" s="7"/>
      <c r="AA85" s="7"/>
    </row>
    <row r="86" spans="1:27" ht="14.5" x14ac:dyDescent="0.35">
      <c r="A86" s="7"/>
      <c r="B86" s="102">
        <v>2000</v>
      </c>
      <c r="C86" s="54">
        <f t="shared" ref="C86:C98" si="4">B86*$C$81/$B$81</f>
        <v>165.99935704474387</v>
      </c>
      <c r="D86" s="127">
        <f t="shared" si="3"/>
        <v>182.45237456399246</v>
      </c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7"/>
      <c r="X86" s="7"/>
      <c r="Y86" s="7"/>
      <c r="Z86" s="7"/>
      <c r="AA86" s="7"/>
    </row>
    <row r="87" spans="1:27" ht="14.5" x14ac:dyDescent="0.35">
      <c r="A87" s="7"/>
      <c r="B87" s="102">
        <v>1000</v>
      </c>
      <c r="C87" s="54">
        <f t="shared" si="4"/>
        <v>82.999678522371937</v>
      </c>
      <c r="D87" s="127">
        <f t="shared" si="3"/>
        <v>91.226187281996232</v>
      </c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7"/>
      <c r="X87" s="7"/>
      <c r="Y87" s="7"/>
      <c r="Z87" s="7"/>
      <c r="AA87" s="7"/>
    </row>
    <row r="88" spans="1:27" ht="14.5" x14ac:dyDescent="0.35">
      <c r="A88" s="7"/>
      <c r="B88" s="102">
        <v>1000</v>
      </c>
      <c r="C88" s="54">
        <f t="shared" si="4"/>
        <v>82.999678522371937</v>
      </c>
      <c r="D88" s="127">
        <f t="shared" ref="D88:D89" si="5">B87*$D$81/$B$81</f>
        <v>91.226187281996232</v>
      </c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7"/>
      <c r="X88" s="7"/>
      <c r="Y88" s="7"/>
      <c r="Z88" s="7"/>
      <c r="AA88" s="7"/>
    </row>
    <row r="89" spans="1:27" ht="14.5" x14ac:dyDescent="0.35">
      <c r="A89" s="7"/>
      <c r="B89" s="102">
        <v>1000</v>
      </c>
      <c r="C89" s="54">
        <f t="shared" si="4"/>
        <v>82.999678522371937</v>
      </c>
      <c r="D89" s="127">
        <f t="shared" si="5"/>
        <v>91.226187281996232</v>
      </c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7"/>
      <c r="X89" s="7"/>
      <c r="Y89" s="7"/>
      <c r="Z89" s="7"/>
      <c r="AA89" s="7"/>
    </row>
    <row r="90" spans="1:27" ht="14.5" x14ac:dyDescent="0.35">
      <c r="A90" s="7"/>
      <c r="B90" s="102">
        <v>200</v>
      </c>
      <c r="C90" s="54">
        <f t="shared" si="4"/>
        <v>16.599935704474383</v>
      </c>
      <c r="D90" s="127">
        <f>B90*$D$81/$B$81</f>
        <v>18.245237456399249</v>
      </c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7"/>
      <c r="X90" s="7"/>
      <c r="Y90" s="7"/>
      <c r="Z90" s="7"/>
      <c r="AA90" s="7"/>
    </row>
    <row r="91" spans="1:27" ht="14.5" x14ac:dyDescent="0.35">
      <c r="A91" s="7"/>
      <c r="B91" s="102">
        <v>200</v>
      </c>
      <c r="C91" s="54">
        <f t="shared" si="4"/>
        <v>16.599935704474383</v>
      </c>
      <c r="D91" s="127">
        <f t="shared" ref="D91:D92" si="6">B90*$D$81/$B$81</f>
        <v>18.245237456399249</v>
      </c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7"/>
      <c r="X91" s="7"/>
      <c r="Y91" s="7"/>
      <c r="Z91" s="7"/>
      <c r="AA91" s="7"/>
    </row>
    <row r="92" spans="1:27" ht="14.5" x14ac:dyDescent="0.35">
      <c r="A92" s="7"/>
      <c r="B92" s="102">
        <v>200</v>
      </c>
      <c r="C92" s="54">
        <f t="shared" si="4"/>
        <v>16.599935704474383</v>
      </c>
      <c r="D92" s="127">
        <f t="shared" si="6"/>
        <v>18.245237456399249</v>
      </c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7"/>
      <c r="X92" s="7"/>
      <c r="Y92" s="7"/>
      <c r="Z92" s="7"/>
      <c r="AA92" s="7"/>
    </row>
    <row r="93" spans="1:27" ht="14.5" x14ac:dyDescent="0.35">
      <c r="A93" s="7"/>
      <c r="B93" s="102">
        <v>100</v>
      </c>
      <c r="C93" s="54">
        <f t="shared" si="4"/>
        <v>8.2999678522371916</v>
      </c>
      <c r="D93" s="127">
        <f>B93*$D$81/$B$81</f>
        <v>9.1226187281996243</v>
      </c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7"/>
      <c r="X93" s="7"/>
      <c r="Y93" s="7"/>
      <c r="Z93" s="7"/>
      <c r="AA93" s="7"/>
    </row>
    <row r="94" spans="1:27" ht="14.5" x14ac:dyDescent="0.35">
      <c r="A94" s="7"/>
      <c r="B94" s="102">
        <v>100</v>
      </c>
      <c r="C94" s="54">
        <f t="shared" si="4"/>
        <v>8.2999678522371916</v>
      </c>
      <c r="D94" s="127">
        <f t="shared" ref="D94:D95" si="7">B93*$D$81/$B$81</f>
        <v>9.1226187281996243</v>
      </c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7"/>
      <c r="X94" s="7"/>
      <c r="Y94" s="7"/>
      <c r="Z94" s="7"/>
      <c r="AA94" s="7"/>
    </row>
    <row r="95" spans="1:27" ht="14.5" x14ac:dyDescent="0.35">
      <c r="A95" s="7"/>
      <c r="B95" s="102">
        <v>100</v>
      </c>
      <c r="C95" s="54">
        <f t="shared" si="4"/>
        <v>8.2999678522371916</v>
      </c>
      <c r="D95" s="127">
        <f t="shared" si="7"/>
        <v>9.1226187281996243</v>
      </c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7"/>
      <c r="X95" s="7"/>
      <c r="Y95" s="7"/>
      <c r="Z95" s="7"/>
      <c r="AA95" s="7"/>
    </row>
    <row r="96" spans="1:27" ht="14.5" x14ac:dyDescent="0.35">
      <c r="A96" s="7"/>
      <c r="B96" s="102">
        <v>12.5</v>
      </c>
      <c r="C96" s="54">
        <f t="shared" si="4"/>
        <v>1.0374959815296489</v>
      </c>
      <c r="D96" s="127">
        <f t="shared" ref="D96:D98" si="8">B96*$D$81/$B$81</f>
        <v>1.140327341024953</v>
      </c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7"/>
      <c r="X96" s="7"/>
      <c r="Y96" s="7"/>
      <c r="Z96" s="7"/>
      <c r="AA96" s="7"/>
    </row>
    <row r="97" spans="1:27" ht="14.5" x14ac:dyDescent="0.35">
      <c r="A97" s="7"/>
      <c r="B97" s="102">
        <v>12.5</v>
      </c>
      <c r="C97" s="54">
        <f t="shared" si="4"/>
        <v>1.0374959815296489</v>
      </c>
      <c r="D97" s="127">
        <f t="shared" si="8"/>
        <v>1.140327341024953</v>
      </c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7"/>
      <c r="X97" s="7"/>
      <c r="Y97" s="7"/>
      <c r="Z97" s="7"/>
      <c r="AA97" s="7"/>
    </row>
    <row r="98" spans="1:27" ht="14.5" x14ac:dyDescent="0.35">
      <c r="A98" s="7"/>
      <c r="B98" s="106">
        <v>12.5</v>
      </c>
      <c r="C98" s="107">
        <f t="shared" si="4"/>
        <v>1.0374959815296489</v>
      </c>
      <c r="D98" s="128">
        <f t="shared" si="8"/>
        <v>1.140327341024953</v>
      </c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7"/>
      <c r="X98" s="7"/>
      <c r="Y98" s="7"/>
      <c r="Z98" s="7"/>
      <c r="AA98" s="7"/>
    </row>
    <row r="99" spans="1:27" ht="14.5" x14ac:dyDescent="0.35">
      <c r="A99" s="7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7"/>
      <c r="X99" s="7"/>
      <c r="Y99" s="7"/>
      <c r="Z99" s="7"/>
      <c r="AA99" s="7"/>
    </row>
    <row r="100" spans="1:27" ht="14.5" x14ac:dyDescent="0.35">
      <c r="A100" s="7"/>
      <c r="B100" s="99" t="s">
        <v>354</v>
      </c>
      <c r="C100" s="93" t="s">
        <v>34</v>
      </c>
      <c r="D100" s="94" t="s">
        <v>35</v>
      </c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7"/>
      <c r="X100" s="7"/>
      <c r="Y100" s="7"/>
      <c r="Z100" s="7"/>
      <c r="AA100" s="7"/>
    </row>
    <row r="101" spans="1:27" ht="14.5" x14ac:dyDescent="0.35">
      <c r="A101" s="7"/>
      <c r="B101" s="72" t="s">
        <v>264</v>
      </c>
      <c r="C101" s="110">
        <f t="shared" ref="C101:D101" si="9">SLOPE(C78:C98,C4:C24)</f>
        <v>0.10274031381242781</v>
      </c>
      <c r="D101" s="113">
        <f t="shared" si="9"/>
        <v>8.422008912156756E-2</v>
      </c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7"/>
      <c r="X101" s="7"/>
      <c r="Y101" s="7"/>
      <c r="Z101" s="7"/>
      <c r="AA101" s="7"/>
    </row>
    <row r="102" spans="1:27" ht="14.5" x14ac:dyDescent="0.35">
      <c r="A102" s="7"/>
      <c r="B102" s="72" t="s">
        <v>265</v>
      </c>
      <c r="C102" s="110">
        <f t="shared" ref="C102:D102" si="10">INTERCEPT(C78:C98,C4:C24)</f>
        <v>19.959014309870042</v>
      </c>
      <c r="D102" s="113">
        <f t="shared" si="10"/>
        <v>23.698085476829448</v>
      </c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7"/>
      <c r="X102" s="7"/>
      <c r="Y102" s="7"/>
      <c r="Z102" s="7"/>
      <c r="AA102" s="7"/>
    </row>
    <row r="103" spans="1:27" ht="14.5" x14ac:dyDescent="0.35">
      <c r="A103" s="7"/>
      <c r="B103" s="114" t="s">
        <v>266</v>
      </c>
      <c r="C103" s="115">
        <f t="shared" ref="C103:D103" si="11">RSQ(C81:C98,C7:C24)</f>
        <v>0.97382993822760289</v>
      </c>
      <c r="D103" s="116">
        <f t="shared" si="11"/>
        <v>0.97952136702237813</v>
      </c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7"/>
      <c r="X103" s="7"/>
      <c r="Y103" s="7"/>
      <c r="Z103" s="7"/>
      <c r="AA103" s="7"/>
    </row>
    <row r="104" spans="1:27" ht="14.5" x14ac:dyDescent="0.35">
      <c r="A104" s="7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7"/>
      <c r="X104" s="7"/>
      <c r="Y104" s="7"/>
      <c r="Z104" s="7"/>
      <c r="AA104" s="7"/>
    </row>
    <row r="105" spans="1:27" ht="14.5" x14ac:dyDescent="0.35">
      <c r="A105" s="7"/>
      <c r="B105" s="99" t="s">
        <v>358</v>
      </c>
      <c r="C105" s="93" t="s">
        <v>34</v>
      </c>
      <c r="D105" s="94" t="s">
        <v>35</v>
      </c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7"/>
      <c r="X105" s="7"/>
      <c r="Y105" s="7"/>
      <c r="Z105" s="7"/>
      <c r="AA105" s="7"/>
    </row>
    <row r="106" spans="1:27" ht="14.5" x14ac:dyDescent="0.35">
      <c r="A106" s="7"/>
      <c r="B106" s="72" t="s">
        <v>264</v>
      </c>
      <c r="C106" s="110">
        <f t="shared" ref="C106:D106" si="12">SLOPE(C78:C98,C28:C48)</f>
        <v>0.10346287876337326</v>
      </c>
      <c r="D106" s="113">
        <f t="shared" si="12"/>
        <v>0.1016520438264473</v>
      </c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7"/>
      <c r="X106" s="7"/>
      <c r="Y106" s="7"/>
      <c r="Z106" s="7"/>
      <c r="AA106" s="7"/>
    </row>
    <row r="107" spans="1:27" ht="14.5" x14ac:dyDescent="0.35">
      <c r="A107" s="7"/>
      <c r="B107" s="72" t="s">
        <v>265</v>
      </c>
      <c r="C107" s="110">
        <f t="shared" ref="C107:D107" si="13">INTERCEPT(C78:C98,C28:C48)</f>
        <v>17.154123324642228</v>
      </c>
      <c r="D107" s="113">
        <f t="shared" si="13"/>
        <v>10.012636423272653</v>
      </c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7"/>
      <c r="X107" s="7"/>
      <c r="Y107" s="7"/>
      <c r="Z107" s="7"/>
      <c r="AA107" s="7"/>
    </row>
    <row r="108" spans="1:27" ht="14.5" x14ac:dyDescent="0.35">
      <c r="A108" s="7"/>
      <c r="B108" s="114" t="s">
        <v>266</v>
      </c>
      <c r="C108" s="115">
        <f>RSQ(C31:C48,C81:C98)</f>
        <v>0.97632176964352801</v>
      </c>
      <c r="D108" s="116">
        <f>RSQ(D81:D98,D31:D48)</f>
        <v>0.99479579531833273</v>
      </c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7"/>
      <c r="X108" s="7"/>
      <c r="Y108" s="7"/>
      <c r="Z108" s="7"/>
      <c r="AA108" s="7"/>
    </row>
    <row r="109" spans="1:27" ht="14.5" x14ac:dyDescent="0.35">
      <c r="A109" s="7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7"/>
      <c r="X109" s="7"/>
      <c r="Y109" s="7"/>
      <c r="Z109" s="7"/>
      <c r="AA109" s="7"/>
    </row>
    <row r="110" spans="1:27" ht="14.5" x14ac:dyDescent="0.35">
      <c r="A110" s="7"/>
      <c r="B110" s="99" t="s">
        <v>359</v>
      </c>
      <c r="C110" s="93" t="s">
        <v>34</v>
      </c>
      <c r="D110" s="94" t="s">
        <v>35</v>
      </c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7"/>
      <c r="X110" s="7"/>
      <c r="Y110" s="7"/>
      <c r="Z110" s="7"/>
      <c r="AA110" s="7"/>
    </row>
    <row r="111" spans="1:27" ht="14.5" x14ac:dyDescent="0.35">
      <c r="A111" s="7"/>
      <c r="B111" s="72" t="s">
        <v>264</v>
      </c>
      <c r="C111" s="110">
        <f t="shared" ref="C111:D111" si="14">SLOPE(C78:C98,C52:C72)</f>
        <v>9.8306762732278036E-2</v>
      </c>
      <c r="D111" s="113">
        <f t="shared" si="14"/>
        <v>9.4097333670474292E-2</v>
      </c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7"/>
      <c r="X111" s="7"/>
      <c r="Y111" s="7"/>
      <c r="Z111" s="7"/>
      <c r="AA111" s="7"/>
    </row>
    <row r="112" spans="1:27" ht="14.5" x14ac:dyDescent="0.35">
      <c r="A112" s="7"/>
      <c r="B112" s="72" t="s">
        <v>265</v>
      </c>
      <c r="C112" s="110">
        <f t="shared" ref="C112:D112" si="15">INTERCEPT(C78:C98,C52:C72)</f>
        <v>21.923944423181752</v>
      </c>
      <c r="D112" s="113">
        <f t="shared" si="15"/>
        <v>18.624186351560297</v>
      </c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7"/>
      <c r="X112" s="7"/>
      <c r="Y112" s="7"/>
      <c r="Z112" s="7"/>
      <c r="AA112" s="7"/>
    </row>
    <row r="113" spans="1:27" ht="14.5" x14ac:dyDescent="0.35">
      <c r="A113" s="7"/>
      <c r="B113" s="114" t="s">
        <v>266</v>
      </c>
      <c r="C113" s="115">
        <f t="shared" ref="C113:D113" si="16">RSQ(C55:C72,C81:C98)</f>
        <v>0.97431781810061624</v>
      </c>
      <c r="D113" s="116">
        <f t="shared" si="16"/>
        <v>0.9922925132113144</v>
      </c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7"/>
      <c r="X113" s="7"/>
      <c r="Y113" s="7"/>
      <c r="Z113" s="7"/>
      <c r="AA113" s="7"/>
    </row>
    <row r="114" spans="1:27" ht="14.5" x14ac:dyDescent="0.35">
      <c r="A114" s="7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7"/>
      <c r="X114" s="7"/>
      <c r="Y114" s="7"/>
      <c r="Z114" s="7"/>
      <c r="AA114" s="7"/>
    </row>
    <row r="115" spans="1:27" ht="14.5" x14ac:dyDescent="0.35">
      <c r="A115" s="7"/>
      <c r="B115" s="99" t="s">
        <v>267</v>
      </c>
      <c r="C115" s="93" t="s">
        <v>268</v>
      </c>
      <c r="D115" s="94" t="s">
        <v>269</v>
      </c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7"/>
      <c r="X115" s="7"/>
      <c r="Y115" s="7"/>
      <c r="Z115" s="7"/>
      <c r="AA115" s="7"/>
    </row>
    <row r="116" spans="1:27" ht="14.5" x14ac:dyDescent="0.35">
      <c r="A116" s="7"/>
      <c r="B116" s="33" t="s">
        <v>34</v>
      </c>
      <c r="C116" s="10">
        <v>342.17</v>
      </c>
      <c r="D116" s="117">
        <v>12</v>
      </c>
      <c r="E116" s="96" t="s">
        <v>360</v>
      </c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7"/>
      <c r="X116" s="7"/>
      <c r="Y116" s="7"/>
      <c r="Z116" s="7"/>
      <c r="AA116" s="7"/>
    </row>
    <row r="117" spans="1:27" ht="14.5" x14ac:dyDescent="0.35">
      <c r="A117" s="7"/>
      <c r="B117" s="33" t="s">
        <v>35</v>
      </c>
      <c r="C117" s="10">
        <v>298.16000000000003</v>
      </c>
      <c r="D117" s="117">
        <v>11</v>
      </c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7"/>
      <c r="X117" s="7"/>
      <c r="Y117" s="7"/>
      <c r="Z117" s="7"/>
      <c r="AA117" s="7"/>
    </row>
    <row r="118" spans="1:27" ht="14.5" x14ac:dyDescent="0.35">
      <c r="A118" s="7"/>
      <c r="B118" s="33" t="s">
        <v>36</v>
      </c>
      <c r="C118" s="10">
        <v>245.15</v>
      </c>
      <c r="D118" s="117">
        <v>10</v>
      </c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7"/>
      <c r="X118" s="7"/>
      <c r="Y118" s="7"/>
      <c r="Z118" s="7"/>
      <c r="AA118" s="7"/>
    </row>
    <row r="119" spans="1:27" ht="14.5" x14ac:dyDescent="0.35">
      <c r="A119" s="7"/>
      <c r="B119" s="34" t="s">
        <v>37</v>
      </c>
      <c r="C119" s="85">
        <v>210.14</v>
      </c>
      <c r="D119" s="118">
        <v>9</v>
      </c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7"/>
      <c r="X119" s="7"/>
      <c r="Y119" s="7"/>
      <c r="Z119" s="7"/>
      <c r="AA119" s="7"/>
    </row>
    <row r="120" spans="1:27" ht="14.5" x14ac:dyDescent="0.35">
      <c r="A120" s="7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7"/>
      <c r="X120" s="7"/>
      <c r="Y120" s="7"/>
      <c r="Z120" s="7"/>
      <c r="AA120" s="7"/>
    </row>
    <row r="121" spans="1:27" ht="14.5" x14ac:dyDescent="0.35">
      <c r="A121" s="7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7"/>
      <c r="X121" s="7"/>
      <c r="Y121" s="7"/>
      <c r="Z121" s="7"/>
      <c r="AA121" s="7"/>
    </row>
    <row r="122" spans="1:27" ht="14.5" x14ac:dyDescent="0.35">
      <c r="A122" s="7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7"/>
      <c r="X122" s="7"/>
      <c r="Y122" s="7"/>
      <c r="Z122" s="7"/>
      <c r="AA122" s="7"/>
    </row>
    <row r="123" spans="1:27" ht="14.5" x14ac:dyDescent="0.35">
      <c r="A123" s="7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7"/>
      <c r="X123" s="7"/>
      <c r="Y123" s="7"/>
      <c r="Z123" s="7"/>
      <c r="AA123" s="7"/>
    </row>
    <row r="124" spans="1:27" ht="14.5" x14ac:dyDescent="0.35">
      <c r="A124" s="7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7"/>
      <c r="X124" s="7"/>
      <c r="Y124" s="7"/>
      <c r="Z124" s="7"/>
      <c r="AA124" s="7"/>
    </row>
    <row r="125" spans="1:27" ht="14.5" x14ac:dyDescent="0.35">
      <c r="A125" s="7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7"/>
      <c r="X125" s="7"/>
      <c r="Y125" s="7"/>
      <c r="Z125" s="7"/>
      <c r="AA125" s="7"/>
    </row>
    <row r="126" spans="1:27" ht="14.5" x14ac:dyDescent="0.35">
      <c r="A126" s="7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7"/>
      <c r="X126" s="7"/>
      <c r="Y126" s="7"/>
      <c r="Z126" s="7"/>
      <c r="AA126" s="7"/>
    </row>
    <row r="127" spans="1:27" ht="14.5" x14ac:dyDescent="0.35">
      <c r="A127" s="7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7"/>
      <c r="X127" s="7"/>
      <c r="Y127" s="7"/>
      <c r="Z127" s="7"/>
      <c r="AA127" s="7"/>
    </row>
    <row r="128" spans="1:27" ht="14.5" x14ac:dyDescent="0.35">
      <c r="A128" s="7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7"/>
      <c r="X128" s="7"/>
      <c r="Y128" s="7"/>
      <c r="Z128" s="7"/>
      <c r="AA128" s="7"/>
    </row>
    <row r="129" spans="1:27" ht="14.5" x14ac:dyDescent="0.35">
      <c r="A129" s="7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7"/>
      <c r="X129" s="7"/>
      <c r="Y129" s="7"/>
      <c r="Z129" s="7"/>
      <c r="AA129" s="7"/>
    </row>
    <row r="130" spans="1:27" ht="14.5" x14ac:dyDescent="0.35">
      <c r="A130" s="7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7"/>
      <c r="X130" s="7"/>
      <c r="Y130" s="7"/>
      <c r="Z130" s="7"/>
      <c r="AA130" s="7"/>
    </row>
    <row r="131" spans="1:27" ht="14.5" x14ac:dyDescent="0.35">
      <c r="A131" s="7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7"/>
      <c r="X131" s="7"/>
      <c r="Y131" s="7"/>
      <c r="Z131" s="7"/>
      <c r="AA131" s="7"/>
    </row>
    <row r="132" spans="1:27" ht="14.5" x14ac:dyDescent="0.35">
      <c r="A132" s="7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7"/>
      <c r="X132" s="7"/>
      <c r="Y132" s="7"/>
      <c r="Z132" s="7"/>
      <c r="AA132" s="7"/>
    </row>
    <row r="133" spans="1:27" ht="14.5" x14ac:dyDescent="0.35">
      <c r="A133" s="7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7"/>
      <c r="X133" s="7"/>
      <c r="Y133" s="7"/>
      <c r="Z133" s="7"/>
      <c r="AA133" s="7"/>
    </row>
    <row r="134" spans="1:27" ht="14.5" x14ac:dyDescent="0.35">
      <c r="A134" s="7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7"/>
      <c r="X134" s="7"/>
      <c r="Y134" s="7"/>
      <c r="Z134" s="7"/>
      <c r="AA134" s="7"/>
    </row>
    <row r="135" spans="1:27" ht="14.5" x14ac:dyDescent="0.35">
      <c r="A135" s="7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7"/>
      <c r="X135" s="7"/>
      <c r="Y135" s="7"/>
      <c r="Z135" s="7"/>
      <c r="AA135" s="7"/>
    </row>
    <row r="136" spans="1:27" ht="14.5" x14ac:dyDescent="0.35">
      <c r="A136" s="7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7"/>
      <c r="X136" s="7"/>
      <c r="Y136" s="7"/>
      <c r="Z136" s="7"/>
      <c r="AA136" s="7"/>
    </row>
    <row r="137" spans="1:27" ht="14.5" x14ac:dyDescent="0.35">
      <c r="A137" s="7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7"/>
      <c r="X137" s="7"/>
      <c r="Y137" s="7"/>
      <c r="Z137" s="7"/>
      <c r="AA137" s="7"/>
    </row>
    <row r="138" spans="1:27" ht="14.5" x14ac:dyDescent="0.35">
      <c r="A138" s="7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7"/>
      <c r="X138" s="7"/>
      <c r="Y138" s="7"/>
      <c r="Z138" s="7"/>
      <c r="AA138" s="7"/>
    </row>
    <row r="139" spans="1:27" ht="14.5" x14ac:dyDescent="0.35">
      <c r="A139" s="7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7"/>
      <c r="X139" s="7"/>
      <c r="Y139" s="7"/>
      <c r="Z139" s="7"/>
      <c r="AA139" s="7"/>
    </row>
    <row r="140" spans="1:27" ht="14.5" x14ac:dyDescent="0.35">
      <c r="A140" s="7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7"/>
      <c r="X140" s="7"/>
      <c r="Y140" s="7"/>
      <c r="Z140" s="7"/>
      <c r="AA140" s="7"/>
    </row>
    <row r="141" spans="1:27" ht="14.5" x14ac:dyDescent="0.35">
      <c r="A141" s="7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7"/>
      <c r="X141" s="7"/>
      <c r="Y141" s="7"/>
      <c r="Z141" s="7"/>
      <c r="AA141" s="7"/>
    </row>
    <row r="142" spans="1:27" ht="14.5" x14ac:dyDescent="0.35">
      <c r="A142" s="7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7"/>
      <c r="X142" s="7"/>
      <c r="Y142" s="7"/>
      <c r="Z142" s="7"/>
      <c r="AA142" s="7"/>
    </row>
    <row r="143" spans="1:27" ht="14.5" x14ac:dyDescent="0.35">
      <c r="A143" s="7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7"/>
      <c r="X143" s="7"/>
      <c r="Y143" s="7"/>
      <c r="Z143" s="7"/>
      <c r="AA143" s="7"/>
    </row>
    <row r="144" spans="1:27" ht="14.5" x14ac:dyDescent="0.35">
      <c r="A144" s="7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7"/>
      <c r="X144" s="7"/>
      <c r="Y144" s="7"/>
      <c r="Z144" s="7"/>
      <c r="AA144" s="7"/>
    </row>
    <row r="145" spans="1:27" ht="14.5" x14ac:dyDescent="0.35">
      <c r="A145" s="7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7"/>
      <c r="X145" s="7"/>
      <c r="Y145" s="7"/>
      <c r="Z145" s="7"/>
      <c r="AA145" s="7"/>
    </row>
    <row r="146" spans="1:27" ht="14.5" x14ac:dyDescent="0.35">
      <c r="A146" s="7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7"/>
      <c r="X146" s="7"/>
      <c r="Y146" s="7"/>
      <c r="Z146" s="7"/>
      <c r="AA146" s="7"/>
    </row>
    <row r="147" spans="1:27" ht="14.5" x14ac:dyDescent="0.35">
      <c r="A147" s="7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7"/>
      <c r="X147" s="7"/>
      <c r="Y147" s="7"/>
      <c r="Z147" s="7"/>
      <c r="AA147" s="7"/>
    </row>
    <row r="148" spans="1:27" ht="14.5" x14ac:dyDescent="0.35">
      <c r="A148" s="7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7"/>
      <c r="X148" s="7"/>
      <c r="Y148" s="7"/>
      <c r="Z148" s="7"/>
      <c r="AA148" s="7"/>
    </row>
    <row r="149" spans="1:27" ht="14.5" x14ac:dyDescent="0.35">
      <c r="A149" s="7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7"/>
      <c r="X149" s="7"/>
      <c r="Y149" s="7"/>
      <c r="Z149" s="7"/>
      <c r="AA149" s="7"/>
    </row>
    <row r="150" spans="1:27" ht="14.5" x14ac:dyDescent="0.35">
      <c r="A150" s="7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7"/>
      <c r="X150" s="7"/>
      <c r="Y150" s="7"/>
      <c r="Z150" s="7"/>
      <c r="AA150" s="7"/>
    </row>
    <row r="151" spans="1:27" ht="14.5" x14ac:dyDescent="0.35">
      <c r="A151" s="7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7"/>
      <c r="X151" s="7"/>
      <c r="Y151" s="7"/>
      <c r="Z151" s="7"/>
      <c r="AA151" s="7"/>
    </row>
    <row r="152" spans="1:27" ht="14.5" x14ac:dyDescent="0.35">
      <c r="A152" s="7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7"/>
      <c r="X152" s="7"/>
      <c r="Y152" s="7"/>
      <c r="Z152" s="7"/>
      <c r="AA152" s="7"/>
    </row>
    <row r="153" spans="1:27" ht="14.5" x14ac:dyDescent="0.35">
      <c r="A153" s="7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7"/>
      <c r="X153" s="7"/>
      <c r="Y153" s="7"/>
      <c r="Z153" s="7"/>
      <c r="AA153" s="7"/>
    </row>
    <row r="154" spans="1:27" ht="14.5" x14ac:dyDescent="0.35">
      <c r="A154" s="7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7"/>
      <c r="X154" s="7"/>
      <c r="Y154" s="7"/>
      <c r="Z154" s="7"/>
      <c r="AA154" s="7"/>
    </row>
    <row r="155" spans="1:27" ht="14.5" x14ac:dyDescent="0.35">
      <c r="A155" s="7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7"/>
      <c r="X155" s="7"/>
      <c r="Y155" s="7"/>
      <c r="Z155" s="7"/>
      <c r="AA155" s="7"/>
    </row>
    <row r="156" spans="1:27" ht="14.5" x14ac:dyDescent="0.35">
      <c r="A156" s="7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7"/>
      <c r="X156" s="7"/>
      <c r="Y156" s="7"/>
      <c r="Z156" s="7"/>
      <c r="AA156" s="7"/>
    </row>
    <row r="157" spans="1:27" ht="14.5" x14ac:dyDescent="0.35">
      <c r="A157" s="7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7"/>
      <c r="X157" s="7"/>
      <c r="Y157" s="7"/>
      <c r="Z157" s="7"/>
      <c r="AA157" s="7"/>
    </row>
    <row r="158" spans="1:27" ht="14.5" x14ac:dyDescent="0.35">
      <c r="A158" s="7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7"/>
      <c r="X158" s="7"/>
      <c r="Y158" s="7"/>
      <c r="Z158" s="7"/>
      <c r="AA158" s="7"/>
    </row>
    <row r="159" spans="1:27" ht="14.5" x14ac:dyDescent="0.35">
      <c r="A159" s="7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7"/>
      <c r="X159" s="7"/>
      <c r="Y159" s="7"/>
      <c r="Z159" s="7"/>
      <c r="AA159" s="7"/>
    </row>
    <row r="160" spans="1:27" ht="14.5" x14ac:dyDescent="0.35">
      <c r="A160" s="7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7"/>
      <c r="X160" s="7"/>
      <c r="Y160" s="7"/>
      <c r="Z160" s="7"/>
      <c r="AA160" s="7"/>
    </row>
    <row r="161" spans="1:27" ht="14.5" x14ac:dyDescent="0.35">
      <c r="A161" s="7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7"/>
      <c r="X161" s="7"/>
      <c r="Y161" s="7"/>
      <c r="Z161" s="7"/>
      <c r="AA161" s="7"/>
    </row>
    <row r="162" spans="1:27" ht="14.5" x14ac:dyDescent="0.35">
      <c r="A162" s="7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7"/>
      <c r="X162" s="7"/>
      <c r="Y162" s="7"/>
      <c r="Z162" s="7"/>
      <c r="AA162" s="7"/>
    </row>
    <row r="163" spans="1:27" ht="14.5" x14ac:dyDescent="0.35">
      <c r="A163" s="7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7"/>
      <c r="X163" s="7"/>
      <c r="Y163" s="7"/>
      <c r="Z163" s="7"/>
      <c r="AA163" s="7"/>
    </row>
    <row r="164" spans="1:27" ht="14.5" x14ac:dyDescent="0.35">
      <c r="A164" s="7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7"/>
      <c r="X164" s="7"/>
      <c r="Y164" s="7"/>
      <c r="Z164" s="7"/>
      <c r="AA164" s="7"/>
    </row>
    <row r="165" spans="1:27" ht="14.5" x14ac:dyDescent="0.35">
      <c r="A165" s="7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7"/>
      <c r="X165" s="7"/>
      <c r="Y165" s="7"/>
      <c r="Z165" s="7"/>
      <c r="AA165" s="7"/>
    </row>
    <row r="166" spans="1:27" ht="14.5" x14ac:dyDescent="0.35">
      <c r="A166" s="7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7"/>
      <c r="X166" s="7"/>
      <c r="Y166" s="7"/>
      <c r="Z166" s="7"/>
      <c r="AA166" s="7"/>
    </row>
    <row r="167" spans="1:27" ht="14.5" x14ac:dyDescent="0.35">
      <c r="A167" s="7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7"/>
      <c r="X167" s="7"/>
      <c r="Y167" s="7"/>
      <c r="Z167" s="7"/>
      <c r="AA167" s="7"/>
    </row>
    <row r="168" spans="1:27" ht="14.5" x14ac:dyDescent="0.35">
      <c r="A168" s="7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7"/>
      <c r="X168" s="7"/>
      <c r="Y168" s="7"/>
      <c r="Z168" s="7"/>
      <c r="AA168" s="7"/>
    </row>
    <row r="169" spans="1:27" ht="14.5" x14ac:dyDescent="0.35">
      <c r="A169" s="7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7"/>
      <c r="X169" s="7"/>
      <c r="Y169" s="7"/>
      <c r="Z169" s="7"/>
      <c r="AA169" s="7"/>
    </row>
    <row r="170" spans="1:27" ht="14.5" x14ac:dyDescent="0.35">
      <c r="A170" s="7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7"/>
      <c r="X170" s="7"/>
      <c r="Y170" s="7"/>
      <c r="Z170" s="7"/>
      <c r="AA170" s="7"/>
    </row>
    <row r="171" spans="1:27" ht="14.5" x14ac:dyDescent="0.35">
      <c r="A171" s="7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7"/>
      <c r="X171" s="7"/>
      <c r="Y171" s="7"/>
      <c r="Z171" s="7"/>
      <c r="AA171" s="7"/>
    </row>
    <row r="172" spans="1:27" ht="14.5" x14ac:dyDescent="0.35">
      <c r="A172" s="7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7"/>
      <c r="X172" s="7"/>
      <c r="Y172" s="7"/>
      <c r="Z172" s="7"/>
      <c r="AA172" s="7"/>
    </row>
    <row r="173" spans="1:27" ht="14.5" x14ac:dyDescent="0.35">
      <c r="A173" s="7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7"/>
      <c r="X173" s="7"/>
      <c r="Y173" s="7"/>
      <c r="Z173" s="7"/>
      <c r="AA173" s="7"/>
    </row>
    <row r="174" spans="1:27" ht="14.5" x14ac:dyDescent="0.35">
      <c r="A174" s="7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7"/>
      <c r="X174" s="7"/>
      <c r="Y174" s="7"/>
      <c r="Z174" s="7"/>
      <c r="AA174" s="7"/>
    </row>
    <row r="175" spans="1:27" ht="14.5" x14ac:dyDescent="0.35">
      <c r="A175" s="7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7"/>
      <c r="X175" s="7"/>
      <c r="Y175" s="7"/>
      <c r="Z175" s="7"/>
      <c r="AA175" s="7"/>
    </row>
    <row r="176" spans="1:27" ht="14.5" x14ac:dyDescent="0.35">
      <c r="A176" s="7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7"/>
      <c r="X176" s="7"/>
      <c r="Y176" s="7"/>
      <c r="Z176" s="7"/>
      <c r="AA176" s="7"/>
    </row>
    <row r="177" spans="1:27" ht="14.5" x14ac:dyDescent="0.35">
      <c r="A177" s="7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7"/>
      <c r="X177" s="7"/>
      <c r="Y177" s="7"/>
      <c r="Z177" s="7"/>
      <c r="AA177" s="7"/>
    </row>
    <row r="178" spans="1:27" ht="14.5" x14ac:dyDescent="0.35">
      <c r="A178" s="7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7"/>
      <c r="X178" s="7"/>
      <c r="Y178" s="7"/>
      <c r="Z178" s="7"/>
      <c r="AA178" s="7"/>
    </row>
    <row r="179" spans="1:27" ht="14.5" x14ac:dyDescent="0.35">
      <c r="A179" s="7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7"/>
      <c r="X179" s="7"/>
      <c r="Y179" s="7"/>
      <c r="Z179" s="7"/>
      <c r="AA179" s="7"/>
    </row>
    <row r="180" spans="1:27" ht="14.5" x14ac:dyDescent="0.35">
      <c r="A180" s="7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7"/>
      <c r="X180" s="7"/>
      <c r="Y180" s="7"/>
      <c r="Z180" s="7"/>
      <c r="AA180" s="7"/>
    </row>
    <row r="181" spans="1:27" ht="14.5" x14ac:dyDescent="0.35">
      <c r="A181" s="7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7"/>
      <c r="X181" s="7"/>
      <c r="Y181" s="7"/>
      <c r="Z181" s="7"/>
      <c r="AA181" s="7"/>
    </row>
    <row r="182" spans="1:27" ht="14.5" x14ac:dyDescent="0.35">
      <c r="A182" s="7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7"/>
      <c r="X182" s="7"/>
      <c r="Y182" s="7"/>
      <c r="Z182" s="7"/>
      <c r="AA182" s="7"/>
    </row>
    <row r="183" spans="1:27" ht="14.5" x14ac:dyDescent="0.35">
      <c r="A183" s="7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7"/>
      <c r="X183" s="7"/>
      <c r="Y183" s="7"/>
      <c r="Z183" s="7"/>
      <c r="AA183" s="7"/>
    </row>
    <row r="184" spans="1:27" ht="14.5" x14ac:dyDescent="0.35">
      <c r="A184" s="7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7"/>
      <c r="X184" s="7"/>
      <c r="Y184" s="7"/>
      <c r="Z184" s="7"/>
      <c r="AA184" s="7"/>
    </row>
    <row r="185" spans="1:27" ht="14.5" x14ac:dyDescent="0.35">
      <c r="A185" s="7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7"/>
      <c r="X185" s="7"/>
      <c r="Y185" s="7"/>
      <c r="Z185" s="7"/>
      <c r="AA185" s="7"/>
    </row>
    <row r="186" spans="1:27" ht="14.5" x14ac:dyDescent="0.35">
      <c r="A186" s="7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7"/>
      <c r="X186" s="7"/>
      <c r="Y186" s="7"/>
      <c r="Z186" s="7"/>
      <c r="AA186" s="7"/>
    </row>
    <row r="187" spans="1:27" ht="14.5" x14ac:dyDescent="0.35">
      <c r="A187" s="7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7"/>
      <c r="X187" s="7"/>
      <c r="Y187" s="7"/>
      <c r="Z187" s="7"/>
      <c r="AA187" s="7"/>
    </row>
    <row r="188" spans="1:27" ht="14.5" x14ac:dyDescent="0.35">
      <c r="A188" s="7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7"/>
      <c r="X188" s="7"/>
      <c r="Y188" s="7"/>
      <c r="Z188" s="7"/>
      <c r="AA188" s="7"/>
    </row>
    <row r="189" spans="1:27" ht="14.5" x14ac:dyDescent="0.35">
      <c r="A189" s="7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7"/>
      <c r="X189" s="7"/>
      <c r="Y189" s="7"/>
      <c r="Z189" s="7"/>
      <c r="AA189" s="7"/>
    </row>
    <row r="190" spans="1:27" ht="14.5" x14ac:dyDescent="0.35">
      <c r="A190" s="7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7"/>
      <c r="X190" s="7"/>
      <c r="Y190" s="7"/>
      <c r="Z190" s="7"/>
      <c r="AA190" s="7"/>
    </row>
    <row r="191" spans="1:27" ht="14.5" x14ac:dyDescent="0.35">
      <c r="A191" s="7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7"/>
      <c r="X191" s="7"/>
      <c r="Y191" s="7"/>
      <c r="Z191" s="7"/>
      <c r="AA191" s="7"/>
    </row>
    <row r="192" spans="1:27" ht="14.5" x14ac:dyDescent="0.35">
      <c r="A192" s="7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7"/>
      <c r="X192" s="7"/>
      <c r="Y192" s="7"/>
      <c r="Z192" s="7"/>
      <c r="AA192" s="7"/>
    </row>
    <row r="193" spans="1:27" ht="14.5" x14ac:dyDescent="0.35">
      <c r="A193" s="7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7"/>
      <c r="X193" s="7"/>
      <c r="Y193" s="7"/>
      <c r="Z193" s="7"/>
      <c r="AA193" s="7"/>
    </row>
    <row r="194" spans="1:27" ht="14.5" x14ac:dyDescent="0.35">
      <c r="A194" s="7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7"/>
      <c r="X194" s="7"/>
      <c r="Y194" s="7"/>
      <c r="Z194" s="7"/>
      <c r="AA194" s="7"/>
    </row>
    <row r="195" spans="1:27" ht="14.5" x14ac:dyDescent="0.35">
      <c r="A195" s="7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7"/>
      <c r="X195" s="7"/>
      <c r="Y195" s="7"/>
      <c r="Z195" s="7"/>
      <c r="AA195" s="7"/>
    </row>
    <row r="196" spans="1:27" ht="14.5" x14ac:dyDescent="0.35">
      <c r="A196" s="7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7"/>
      <c r="X196" s="7"/>
      <c r="Y196" s="7"/>
      <c r="Z196" s="7"/>
      <c r="AA196" s="7"/>
    </row>
    <row r="197" spans="1:27" ht="14.5" x14ac:dyDescent="0.35">
      <c r="A197" s="7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7"/>
      <c r="X197" s="7"/>
      <c r="Y197" s="7"/>
      <c r="Z197" s="7"/>
      <c r="AA197" s="7"/>
    </row>
    <row r="198" spans="1:27" ht="14.5" x14ac:dyDescent="0.35">
      <c r="A198" s="7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7"/>
      <c r="X198" s="7"/>
      <c r="Y198" s="7"/>
      <c r="Z198" s="7"/>
      <c r="AA198" s="7"/>
    </row>
    <row r="199" spans="1:27" ht="14.5" x14ac:dyDescent="0.35">
      <c r="A199" s="7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7"/>
      <c r="X199" s="7"/>
      <c r="Y199" s="7"/>
      <c r="Z199" s="7"/>
      <c r="AA199" s="7"/>
    </row>
    <row r="200" spans="1:27" ht="14.5" x14ac:dyDescent="0.35">
      <c r="A200" s="7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7"/>
      <c r="X200" s="7"/>
      <c r="Y200" s="7"/>
      <c r="Z200" s="7"/>
      <c r="AA200" s="7"/>
    </row>
    <row r="201" spans="1:27" ht="14.5" x14ac:dyDescent="0.35">
      <c r="A201" s="7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7"/>
      <c r="X201" s="7"/>
      <c r="Y201" s="7"/>
      <c r="Z201" s="7"/>
      <c r="AA201" s="7"/>
    </row>
    <row r="202" spans="1:27" ht="14.5" x14ac:dyDescent="0.35">
      <c r="A202" s="7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7"/>
      <c r="X202" s="7"/>
      <c r="Y202" s="7"/>
      <c r="Z202" s="7"/>
      <c r="AA202" s="7"/>
    </row>
    <row r="203" spans="1:27" ht="14.5" x14ac:dyDescent="0.35">
      <c r="A203" s="7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7"/>
      <c r="X203" s="7"/>
      <c r="Y203" s="7"/>
      <c r="Z203" s="7"/>
      <c r="AA203" s="7"/>
    </row>
    <row r="204" spans="1:27" ht="14.5" x14ac:dyDescent="0.35">
      <c r="A204" s="7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7"/>
      <c r="X204" s="7"/>
      <c r="Y204" s="7"/>
      <c r="Z204" s="7"/>
      <c r="AA204" s="7"/>
    </row>
    <row r="205" spans="1:27" ht="14.5" x14ac:dyDescent="0.35">
      <c r="A205" s="7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7"/>
      <c r="X205" s="7"/>
      <c r="Y205" s="7"/>
      <c r="Z205" s="7"/>
      <c r="AA205" s="7"/>
    </row>
    <row r="206" spans="1:27" ht="14.5" x14ac:dyDescent="0.35">
      <c r="A206" s="7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7"/>
      <c r="X206" s="7"/>
      <c r="Y206" s="7"/>
      <c r="Z206" s="7"/>
      <c r="AA206" s="7"/>
    </row>
    <row r="207" spans="1:27" ht="14.5" x14ac:dyDescent="0.35">
      <c r="A207" s="7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7"/>
      <c r="X207" s="7"/>
      <c r="Y207" s="7"/>
      <c r="Z207" s="7"/>
      <c r="AA207" s="7"/>
    </row>
    <row r="208" spans="1:27" ht="14.5" x14ac:dyDescent="0.35">
      <c r="A208" s="7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7"/>
      <c r="X208" s="7"/>
      <c r="Y208" s="7"/>
      <c r="Z208" s="7"/>
      <c r="AA208" s="7"/>
    </row>
    <row r="209" spans="1:27" ht="14.5" x14ac:dyDescent="0.35">
      <c r="A209" s="7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7"/>
      <c r="X209" s="7"/>
      <c r="Y209" s="7"/>
      <c r="Z209" s="7"/>
      <c r="AA209" s="7"/>
    </row>
    <row r="210" spans="1:27" ht="14.5" x14ac:dyDescent="0.35">
      <c r="A210" s="7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7"/>
      <c r="X210" s="7"/>
      <c r="Y210" s="7"/>
      <c r="Z210" s="7"/>
      <c r="AA210" s="7"/>
    </row>
    <row r="211" spans="1:27" ht="14.5" x14ac:dyDescent="0.35">
      <c r="A211" s="7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7"/>
      <c r="X211" s="7"/>
      <c r="Y211" s="7"/>
      <c r="Z211" s="7"/>
      <c r="AA211" s="7"/>
    </row>
    <row r="212" spans="1:27" ht="14.5" x14ac:dyDescent="0.35">
      <c r="A212" s="7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7"/>
      <c r="X212" s="7"/>
      <c r="Y212" s="7"/>
      <c r="Z212" s="7"/>
      <c r="AA212" s="7"/>
    </row>
    <row r="213" spans="1:27" ht="14.5" x14ac:dyDescent="0.35">
      <c r="A213" s="7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7"/>
      <c r="X213" s="7"/>
      <c r="Y213" s="7"/>
      <c r="Z213" s="7"/>
      <c r="AA213" s="7"/>
    </row>
    <row r="214" spans="1:27" ht="14.5" x14ac:dyDescent="0.35">
      <c r="A214" s="7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7"/>
      <c r="X214" s="7"/>
      <c r="Y214" s="7"/>
      <c r="Z214" s="7"/>
      <c r="AA214" s="7"/>
    </row>
    <row r="215" spans="1:27" ht="14.5" x14ac:dyDescent="0.35">
      <c r="A215" s="7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7"/>
      <c r="X215" s="7"/>
      <c r="Y215" s="7"/>
      <c r="Z215" s="7"/>
      <c r="AA215" s="7"/>
    </row>
    <row r="216" spans="1:27" ht="14.5" x14ac:dyDescent="0.35">
      <c r="A216" s="7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7"/>
      <c r="X216" s="7"/>
      <c r="Y216" s="7"/>
      <c r="Z216" s="7"/>
      <c r="AA216" s="7"/>
    </row>
    <row r="217" spans="1:27" ht="14.5" x14ac:dyDescent="0.35">
      <c r="A217" s="7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7"/>
      <c r="X217" s="7"/>
      <c r="Y217" s="7"/>
      <c r="Z217" s="7"/>
      <c r="AA217" s="7"/>
    </row>
    <row r="218" spans="1:27" ht="14.5" x14ac:dyDescent="0.35">
      <c r="A218" s="7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7"/>
      <c r="X218" s="7"/>
      <c r="Y218" s="7"/>
      <c r="Z218" s="7"/>
      <c r="AA218" s="7"/>
    </row>
    <row r="219" spans="1:27" ht="14.5" x14ac:dyDescent="0.35">
      <c r="A219" s="7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7"/>
      <c r="X219" s="7"/>
      <c r="Y219" s="7"/>
      <c r="Z219" s="7"/>
      <c r="AA219" s="7"/>
    </row>
    <row r="220" spans="1:27" ht="14.5" x14ac:dyDescent="0.35">
      <c r="A220" s="7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7"/>
      <c r="X220" s="7"/>
      <c r="Y220" s="7"/>
      <c r="Z220" s="7"/>
      <c r="AA220" s="7"/>
    </row>
    <row r="221" spans="1:27" ht="14.5" x14ac:dyDescent="0.35">
      <c r="A221" s="7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7"/>
      <c r="X221" s="7"/>
      <c r="Y221" s="7"/>
      <c r="Z221" s="7"/>
      <c r="AA221" s="7"/>
    </row>
    <row r="222" spans="1:27" ht="14.5" x14ac:dyDescent="0.35">
      <c r="A222" s="7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7"/>
      <c r="X222" s="7"/>
      <c r="Y222" s="7"/>
      <c r="Z222" s="7"/>
      <c r="AA222" s="7"/>
    </row>
    <row r="223" spans="1:27" ht="14.5" x14ac:dyDescent="0.35">
      <c r="A223" s="7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7"/>
      <c r="X223" s="7"/>
      <c r="Y223" s="7"/>
      <c r="Z223" s="7"/>
      <c r="AA223" s="7"/>
    </row>
    <row r="224" spans="1:27" ht="14.5" x14ac:dyDescent="0.35">
      <c r="A224" s="7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7"/>
      <c r="X224" s="7"/>
      <c r="Y224" s="7"/>
      <c r="Z224" s="7"/>
      <c r="AA224" s="7"/>
    </row>
    <row r="225" spans="1:27" ht="14.5" x14ac:dyDescent="0.35">
      <c r="A225" s="7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7"/>
      <c r="X225" s="7"/>
      <c r="Y225" s="7"/>
      <c r="Z225" s="7"/>
      <c r="AA225" s="7"/>
    </row>
    <row r="226" spans="1:27" ht="14.5" x14ac:dyDescent="0.35">
      <c r="A226" s="7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7"/>
      <c r="X226" s="7"/>
      <c r="Y226" s="7"/>
      <c r="Z226" s="7"/>
      <c r="AA226" s="7"/>
    </row>
    <row r="227" spans="1:27" ht="14.5" x14ac:dyDescent="0.35">
      <c r="A227" s="7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7"/>
      <c r="X227" s="7"/>
      <c r="Y227" s="7"/>
      <c r="Z227" s="7"/>
      <c r="AA227" s="7"/>
    </row>
    <row r="228" spans="1:27" ht="14.5" x14ac:dyDescent="0.35">
      <c r="A228" s="7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7"/>
      <c r="X228" s="7"/>
      <c r="Y228" s="7"/>
      <c r="Z228" s="7"/>
      <c r="AA228" s="7"/>
    </row>
    <row r="229" spans="1:27" ht="14.5" x14ac:dyDescent="0.35">
      <c r="A229" s="7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7"/>
      <c r="X229" s="7"/>
      <c r="Y229" s="7"/>
      <c r="Z229" s="7"/>
      <c r="AA229" s="7"/>
    </row>
    <row r="230" spans="1:27" ht="14.5" x14ac:dyDescent="0.35">
      <c r="A230" s="7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7"/>
      <c r="X230" s="7"/>
      <c r="Y230" s="7"/>
      <c r="Z230" s="7"/>
      <c r="AA230" s="7"/>
    </row>
    <row r="231" spans="1:27" ht="14.5" x14ac:dyDescent="0.35">
      <c r="A231" s="7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7"/>
      <c r="X231" s="7"/>
      <c r="Y231" s="7"/>
      <c r="Z231" s="7"/>
      <c r="AA231" s="7"/>
    </row>
    <row r="232" spans="1:27" ht="14.5" x14ac:dyDescent="0.35">
      <c r="A232" s="7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7"/>
      <c r="X232" s="7"/>
      <c r="Y232" s="7"/>
      <c r="Z232" s="7"/>
      <c r="AA232" s="7"/>
    </row>
    <row r="233" spans="1:27" ht="14.5" x14ac:dyDescent="0.35">
      <c r="A233" s="7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7"/>
      <c r="X233" s="7"/>
      <c r="Y233" s="7"/>
      <c r="Z233" s="7"/>
      <c r="AA233" s="7"/>
    </row>
    <row r="234" spans="1:27" ht="14.5" x14ac:dyDescent="0.35">
      <c r="A234" s="7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7"/>
      <c r="X234" s="7"/>
      <c r="Y234" s="7"/>
      <c r="Z234" s="7"/>
      <c r="AA234" s="7"/>
    </row>
    <row r="235" spans="1:27" ht="14.5" x14ac:dyDescent="0.35">
      <c r="A235" s="7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7"/>
      <c r="X235" s="7"/>
      <c r="Y235" s="7"/>
      <c r="Z235" s="7"/>
      <c r="AA235" s="7"/>
    </row>
    <row r="236" spans="1:27" ht="14.5" x14ac:dyDescent="0.35">
      <c r="A236" s="7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7"/>
      <c r="X236" s="7"/>
      <c r="Y236" s="7"/>
      <c r="Z236" s="7"/>
      <c r="AA236" s="7"/>
    </row>
    <row r="237" spans="1:27" ht="14.5" x14ac:dyDescent="0.35">
      <c r="A237" s="7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7"/>
      <c r="X237" s="7"/>
      <c r="Y237" s="7"/>
      <c r="Z237" s="7"/>
      <c r="AA237" s="7"/>
    </row>
    <row r="238" spans="1:27" ht="14.5" x14ac:dyDescent="0.35">
      <c r="A238" s="7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7"/>
      <c r="X238" s="7"/>
      <c r="Y238" s="7"/>
      <c r="Z238" s="7"/>
      <c r="AA238" s="7"/>
    </row>
    <row r="239" spans="1:27" ht="14.5" x14ac:dyDescent="0.35">
      <c r="A239" s="7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7"/>
      <c r="X239" s="7"/>
      <c r="Y239" s="7"/>
      <c r="Z239" s="7"/>
      <c r="AA239" s="7"/>
    </row>
    <row r="240" spans="1:27" ht="14.5" x14ac:dyDescent="0.35">
      <c r="A240" s="7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7"/>
      <c r="X240" s="7"/>
      <c r="Y240" s="7"/>
      <c r="Z240" s="7"/>
      <c r="AA240" s="7"/>
    </row>
    <row r="241" spans="1:27" ht="14.5" x14ac:dyDescent="0.35">
      <c r="A241" s="7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7"/>
      <c r="X241" s="7"/>
      <c r="Y241" s="7"/>
      <c r="Z241" s="7"/>
      <c r="AA241" s="7"/>
    </row>
    <row r="242" spans="1:27" ht="14.5" x14ac:dyDescent="0.35">
      <c r="A242" s="7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7"/>
      <c r="X242" s="7"/>
      <c r="Y242" s="7"/>
      <c r="Z242" s="7"/>
      <c r="AA242" s="7"/>
    </row>
    <row r="243" spans="1:27" ht="14.5" x14ac:dyDescent="0.35">
      <c r="A243" s="7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7"/>
      <c r="X243" s="7"/>
      <c r="Y243" s="7"/>
      <c r="Z243" s="7"/>
      <c r="AA243" s="7"/>
    </row>
    <row r="244" spans="1:27" ht="14.5" x14ac:dyDescent="0.35">
      <c r="A244" s="7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7"/>
      <c r="X244" s="7"/>
      <c r="Y244" s="7"/>
      <c r="Z244" s="7"/>
      <c r="AA244" s="7"/>
    </row>
    <row r="245" spans="1:27" ht="14.5" x14ac:dyDescent="0.35">
      <c r="A245" s="7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7"/>
      <c r="X245" s="7"/>
      <c r="Y245" s="7"/>
      <c r="Z245" s="7"/>
      <c r="AA245" s="7"/>
    </row>
    <row r="246" spans="1:27" ht="14.5" x14ac:dyDescent="0.35">
      <c r="A246" s="7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7"/>
      <c r="X246" s="7"/>
      <c r="Y246" s="7"/>
      <c r="Z246" s="7"/>
      <c r="AA246" s="7"/>
    </row>
    <row r="247" spans="1:27" ht="14.5" x14ac:dyDescent="0.35">
      <c r="A247" s="7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7"/>
      <c r="X247" s="7"/>
      <c r="Y247" s="7"/>
      <c r="Z247" s="7"/>
      <c r="AA247" s="7"/>
    </row>
    <row r="248" spans="1:27" ht="14.5" x14ac:dyDescent="0.35">
      <c r="A248" s="7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7"/>
      <c r="X248" s="7"/>
      <c r="Y248" s="7"/>
      <c r="Z248" s="7"/>
      <c r="AA248" s="7"/>
    </row>
    <row r="249" spans="1:27" ht="14.5" x14ac:dyDescent="0.35">
      <c r="A249" s="7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7"/>
      <c r="X249" s="7"/>
      <c r="Y249" s="7"/>
      <c r="Z249" s="7"/>
      <c r="AA249" s="7"/>
    </row>
    <row r="250" spans="1:27" ht="14.5" x14ac:dyDescent="0.35">
      <c r="A250" s="7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7"/>
      <c r="X250" s="7"/>
      <c r="Y250" s="7"/>
      <c r="Z250" s="7"/>
      <c r="AA250" s="7"/>
    </row>
    <row r="251" spans="1:27" ht="14.5" x14ac:dyDescent="0.35">
      <c r="A251" s="7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7"/>
      <c r="X251" s="7"/>
      <c r="Y251" s="7"/>
      <c r="Z251" s="7"/>
      <c r="AA251" s="7"/>
    </row>
    <row r="252" spans="1:27" ht="14.5" x14ac:dyDescent="0.35">
      <c r="A252" s="7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7"/>
      <c r="X252" s="7"/>
      <c r="Y252" s="7"/>
      <c r="Z252" s="7"/>
      <c r="AA252" s="7"/>
    </row>
    <row r="253" spans="1:27" ht="14.5" x14ac:dyDescent="0.35">
      <c r="A253" s="7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7"/>
      <c r="X253" s="7"/>
      <c r="Y253" s="7"/>
      <c r="Z253" s="7"/>
      <c r="AA253" s="7"/>
    </row>
    <row r="254" spans="1:27" ht="14.5" x14ac:dyDescent="0.35">
      <c r="A254" s="7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7"/>
      <c r="X254" s="7"/>
      <c r="Y254" s="7"/>
      <c r="Z254" s="7"/>
      <c r="AA254" s="7"/>
    </row>
    <row r="255" spans="1:27" ht="14.5" x14ac:dyDescent="0.35">
      <c r="A255" s="7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7"/>
      <c r="X255" s="7"/>
      <c r="Y255" s="7"/>
      <c r="Z255" s="7"/>
      <c r="AA255" s="7"/>
    </row>
    <row r="256" spans="1:27" ht="14.5" x14ac:dyDescent="0.35">
      <c r="A256" s="7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7"/>
      <c r="X256" s="7"/>
      <c r="Y256" s="7"/>
      <c r="Z256" s="7"/>
      <c r="AA256" s="7"/>
    </row>
    <row r="257" spans="1:27" ht="14.5" x14ac:dyDescent="0.35">
      <c r="A257" s="7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7"/>
      <c r="X257" s="7"/>
      <c r="Y257" s="7"/>
      <c r="Z257" s="7"/>
      <c r="AA257" s="7"/>
    </row>
    <row r="258" spans="1:27" ht="14.5" x14ac:dyDescent="0.35">
      <c r="A258" s="7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7"/>
      <c r="X258" s="7"/>
      <c r="Y258" s="7"/>
      <c r="Z258" s="7"/>
      <c r="AA258" s="7"/>
    </row>
    <row r="259" spans="1:27" ht="14.5" x14ac:dyDescent="0.35">
      <c r="A259" s="7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7"/>
      <c r="X259" s="7"/>
      <c r="Y259" s="7"/>
      <c r="Z259" s="7"/>
      <c r="AA259" s="7"/>
    </row>
    <row r="260" spans="1:27" ht="14.5" x14ac:dyDescent="0.35">
      <c r="A260" s="7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7"/>
      <c r="X260" s="7"/>
      <c r="Y260" s="7"/>
      <c r="Z260" s="7"/>
      <c r="AA260" s="7"/>
    </row>
    <row r="261" spans="1:27" ht="14.5" x14ac:dyDescent="0.35">
      <c r="A261" s="7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7"/>
      <c r="X261" s="7"/>
      <c r="Y261" s="7"/>
      <c r="Z261" s="7"/>
      <c r="AA261" s="7"/>
    </row>
    <row r="262" spans="1:27" ht="14.5" x14ac:dyDescent="0.35">
      <c r="A262" s="7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7"/>
      <c r="X262" s="7"/>
      <c r="Y262" s="7"/>
      <c r="Z262" s="7"/>
      <c r="AA262" s="7"/>
    </row>
    <row r="263" spans="1:27" ht="14.5" x14ac:dyDescent="0.35">
      <c r="A263" s="7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7"/>
      <c r="X263" s="7"/>
      <c r="Y263" s="7"/>
      <c r="Z263" s="7"/>
      <c r="AA263" s="7"/>
    </row>
    <row r="264" spans="1:27" ht="14.5" x14ac:dyDescent="0.35">
      <c r="A264" s="7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7"/>
      <c r="X264" s="7"/>
      <c r="Y264" s="7"/>
      <c r="Z264" s="7"/>
      <c r="AA264" s="7"/>
    </row>
    <row r="265" spans="1:27" ht="14.5" x14ac:dyDescent="0.35">
      <c r="A265" s="7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7"/>
      <c r="X265" s="7"/>
      <c r="Y265" s="7"/>
      <c r="Z265" s="7"/>
      <c r="AA265" s="7"/>
    </row>
    <row r="266" spans="1:27" ht="14.5" x14ac:dyDescent="0.35">
      <c r="A266" s="7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7"/>
      <c r="X266" s="7"/>
      <c r="Y266" s="7"/>
      <c r="Z266" s="7"/>
      <c r="AA266" s="7"/>
    </row>
    <row r="267" spans="1:27" ht="14.5" x14ac:dyDescent="0.35">
      <c r="A267" s="7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7"/>
      <c r="X267" s="7"/>
      <c r="Y267" s="7"/>
      <c r="Z267" s="7"/>
      <c r="AA267" s="7"/>
    </row>
    <row r="268" spans="1:27" ht="14.5" x14ac:dyDescent="0.35">
      <c r="A268" s="7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7"/>
      <c r="X268" s="7"/>
      <c r="Y268" s="7"/>
      <c r="Z268" s="7"/>
      <c r="AA268" s="7"/>
    </row>
    <row r="269" spans="1:27" ht="14.5" x14ac:dyDescent="0.35">
      <c r="A269" s="7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7"/>
      <c r="X269" s="7"/>
      <c r="Y269" s="7"/>
      <c r="Z269" s="7"/>
      <c r="AA269" s="7"/>
    </row>
    <row r="270" spans="1:27" ht="14.5" x14ac:dyDescent="0.35">
      <c r="A270" s="7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7"/>
      <c r="X270" s="7"/>
      <c r="Y270" s="7"/>
      <c r="Z270" s="7"/>
      <c r="AA270" s="7"/>
    </row>
    <row r="271" spans="1:27" ht="14.5" x14ac:dyDescent="0.35">
      <c r="A271" s="7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7"/>
      <c r="X271" s="7"/>
      <c r="Y271" s="7"/>
      <c r="Z271" s="7"/>
      <c r="AA271" s="7"/>
    </row>
    <row r="272" spans="1:27" ht="14.5" x14ac:dyDescent="0.35">
      <c r="A272" s="7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7"/>
      <c r="X272" s="7"/>
      <c r="Y272" s="7"/>
      <c r="Z272" s="7"/>
      <c r="AA272" s="7"/>
    </row>
    <row r="273" spans="1:27" ht="14.5" x14ac:dyDescent="0.35">
      <c r="A273" s="7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7"/>
      <c r="X273" s="7"/>
      <c r="Y273" s="7"/>
      <c r="Z273" s="7"/>
      <c r="AA273" s="7"/>
    </row>
    <row r="274" spans="1:27" ht="14.5" x14ac:dyDescent="0.35">
      <c r="A274" s="7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7"/>
      <c r="X274" s="7"/>
      <c r="Y274" s="7"/>
      <c r="Z274" s="7"/>
      <c r="AA274" s="7"/>
    </row>
    <row r="275" spans="1:27" ht="14.5" x14ac:dyDescent="0.35">
      <c r="A275" s="7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7"/>
      <c r="X275" s="7"/>
      <c r="Y275" s="7"/>
      <c r="Z275" s="7"/>
      <c r="AA275" s="7"/>
    </row>
    <row r="276" spans="1:27" ht="14.5" x14ac:dyDescent="0.35">
      <c r="A276" s="7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7"/>
      <c r="X276" s="7"/>
      <c r="Y276" s="7"/>
      <c r="Z276" s="7"/>
      <c r="AA276" s="7"/>
    </row>
    <row r="277" spans="1:27" ht="14.5" x14ac:dyDescent="0.35">
      <c r="A277" s="7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7"/>
      <c r="X277" s="7"/>
      <c r="Y277" s="7"/>
      <c r="Z277" s="7"/>
      <c r="AA277" s="7"/>
    </row>
    <row r="278" spans="1:27" ht="14.5" x14ac:dyDescent="0.35">
      <c r="A278" s="7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7"/>
      <c r="X278" s="7"/>
      <c r="Y278" s="7"/>
      <c r="Z278" s="7"/>
      <c r="AA278" s="7"/>
    </row>
    <row r="279" spans="1:27" ht="14.5" x14ac:dyDescent="0.35">
      <c r="A279" s="7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7"/>
      <c r="X279" s="7"/>
      <c r="Y279" s="7"/>
      <c r="Z279" s="7"/>
      <c r="AA279" s="7"/>
    </row>
    <row r="280" spans="1:27" ht="14.5" x14ac:dyDescent="0.35">
      <c r="A280" s="7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7"/>
      <c r="X280" s="7"/>
      <c r="Y280" s="7"/>
      <c r="Z280" s="7"/>
      <c r="AA280" s="7"/>
    </row>
    <row r="281" spans="1:27" ht="14.5" x14ac:dyDescent="0.35">
      <c r="A281" s="7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7"/>
      <c r="X281" s="7"/>
      <c r="Y281" s="7"/>
      <c r="Z281" s="7"/>
      <c r="AA281" s="7"/>
    </row>
    <row r="282" spans="1:27" ht="14.5" x14ac:dyDescent="0.35">
      <c r="A282" s="7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7"/>
      <c r="X282" s="7"/>
      <c r="Y282" s="7"/>
      <c r="Z282" s="7"/>
      <c r="AA282" s="7"/>
    </row>
    <row r="283" spans="1:27" ht="14.5" x14ac:dyDescent="0.35">
      <c r="A283" s="7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7"/>
      <c r="X283" s="7"/>
      <c r="Y283" s="7"/>
      <c r="Z283" s="7"/>
      <c r="AA283" s="7"/>
    </row>
    <row r="284" spans="1:27" ht="14.5" x14ac:dyDescent="0.35">
      <c r="A284" s="7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7"/>
      <c r="X284" s="7"/>
      <c r="Y284" s="7"/>
      <c r="Z284" s="7"/>
      <c r="AA284" s="7"/>
    </row>
    <row r="285" spans="1:27" ht="14.5" x14ac:dyDescent="0.35">
      <c r="A285" s="7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7"/>
      <c r="X285" s="7"/>
      <c r="Y285" s="7"/>
      <c r="Z285" s="7"/>
      <c r="AA285" s="7"/>
    </row>
    <row r="286" spans="1:27" ht="14.5" x14ac:dyDescent="0.35">
      <c r="A286" s="7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7"/>
      <c r="X286" s="7"/>
      <c r="Y286" s="7"/>
      <c r="Z286" s="7"/>
      <c r="AA286" s="7"/>
    </row>
    <row r="287" spans="1:27" ht="14.5" x14ac:dyDescent="0.35">
      <c r="A287" s="7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7"/>
      <c r="X287" s="7"/>
      <c r="Y287" s="7"/>
      <c r="Z287" s="7"/>
      <c r="AA287" s="7"/>
    </row>
    <row r="288" spans="1:27" ht="14.5" x14ac:dyDescent="0.35">
      <c r="A288" s="7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7"/>
      <c r="X288" s="7"/>
      <c r="Y288" s="7"/>
      <c r="Z288" s="7"/>
      <c r="AA288" s="7"/>
    </row>
    <row r="289" spans="1:27" ht="14.5" x14ac:dyDescent="0.35">
      <c r="A289" s="7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7"/>
      <c r="X289" s="7"/>
      <c r="Y289" s="7"/>
      <c r="Z289" s="7"/>
      <c r="AA289" s="7"/>
    </row>
    <row r="290" spans="1:27" ht="14.5" x14ac:dyDescent="0.35">
      <c r="A290" s="7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7"/>
      <c r="X290" s="7"/>
      <c r="Y290" s="7"/>
      <c r="Z290" s="7"/>
      <c r="AA290" s="7"/>
    </row>
    <row r="291" spans="1:27" ht="14.5" x14ac:dyDescent="0.35">
      <c r="A291" s="7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7"/>
      <c r="X291" s="7"/>
      <c r="Y291" s="7"/>
      <c r="Z291" s="7"/>
      <c r="AA291" s="7"/>
    </row>
    <row r="292" spans="1:27" ht="14.5" x14ac:dyDescent="0.35">
      <c r="A292" s="7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7"/>
      <c r="X292" s="7"/>
      <c r="Y292" s="7"/>
      <c r="Z292" s="7"/>
      <c r="AA292" s="7"/>
    </row>
    <row r="293" spans="1:27" ht="14.5" x14ac:dyDescent="0.35">
      <c r="A293" s="7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7"/>
      <c r="X293" s="7"/>
      <c r="Y293" s="7"/>
      <c r="Z293" s="7"/>
      <c r="AA293" s="7"/>
    </row>
    <row r="294" spans="1:27" ht="14.5" x14ac:dyDescent="0.35">
      <c r="A294" s="7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7"/>
      <c r="X294" s="7"/>
      <c r="Y294" s="7"/>
      <c r="Z294" s="7"/>
      <c r="AA294" s="7"/>
    </row>
    <row r="295" spans="1:27" ht="14.5" x14ac:dyDescent="0.35">
      <c r="A295" s="7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7"/>
      <c r="X295" s="7"/>
      <c r="Y295" s="7"/>
      <c r="Z295" s="7"/>
      <c r="AA295" s="7"/>
    </row>
    <row r="296" spans="1:27" ht="14.5" x14ac:dyDescent="0.35">
      <c r="A296" s="7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7"/>
      <c r="X296" s="7"/>
      <c r="Y296" s="7"/>
      <c r="Z296" s="7"/>
      <c r="AA296" s="7"/>
    </row>
    <row r="297" spans="1:27" ht="14.5" x14ac:dyDescent="0.35">
      <c r="A297" s="7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7"/>
      <c r="X297" s="7"/>
      <c r="Y297" s="7"/>
      <c r="Z297" s="7"/>
      <c r="AA297" s="7"/>
    </row>
    <row r="298" spans="1:27" ht="14.5" x14ac:dyDescent="0.35">
      <c r="A298" s="7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7"/>
      <c r="X298" s="7"/>
      <c r="Y298" s="7"/>
      <c r="Z298" s="7"/>
      <c r="AA298" s="7"/>
    </row>
    <row r="299" spans="1:27" ht="14.5" x14ac:dyDescent="0.35">
      <c r="A299" s="7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7"/>
      <c r="X299" s="7"/>
      <c r="Y299" s="7"/>
      <c r="Z299" s="7"/>
      <c r="AA299" s="7"/>
    </row>
    <row r="300" spans="1:27" ht="14.5" x14ac:dyDescent="0.35">
      <c r="A300" s="7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7"/>
      <c r="X300" s="7"/>
      <c r="Y300" s="7"/>
      <c r="Z300" s="7"/>
      <c r="AA300" s="7"/>
    </row>
    <row r="301" spans="1:27" ht="14.5" x14ac:dyDescent="0.35">
      <c r="A301" s="7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7"/>
      <c r="X301" s="7"/>
      <c r="Y301" s="7"/>
      <c r="Z301" s="7"/>
      <c r="AA301" s="7"/>
    </row>
    <row r="302" spans="1:27" ht="14.5" x14ac:dyDescent="0.35">
      <c r="A302" s="7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7"/>
      <c r="X302" s="7"/>
      <c r="Y302" s="7"/>
      <c r="Z302" s="7"/>
      <c r="AA302" s="7"/>
    </row>
    <row r="303" spans="1:27" ht="14.5" x14ac:dyDescent="0.35">
      <c r="A303" s="7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7"/>
      <c r="X303" s="7"/>
      <c r="Y303" s="7"/>
      <c r="Z303" s="7"/>
      <c r="AA303" s="7"/>
    </row>
    <row r="304" spans="1:27" ht="14.5" x14ac:dyDescent="0.35">
      <c r="A304" s="7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7"/>
      <c r="X304" s="7"/>
      <c r="Y304" s="7"/>
      <c r="Z304" s="7"/>
      <c r="AA304" s="7"/>
    </row>
    <row r="305" spans="1:27" ht="14.5" x14ac:dyDescent="0.35">
      <c r="A305" s="7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7"/>
      <c r="X305" s="7"/>
      <c r="Y305" s="7"/>
      <c r="Z305" s="7"/>
      <c r="AA305" s="7"/>
    </row>
    <row r="306" spans="1:27" ht="14.5" x14ac:dyDescent="0.35">
      <c r="A306" s="7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7"/>
      <c r="X306" s="7"/>
      <c r="Y306" s="7"/>
      <c r="Z306" s="7"/>
      <c r="AA306" s="7"/>
    </row>
    <row r="307" spans="1:27" ht="14.5" x14ac:dyDescent="0.35">
      <c r="A307" s="7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7"/>
      <c r="X307" s="7"/>
      <c r="Y307" s="7"/>
      <c r="Z307" s="7"/>
      <c r="AA307" s="7"/>
    </row>
    <row r="308" spans="1:27" ht="14.5" x14ac:dyDescent="0.35">
      <c r="A308" s="7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7"/>
      <c r="X308" s="7"/>
      <c r="Y308" s="7"/>
      <c r="Z308" s="7"/>
      <c r="AA308" s="7"/>
    </row>
    <row r="309" spans="1:27" ht="14.5" x14ac:dyDescent="0.35">
      <c r="A309" s="7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7"/>
      <c r="X309" s="7"/>
      <c r="Y309" s="7"/>
      <c r="Z309" s="7"/>
      <c r="AA309" s="7"/>
    </row>
    <row r="310" spans="1:27" ht="14.5" x14ac:dyDescent="0.35">
      <c r="A310" s="7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7"/>
      <c r="X310" s="7"/>
      <c r="Y310" s="7"/>
      <c r="Z310" s="7"/>
      <c r="AA310" s="7"/>
    </row>
    <row r="311" spans="1:27" ht="14.5" x14ac:dyDescent="0.35">
      <c r="A311" s="7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7"/>
      <c r="X311" s="7"/>
      <c r="Y311" s="7"/>
      <c r="Z311" s="7"/>
      <c r="AA311" s="7"/>
    </row>
    <row r="312" spans="1:27" ht="14.5" x14ac:dyDescent="0.35">
      <c r="A312" s="7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7"/>
      <c r="X312" s="7"/>
      <c r="Y312" s="7"/>
      <c r="Z312" s="7"/>
      <c r="AA312" s="7"/>
    </row>
    <row r="313" spans="1:27" ht="14.5" x14ac:dyDescent="0.35">
      <c r="A313" s="7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7"/>
      <c r="X313" s="7"/>
      <c r="Y313" s="7"/>
      <c r="Z313" s="7"/>
      <c r="AA313" s="7"/>
    </row>
    <row r="314" spans="1:27" ht="14.5" x14ac:dyDescent="0.35">
      <c r="A314" s="7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7"/>
      <c r="X314" s="7"/>
      <c r="Y314" s="7"/>
      <c r="Z314" s="7"/>
      <c r="AA314" s="7"/>
    </row>
    <row r="315" spans="1:27" ht="14.5" x14ac:dyDescent="0.35">
      <c r="A315" s="7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7"/>
      <c r="X315" s="7"/>
      <c r="Y315" s="7"/>
      <c r="Z315" s="7"/>
      <c r="AA315" s="7"/>
    </row>
    <row r="316" spans="1:27" ht="14.5" x14ac:dyDescent="0.35">
      <c r="A316" s="7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7"/>
      <c r="X316" s="7"/>
      <c r="Y316" s="7"/>
      <c r="Z316" s="7"/>
      <c r="AA316" s="7"/>
    </row>
    <row r="317" spans="1:27" ht="14.5" x14ac:dyDescent="0.35">
      <c r="A317" s="7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7"/>
      <c r="X317" s="7"/>
      <c r="Y317" s="7"/>
      <c r="Z317" s="7"/>
      <c r="AA317" s="7"/>
    </row>
    <row r="318" spans="1:27" ht="14.5" x14ac:dyDescent="0.35">
      <c r="A318" s="7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7"/>
      <c r="X318" s="7"/>
      <c r="Y318" s="7"/>
      <c r="Z318" s="7"/>
      <c r="AA318" s="7"/>
    </row>
    <row r="319" spans="1:27" ht="14.5" x14ac:dyDescent="0.35">
      <c r="A319" s="7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7"/>
      <c r="X319" s="7"/>
      <c r="Y319" s="7"/>
      <c r="Z319" s="7"/>
      <c r="AA319" s="7"/>
    </row>
    <row r="320" spans="1:27" ht="14.5" x14ac:dyDescent="0.35">
      <c r="A320" s="7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7"/>
      <c r="X320" s="7"/>
      <c r="Y320" s="7"/>
      <c r="Z320" s="7"/>
      <c r="AA320" s="7"/>
    </row>
    <row r="321" spans="1:27" ht="14.5" x14ac:dyDescent="0.35">
      <c r="A321" s="7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7"/>
      <c r="X321" s="7"/>
      <c r="Y321" s="7"/>
      <c r="Z321" s="7"/>
      <c r="AA321" s="7"/>
    </row>
    <row r="322" spans="1:27" ht="14.5" x14ac:dyDescent="0.35">
      <c r="A322" s="7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7"/>
      <c r="X322" s="7"/>
      <c r="Y322" s="7"/>
      <c r="Z322" s="7"/>
      <c r="AA322" s="7"/>
    </row>
    <row r="323" spans="1:27" ht="14.5" x14ac:dyDescent="0.35">
      <c r="A323" s="7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7"/>
      <c r="X323" s="7"/>
      <c r="Y323" s="7"/>
      <c r="Z323" s="7"/>
      <c r="AA323" s="7"/>
    </row>
    <row r="324" spans="1:27" ht="14.5" x14ac:dyDescent="0.35">
      <c r="A324" s="7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7"/>
      <c r="X324" s="7"/>
      <c r="Y324" s="7"/>
      <c r="Z324" s="7"/>
      <c r="AA324" s="7"/>
    </row>
    <row r="325" spans="1:27" ht="14.5" x14ac:dyDescent="0.35">
      <c r="A325" s="7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7"/>
      <c r="X325" s="7"/>
      <c r="Y325" s="7"/>
      <c r="Z325" s="7"/>
      <c r="AA325" s="7"/>
    </row>
    <row r="326" spans="1:27" ht="14.5" x14ac:dyDescent="0.35">
      <c r="A326" s="7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7"/>
      <c r="X326" s="7"/>
      <c r="Y326" s="7"/>
      <c r="Z326" s="7"/>
      <c r="AA326" s="7"/>
    </row>
    <row r="327" spans="1:27" ht="14.5" x14ac:dyDescent="0.35">
      <c r="A327" s="7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7"/>
      <c r="X327" s="7"/>
      <c r="Y327" s="7"/>
      <c r="Z327" s="7"/>
      <c r="AA327" s="7"/>
    </row>
    <row r="328" spans="1:27" ht="14.5" x14ac:dyDescent="0.35">
      <c r="A328" s="7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7"/>
      <c r="X328" s="7"/>
      <c r="Y328" s="7"/>
      <c r="Z328" s="7"/>
      <c r="AA328" s="7"/>
    </row>
    <row r="329" spans="1:27" ht="14.5" x14ac:dyDescent="0.35">
      <c r="A329" s="7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7"/>
      <c r="X329" s="7"/>
      <c r="Y329" s="7"/>
      <c r="Z329" s="7"/>
      <c r="AA329" s="7"/>
    </row>
    <row r="330" spans="1:27" ht="14.5" x14ac:dyDescent="0.35">
      <c r="A330" s="7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7"/>
      <c r="X330" s="7"/>
      <c r="Y330" s="7"/>
      <c r="Z330" s="7"/>
      <c r="AA330" s="7"/>
    </row>
    <row r="331" spans="1:27" ht="14.5" x14ac:dyDescent="0.35">
      <c r="A331" s="7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7"/>
      <c r="X331" s="7"/>
      <c r="Y331" s="7"/>
      <c r="Z331" s="7"/>
      <c r="AA331" s="7"/>
    </row>
    <row r="332" spans="1:27" ht="14.5" x14ac:dyDescent="0.35">
      <c r="A332" s="7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7"/>
      <c r="X332" s="7"/>
      <c r="Y332" s="7"/>
      <c r="Z332" s="7"/>
      <c r="AA332" s="7"/>
    </row>
    <row r="333" spans="1:27" ht="14.5" x14ac:dyDescent="0.35">
      <c r="A333" s="7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7"/>
      <c r="X333" s="7"/>
      <c r="Y333" s="7"/>
      <c r="Z333" s="7"/>
      <c r="AA333" s="7"/>
    </row>
    <row r="334" spans="1:27" ht="14.5" x14ac:dyDescent="0.35">
      <c r="A334" s="7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7"/>
      <c r="X334" s="7"/>
      <c r="Y334" s="7"/>
      <c r="Z334" s="7"/>
      <c r="AA334" s="7"/>
    </row>
    <row r="335" spans="1:27" ht="14.5" x14ac:dyDescent="0.35">
      <c r="A335" s="7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7"/>
      <c r="X335" s="7"/>
      <c r="Y335" s="7"/>
      <c r="Z335" s="7"/>
      <c r="AA335" s="7"/>
    </row>
    <row r="336" spans="1:27" ht="14.5" x14ac:dyDescent="0.35">
      <c r="A336" s="7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7"/>
      <c r="X336" s="7"/>
      <c r="Y336" s="7"/>
      <c r="Z336" s="7"/>
      <c r="AA336" s="7"/>
    </row>
    <row r="337" spans="1:27" ht="14.5" x14ac:dyDescent="0.35">
      <c r="A337" s="7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7"/>
      <c r="X337" s="7"/>
      <c r="Y337" s="7"/>
      <c r="Z337" s="7"/>
      <c r="AA337" s="7"/>
    </row>
    <row r="338" spans="1:27" ht="14.5" x14ac:dyDescent="0.35">
      <c r="A338" s="7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7"/>
      <c r="X338" s="7"/>
      <c r="Y338" s="7"/>
      <c r="Z338" s="7"/>
      <c r="AA338" s="7"/>
    </row>
    <row r="339" spans="1:27" ht="14.5" x14ac:dyDescent="0.35">
      <c r="A339" s="7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7"/>
      <c r="X339" s="7"/>
      <c r="Y339" s="7"/>
      <c r="Z339" s="7"/>
      <c r="AA339" s="7"/>
    </row>
    <row r="340" spans="1:27" ht="14.5" x14ac:dyDescent="0.35">
      <c r="A340" s="7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7"/>
      <c r="X340" s="7"/>
      <c r="Y340" s="7"/>
      <c r="Z340" s="7"/>
      <c r="AA340" s="7"/>
    </row>
    <row r="341" spans="1:27" ht="14.5" x14ac:dyDescent="0.35">
      <c r="A341" s="7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7"/>
      <c r="X341" s="7"/>
      <c r="Y341" s="7"/>
      <c r="Z341" s="7"/>
      <c r="AA341" s="7"/>
    </row>
    <row r="342" spans="1:27" ht="14.5" x14ac:dyDescent="0.35">
      <c r="A342" s="7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7"/>
      <c r="X342" s="7"/>
      <c r="Y342" s="7"/>
      <c r="Z342" s="7"/>
      <c r="AA342" s="7"/>
    </row>
    <row r="343" spans="1:27" ht="14.5" x14ac:dyDescent="0.35">
      <c r="A343" s="7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7"/>
      <c r="X343" s="7"/>
      <c r="Y343" s="7"/>
      <c r="Z343" s="7"/>
      <c r="AA343" s="7"/>
    </row>
    <row r="344" spans="1:27" ht="14.5" x14ac:dyDescent="0.35">
      <c r="A344" s="7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7"/>
      <c r="X344" s="7"/>
      <c r="Y344" s="7"/>
      <c r="Z344" s="7"/>
      <c r="AA344" s="7"/>
    </row>
    <row r="345" spans="1:27" ht="14.5" x14ac:dyDescent="0.35">
      <c r="A345" s="7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7"/>
      <c r="X345" s="7"/>
      <c r="Y345" s="7"/>
      <c r="Z345" s="7"/>
      <c r="AA345" s="7"/>
    </row>
    <row r="346" spans="1:27" ht="14.5" x14ac:dyDescent="0.35">
      <c r="A346" s="7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7"/>
      <c r="X346" s="7"/>
      <c r="Y346" s="7"/>
      <c r="Z346" s="7"/>
      <c r="AA346" s="7"/>
    </row>
    <row r="347" spans="1:27" ht="14.5" x14ac:dyDescent="0.35">
      <c r="A347" s="7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7"/>
      <c r="X347" s="7"/>
      <c r="Y347" s="7"/>
      <c r="Z347" s="7"/>
      <c r="AA347" s="7"/>
    </row>
    <row r="348" spans="1:27" ht="14.5" x14ac:dyDescent="0.35">
      <c r="A348" s="7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7"/>
      <c r="X348" s="7"/>
      <c r="Y348" s="7"/>
      <c r="Z348" s="7"/>
      <c r="AA348" s="7"/>
    </row>
    <row r="349" spans="1:27" ht="14.5" x14ac:dyDescent="0.35">
      <c r="A349" s="7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7"/>
      <c r="X349" s="7"/>
      <c r="Y349" s="7"/>
      <c r="Z349" s="7"/>
      <c r="AA349" s="7"/>
    </row>
    <row r="350" spans="1:27" ht="14.5" x14ac:dyDescent="0.35">
      <c r="A350" s="7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7"/>
      <c r="X350" s="7"/>
      <c r="Y350" s="7"/>
      <c r="Z350" s="7"/>
      <c r="AA350" s="7"/>
    </row>
    <row r="351" spans="1:27" ht="14.5" x14ac:dyDescent="0.35">
      <c r="A351" s="7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7"/>
      <c r="X351" s="7"/>
      <c r="Y351" s="7"/>
      <c r="Z351" s="7"/>
      <c r="AA351" s="7"/>
    </row>
    <row r="352" spans="1:27" ht="14.5" x14ac:dyDescent="0.35">
      <c r="A352" s="7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7"/>
      <c r="X352" s="7"/>
      <c r="Y352" s="7"/>
      <c r="Z352" s="7"/>
      <c r="AA352" s="7"/>
    </row>
    <row r="353" spans="1:27" ht="14.5" x14ac:dyDescent="0.35">
      <c r="A353" s="7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7"/>
      <c r="X353" s="7"/>
      <c r="Y353" s="7"/>
      <c r="Z353" s="7"/>
      <c r="AA353" s="7"/>
    </row>
    <row r="354" spans="1:27" ht="14.5" x14ac:dyDescent="0.35">
      <c r="A354" s="7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7"/>
      <c r="X354" s="7"/>
      <c r="Y354" s="7"/>
      <c r="Z354" s="7"/>
      <c r="AA354" s="7"/>
    </row>
    <row r="355" spans="1:27" ht="14.5" x14ac:dyDescent="0.35">
      <c r="A355" s="7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7"/>
      <c r="X355" s="7"/>
      <c r="Y355" s="7"/>
      <c r="Z355" s="7"/>
      <c r="AA355" s="7"/>
    </row>
    <row r="356" spans="1:27" ht="14.5" x14ac:dyDescent="0.35">
      <c r="A356" s="7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7"/>
      <c r="X356" s="7"/>
      <c r="Y356" s="7"/>
      <c r="Z356" s="7"/>
      <c r="AA356" s="7"/>
    </row>
    <row r="357" spans="1:27" ht="14.5" x14ac:dyDescent="0.35">
      <c r="A357" s="7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7"/>
      <c r="X357" s="7"/>
      <c r="Y357" s="7"/>
      <c r="Z357" s="7"/>
      <c r="AA357" s="7"/>
    </row>
    <row r="358" spans="1:27" ht="14.5" x14ac:dyDescent="0.35">
      <c r="A358" s="7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7"/>
      <c r="X358" s="7"/>
      <c r="Y358" s="7"/>
      <c r="Z358" s="7"/>
      <c r="AA358" s="7"/>
    </row>
    <row r="359" spans="1:27" ht="14.5" x14ac:dyDescent="0.35">
      <c r="A359" s="7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7"/>
      <c r="X359" s="7"/>
      <c r="Y359" s="7"/>
      <c r="Z359" s="7"/>
      <c r="AA359" s="7"/>
    </row>
    <row r="360" spans="1:27" ht="14.5" x14ac:dyDescent="0.35">
      <c r="A360" s="7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7"/>
      <c r="X360" s="7"/>
      <c r="Y360" s="7"/>
      <c r="Z360" s="7"/>
      <c r="AA360" s="7"/>
    </row>
    <row r="361" spans="1:27" ht="14.5" x14ac:dyDescent="0.35">
      <c r="A361" s="7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7"/>
      <c r="X361" s="7"/>
      <c r="Y361" s="7"/>
      <c r="Z361" s="7"/>
      <c r="AA361" s="7"/>
    </row>
    <row r="362" spans="1:27" ht="14.5" x14ac:dyDescent="0.35">
      <c r="A362" s="7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7"/>
      <c r="X362" s="7"/>
      <c r="Y362" s="7"/>
      <c r="Z362" s="7"/>
      <c r="AA362" s="7"/>
    </row>
    <row r="363" spans="1:27" ht="14.5" x14ac:dyDescent="0.35">
      <c r="A363" s="7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7"/>
      <c r="X363" s="7"/>
      <c r="Y363" s="7"/>
      <c r="Z363" s="7"/>
      <c r="AA363" s="7"/>
    </row>
    <row r="364" spans="1:27" ht="14.5" x14ac:dyDescent="0.35">
      <c r="A364" s="7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7"/>
      <c r="X364" s="7"/>
      <c r="Y364" s="7"/>
      <c r="Z364" s="7"/>
      <c r="AA364" s="7"/>
    </row>
    <row r="365" spans="1:27" ht="14.5" x14ac:dyDescent="0.35">
      <c r="A365" s="7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7"/>
      <c r="X365" s="7"/>
      <c r="Y365" s="7"/>
      <c r="Z365" s="7"/>
      <c r="AA365" s="7"/>
    </row>
    <row r="366" spans="1:27" ht="14.5" x14ac:dyDescent="0.35">
      <c r="A366" s="7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7"/>
      <c r="X366" s="7"/>
      <c r="Y366" s="7"/>
      <c r="Z366" s="7"/>
      <c r="AA366" s="7"/>
    </row>
    <row r="367" spans="1:27" ht="14.5" x14ac:dyDescent="0.35">
      <c r="A367" s="7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7"/>
      <c r="X367" s="7"/>
      <c r="Y367" s="7"/>
      <c r="Z367" s="7"/>
      <c r="AA367" s="7"/>
    </row>
    <row r="368" spans="1:27" ht="14.5" x14ac:dyDescent="0.35">
      <c r="A368" s="7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7"/>
      <c r="X368" s="7"/>
      <c r="Y368" s="7"/>
      <c r="Z368" s="7"/>
      <c r="AA368" s="7"/>
    </row>
    <row r="369" spans="1:27" ht="14.5" x14ac:dyDescent="0.35">
      <c r="A369" s="7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7"/>
      <c r="X369" s="7"/>
      <c r="Y369" s="7"/>
      <c r="Z369" s="7"/>
      <c r="AA369" s="7"/>
    </row>
    <row r="370" spans="1:27" ht="14.5" x14ac:dyDescent="0.35">
      <c r="A370" s="7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7"/>
      <c r="X370" s="7"/>
      <c r="Y370" s="7"/>
      <c r="Z370" s="7"/>
      <c r="AA370" s="7"/>
    </row>
    <row r="371" spans="1:27" ht="14.5" x14ac:dyDescent="0.35">
      <c r="A371" s="7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7"/>
      <c r="X371" s="7"/>
      <c r="Y371" s="7"/>
      <c r="Z371" s="7"/>
      <c r="AA371" s="7"/>
    </row>
    <row r="372" spans="1:27" ht="14.5" x14ac:dyDescent="0.35">
      <c r="A372" s="7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7"/>
      <c r="X372" s="7"/>
      <c r="Y372" s="7"/>
      <c r="Z372" s="7"/>
      <c r="AA372" s="7"/>
    </row>
    <row r="373" spans="1:27" ht="14.5" x14ac:dyDescent="0.35">
      <c r="A373" s="7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7"/>
      <c r="X373" s="7"/>
      <c r="Y373" s="7"/>
      <c r="Z373" s="7"/>
      <c r="AA373" s="7"/>
    </row>
    <row r="374" spans="1:27" ht="14.5" x14ac:dyDescent="0.35">
      <c r="A374" s="7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7"/>
      <c r="X374" s="7"/>
      <c r="Y374" s="7"/>
      <c r="Z374" s="7"/>
      <c r="AA374" s="7"/>
    </row>
    <row r="375" spans="1:27" ht="14.5" x14ac:dyDescent="0.35">
      <c r="A375" s="7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7"/>
      <c r="X375" s="7"/>
      <c r="Y375" s="7"/>
      <c r="Z375" s="7"/>
      <c r="AA375" s="7"/>
    </row>
    <row r="376" spans="1:27" ht="14.5" x14ac:dyDescent="0.35">
      <c r="A376" s="7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7"/>
      <c r="X376" s="7"/>
      <c r="Y376" s="7"/>
      <c r="Z376" s="7"/>
      <c r="AA376" s="7"/>
    </row>
    <row r="377" spans="1:27" ht="14.5" x14ac:dyDescent="0.35">
      <c r="A377" s="7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7"/>
      <c r="X377" s="7"/>
      <c r="Y377" s="7"/>
      <c r="Z377" s="7"/>
      <c r="AA377" s="7"/>
    </row>
    <row r="378" spans="1:27" ht="14.5" x14ac:dyDescent="0.35">
      <c r="A378" s="7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7"/>
      <c r="X378" s="7"/>
      <c r="Y378" s="7"/>
      <c r="Z378" s="7"/>
      <c r="AA378" s="7"/>
    </row>
    <row r="379" spans="1:27" ht="14.5" x14ac:dyDescent="0.35">
      <c r="A379" s="7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7"/>
      <c r="X379" s="7"/>
      <c r="Y379" s="7"/>
      <c r="Z379" s="7"/>
      <c r="AA379" s="7"/>
    </row>
    <row r="380" spans="1:27" ht="14.5" x14ac:dyDescent="0.35">
      <c r="A380" s="7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7"/>
      <c r="X380" s="7"/>
      <c r="Y380" s="7"/>
      <c r="Z380" s="7"/>
      <c r="AA380" s="7"/>
    </row>
    <row r="381" spans="1:27" ht="14.5" x14ac:dyDescent="0.35">
      <c r="A381" s="7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7"/>
      <c r="X381" s="7"/>
      <c r="Y381" s="7"/>
      <c r="Z381" s="7"/>
      <c r="AA381" s="7"/>
    </row>
    <row r="382" spans="1:27" ht="14.5" x14ac:dyDescent="0.35">
      <c r="A382" s="7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7"/>
      <c r="X382" s="7"/>
      <c r="Y382" s="7"/>
      <c r="Z382" s="7"/>
      <c r="AA382" s="7"/>
    </row>
    <row r="383" spans="1:27" ht="14.5" x14ac:dyDescent="0.35">
      <c r="A383" s="7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7"/>
      <c r="X383" s="7"/>
      <c r="Y383" s="7"/>
      <c r="Z383" s="7"/>
      <c r="AA383" s="7"/>
    </row>
    <row r="384" spans="1:27" ht="14.5" x14ac:dyDescent="0.35">
      <c r="A384" s="7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7"/>
      <c r="X384" s="7"/>
      <c r="Y384" s="7"/>
      <c r="Z384" s="7"/>
      <c r="AA384" s="7"/>
    </row>
    <row r="385" spans="1:27" ht="14.5" x14ac:dyDescent="0.35">
      <c r="A385" s="7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7"/>
      <c r="X385" s="7"/>
      <c r="Y385" s="7"/>
      <c r="Z385" s="7"/>
      <c r="AA385" s="7"/>
    </row>
    <row r="386" spans="1:27" ht="14.5" x14ac:dyDescent="0.35">
      <c r="A386" s="7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7"/>
      <c r="X386" s="7"/>
      <c r="Y386" s="7"/>
      <c r="Z386" s="7"/>
      <c r="AA386" s="7"/>
    </row>
    <row r="387" spans="1:27" ht="14.5" x14ac:dyDescent="0.35">
      <c r="A387" s="7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7"/>
      <c r="X387" s="7"/>
      <c r="Y387" s="7"/>
      <c r="Z387" s="7"/>
      <c r="AA387" s="7"/>
    </row>
    <row r="388" spans="1:27" ht="14.5" x14ac:dyDescent="0.35">
      <c r="A388" s="7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7"/>
      <c r="X388" s="7"/>
      <c r="Y388" s="7"/>
      <c r="Z388" s="7"/>
      <c r="AA388" s="7"/>
    </row>
    <row r="389" spans="1:27" ht="14.5" x14ac:dyDescent="0.35">
      <c r="A389" s="7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7"/>
      <c r="X389" s="7"/>
      <c r="Y389" s="7"/>
      <c r="Z389" s="7"/>
      <c r="AA389" s="7"/>
    </row>
    <row r="390" spans="1:27" ht="14.5" x14ac:dyDescent="0.35">
      <c r="A390" s="7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7"/>
      <c r="X390" s="7"/>
      <c r="Y390" s="7"/>
      <c r="Z390" s="7"/>
      <c r="AA390" s="7"/>
    </row>
    <row r="391" spans="1:27" ht="14.5" x14ac:dyDescent="0.35">
      <c r="A391" s="7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7"/>
      <c r="X391" s="7"/>
      <c r="Y391" s="7"/>
      <c r="Z391" s="7"/>
      <c r="AA391" s="7"/>
    </row>
    <row r="392" spans="1:27" ht="14.5" x14ac:dyDescent="0.35">
      <c r="A392" s="7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7"/>
      <c r="X392" s="7"/>
      <c r="Y392" s="7"/>
      <c r="Z392" s="7"/>
      <c r="AA392" s="7"/>
    </row>
    <row r="393" spans="1:27" ht="14.5" x14ac:dyDescent="0.35">
      <c r="A393" s="7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7"/>
      <c r="X393" s="7"/>
      <c r="Y393" s="7"/>
      <c r="Z393" s="7"/>
      <c r="AA393" s="7"/>
    </row>
    <row r="394" spans="1:27" ht="14.5" x14ac:dyDescent="0.35">
      <c r="A394" s="7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7"/>
      <c r="X394" s="7"/>
      <c r="Y394" s="7"/>
      <c r="Z394" s="7"/>
      <c r="AA394" s="7"/>
    </row>
    <row r="395" spans="1:27" ht="14.5" x14ac:dyDescent="0.35">
      <c r="A395" s="7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7"/>
      <c r="X395" s="7"/>
      <c r="Y395" s="7"/>
      <c r="Z395" s="7"/>
      <c r="AA395" s="7"/>
    </row>
    <row r="396" spans="1:27" ht="14.5" x14ac:dyDescent="0.35">
      <c r="A396" s="7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7"/>
      <c r="X396" s="7"/>
      <c r="Y396" s="7"/>
      <c r="Z396" s="7"/>
      <c r="AA396" s="7"/>
    </row>
    <row r="397" spans="1:27" ht="14.5" x14ac:dyDescent="0.35">
      <c r="A397" s="7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7"/>
      <c r="X397" s="7"/>
      <c r="Y397" s="7"/>
      <c r="Z397" s="7"/>
      <c r="AA397" s="7"/>
    </row>
    <row r="398" spans="1:27" ht="14.5" x14ac:dyDescent="0.35">
      <c r="A398" s="7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7"/>
      <c r="X398" s="7"/>
      <c r="Y398" s="7"/>
      <c r="Z398" s="7"/>
      <c r="AA398" s="7"/>
    </row>
    <row r="399" spans="1:27" ht="14.5" x14ac:dyDescent="0.35">
      <c r="A399" s="7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7"/>
      <c r="X399" s="7"/>
      <c r="Y399" s="7"/>
      <c r="Z399" s="7"/>
      <c r="AA399" s="7"/>
    </row>
    <row r="400" spans="1:27" ht="14.5" x14ac:dyDescent="0.35">
      <c r="A400" s="7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7"/>
      <c r="X400" s="7"/>
      <c r="Y400" s="7"/>
      <c r="Z400" s="7"/>
      <c r="AA400" s="7"/>
    </row>
    <row r="401" spans="1:27" ht="14.5" x14ac:dyDescent="0.35">
      <c r="A401" s="7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7"/>
      <c r="X401" s="7"/>
      <c r="Y401" s="7"/>
      <c r="Z401" s="7"/>
      <c r="AA401" s="7"/>
    </row>
    <row r="402" spans="1:27" ht="14.5" x14ac:dyDescent="0.35">
      <c r="A402" s="7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7"/>
      <c r="X402" s="7"/>
      <c r="Y402" s="7"/>
      <c r="Z402" s="7"/>
      <c r="AA402" s="7"/>
    </row>
    <row r="403" spans="1:27" ht="14.5" x14ac:dyDescent="0.35">
      <c r="A403" s="7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7"/>
      <c r="X403" s="7"/>
      <c r="Y403" s="7"/>
      <c r="Z403" s="7"/>
      <c r="AA403" s="7"/>
    </row>
    <row r="404" spans="1:27" ht="14.5" x14ac:dyDescent="0.35">
      <c r="A404" s="7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7"/>
      <c r="X404" s="7"/>
      <c r="Y404" s="7"/>
      <c r="Z404" s="7"/>
      <c r="AA404" s="7"/>
    </row>
    <row r="405" spans="1:27" ht="14.5" x14ac:dyDescent="0.35">
      <c r="A405" s="7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7"/>
      <c r="X405" s="7"/>
      <c r="Y405" s="7"/>
      <c r="Z405" s="7"/>
      <c r="AA405" s="7"/>
    </row>
    <row r="406" spans="1:27" ht="14.5" x14ac:dyDescent="0.35">
      <c r="A406" s="7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7"/>
      <c r="X406" s="7"/>
      <c r="Y406" s="7"/>
      <c r="Z406" s="7"/>
      <c r="AA406" s="7"/>
    </row>
    <row r="407" spans="1:27" ht="14.5" x14ac:dyDescent="0.35">
      <c r="A407" s="7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7"/>
      <c r="X407" s="7"/>
      <c r="Y407" s="7"/>
      <c r="Z407" s="7"/>
      <c r="AA407" s="7"/>
    </row>
    <row r="408" spans="1:27" ht="14.5" x14ac:dyDescent="0.35">
      <c r="A408" s="7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7"/>
      <c r="X408" s="7"/>
      <c r="Y408" s="7"/>
      <c r="Z408" s="7"/>
      <c r="AA408" s="7"/>
    </row>
    <row r="409" spans="1:27" ht="14.5" x14ac:dyDescent="0.35">
      <c r="A409" s="7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7"/>
      <c r="X409" s="7"/>
      <c r="Y409" s="7"/>
      <c r="Z409" s="7"/>
      <c r="AA409" s="7"/>
    </row>
    <row r="410" spans="1:27" ht="14.5" x14ac:dyDescent="0.35">
      <c r="A410" s="7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7"/>
      <c r="X410" s="7"/>
      <c r="Y410" s="7"/>
      <c r="Z410" s="7"/>
      <c r="AA410" s="7"/>
    </row>
    <row r="411" spans="1:27" ht="14.5" x14ac:dyDescent="0.35">
      <c r="A411" s="7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7"/>
      <c r="X411" s="7"/>
      <c r="Y411" s="7"/>
      <c r="Z411" s="7"/>
      <c r="AA411" s="7"/>
    </row>
    <row r="412" spans="1:27" ht="14.5" x14ac:dyDescent="0.35">
      <c r="A412" s="7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7"/>
      <c r="X412" s="7"/>
      <c r="Y412" s="7"/>
      <c r="Z412" s="7"/>
      <c r="AA412" s="7"/>
    </row>
    <row r="413" spans="1:27" ht="14.5" x14ac:dyDescent="0.35">
      <c r="A413" s="7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7"/>
      <c r="X413" s="7"/>
      <c r="Y413" s="7"/>
      <c r="Z413" s="7"/>
      <c r="AA413" s="7"/>
    </row>
    <row r="414" spans="1:27" ht="14.5" x14ac:dyDescent="0.35">
      <c r="A414" s="7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7"/>
      <c r="X414" s="7"/>
      <c r="Y414" s="7"/>
      <c r="Z414" s="7"/>
      <c r="AA414" s="7"/>
    </row>
    <row r="415" spans="1:27" ht="14.5" x14ac:dyDescent="0.35">
      <c r="A415" s="7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7"/>
      <c r="X415" s="7"/>
      <c r="Y415" s="7"/>
      <c r="Z415" s="7"/>
      <c r="AA415" s="7"/>
    </row>
    <row r="416" spans="1:27" ht="14.5" x14ac:dyDescent="0.35">
      <c r="A416" s="7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7"/>
      <c r="X416" s="7"/>
      <c r="Y416" s="7"/>
      <c r="Z416" s="7"/>
      <c r="AA416" s="7"/>
    </row>
    <row r="417" spans="1:27" ht="14.5" x14ac:dyDescent="0.35">
      <c r="A417" s="7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7"/>
      <c r="X417" s="7"/>
      <c r="Y417" s="7"/>
      <c r="Z417" s="7"/>
      <c r="AA417" s="7"/>
    </row>
    <row r="418" spans="1:27" ht="14.5" x14ac:dyDescent="0.35">
      <c r="A418" s="7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7"/>
      <c r="X418" s="7"/>
      <c r="Y418" s="7"/>
      <c r="Z418" s="7"/>
      <c r="AA418" s="7"/>
    </row>
    <row r="419" spans="1:27" ht="14.5" x14ac:dyDescent="0.35">
      <c r="A419" s="7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7"/>
      <c r="X419" s="7"/>
      <c r="Y419" s="7"/>
      <c r="Z419" s="7"/>
      <c r="AA419" s="7"/>
    </row>
    <row r="420" spans="1:27" ht="14.5" x14ac:dyDescent="0.35">
      <c r="A420" s="7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7"/>
      <c r="X420" s="7"/>
      <c r="Y420" s="7"/>
      <c r="Z420" s="7"/>
      <c r="AA420" s="7"/>
    </row>
    <row r="421" spans="1:27" ht="14.5" x14ac:dyDescent="0.35">
      <c r="A421" s="7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7"/>
      <c r="X421" s="7"/>
      <c r="Y421" s="7"/>
      <c r="Z421" s="7"/>
      <c r="AA421" s="7"/>
    </row>
    <row r="422" spans="1:27" ht="14.5" x14ac:dyDescent="0.35">
      <c r="A422" s="7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7"/>
      <c r="X422" s="7"/>
      <c r="Y422" s="7"/>
      <c r="Z422" s="7"/>
      <c r="AA422" s="7"/>
    </row>
    <row r="423" spans="1:27" ht="14.5" x14ac:dyDescent="0.35">
      <c r="A423" s="7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7"/>
      <c r="X423" s="7"/>
      <c r="Y423" s="7"/>
      <c r="Z423" s="7"/>
      <c r="AA423" s="7"/>
    </row>
    <row r="424" spans="1:27" ht="14.5" x14ac:dyDescent="0.35">
      <c r="A424" s="7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7"/>
      <c r="X424" s="7"/>
      <c r="Y424" s="7"/>
      <c r="Z424" s="7"/>
      <c r="AA424" s="7"/>
    </row>
    <row r="425" spans="1:27" ht="14.5" x14ac:dyDescent="0.35">
      <c r="A425" s="7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7"/>
      <c r="X425" s="7"/>
      <c r="Y425" s="7"/>
      <c r="Z425" s="7"/>
      <c r="AA425" s="7"/>
    </row>
    <row r="426" spans="1:27" ht="14.5" x14ac:dyDescent="0.35">
      <c r="A426" s="7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7"/>
      <c r="X426" s="7"/>
      <c r="Y426" s="7"/>
      <c r="Z426" s="7"/>
      <c r="AA426" s="7"/>
    </row>
    <row r="427" spans="1:27" ht="14.5" x14ac:dyDescent="0.35">
      <c r="A427" s="7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7"/>
      <c r="X427" s="7"/>
      <c r="Y427" s="7"/>
      <c r="Z427" s="7"/>
      <c r="AA427" s="7"/>
    </row>
    <row r="428" spans="1:27" ht="14.5" x14ac:dyDescent="0.35">
      <c r="A428" s="7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7"/>
      <c r="X428" s="7"/>
      <c r="Y428" s="7"/>
      <c r="Z428" s="7"/>
      <c r="AA428" s="7"/>
    </row>
    <row r="429" spans="1:27" ht="14.5" x14ac:dyDescent="0.35">
      <c r="A429" s="7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7"/>
      <c r="X429" s="7"/>
      <c r="Y429" s="7"/>
      <c r="Z429" s="7"/>
      <c r="AA429" s="7"/>
    </row>
    <row r="430" spans="1:27" ht="14.5" x14ac:dyDescent="0.35">
      <c r="A430" s="7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7"/>
      <c r="X430" s="7"/>
      <c r="Y430" s="7"/>
      <c r="Z430" s="7"/>
      <c r="AA430" s="7"/>
    </row>
    <row r="431" spans="1:27" ht="14.5" x14ac:dyDescent="0.35">
      <c r="A431" s="7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7"/>
      <c r="X431" s="7"/>
      <c r="Y431" s="7"/>
      <c r="Z431" s="7"/>
      <c r="AA431" s="7"/>
    </row>
    <row r="432" spans="1:27" ht="14.5" x14ac:dyDescent="0.35">
      <c r="A432" s="7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7"/>
      <c r="X432" s="7"/>
      <c r="Y432" s="7"/>
      <c r="Z432" s="7"/>
      <c r="AA432" s="7"/>
    </row>
    <row r="433" spans="1:27" ht="14.5" x14ac:dyDescent="0.35">
      <c r="A433" s="7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7"/>
      <c r="X433" s="7"/>
      <c r="Y433" s="7"/>
      <c r="Z433" s="7"/>
      <c r="AA433" s="7"/>
    </row>
    <row r="434" spans="1:27" ht="14.5" x14ac:dyDescent="0.35">
      <c r="A434" s="7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7"/>
      <c r="X434" s="7"/>
      <c r="Y434" s="7"/>
      <c r="Z434" s="7"/>
      <c r="AA434" s="7"/>
    </row>
    <row r="435" spans="1:27" ht="14.5" x14ac:dyDescent="0.35">
      <c r="A435" s="7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7"/>
      <c r="X435" s="7"/>
      <c r="Y435" s="7"/>
      <c r="Z435" s="7"/>
      <c r="AA435" s="7"/>
    </row>
    <row r="436" spans="1:27" ht="14.5" x14ac:dyDescent="0.35">
      <c r="A436" s="7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7"/>
      <c r="X436" s="7"/>
      <c r="Y436" s="7"/>
      <c r="Z436" s="7"/>
      <c r="AA436" s="7"/>
    </row>
    <row r="437" spans="1:27" ht="14.5" x14ac:dyDescent="0.35">
      <c r="A437" s="7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7"/>
      <c r="X437" s="7"/>
      <c r="Y437" s="7"/>
      <c r="Z437" s="7"/>
      <c r="AA437" s="7"/>
    </row>
    <row r="438" spans="1:27" ht="14.5" x14ac:dyDescent="0.35">
      <c r="A438" s="7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7"/>
      <c r="X438" s="7"/>
      <c r="Y438" s="7"/>
      <c r="Z438" s="7"/>
      <c r="AA438" s="7"/>
    </row>
    <row r="439" spans="1:27" ht="14.5" x14ac:dyDescent="0.35">
      <c r="A439" s="7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7"/>
      <c r="X439" s="7"/>
      <c r="Y439" s="7"/>
      <c r="Z439" s="7"/>
      <c r="AA439" s="7"/>
    </row>
    <row r="440" spans="1:27" ht="14.5" x14ac:dyDescent="0.35">
      <c r="A440" s="7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7"/>
      <c r="X440" s="7"/>
      <c r="Y440" s="7"/>
      <c r="Z440" s="7"/>
      <c r="AA440" s="7"/>
    </row>
    <row r="441" spans="1:27" ht="14.5" x14ac:dyDescent="0.35">
      <c r="A441" s="7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7"/>
      <c r="X441" s="7"/>
      <c r="Y441" s="7"/>
      <c r="Z441" s="7"/>
      <c r="AA441" s="7"/>
    </row>
    <row r="442" spans="1:27" ht="14.5" x14ac:dyDescent="0.35">
      <c r="A442" s="7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7"/>
      <c r="X442" s="7"/>
      <c r="Y442" s="7"/>
      <c r="Z442" s="7"/>
      <c r="AA442" s="7"/>
    </row>
    <row r="443" spans="1:27" ht="14.5" x14ac:dyDescent="0.35">
      <c r="A443" s="7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7"/>
      <c r="X443" s="7"/>
      <c r="Y443" s="7"/>
      <c r="Z443" s="7"/>
      <c r="AA443" s="7"/>
    </row>
    <row r="444" spans="1:27" ht="14.5" x14ac:dyDescent="0.35">
      <c r="A444" s="7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7"/>
      <c r="X444" s="7"/>
      <c r="Y444" s="7"/>
      <c r="Z444" s="7"/>
      <c r="AA444" s="7"/>
    </row>
    <row r="445" spans="1:27" ht="14.5" x14ac:dyDescent="0.35">
      <c r="A445" s="7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7"/>
      <c r="X445" s="7"/>
      <c r="Y445" s="7"/>
      <c r="Z445" s="7"/>
      <c r="AA445" s="7"/>
    </row>
    <row r="446" spans="1:27" ht="14.5" x14ac:dyDescent="0.35">
      <c r="A446" s="7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7"/>
      <c r="X446" s="7"/>
      <c r="Y446" s="7"/>
      <c r="Z446" s="7"/>
      <c r="AA446" s="7"/>
    </row>
    <row r="447" spans="1:27" ht="14.5" x14ac:dyDescent="0.35">
      <c r="A447" s="7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7"/>
      <c r="X447" s="7"/>
      <c r="Y447" s="7"/>
      <c r="Z447" s="7"/>
      <c r="AA447" s="7"/>
    </row>
    <row r="448" spans="1:27" ht="14.5" x14ac:dyDescent="0.35">
      <c r="A448" s="7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7"/>
      <c r="X448" s="7"/>
      <c r="Y448" s="7"/>
      <c r="Z448" s="7"/>
      <c r="AA448" s="7"/>
    </row>
    <row r="449" spans="1:27" ht="14.5" x14ac:dyDescent="0.35">
      <c r="A449" s="7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7"/>
      <c r="X449" s="7"/>
      <c r="Y449" s="7"/>
      <c r="Z449" s="7"/>
      <c r="AA449" s="7"/>
    </row>
    <row r="450" spans="1:27" ht="14.5" x14ac:dyDescent="0.35">
      <c r="A450" s="7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7"/>
      <c r="X450" s="7"/>
      <c r="Y450" s="7"/>
      <c r="Z450" s="7"/>
      <c r="AA450" s="7"/>
    </row>
    <row r="451" spans="1:27" ht="14.5" x14ac:dyDescent="0.35">
      <c r="A451" s="7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7"/>
      <c r="X451" s="7"/>
      <c r="Y451" s="7"/>
      <c r="Z451" s="7"/>
      <c r="AA451" s="7"/>
    </row>
    <row r="452" spans="1:27" ht="14.5" x14ac:dyDescent="0.35">
      <c r="A452" s="7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7"/>
      <c r="X452" s="7"/>
      <c r="Y452" s="7"/>
      <c r="Z452" s="7"/>
      <c r="AA452" s="7"/>
    </row>
    <row r="453" spans="1:27" ht="14.5" x14ac:dyDescent="0.35">
      <c r="A453" s="7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7"/>
      <c r="X453" s="7"/>
      <c r="Y453" s="7"/>
      <c r="Z453" s="7"/>
      <c r="AA453" s="7"/>
    </row>
    <row r="454" spans="1:27" ht="14.5" x14ac:dyDescent="0.35">
      <c r="A454" s="7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7"/>
      <c r="X454" s="7"/>
      <c r="Y454" s="7"/>
      <c r="Z454" s="7"/>
      <c r="AA454" s="7"/>
    </row>
    <row r="455" spans="1:27" ht="14.5" x14ac:dyDescent="0.35">
      <c r="A455" s="7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7"/>
      <c r="X455" s="7"/>
      <c r="Y455" s="7"/>
      <c r="Z455" s="7"/>
      <c r="AA455" s="7"/>
    </row>
    <row r="456" spans="1:27" ht="14.5" x14ac:dyDescent="0.35">
      <c r="A456" s="7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7"/>
      <c r="X456" s="7"/>
      <c r="Y456" s="7"/>
      <c r="Z456" s="7"/>
      <c r="AA456" s="7"/>
    </row>
    <row r="457" spans="1:27" ht="14.5" x14ac:dyDescent="0.35">
      <c r="A457" s="7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7"/>
      <c r="X457" s="7"/>
      <c r="Y457" s="7"/>
      <c r="Z457" s="7"/>
      <c r="AA457" s="7"/>
    </row>
    <row r="458" spans="1:27" ht="14.5" x14ac:dyDescent="0.35">
      <c r="A458" s="7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7"/>
      <c r="X458" s="7"/>
      <c r="Y458" s="7"/>
      <c r="Z458" s="7"/>
      <c r="AA458" s="7"/>
    </row>
    <row r="459" spans="1:27" ht="14.5" x14ac:dyDescent="0.35">
      <c r="A459" s="7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7"/>
      <c r="X459" s="7"/>
      <c r="Y459" s="7"/>
      <c r="Z459" s="7"/>
      <c r="AA459" s="7"/>
    </row>
    <row r="460" spans="1:27" ht="14.5" x14ac:dyDescent="0.35">
      <c r="A460" s="7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7"/>
      <c r="X460" s="7"/>
      <c r="Y460" s="7"/>
      <c r="Z460" s="7"/>
      <c r="AA460" s="7"/>
    </row>
    <row r="461" spans="1:27" ht="14.5" x14ac:dyDescent="0.35">
      <c r="A461" s="7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7"/>
      <c r="X461" s="7"/>
      <c r="Y461" s="7"/>
      <c r="Z461" s="7"/>
      <c r="AA461" s="7"/>
    </row>
    <row r="462" spans="1:27" ht="14.5" x14ac:dyDescent="0.35">
      <c r="A462" s="7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7"/>
      <c r="X462" s="7"/>
      <c r="Y462" s="7"/>
      <c r="Z462" s="7"/>
      <c r="AA462" s="7"/>
    </row>
    <row r="463" spans="1:27" ht="14.5" x14ac:dyDescent="0.35">
      <c r="A463" s="7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7"/>
      <c r="X463" s="7"/>
      <c r="Y463" s="7"/>
      <c r="Z463" s="7"/>
      <c r="AA463" s="7"/>
    </row>
    <row r="464" spans="1:27" ht="14.5" x14ac:dyDescent="0.35">
      <c r="A464" s="7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7"/>
      <c r="X464" s="7"/>
      <c r="Y464" s="7"/>
      <c r="Z464" s="7"/>
      <c r="AA464" s="7"/>
    </row>
    <row r="465" spans="1:27" ht="14.5" x14ac:dyDescent="0.35">
      <c r="A465" s="7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7"/>
      <c r="X465" s="7"/>
      <c r="Y465" s="7"/>
      <c r="Z465" s="7"/>
      <c r="AA465" s="7"/>
    </row>
    <row r="466" spans="1:27" ht="14.5" x14ac:dyDescent="0.35">
      <c r="A466" s="7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7"/>
      <c r="X466" s="7"/>
      <c r="Y466" s="7"/>
      <c r="Z466" s="7"/>
      <c r="AA466" s="7"/>
    </row>
    <row r="467" spans="1:27" ht="14.5" x14ac:dyDescent="0.35">
      <c r="A467" s="7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7"/>
      <c r="X467" s="7"/>
      <c r="Y467" s="7"/>
      <c r="Z467" s="7"/>
      <c r="AA467" s="7"/>
    </row>
    <row r="468" spans="1:27" ht="14.5" x14ac:dyDescent="0.35">
      <c r="A468" s="7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7"/>
      <c r="X468" s="7"/>
      <c r="Y468" s="7"/>
      <c r="Z468" s="7"/>
      <c r="AA468" s="7"/>
    </row>
    <row r="469" spans="1:27" ht="14.5" x14ac:dyDescent="0.35">
      <c r="A469" s="7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7"/>
      <c r="X469" s="7"/>
      <c r="Y469" s="7"/>
      <c r="Z469" s="7"/>
      <c r="AA469" s="7"/>
    </row>
    <row r="470" spans="1:27" ht="14.5" x14ac:dyDescent="0.35">
      <c r="A470" s="7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7"/>
      <c r="X470" s="7"/>
      <c r="Y470" s="7"/>
      <c r="Z470" s="7"/>
      <c r="AA470" s="7"/>
    </row>
    <row r="471" spans="1:27" ht="14.5" x14ac:dyDescent="0.35">
      <c r="A471" s="7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7"/>
      <c r="X471" s="7"/>
      <c r="Y471" s="7"/>
      <c r="Z471" s="7"/>
      <c r="AA471" s="7"/>
    </row>
    <row r="472" spans="1:27" ht="14.5" x14ac:dyDescent="0.35">
      <c r="A472" s="7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7"/>
      <c r="X472" s="7"/>
      <c r="Y472" s="7"/>
      <c r="Z472" s="7"/>
      <c r="AA472" s="7"/>
    </row>
    <row r="473" spans="1:27" ht="14.5" x14ac:dyDescent="0.35">
      <c r="A473" s="7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7"/>
      <c r="X473" s="7"/>
      <c r="Y473" s="7"/>
      <c r="Z473" s="7"/>
      <c r="AA473" s="7"/>
    </row>
    <row r="474" spans="1:27" ht="14.5" x14ac:dyDescent="0.35">
      <c r="A474" s="7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7"/>
      <c r="X474" s="7"/>
      <c r="Y474" s="7"/>
      <c r="Z474" s="7"/>
      <c r="AA474" s="7"/>
    </row>
    <row r="475" spans="1:27" ht="14.5" x14ac:dyDescent="0.35">
      <c r="A475" s="7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7"/>
      <c r="X475" s="7"/>
      <c r="Y475" s="7"/>
      <c r="Z475" s="7"/>
      <c r="AA475" s="7"/>
    </row>
    <row r="476" spans="1:27" ht="14.5" x14ac:dyDescent="0.35">
      <c r="A476" s="7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7"/>
      <c r="X476" s="7"/>
      <c r="Y476" s="7"/>
      <c r="Z476" s="7"/>
      <c r="AA476" s="7"/>
    </row>
    <row r="477" spans="1:27" ht="14.5" x14ac:dyDescent="0.35">
      <c r="A477" s="7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7"/>
      <c r="X477" s="7"/>
      <c r="Y477" s="7"/>
      <c r="Z477" s="7"/>
      <c r="AA477" s="7"/>
    </row>
    <row r="478" spans="1:27" ht="14.5" x14ac:dyDescent="0.35">
      <c r="A478" s="7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7"/>
      <c r="X478" s="7"/>
      <c r="Y478" s="7"/>
      <c r="Z478" s="7"/>
      <c r="AA478" s="7"/>
    </row>
    <row r="479" spans="1:27" ht="14.5" x14ac:dyDescent="0.35">
      <c r="A479" s="7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7"/>
      <c r="X479" s="7"/>
      <c r="Y479" s="7"/>
      <c r="Z479" s="7"/>
      <c r="AA479" s="7"/>
    </row>
    <row r="480" spans="1:27" ht="14.5" x14ac:dyDescent="0.35">
      <c r="A480" s="7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7"/>
      <c r="X480" s="7"/>
      <c r="Y480" s="7"/>
      <c r="Z480" s="7"/>
      <c r="AA480" s="7"/>
    </row>
    <row r="481" spans="1:27" ht="14.5" x14ac:dyDescent="0.35">
      <c r="A481" s="7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7"/>
      <c r="X481" s="7"/>
      <c r="Y481" s="7"/>
      <c r="Z481" s="7"/>
      <c r="AA481" s="7"/>
    </row>
    <row r="482" spans="1:27" ht="14.5" x14ac:dyDescent="0.35">
      <c r="A482" s="7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7"/>
      <c r="X482" s="7"/>
      <c r="Y482" s="7"/>
      <c r="Z482" s="7"/>
      <c r="AA482" s="7"/>
    </row>
    <row r="483" spans="1:27" ht="14.5" x14ac:dyDescent="0.35">
      <c r="A483" s="7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7"/>
      <c r="X483" s="7"/>
      <c r="Y483" s="7"/>
      <c r="Z483" s="7"/>
      <c r="AA483" s="7"/>
    </row>
    <row r="484" spans="1:27" ht="14.5" x14ac:dyDescent="0.35">
      <c r="A484" s="7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7"/>
      <c r="X484" s="7"/>
      <c r="Y484" s="7"/>
      <c r="Z484" s="7"/>
      <c r="AA484" s="7"/>
    </row>
    <row r="485" spans="1:27" ht="14.5" x14ac:dyDescent="0.35">
      <c r="A485" s="7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7"/>
      <c r="X485" s="7"/>
      <c r="Y485" s="7"/>
      <c r="Z485" s="7"/>
      <c r="AA485" s="7"/>
    </row>
    <row r="486" spans="1:27" ht="14.5" x14ac:dyDescent="0.35">
      <c r="A486" s="7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7"/>
      <c r="X486" s="7"/>
      <c r="Y486" s="7"/>
      <c r="Z486" s="7"/>
      <c r="AA486" s="7"/>
    </row>
    <row r="487" spans="1:27" ht="14.5" x14ac:dyDescent="0.35">
      <c r="A487" s="7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7"/>
      <c r="X487" s="7"/>
      <c r="Y487" s="7"/>
      <c r="Z487" s="7"/>
      <c r="AA487" s="7"/>
    </row>
    <row r="488" spans="1:27" ht="14.5" x14ac:dyDescent="0.35">
      <c r="A488" s="7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7"/>
      <c r="X488" s="7"/>
      <c r="Y488" s="7"/>
      <c r="Z488" s="7"/>
      <c r="AA488" s="7"/>
    </row>
    <row r="489" spans="1:27" ht="14.5" x14ac:dyDescent="0.35">
      <c r="A489" s="7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7"/>
      <c r="X489" s="7"/>
      <c r="Y489" s="7"/>
      <c r="Z489" s="7"/>
      <c r="AA489" s="7"/>
    </row>
    <row r="490" spans="1:27" ht="14.5" x14ac:dyDescent="0.35">
      <c r="A490" s="7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7"/>
      <c r="X490" s="7"/>
      <c r="Y490" s="7"/>
      <c r="Z490" s="7"/>
      <c r="AA490" s="7"/>
    </row>
    <row r="491" spans="1:27" ht="14.5" x14ac:dyDescent="0.35">
      <c r="A491" s="7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7"/>
      <c r="X491" s="7"/>
      <c r="Y491" s="7"/>
      <c r="Z491" s="7"/>
      <c r="AA491" s="7"/>
    </row>
    <row r="492" spans="1:27" ht="14.5" x14ac:dyDescent="0.35">
      <c r="A492" s="7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7"/>
      <c r="X492" s="7"/>
      <c r="Y492" s="7"/>
      <c r="Z492" s="7"/>
      <c r="AA492" s="7"/>
    </row>
    <row r="493" spans="1:27" ht="14.5" x14ac:dyDescent="0.35">
      <c r="A493" s="7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7"/>
      <c r="X493" s="7"/>
      <c r="Y493" s="7"/>
      <c r="Z493" s="7"/>
      <c r="AA493" s="7"/>
    </row>
    <row r="494" spans="1:27" ht="14.5" x14ac:dyDescent="0.35">
      <c r="A494" s="7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7"/>
      <c r="X494" s="7"/>
      <c r="Y494" s="7"/>
      <c r="Z494" s="7"/>
      <c r="AA494" s="7"/>
    </row>
    <row r="495" spans="1:27" ht="14.5" x14ac:dyDescent="0.35">
      <c r="A495" s="7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7"/>
      <c r="X495" s="7"/>
      <c r="Y495" s="7"/>
      <c r="Z495" s="7"/>
      <c r="AA495" s="7"/>
    </row>
    <row r="496" spans="1:27" ht="14.5" x14ac:dyDescent="0.35">
      <c r="A496" s="7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7"/>
      <c r="X496" s="7"/>
      <c r="Y496" s="7"/>
      <c r="Z496" s="7"/>
      <c r="AA496" s="7"/>
    </row>
    <row r="497" spans="1:27" ht="14.5" x14ac:dyDescent="0.35">
      <c r="A497" s="7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7"/>
      <c r="X497" s="7"/>
      <c r="Y497" s="7"/>
      <c r="Z497" s="7"/>
      <c r="AA497" s="7"/>
    </row>
    <row r="498" spans="1:27" ht="14.5" x14ac:dyDescent="0.35">
      <c r="A498" s="7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7"/>
      <c r="X498" s="7"/>
      <c r="Y498" s="7"/>
      <c r="Z498" s="7"/>
      <c r="AA498" s="7"/>
    </row>
    <row r="499" spans="1:27" ht="14.5" x14ac:dyDescent="0.35">
      <c r="A499" s="7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7"/>
      <c r="X499" s="7"/>
      <c r="Y499" s="7"/>
      <c r="Z499" s="7"/>
      <c r="AA499" s="7"/>
    </row>
    <row r="500" spans="1:27" ht="14.5" x14ac:dyDescent="0.35">
      <c r="A500" s="7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7"/>
      <c r="X500" s="7"/>
      <c r="Y500" s="7"/>
      <c r="Z500" s="7"/>
      <c r="AA500" s="7"/>
    </row>
    <row r="501" spans="1:27" ht="14.5" x14ac:dyDescent="0.35">
      <c r="A501" s="7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7"/>
      <c r="X501" s="7"/>
      <c r="Y501" s="7"/>
      <c r="Z501" s="7"/>
      <c r="AA501" s="7"/>
    </row>
    <row r="502" spans="1:27" ht="14.5" x14ac:dyDescent="0.35">
      <c r="A502" s="7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7"/>
      <c r="X502" s="7"/>
      <c r="Y502" s="7"/>
      <c r="Z502" s="7"/>
      <c r="AA502" s="7"/>
    </row>
    <row r="503" spans="1:27" ht="14.5" x14ac:dyDescent="0.35">
      <c r="A503" s="7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7"/>
      <c r="X503" s="7"/>
      <c r="Y503" s="7"/>
      <c r="Z503" s="7"/>
      <c r="AA503" s="7"/>
    </row>
    <row r="504" spans="1:27" ht="14.5" x14ac:dyDescent="0.35">
      <c r="A504" s="7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7"/>
      <c r="X504" s="7"/>
      <c r="Y504" s="7"/>
      <c r="Z504" s="7"/>
      <c r="AA504" s="7"/>
    </row>
    <row r="505" spans="1:27" ht="14.5" x14ac:dyDescent="0.35">
      <c r="A505" s="7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7"/>
      <c r="X505" s="7"/>
      <c r="Y505" s="7"/>
      <c r="Z505" s="7"/>
      <c r="AA505" s="7"/>
    </row>
    <row r="506" spans="1:27" ht="14.5" x14ac:dyDescent="0.35">
      <c r="A506" s="7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7"/>
      <c r="X506" s="7"/>
      <c r="Y506" s="7"/>
      <c r="Z506" s="7"/>
      <c r="AA506" s="7"/>
    </row>
    <row r="507" spans="1:27" ht="14.5" x14ac:dyDescent="0.35">
      <c r="A507" s="7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7"/>
      <c r="X507" s="7"/>
      <c r="Y507" s="7"/>
      <c r="Z507" s="7"/>
      <c r="AA507" s="7"/>
    </row>
    <row r="508" spans="1:27" ht="14.5" x14ac:dyDescent="0.35">
      <c r="A508" s="7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7"/>
      <c r="X508" s="7"/>
      <c r="Y508" s="7"/>
      <c r="Z508" s="7"/>
      <c r="AA508" s="7"/>
    </row>
    <row r="509" spans="1:27" ht="14.5" x14ac:dyDescent="0.35">
      <c r="A509" s="7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7"/>
      <c r="X509" s="7"/>
      <c r="Y509" s="7"/>
      <c r="Z509" s="7"/>
      <c r="AA509" s="7"/>
    </row>
    <row r="510" spans="1:27" ht="14.5" x14ac:dyDescent="0.35">
      <c r="A510" s="7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7"/>
      <c r="X510" s="7"/>
      <c r="Y510" s="7"/>
      <c r="Z510" s="7"/>
      <c r="AA510" s="7"/>
    </row>
    <row r="511" spans="1:27" ht="14.5" x14ac:dyDescent="0.35">
      <c r="A511" s="7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7"/>
      <c r="X511" s="7"/>
      <c r="Y511" s="7"/>
      <c r="Z511" s="7"/>
      <c r="AA511" s="7"/>
    </row>
    <row r="512" spans="1:27" ht="14.5" x14ac:dyDescent="0.35">
      <c r="A512" s="7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7"/>
      <c r="X512" s="7"/>
      <c r="Y512" s="7"/>
      <c r="Z512" s="7"/>
      <c r="AA512" s="7"/>
    </row>
    <row r="513" spans="1:27" ht="14.5" x14ac:dyDescent="0.35">
      <c r="A513" s="7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7"/>
      <c r="X513" s="7"/>
      <c r="Y513" s="7"/>
      <c r="Z513" s="7"/>
      <c r="AA513" s="7"/>
    </row>
    <row r="514" spans="1:27" ht="14.5" x14ac:dyDescent="0.35">
      <c r="A514" s="7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7"/>
      <c r="X514" s="7"/>
      <c r="Y514" s="7"/>
      <c r="Z514" s="7"/>
      <c r="AA514" s="7"/>
    </row>
    <row r="515" spans="1:27" ht="14.5" x14ac:dyDescent="0.35">
      <c r="A515" s="7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7"/>
      <c r="X515" s="7"/>
      <c r="Y515" s="7"/>
      <c r="Z515" s="7"/>
      <c r="AA515" s="7"/>
    </row>
    <row r="516" spans="1:27" ht="14.5" x14ac:dyDescent="0.35">
      <c r="A516" s="7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7"/>
      <c r="X516" s="7"/>
      <c r="Y516" s="7"/>
      <c r="Z516" s="7"/>
      <c r="AA516" s="7"/>
    </row>
    <row r="517" spans="1:27" ht="14.5" x14ac:dyDescent="0.35">
      <c r="A517" s="7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7"/>
      <c r="X517" s="7"/>
      <c r="Y517" s="7"/>
      <c r="Z517" s="7"/>
      <c r="AA517" s="7"/>
    </row>
    <row r="518" spans="1:27" ht="14.5" x14ac:dyDescent="0.35">
      <c r="A518" s="7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7"/>
      <c r="X518" s="7"/>
      <c r="Y518" s="7"/>
      <c r="Z518" s="7"/>
      <c r="AA518" s="7"/>
    </row>
    <row r="519" spans="1:27" ht="14.5" x14ac:dyDescent="0.35">
      <c r="A519" s="7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7"/>
      <c r="X519" s="7"/>
      <c r="Y519" s="7"/>
      <c r="Z519" s="7"/>
      <c r="AA519" s="7"/>
    </row>
    <row r="520" spans="1:27" ht="14.5" x14ac:dyDescent="0.35">
      <c r="A520" s="7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7"/>
      <c r="X520" s="7"/>
      <c r="Y520" s="7"/>
      <c r="Z520" s="7"/>
      <c r="AA520" s="7"/>
    </row>
    <row r="521" spans="1:27" ht="14.5" x14ac:dyDescent="0.35">
      <c r="A521" s="7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7"/>
      <c r="X521" s="7"/>
      <c r="Y521" s="7"/>
      <c r="Z521" s="7"/>
      <c r="AA521" s="7"/>
    </row>
    <row r="522" spans="1:27" ht="14.5" x14ac:dyDescent="0.35">
      <c r="A522" s="7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7"/>
      <c r="X522" s="7"/>
      <c r="Y522" s="7"/>
      <c r="Z522" s="7"/>
      <c r="AA522" s="7"/>
    </row>
    <row r="523" spans="1:27" ht="14.5" x14ac:dyDescent="0.35">
      <c r="A523" s="7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7"/>
      <c r="X523" s="7"/>
      <c r="Y523" s="7"/>
      <c r="Z523" s="7"/>
      <c r="AA523" s="7"/>
    </row>
    <row r="524" spans="1:27" ht="14.5" x14ac:dyDescent="0.35">
      <c r="A524" s="7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7"/>
      <c r="X524" s="7"/>
      <c r="Y524" s="7"/>
      <c r="Z524" s="7"/>
      <c r="AA524" s="7"/>
    </row>
    <row r="525" spans="1:27" ht="14.5" x14ac:dyDescent="0.35">
      <c r="A525" s="7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7"/>
      <c r="X525" s="7"/>
      <c r="Y525" s="7"/>
      <c r="Z525" s="7"/>
      <c r="AA525" s="7"/>
    </row>
    <row r="526" spans="1:27" ht="14.5" x14ac:dyDescent="0.35">
      <c r="A526" s="7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7"/>
      <c r="X526" s="7"/>
      <c r="Y526" s="7"/>
      <c r="Z526" s="7"/>
      <c r="AA526" s="7"/>
    </row>
    <row r="527" spans="1:27" ht="14.5" x14ac:dyDescent="0.35">
      <c r="A527" s="7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7"/>
      <c r="X527" s="7"/>
      <c r="Y527" s="7"/>
      <c r="Z527" s="7"/>
      <c r="AA527" s="7"/>
    </row>
    <row r="528" spans="1:27" ht="14.5" x14ac:dyDescent="0.35">
      <c r="A528" s="7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7"/>
      <c r="X528" s="7"/>
      <c r="Y528" s="7"/>
      <c r="Z528" s="7"/>
      <c r="AA528" s="7"/>
    </row>
    <row r="529" spans="1:27" ht="14.5" x14ac:dyDescent="0.35">
      <c r="A529" s="7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7"/>
      <c r="X529" s="7"/>
      <c r="Y529" s="7"/>
      <c r="Z529" s="7"/>
      <c r="AA529" s="7"/>
    </row>
    <row r="530" spans="1:27" ht="14.5" x14ac:dyDescent="0.35">
      <c r="A530" s="7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7"/>
      <c r="X530" s="7"/>
      <c r="Y530" s="7"/>
      <c r="Z530" s="7"/>
      <c r="AA530" s="7"/>
    </row>
    <row r="531" spans="1:27" ht="14.5" x14ac:dyDescent="0.35">
      <c r="A531" s="7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7"/>
      <c r="X531" s="7"/>
      <c r="Y531" s="7"/>
      <c r="Z531" s="7"/>
      <c r="AA531" s="7"/>
    </row>
    <row r="532" spans="1:27" ht="14.5" x14ac:dyDescent="0.35">
      <c r="A532" s="7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7"/>
      <c r="X532" s="7"/>
      <c r="Y532" s="7"/>
      <c r="Z532" s="7"/>
      <c r="AA532" s="7"/>
    </row>
    <row r="533" spans="1:27" ht="14.5" x14ac:dyDescent="0.35">
      <c r="A533" s="7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7"/>
      <c r="X533" s="7"/>
      <c r="Y533" s="7"/>
      <c r="Z533" s="7"/>
      <c r="AA533" s="7"/>
    </row>
    <row r="534" spans="1:27" ht="14.5" x14ac:dyDescent="0.35">
      <c r="A534" s="7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7"/>
      <c r="X534" s="7"/>
      <c r="Y534" s="7"/>
      <c r="Z534" s="7"/>
      <c r="AA534" s="7"/>
    </row>
    <row r="535" spans="1:27" ht="14.5" x14ac:dyDescent="0.35">
      <c r="A535" s="7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7"/>
      <c r="X535" s="7"/>
      <c r="Y535" s="7"/>
      <c r="Z535" s="7"/>
      <c r="AA535" s="7"/>
    </row>
    <row r="536" spans="1:27" ht="14.5" x14ac:dyDescent="0.35">
      <c r="A536" s="7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7"/>
      <c r="X536" s="7"/>
      <c r="Y536" s="7"/>
      <c r="Z536" s="7"/>
      <c r="AA536" s="7"/>
    </row>
    <row r="537" spans="1:27" ht="14.5" x14ac:dyDescent="0.35">
      <c r="A537" s="7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7"/>
      <c r="X537" s="7"/>
      <c r="Y537" s="7"/>
      <c r="Z537" s="7"/>
      <c r="AA537" s="7"/>
    </row>
    <row r="538" spans="1:27" ht="14.5" x14ac:dyDescent="0.35">
      <c r="A538" s="7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7"/>
      <c r="X538" s="7"/>
      <c r="Y538" s="7"/>
      <c r="Z538" s="7"/>
      <c r="AA538" s="7"/>
    </row>
    <row r="539" spans="1:27" ht="14.5" x14ac:dyDescent="0.35">
      <c r="A539" s="7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7"/>
      <c r="X539" s="7"/>
      <c r="Y539" s="7"/>
      <c r="Z539" s="7"/>
      <c r="AA539" s="7"/>
    </row>
    <row r="540" spans="1:27" ht="14.5" x14ac:dyDescent="0.35">
      <c r="A540" s="7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7"/>
      <c r="X540" s="7"/>
      <c r="Y540" s="7"/>
      <c r="Z540" s="7"/>
      <c r="AA540" s="7"/>
    </row>
    <row r="541" spans="1:27" ht="14.5" x14ac:dyDescent="0.35">
      <c r="A541" s="7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7"/>
      <c r="X541" s="7"/>
      <c r="Y541" s="7"/>
      <c r="Z541" s="7"/>
      <c r="AA541" s="7"/>
    </row>
    <row r="542" spans="1:27" ht="14.5" x14ac:dyDescent="0.35">
      <c r="A542" s="7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7"/>
      <c r="X542" s="7"/>
      <c r="Y542" s="7"/>
      <c r="Z542" s="7"/>
      <c r="AA542" s="7"/>
    </row>
    <row r="543" spans="1:27" ht="14.5" x14ac:dyDescent="0.35">
      <c r="A543" s="7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7"/>
      <c r="X543" s="7"/>
      <c r="Y543" s="7"/>
      <c r="Z543" s="7"/>
      <c r="AA543" s="7"/>
    </row>
    <row r="544" spans="1:27" ht="14.5" x14ac:dyDescent="0.35">
      <c r="A544" s="7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7"/>
      <c r="X544" s="7"/>
      <c r="Y544" s="7"/>
      <c r="Z544" s="7"/>
      <c r="AA544" s="7"/>
    </row>
    <row r="545" spans="1:27" ht="14.5" x14ac:dyDescent="0.35">
      <c r="A545" s="7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7"/>
      <c r="X545" s="7"/>
      <c r="Y545" s="7"/>
      <c r="Z545" s="7"/>
      <c r="AA545" s="7"/>
    </row>
    <row r="546" spans="1:27" ht="14.5" x14ac:dyDescent="0.35">
      <c r="A546" s="7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7"/>
      <c r="X546" s="7"/>
      <c r="Y546" s="7"/>
      <c r="Z546" s="7"/>
      <c r="AA546" s="7"/>
    </row>
    <row r="547" spans="1:27" ht="14.5" x14ac:dyDescent="0.35">
      <c r="A547" s="7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7"/>
      <c r="X547" s="7"/>
      <c r="Y547" s="7"/>
      <c r="Z547" s="7"/>
      <c r="AA547" s="7"/>
    </row>
    <row r="548" spans="1:27" ht="14.5" x14ac:dyDescent="0.35">
      <c r="A548" s="7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7"/>
      <c r="X548" s="7"/>
      <c r="Y548" s="7"/>
      <c r="Z548" s="7"/>
      <c r="AA548" s="7"/>
    </row>
    <row r="549" spans="1:27" ht="14.5" x14ac:dyDescent="0.35">
      <c r="A549" s="7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7"/>
      <c r="X549" s="7"/>
      <c r="Y549" s="7"/>
      <c r="Z549" s="7"/>
      <c r="AA549" s="7"/>
    </row>
    <row r="550" spans="1:27" ht="14.5" x14ac:dyDescent="0.35">
      <c r="A550" s="7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7"/>
      <c r="X550" s="7"/>
      <c r="Y550" s="7"/>
      <c r="Z550" s="7"/>
      <c r="AA550" s="7"/>
    </row>
    <row r="551" spans="1:27" ht="14.5" x14ac:dyDescent="0.35">
      <c r="A551" s="7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7"/>
      <c r="X551" s="7"/>
      <c r="Y551" s="7"/>
      <c r="Z551" s="7"/>
      <c r="AA551" s="7"/>
    </row>
    <row r="552" spans="1:27" ht="14.5" x14ac:dyDescent="0.35">
      <c r="A552" s="7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7"/>
      <c r="X552" s="7"/>
      <c r="Y552" s="7"/>
      <c r="Z552" s="7"/>
      <c r="AA552" s="7"/>
    </row>
    <row r="553" spans="1:27" ht="14.5" x14ac:dyDescent="0.35">
      <c r="A553" s="7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7"/>
      <c r="X553" s="7"/>
      <c r="Y553" s="7"/>
      <c r="Z553" s="7"/>
      <c r="AA553" s="7"/>
    </row>
    <row r="554" spans="1:27" ht="14.5" x14ac:dyDescent="0.35">
      <c r="A554" s="7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7"/>
      <c r="X554" s="7"/>
      <c r="Y554" s="7"/>
      <c r="Z554" s="7"/>
      <c r="AA554" s="7"/>
    </row>
    <row r="555" spans="1:27" ht="14.5" x14ac:dyDescent="0.35">
      <c r="A555" s="7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7"/>
      <c r="X555" s="7"/>
      <c r="Y555" s="7"/>
      <c r="Z555" s="7"/>
      <c r="AA555" s="7"/>
    </row>
    <row r="556" spans="1:27" ht="14.5" x14ac:dyDescent="0.35">
      <c r="A556" s="7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7"/>
      <c r="X556" s="7"/>
      <c r="Y556" s="7"/>
      <c r="Z556" s="7"/>
      <c r="AA556" s="7"/>
    </row>
    <row r="557" spans="1:27" ht="14.5" x14ac:dyDescent="0.35">
      <c r="A557" s="7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7"/>
      <c r="X557" s="7"/>
      <c r="Y557" s="7"/>
      <c r="Z557" s="7"/>
      <c r="AA557" s="7"/>
    </row>
    <row r="558" spans="1:27" ht="14.5" x14ac:dyDescent="0.35">
      <c r="A558" s="7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7"/>
      <c r="X558" s="7"/>
      <c r="Y558" s="7"/>
      <c r="Z558" s="7"/>
      <c r="AA558" s="7"/>
    </row>
    <row r="559" spans="1:27" ht="14.5" x14ac:dyDescent="0.35">
      <c r="A559" s="7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7"/>
      <c r="X559" s="7"/>
      <c r="Y559" s="7"/>
      <c r="Z559" s="7"/>
      <c r="AA559" s="7"/>
    </row>
    <row r="560" spans="1:27" ht="14.5" x14ac:dyDescent="0.35">
      <c r="A560" s="7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7"/>
      <c r="X560" s="7"/>
      <c r="Y560" s="7"/>
      <c r="Z560" s="7"/>
      <c r="AA560" s="7"/>
    </row>
    <row r="561" spans="1:27" ht="14.5" x14ac:dyDescent="0.35">
      <c r="A561" s="7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7"/>
      <c r="X561" s="7"/>
      <c r="Y561" s="7"/>
      <c r="Z561" s="7"/>
      <c r="AA561" s="7"/>
    </row>
    <row r="562" spans="1:27" ht="14.5" x14ac:dyDescent="0.35">
      <c r="A562" s="7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7"/>
      <c r="X562" s="7"/>
      <c r="Y562" s="7"/>
      <c r="Z562" s="7"/>
      <c r="AA562" s="7"/>
    </row>
    <row r="563" spans="1:27" ht="14.5" x14ac:dyDescent="0.35">
      <c r="A563" s="7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7"/>
      <c r="X563" s="7"/>
      <c r="Y563" s="7"/>
      <c r="Z563" s="7"/>
      <c r="AA563" s="7"/>
    </row>
    <row r="564" spans="1:27" ht="14.5" x14ac:dyDescent="0.35">
      <c r="A564" s="7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7"/>
      <c r="X564" s="7"/>
      <c r="Y564" s="7"/>
      <c r="Z564" s="7"/>
      <c r="AA564" s="7"/>
    </row>
    <row r="565" spans="1:27" ht="14.5" x14ac:dyDescent="0.35">
      <c r="A565" s="7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7"/>
      <c r="X565" s="7"/>
      <c r="Y565" s="7"/>
      <c r="Z565" s="7"/>
      <c r="AA565" s="7"/>
    </row>
    <row r="566" spans="1:27" ht="14.5" x14ac:dyDescent="0.35">
      <c r="A566" s="7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7"/>
      <c r="X566" s="7"/>
      <c r="Y566" s="7"/>
      <c r="Z566" s="7"/>
      <c r="AA566" s="7"/>
    </row>
    <row r="567" spans="1:27" ht="14.5" x14ac:dyDescent="0.35">
      <c r="A567" s="7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7"/>
      <c r="X567" s="7"/>
      <c r="Y567" s="7"/>
      <c r="Z567" s="7"/>
      <c r="AA567" s="7"/>
    </row>
    <row r="568" spans="1:27" ht="14.5" x14ac:dyDescent="0.35">
      <c r="A568" s="7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7"/>
      <c r="X568" s="7"/>
      <c r="Y568" s="7"/>
      <c r="Z568" s="7"/>
      <c r="AA568" s="7"/>
    </row>
    <row r="569" spans="1:27" ht="14.5" x14ac:dyDescent="0.35">
      <c r="A569" s="7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7"/>
      <c r="X569" s="7"/>
      <c r="Y569" s="7"/>
      <c r="Z569" s="7"/>
      <c r="AA569" s="7"/>
    </row>
    <row r="570" spans="1:27" ht="14.5" x14ac:dyDescent="0.35">
      <c r="A570" s="7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7"/>
      <c r="X570" s="7"/>
      <c r="Y570" s="7"/>
      <c r="Z570" s="7"/>
      <c r="AA570" s="7"/>
    </row>
    <row r="571" spans="1:27" ht="14.5" x14ac:dyDescent="0.35">
      <c r="A571" s="7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7"/>
      <c r="X571" s="7"/>
      <c r="Y571" s="7"/>
      <c r="Z571" s="7"/>
      <c r="AA571" s="7"/>
    </row>
    <row r="572" spans="1:27" ht="14.5" x14ac:dyDescent="0.35">
      <c r="A572" s="7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7"/>
      <c r="X572" s="7"/>
      <c r="Y572" s="7"/>
      <c r="Z572" s="7"/>
      <c r="AA572" s="7"/>
    </row>
    <row r="573" spans="1:27" ht="14.5" x14ac:dyDescent="0.35">
      <c r="A573" s="7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7"/>
      <c r="X573" s="7"/>
      <c r="Y573" s="7"/>
      <c r="Z573" s="7"/>
      <c r="AA573" s="7"/>
    </row>
    <row r="574" spans="1:27" ht="14.5" x14ac:dyDescent="0.35">
      <c r="A574" s="7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7"/>
      <c r="X574" s="7"/>
      <c r="Y574" s="7"/>
      <c r="Z574" s="7"/>
      <c r="AA574" s="7"/>
    </row>
    <row r="575" spans="1:27" ht="14.5" x14ac:dyDescent="0.35">
      <c r="A575" s="7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7"/>
      <c r="X575" s="7"/>
      <c r="Y575" s="7"/>
      <c r="Z575" s="7"/>
      <c r="AA575" s="7"/>
    </row>
    <row r="576" spans="1:27" ht="14.5" x14ac:dyDescent="0.35">
      <c r="A576" s="7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7"/>
      <c r="X576" s="7"/>
      <c r="Y576" s="7"/>
      <c r="Z576" s="7"/>
      <c r="AA576" s="7"/>
    </row>
    <row r="577" spans="1:27" ht="14.5" x14ac:dyDescent="0.35">
      <c r="A577" s="7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7"/>
      <c r="X577" s="7"/>
      <c r="Y577" s="7"/>
      <c r="Z577" s="7"/>
      <c r="AA577" s="7"/>
    </row>
    <row r="578" spans="1:27" ht="14.5" x14ac:dyDescent="0.35">
      <c r="A578" s="7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7"/>
      <c r="X578" s="7"/>
      <c r="Y578" s="7"/>
      <c r="Z578" s="7"/>
      <c r="AA578" s="7"/>
    </row>
    <row r="579" spans="1:27" ht="14.5" x14ac:dyDescent="0.35">
      <c r="A579" s="7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7"/>
      <c r="X579" s="7"/>
      <c r="Y579" s="7"/>
      <c r="Z579" s="7"/>
      <c r="AA579" s="7"/>
    </row>
    <row r="580" spans="1:27" ht="14.5" x14ac:dyDescent="0.35">
      <c r="A580" s="7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7"/>
      <c r="X580" s="7"/>
      <c r="Y580" s="7"/>
      <c r="Z580" s="7"/>
      <c r="AA580" s="7"/>
    </row>
    <row r="581" spans="1:27" ht="14.5" x14ac:dyDescent="0.35">
      <c r="A581" s="7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7"/>
      <c r="X581" s="7"/>
      <c r="Y581" s="7"/>
      <c r="Z581" s="7"/>
      <c r="AA581" s="7"/>
    </row>
    <row r="582" spans="1:27" ht="14.5" x14ac:dyDescent="0.35">
      <c r="A582" s="7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7"/>
      <c r="X582" s="7"/>
      <c r="Y582" s="7"/>
      <c r="Z582" s="7"/>
      <c r="AA582" s="7"/>
    </row>
    <row r="583" spans="1:27" ht="14.5" x14ac:dyDescent="0.35">
      <c r="A583" s="7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7"/>
      <c r="X583" s="7"/>
      <c r="Y583" s="7"/>
      <c r="Z583" s="7"/>
      <c r="AA583" s="7"/>
    </row>
    <row r="584" spans="1:27" ht="14.5" x14ac:dyDescent="0.35">
      <c r="A584" s="7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7"/>
      <c r="X584" s="7"/>
      <c r="Y584" s="7"/>
      <c r="Z584" s="7"/>
      <c r="AA584" s="7"/>
    </row>
    <row r="585" spans="1:27" ht="14.5" x14ac:dyDescent="0.35">
      <c r="A585" s="7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7"/>
      <c r="X585" s="7"/>
      <c r="Y585" s="7"/>
      <c r="Z585" s="7"/>
      <c r="AA585" s="7"/>
    </row>
    <row r="586" spans="1:27" ht="14.5" x14ac:dyDescent="0.35">
      <c r="A586" s="7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7"/>
      <c r="X586" s="7"/>
      <c r="Y586" s="7"/>
      <c r="Z586" s="7"/>
      <c r="AA586" s="7"/>
    </row>
    <row r="587" spans="1:27" ht="14.5" x14ac:dyDescent="0.35">
      <c r="A587" s="7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7"/>
      <c r="X587" s="7"/>
      <c r="Y587" s="7"/>
      <c r="Z587" s="7"/>
      <c r="AA587" s="7"/>
    </row>
    <row r="588" spans="1:27" ht="14.5" x14ac:dyDescent="0.35">
      <c r="A588" s="7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7"/>
      <c r="X588" s="7"/>
      <c r="Y588" s="7"/>
      <c r="Z588" s="7"/>
      <c r="AA588" s="7"/>
    </row>
    <row r="589" spans="1:27" ht="14.5" x14ac:dyDescent="0.35">
      <c r="A589" s="7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7"/>
      <c r="X589" s="7"/>
      <c r="Y589" s="7"/>
      <c r="Z589" s="7"/>
      <c r="AA589" s="7"/>
    </row>
    <row r="590" spans="1:27" ht="14.5" x14ac:dyDescent="0.35">
      <c r="A590" s="7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7"/>
      <c r="X590" s="7"/>
      <c r="Y590" s="7"/>
      <c r="Z590" s="7"/>
      <c r="AA590" s="7"/>
    </row>
    <row r="591" spans="1:27" ht="14.5" x14ac:dyDescent="0.35">
      <c r="A591" s="7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7"/>
      <c r="X591" s="7"/>
      <c r="Y591" s="7"/>
      <c r="Z591" s="7"/>
      <c r="AA591" s="7"/>
    </row>
    <row r="592" spans="1:27" ht="14.5" x14ac:dyDescent="0.35">
      <c r="A592" s="7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7"/>
      <c r="X592" s="7"/>
      <c r="Y592" s="7"/>
      <c r="Z592" s="7"/>
      <c r="AA592" s="7"/>
    </row>
    <row r="593" spans="1:27" ht="14.5" x14ac:dyDescent="0.35">
      <c r="A593" s="7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7"/>
      <c r="X593" s="7"/>
      <c r="Y593" s="7"/>
      <c r="Z593" s="7"/>
      <c r="AA593" s="7"/>
    </row>
    <row r="594" spans="1:27" ht="14.5" x14ac:dyDescent="0.35">
      <c r="A594" s="7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7"/>
      <c r="X594" s="7"/>
      <c r="Y594" s="7"/>
      <c r="Z594" s="7"/>
      <c r="AA594" s="7"/>
    </row>
    <row r="595" spans="1:27" ht="14.5" x14ac:dyDescent="0.35">
      <c r="A595" s="7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7"/>
      <c r="X595" s="7"/>
      <c r="Y595" s="7"/>
      <c r="Z595" s="7"/>
      <c r="AA595" s="7"/>
    </row>
    <row r="596" spans="1:27" ht="14.5" x14ac:dyDescent="0.35">
      <c r="A596" s="7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7"/>
      <c r="X596" s="7"/>
      <c r="Y596" s="7"/>
      <c r="Z596" s="7"/>
      <c r="AA596" s="7"/>
    </row>
    <row r="597" spans="1:27" ht="14.5" x14ac:dyDescent="0.35">
      <c r="A597" s="7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7"/>
      <c r="X597" s="7"/>
      <c r="Y597" s="7"/>
      <c r="Z597" s="7"/>
      <c r="AA597" s="7"/>
    </row>
    <row r="598" spans="1:27" ht="14.5" x14ac:dyDescent="0.35">
      <c r="A598" s="7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7"/>
      <c r="X598" s="7"/>
      <c r="Y598" s="7"/>
      <c r="Z598" s="7"/>
      <c r="AA598" s="7"/>
    </row>
    <row r="599" spans="1:27" ht="14.5" x14ac:dyDescent="0.35">
      <c r="A599" s="7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7"/>
      <c r="X599" s="7"/>
      <c r="Y599" s="7"/>
      <c r="Z599" s="7"/>
      <c r="AA599" s="7"/>
    </row>
    <row r="600" spans="1:27" ht="14.5" x14ac:dyDescent="0.35">
      <c r="A600" s="7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7"/>
      <c r="X600" s="7"/>
      <c r="Y600" s="7"/>
      <c r="Z600" s="7"/>
      <c r="AA600" s="7"/>
    </row>
    <row r="601" spans="1:27" ht="14.5" x14ac:dyDescent="0.35">
      <c r="A601" s="7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7"/>
      <c r="X601" s="7"/>
      <c r="Y601" s="7"/>
      <c r="Z601" s="7"/>
      <c r="AA601" s="7"/>
    </row>
    <row r="602" spans="1:27" ht="14.5" x14ac:dyDescent="0.35">
      <c r="A602" s="7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7"/>
      <c r="X602" s="7"/>
      <c r="Y602" s="7"/>
      <c r="Z602" s="7"/>
      <c r="AA602" s="7"/>
    </row>
    <row r="603" spans="1:27" ht="14.5" x14ac:dyDescent="0.35">
      <c r="A603" s="7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7"/>
      <c r="X603" s="7"/>
      <c r="Y603" s="7"/>
      <c r="Z603" s="7"/>
      <c r="AA603" s="7"/>
    </row>
    <row r="604" spans="1:27" ht="14.5" x14ac:dyDescent="0.35">
      <c r="A604" s="7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7"/>
      <c r="X604" s="7"/>
      <c r="Y604" s="7"/>
      <c r="Z604" s="7"/>
      <c r="AA604" s="7"/>
    </row>
    <row r="605" spans="1:27" ht="14.5" x14ac:dyDescent="0.35">
      <c r="A605" s="7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7"/>
      <c r="X605" s="7"/>
      <c r="Y605" s="7"/>
      <c r="Z605" s="7"/>
      <c r="AA605" s="7"/>
    </row>
    <row r="606" spans="1:27" ht="14.5" x14ac:dyDescent="0.35">
      <c r="A606" s="7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7"/>
      <c r="X606" s="7"/>
      <c r="Y606" s="7"/>
      <c r="Z606" s="7"/>
      <c r="AA606" s="7"/>
    </row>
    <row r="607" spans="1:27" ht="14.5" x14ac:dyDescent="0.35">
      <c r="A607" s="7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7"/>
      <c r="X607" s="7"/>
      <c r="Y607" s="7"/>
      <c r="Z607" s="7"/>
      <c r="AA607" s="7"/>
    </row>
    <row r="608" spans="1:27" ht="14.5" x14ac:dyDescent="0.35">
      <c r="A608" s="7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7"/>
      <c r="X608" s="7"/>
      <c r="Y608" s="7"/>
      <c r="Z608" s="7"/>
      <c r="AA608" s="7"/>
    </row>
    <row r="609" spans="1:27" ht="14.5" x14ac:dyDescent="0.35">
      <c r="A609" s="7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7"/>
      <c r="X609" s="7"/>
      <c r="Y609" s="7"/>
      <c r="Z609" s="7"/>
      <c r="AA609" s="7"/>
    </row>
    <row r="610" spans="1:27" ht="14.5" x14ac:dyDescent="0.35">
      <c r="A610" s="7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7"/>
      <c r="X610" s="7"/>
      <c r="Y610" s="7"/>
      <c r="Z610" s="7"/>
      <c r="AA610" s="7"/>
    </row>
    <row r="611" spans="1:27" ht="14.5" x14ac:dyDescent="0.35">
      <c r="A611" s="7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7"/>
      <c r="X611" s="7"/>
      <c r="Y611" s="7"/>
      <c r="Z611" s="7"/>
      <c r="AA611" s="7"/>
    </row>
    <row r="612" spans="1:27" ht="14.5" x14ac:dyDescent="0.35">
      <c r="A612" s="7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7"/>
      <c r="X612" s="7"/>
      <c r="Y612" s="7"/>
      <c r="Z612" s="7"/>
      <c r="AA612" s="7"/>
    </row>
    <row r="613" spans="1:27" ht="14.5" x14ac:dyDescent="0.35">
      <c r="A613" s="7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7"/>
      <c r="X613" s="7"/>
      <c r="Y613" s="7"/>
      <c r="Z613" s="7"/>
      <c r="AA613" s="7"/>
    </row>
    <row r="614" spans="1:27" ht="14.5" x14ac:dyDescent="0.35">
      <c r="A614" s="7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7"/>
      <c r="X614" s="7"/>
      <c r="Y614" s="7"/>
      <c r="Z614" s="7"/>
      <c r="AA614" s="7"/>
    </row>
    <row r="615" spans="1:27" ht="14.5" x14ac:dyDescent="0.35">
      <c r="A615" s="7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7"/>
      <c r="X615" s="7"/>
      <c r="Y615" s="7"/>
      <c r="Z615" s="7"/>
      <c r="AA615" s="7"/>
    </row>
    <row r="616" spans="1:27" ht="14.5" x14ac:dyDescent="0.35">
      <c r="A616" s="7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7"/>
      <c r="X616" s="7"/>
      <c r="Y616" s="7"/>
      <c r="Z616" s="7"/>
      <c r="AA616" s="7"/>
    </row>
    <row r="617" spans="1:27" ht="14.5" x14ac:dyDescent="0.35">
      <c r="A617" s="7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7"/>
      <c r="X617" s="7"/>
      <c r="Y617" s="7"/>
      <c r="Z617" s="7"/>
      <c r="AA617" s="7"/>
    </row>
    <row r="618" spans="1:27" ht="14.5" x14ac:dyDescent="0.35">
      <c r="A618" s="7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7"/>
      <c r="X618" s="7"/>
      <c r="Y618" s="7"/>
      <c r="Z618" s="7"/>
      <c r="AA618" s="7"/>
    </row>
    <row r="619" spans="1:27" ht="14.5" x14ac:dyDescent="0.35">
      <c r="A619" s="7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7"/>
      <c r="X619" s="7"/>
      <c r="Y619" s="7"/>
      <c r="Z619" s="7"/>
      <c r="AA619" s="7"/>
    </row>
    <row r="620" spans="1:27" ht="14.5" x14ac:dyDescent="0.35">
      <c r="A620" s="7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7"/>
      <c r="X620" s="7"/>
      <c r="Y620" s="7"/>
      <c r="Z620" s="7"/>
      <c r="AA620" s="7"/>
    </row>
    <row r="621" spans="1:27" ht="14.5" x14ac:dyDescent="0.35">
      <c r="A621" s="7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7"/>
      <c r="X621" s="7"/>
      <c r="Y621" s="7"/>
      <c r="Z621" s="7"/>
      <c r="AA621" s="7"/>
    </row>
    <row r="622" spans="1:27" ht="14.5" x14ac:dyDescent="0.35">
      <c r="A622" s="7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7"/>
      <c r="X622" s="7"/>
      <c r="Y622" s="7"/>
      <c r="Z622" s="7"/>
      <c r="AA622" s="7"/>
    </row>
    <row r="623" spans="1:27" ht="14.5" x14ac:dyDescent="0.35">
      <c r="A623" s="7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7"/>
      <c r="X623" s="7"/>
      <c r="Y623" s="7"/>
      <c r="Z623" s="7"/>
      <c r="AA623" s="7"/>
    </row>
    <row r="624" spans="1:27" ht="14.5" x14ac:dyDescent="0.35">
      <c r="A624" s="7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7"/>
      <c r="X624" s="7"/>
      <c r="Y624" s="7"/>
      <c r="Z624" s="7"/>
      <c r="AA624" s="7"/>
    </row>
    <row r="625" spans="1:27" ht="14.5" x14ac:dyDescent="0.35">
      <c r="A625" s="7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7"/>
      <c r="X625" s="7"/>
      <c r="Y625" s="7"/>
      <c r="Z625" s="7"/>
      <c r="AA625" s="7"/>
    </row>
    <row r="626" spans="1:27" ht="14.5" x14ac:dyDescent="0.35">
      <c r="A626" s="7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7"/>
      <c r="X626" s="7"/>
      <c r="Y626" s="7"/>
      <c r="Z626" s="7"/>
      <c r="AA626" s="7"/>
    </row>
    <row r="627" spans="1:27" ht="14.5" x14ac:dyDescent="0.35">
      <c r="A627" s="7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7"/>
      <c r="X627" s="7"/>
      <c r="Y627" s="7"/>
      <c r="Z627" s="7"/>
      <c r="AA627" s="7"/>
    </row>
    <row r="628" spans="1:27" ht="14.5" x14ac:dyDescent="0.35">
      <c r="A628" s="7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7"/>
      <c r="X628" s="7"/>
      <c r="Y628" s="7"/>
      <c r="Z628" s="7"/>
      <c r="AA628" s="7"/>
    </row>
    <row r="629" spans="1:27" ht="14.5" x14ac:dyDescent="0.35">
      <c r="A629" s="7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7"/>
      <c r="X629" s="7"/>
      <c r="Y629" s="7"/>
      <c r="Z629" s="7"/>
      <c r="AA629" s="7"/>
    </row>
    <row r="630" spans="1:27" ht="14.5" x14ac:dyDescent="0.35">
      <c r="A630" s="7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7"/>
      <c r="X630" s="7"/>
      <c r="Y630" s="7"/>
      <c r="Z630" s="7"/>
      <c r="AA630" s="7"/>
    </row>
    <row r="631" spans="1:27" ht="14.5" x14ac:dyDescent="0.35">
      <c r="A631" s="7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7"/>
      <c r="X631" s="7"/>
      <c r="Y631" s="7"/>
      <c r="Z631" s="7"/>
      <c r="AA631" s="7"/>
    </row>
    <row r="632" spans="1:27" ht="14.5" x14ac:dyDescent="0.35">
      <c r="A632" s="7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7"/>
      <c r="X632" s="7"/>
      <c r="Y632" s="7"/>
      <c r="Z632" s="7"/>
      <c r="AA632" s="7"/>
    </row>
    <row r="633" spans="1:27" ht="14.5" x14ac:dyDescent="0.35">
      <c r="A633" s="7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7"/>
      <c r="X633" s="7"/>
      <c r="Y633" s="7"/>
      <c r="Z633" s="7"/>
      <c r="AA633" s="7"/>
    </row>
    <row r="634" spans="1:27" ht="14.5" x14ac:dyDescent="0.35">
      <c r="A634" s="7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7"/>
      <c r="X634" s="7"/>
      <c r="Y634" s="7"/>
      <c r="Z634" s="7"/>
      <c r="AA634" s="7"/>
    </row>
    <row r="635" spans="1:27" ht="14.5" x14ac:dyDescent="0.35">
      <c r="A635" s="7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7"/>
      <c r="X635" s="7"/>
      <c r="Y635" s="7"/>
      <c r="Z635" s="7"/>
      <c r="AA635" s="7"/>
    </row>
    <row r="636" spans="1:27" ht="14.5" x14ac:dyDescent="0.35">
      <c r="A636" s="7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7"/>
      <c r="X636" s="7"/>
      <c r="Y636" s="7"/>
      <c r="Z636" s="7"/>
      <c r="AA636" s="7"/>
    </row>
    <row r="637" spans="1:27" ht="14.5" x14ac:dyDescent="0.35">
      <c r="A637" s="7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7"/>
      <c r="X637" s="7"/>
      <c r="Y637" s="7"/>
      <c r="Z637" s="7"/>
      <c r="AA637" s="7"/>
    </row>
    <row r="638" spans="1:27" ht="14.5" x14ac:dyDescent="0.35">
      <c r="A638" s="7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7"/>
      <c r="X638" s="7"/>
      <c r="Y638" s="7"/>
      <c r="Z638" s="7"/>
      <c r="AA638" s="7"/>
    </row>
    <row r="639" spans="1:27" ht="14.5" x14ac:dyDescent="0.35">
      <c r="A639" s="7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7"/>
      <c r="X639" s="7"/>
      <c r="Y639" s="7"/>
      <c r="Z639" s="7"/>
      <c r="AA639" s="7"/>
    </row>
    <row r="640" spans="1:27" ht="14.5" x14ac:dyDescent="0.35">
      <c r="A640" s="7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7"/>
      <c r="X640" s="7"/>
      <c r="Y640" s="7"/>
      <c r="Z640" s="7"/>
      <c r="AA640" s="7"/>
    </row>
    <row r="641" spans="1:27" ht="14.5" x14ac:dyDescent="0.35">
      <c r="A641" s="7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7"/>
      <c r="X641" s="7"/>
      <c r="Y641" s="7"/>
      <c r="Z641" s="7"/>
      <c r="AA641" s="7"/>
    </row>
    <row r="642" spans="1:27" ht="14.5" x14ac:dyDescent="0.35">
      <c r="A642" s="7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7"/>
      <c r="X642" s="7"/>
      <c r="Y642" s="7"/>
      <c r="Z642" s="7"/>
      <c r="AA642" s="7"/>
    </row>
    <row r="643" spans="1:27" ht="14.5" x14ac:dyDescent="0.35">
      <c r="A643" s="7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7"/>
      <c r="X643" s="7"/>
      <c r="Y643" s="7"/>
      <c r="Z643" s="7"/>
      <c r="AA643" s="7"/>
    </row>
    <row r="644" spans="1:27" ht="14.5" x14ac:dyDescent="0.35">
      <c r="A644" s="7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7"/>
      <c r="X644" s="7"/>
      <c r="Y644" s="7"/>
      <c r="Z644" s="7"/>
      <c r="AA644" s="7"/>
    </row>
    <row r="645" spans="1:27" ht="14.5" x14ac:dyDescent="0.35">
      <c r="A645" s="7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7"/>
      <c r="X645" s="7"/>
      <c r="Y645" s="7"/>
      <c r="Z645" s="7"/>
      <c r="AA645" s="7"/>
    </row>
    <row r="646" spans="1:27" ht="14.5" x14ac:dyDescent="0.35">
      <c r="A646" s="7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7"/>
      <c r="X646" s="7"/>
      <c r="Y646" s="7"/>
      <c r="Z646" s="7"/>
      <c r="AA646" s="7"/>
    </row>
    <row r="647" spans="1:27" ht="14.5" x14ac:dyDescent="0.35">
      <c r="A647" s="7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7"/>
      <c r="X647" s="7"/>
      <c r="Y647" s="7"/>
      <c r="Z647" s="7"/>
      <c r="AA647" s="7"/>
    </row>
    <row r="648" spans="1:27" ht="14.5" x14ac:dyDescent="0.35">
      <c r="A648" s="7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7"/>
      <c r="X648" s="7"/>
      <c r="Y648" s="7"/>
      <c r="Z648" s="7"/>
      <c r="AA648" s="7"/>
    </row>
    <row r="649" spans="1:27" ht="14.5" x14ac:dyDescent="0.35">
      <c r="A649" s="7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7"/>
      <c r="X649" s="7"/>
      <c r="Y649" s="7"/>
      <c r="Z649" s="7"/>
      <c r="AA649" s="7"/>
    </row>
    <row r="650" spans="1:27" ht="14.5" x14ac:dyDescent="0.35">
      <c r="A650" s="7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7"/>
      <c r="X650" s="7"/>
      <c r="Y650" s="7"/>
      <c r="Z650" s="7"/>
      <c r="AA650" s="7"/>
    </row>
    <row r="651" spans="1:27" ht="14.5" x14ac:dyDescent="0.35">
      <c r="A651" s="7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7"/>
      <c r="X651" s="7"/>
      <c r="Y651" s="7"/>
      <c r="Z651" s="7"/>
      <c r="AA651" s="7"/>
    </row>
    <row r="652" spans="1:27" ht="14.5" x14ac:dyDescent="0.35">
      <c r="A652" s="7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7"/>
      <c r="X652" s="7"/>
      <c r="Y652" s="7"/>
      <c r="Z652" s="7"/>
      <c r="AA652" s="7"/>
    </row>
    <row r="653" spans="1:27" ht="14.5" x14ac:dyDescent="0.35">
      <c r="A653" s="7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7"/>
      <c r="X653" s="7"/>
      <c r="Y653" s="7"/>
      <c r="Z653" s="7"/>
      <c r="AA653" s="7"/>
    </row>
    <row r="654" spans="1:27" ht="14.5" x14ac:dyDescent="0.35">
      <c r="A654" s="7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7"/>
      <c r="X654" s="7"/>
      <c r="Y654" s="7"/>
      <c r="Z654" s="7"/>
      <c r="AA654" s="7"/>
    </row>
    <row r="655" spans="1:27" ht="14.5" x14ac:dyDescent="0.35">
      <c r="A655" s="7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7"/>
      <c r="X655" s="7"/>
      <c r="Y655" s="7"/>
      <c r="Z655" s="7"/>
      <c r="AA655" s="7"/>
    </row>
    <row r="656" spans="1:27" ht="14.5" x14ac:dyDescent="0.35">
      <c r="A656" s="7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7"/>
      <c r="X656" s="7"/>
      <c r="Y656" s="7"/>
      <c r="Z656" s="7"/>
      <c r="AA656" s="7"/>
    </row>
    <row r="657" spans="1:27" ht="14.5" x14ac:dyDescent="0.35">
      <c r="A657" s="7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7"/>
      <c r="X657" s="7"/>
      <c r="Y657" s="7"/>
      <c r="Z657" s="7"/>
      <c r="AA657" s="7"/>
    </row>
    <row r="658" spans="1:27" ht="14.5" x14ac:dyDescent="0.35">
      <c r="A658" s="7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7"/>
      <c r="X658" s="7"/>
      <c r="Y658" s="7"/>
      <c r="Z658" s="7"/>
      <c r="AA658" s="7"/>
    </row>
    <row r="659" spans="1:27" ht="14.5" x14ac:dyDescent="0.35">
      <c r="A659" s="7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7"/>
      <c r="X659" s="7"/>
      <c r="Y659" s="7"/>
      <c r="Z659" s="7"/>
      <c r="AA659" s="7"/>
    </row>
    <row r="660" spans="1:27" ht="14.5" x14ac:dyDescent="0.35">
      <c r="A660" s="7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7"/>
      <c r="X660" s="7"/>
      <c r="Y660" s="7"/>
      <c r="Z660" s="7"/>
      <c r="AA660" s="7"/>
    </row>
    <row r="661" spans="1:27" ht="14.5" x14ac:dyDescent="0.35">
      <c r="A661" s="7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7"/>
      <c r="X661" s="7"/>
      <c r="Y661" s="7"/>
      <c r="Z661" s="7"/>
      <c r="AA661" s="7"/>
    </row>
    <row r="662" spans="1:27" ht="14.5" x14ac:dyDescent="0.35">
      <c r="A662" s="7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7"/>
      <c r="X662" s="7"/>
      <c r="Y662" s="7"/>
      <c r="Z662" s="7"/>
      <c r="AA662" s="7"/>
    </row>
    <row r="663" spans="1:27" ht="14.5" x14ac:dyDescent="0.35">
      <c r="A663" s="7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7"/>
      <c r="X663" s="7"/>
      <c r="Y663" s="7"/>
      <c r="Z663" s="7"/>
      <c r="AA663" s="7"/>
    </row>
    <row r="664" spans="1:27" ht="14.5" x14ac:dyDescent="0.35">
      <c r="A664" s="7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7"/>
      <c r="X664" s="7"/>
      <c r="Y664" s="7"/>
      <c r="Z664" s="7"/>
      <c r="AA664" s="7"/>
    </row>
    <row r="665" spans="1:27" ht="14.5" x14ac:dyDescent="0.35">
      <c r="A665" s="7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7"/>
      <c r="X665" s="7"/>
      <c r="Y665" s="7"/>
      <c r="Z665" s="7"/>
      <c r="AA665" s="7"/>
    </row>
    <row r="666" spans="1:27" ht="14.5" x14ac:dyDescent="0.35">
      <c r="A666" s="7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7"/>
      <c r="X666" s="7"/>
      <c r="Y666" s="7"/>
      <c r="Z666" s="7"/>
      <c r="AA666" s="7"/>
    </row>
    <row r="667" spans="1:27" ht="14.5" x14ac:dyDescent="0.35">
      <c r="A667" s="7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7"/>
      <c r="X667" s="7"/>
      <c r="Y667" s="7"/>
      <c r="Z667" s="7"/>
      <c r="AA667" s="7"/>
    </row>
    <row r="668" spans="1:27" ht="14.5" x14ac:dyDescent="0.35">
      <c r="A668" s="7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7"/>
      <c r="X668" s="7"/>
      <c r="Y668" s="7"/>
      <c r="Z668" s="7"/>
      <c r="AA668" s="7"/>
    </row>
    <row r="669" spans="1:27" ht="14.5" x14ac:dyDescent="0.35">
      <c r="A669" s="7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7"/>
      <c r="X669" s="7"/>
      <c r="Y669" s="7"/>
      <c r="Z669" s="7"/>
      <c r="AA669" s="7"/>
    </row>
    <row r="670" spans="1:27" ht="14.5" x14ac:dyDescent="0.35">
      <c r="A670" s="7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7"/>
      <c r="X670" s="7"/>
      <c r="Y670" s="7"/>
      <c r="Z670" s="7"/>
      <c r="AA670" s="7"/>
    </row>
    <row r="671" spans="1:27" ht="14.5" x14ac:dyDescent="0.35">
      <c r="A671" s="7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7"/>
      <c r="X671" s="7"/>
      <c r="Y671" s="7"/>
      <c r="Z671" s="7"/>
      <c r="AA671" s="7"/>
    </row>
    <row r="672" spans="1:27" ht="14.5" x14ac:dyDescent="0.35">
      <c r="A672" s="7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7"/>
      <c r="X672" s="7"/>
      <c r="Y672" s="7"/>
      <c r="Z672" s="7"/>
      <c r="AA672" s="7"/>
    </row>
    <row r="673" spans="1:27" ht="14.5" x14ac:dyDescent="0.35">
      <c r="A673" s="7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7"/>
      <c r="X673" s="7"/>
      <c r="Y673" s="7"/>
      <c r="Z673" s="7"/>
      <c r="AA673" s="7"/>
    </row>
    <row r="674" spans="1:27" ht="14.5" x14ac:dyDescent="0.35">
      <c r="A674" s="7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7"/>
      <c r="X674" s="7"/>
      <c r="Y674" s="7"/>
      <c r="Z674" s="7"/>
      <c r="AA674" s="7"/>
    </row>
    <row r="675" spans="1:27" ht="14.5" x14ac:dyDescent="0.35">
      <c r="A675" s="7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7"/>
      <c r="X675" s="7"/>
      <c r="Y675" s="7"/>
      <c r="Z675" s="7"/>
      <c r="AA675" s="7"/>
    </row>
    <row r="676" spans="1:27" ht="14.5" x14ac:dyDescent="0.35">
      <c r="A676" s="7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7"/>
      <c r="X676" s="7"/>
      <c r="Y676" s="7"/>
      <c r="Z676" s="7"/>
      <c r="AA676" s="7"/>
    </row>
    <row r="677" spans="1:27" ht="14.5" x14ac:dyDescent="0.35">
      <c r="A677" s="7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7"/>
      <c r="X677" s="7"/>
      <c r="Y677" s="7"/>
      <c r="Z677" s="7"/>
      <c r="AA677" s="7"/>
    </row>
    <row r="678" spans="1:27" ht="14.5" x14ac:dyDescent="0.35">
      <c r="A678" s="7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7"/>
      <c r="X678" s="7"/>
      <c r="Y678" s="7"/>
      <c r="Z678" s="7"/>
      <c r="AA678" s="7"/>
    </row>
    <row r="679" spans="1:27" ht="14.5" x14ac:dyDescent="0.35">
      <c r="A679" s="7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7"/>
      <c r="X679" s="7"/>
      <c r="Y679" s="7"/>
      <c r="Z679" s="7"/>
      <c r="AA679" s="7"/>
    </row>
    <row r="680" spans="1:27" ht="14.5" x14ac:dyDescent="0.35">
      <c r="A680" s="7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7"/>
      <c r="X680" s="7"/>
      <c r="Y680" s="7"/>
      <c r="Z680" s="7"/>
      <c r="AA680" s="7"/>
    </row>
    <row r="681" spans="1:27" ht="14.5" x14ac:dyDescent="0.35">
      <c r="A681" s="7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7"/>
      <c r="X681" s="7"/>
      <c r="Y681" s="7"/>
      <c r="Z681" s="7"/>
      <c r="AA681" s="7"/>
    </row>
    <row r="682" spans="1:27" ht="14.5" x14ac:dyDescent="0.35">
      <c r="A682" s="7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7"/>
      <c r="X682" s="7"/>
      <c r="Y682" s="7"/>
      <c r="Z682" s="7"/>
      <c r="AA682" s="7"/>
    </row>
    <row r="683" spans="1:27" ht="14.5" x14ac:dyDescent="0.35">
      <c r="A683" s="7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7"/>
      <c r="X683" s="7"/>
      <c r="Y683" s="7"/>
      <c r="Z683" s="7"/>
      <c r="AA683" s="7"/>
    </row>
    <row r="684" spans="1:27" ht="14.5" x14ac:dyDescent="0.35">
      <c r="A684" s="7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7"/>
      <c r="X684" s="7"/>
      <c r="Y684" s="7"/>
      <c r="Z684" s="7"/>
      <c r="AA684" s="7"/>
    </row>
    <row r="685" spans="1:27" ht="14.5" x14ac:dyDescent="0.35">
      <c r="A685" s="7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7"/>
      <c r="X685" s="7"/>
      <c r="Y685" s="7"/>
      <c r="Z685" s="7"/>
      <c r="AA685" s="7"/>
    </row>
    <row r="686" spans="1:27" ht="14.5" x14ac:dyDescent="0.35">
      <c r="A686" s="7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7"/>
      <c r="X686" s="7"/>
      <c r="Y686" s="7"/>
      <c r="Z686" s="7"/>
      <c r="AA686" s="7"/>
    </row>
    <row r="687" spans="1:27" ht="14.5" x14ac:dyDescent="0.35">
      <c r="A687" s="7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7"/>
      <c r="X687" s="7"/>
      <c r="Y687" s="7"/>
      <c r="Z687" s="7"/>
      <c r="AA687" s="7"/>
    </row>
    <row r="688" spans="1:27" ht="14.5" x14ac:dyDescent="0.35">
      <c r="A688" s="7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7"/>
      <c r="X688" s="7"/>
      <c r="Y688" s="7"/>
      <c r="Z688" s="7"/>
      <c r="AA688" s="7"/>
    </row>
    <row r="689" spans="1:27" ht="14.5" x14ac:dyDescent="0.35">
      <c r="A689" s="7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7"/>
      <c r="X689" s="7"/>
      <c r="Y689" s="7"/>
      <c r="Z689" s="7"/>
      <c r="AA689" s="7"/>
    </row>
    <row r="690" spans="1:27" ht="14.5" x14ac:dyDescent="0.35">
      <c r="A690" s="7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7"/>
      <c r="X690" s="7"/>
      <c r="Y690" s="7"/>
      <c r="Z690" s="7"/>
      <c r="AA690" s="7"/>
    </row>
    <row r="691" spans="1:27" ht="14.5" x14ac:dyDescent="0.35">
      <c r="A691" s="7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7"/>
      <c r="X691" s="7"/>
      <c r="Y691" s="7"/>
      <c r="Z691" s="7"/>
      <c r="AA691" s="7"/>
    </row>
    <row r="692" spans="1:27" ht="14.5" x14ac:dyDescent="0.35">
      <c r="A692" s="7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7"/>
      <c r="X692" s="7"/>
      <c r="Y692" s="7"/>
      <c r="Z692" s="7"/>
      <c r="AA692" s="7"/>
    </row>
    <row r="693" spans="1:27" ht="14.5" x14ac:dyDescent="0.35">
      <c r="A693" s="7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7"/>
      <c r="X693" s="7"/>
      <c r="Y693" s="7"/>
      <c r="Z693" s="7"/>
      <c r="AA693" s="7"/>
    </row>
    <row r="694" spans="1:27" ht="14.5" x14ac:dyDescent="0.35">
      <c r="A694" s="7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7"/>
      <c r="X694" s="7"/>
      <c r="Y694" s="7"/>
      <c r="Z694" s="7"/>
      <c r="AA694" s="7"/>
    </row>
    <row r="695" spans="1:27" ht="14.5" x14ac:dyDescent="0.35">
      <c r="A695" s="7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7"/>
      <c r="X695" s="7"/>
      <c r="Y695" s="7"/>
      <c r="Z695" s="7"/>
      <c r="AA695" s="7"/>
    </row>
    <row r="696" spans="1:27" ht="14.5" x14ac:dyDescent="0.35">
      <c r="A696" s="7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7"/>
      <c r="X696" s="7"/>
      <c r="Y696" s="7"/>
      <c r="Z696" s="7"/>
      <c r="AA696" s="7"/>
    </row>
    <row r="697" spans="1:27" ht="14.5" x14ac:dyDescent="0.35">
      <c r="A697" s="7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7"/>
      <c r="X697" s="7"/>
      <c r="Y697" s="7"/>
      <c r="Z697" s="7"/>
      <c r="AA697" s="7"/>
    </row>
    <row r="698" spans="1:27" ht="14.5" x14ac:dyDescent="0.35">
      <c r="A698" s="7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7"/>
      <c r="X698" s="7"/>
      <c r="Y698" s="7"/>
      <c r="Z698" s="7"/>
      <c r="AA698" s="7"/>
    </row>
    <row r="699" spans="1:27" ht="14.5" x14ac:dyDescent="0.35">
      <c r="A699" s="7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7"/>
      <c r="X699" s="7"/>
      <c r="Y699" s="7"/>
      <c r="Z699" s="7"/>
      <c r="AA699" s="7"/>
    </row>
    <row r="700" spans="1:27" ht="14.5" x14ac:dyDescent="0.35">
      <c r="A700" s="7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7"/>
      <c r="X700" s="7"/>
      <c r="Y700" s="7"/>
      <c r="Z700" s="7"/>
      <c r="AA700" s="7"/>
    </row>
    <row r="701" spans="1:27" ht="14.5" x14ac:dyDescent="0.35">
      <c r="A701" s="7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7"/>
      <c r="X701" s="7"/>
      <c r="Y701" s="7"/>
      <c r="Z701" s="7"/>
      <c r="AA701" s="7"/>
    </row>
    <row r="702" spans="1:27" ht="14.5" x14ac:dyDescent="0.35">
      <c r="A702" s="7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7"/>
      <c r="X702" s="7"/>
      <c r="Y702" s="7"/>
      <c r="Z702" s="7"/>
      <c r="AA702" s="7"/>
    </row>
    <row r="703" spans="1:27" ht="14.5" x14ac:dyDescent="0.35">
      <c r="A703" s="7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7"/>
      <c r="X703" s="7"/>
      <c r="Y703" s="7"/>
      <c r="Z703" s="7"/>
      <c r="AA703" s="7"/>
    </row>
    <row r="704" spans="1:27" ht="14.5" x14ac:dyDescent="0.35">
      <c r="A704" s="7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7"/>
      <c r="X704" s="7"/>
      <c r="Y704" s="7"/>
      <c r="Z704" s="7"/>
      <c r="AA704" s="7"/>
    </row>
    <row r="705" spans="1:27" ht="14.5" x14ac:dyDescent="0.35">
      <c r="A705" s="7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7"/>
      <c r="X705" s="7"/>
      <c r="Y705" s="7"/>
      <c r="Z705" s="7"/>
      <c r="AA705" s="7"/>
    </row>
    <row r="706" spans="1:27" ht="14.5" x14ac:dyDescent="0.35">
      <c r="A706" s="7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7"/>
      <c r="X706" s="7"/>
      <c r="Y706" s="7"/>
      <c r="Z706" s="7"/>
      <c r="AA706" s="7"/>
    </row>
    <row r="707" spans="1:27" ht="14.5" x14ac:dyDescent="0.35">
      <c r="A707" s="7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7"/>
      <c r="X707" s="7"/>
      <c r="Y707" s="7"/>
      <c r="Z707" s="7"/>
      <c r="AA707" s="7"/>
    </row>
    <row r="708" spans="1:27" ht="14.5" x14ac:dyDescent="0.35">
      <c r="A708" s="7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7"/>
      <c r="X708" s="7"/>
      <c r="Y708" s="7"/>
      <c r="Z708" s="7"/>
      <c r="AA708" s="7"/>
    </row>
    <row r="709" spans="1:27" ht="14.5" x14ac:dyDescent="0.35">
      <c r="A709" s="7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7"/>
      <c r="X709" s="7"/>
      <c r="Y709" s="7"/>
      <c r="Z709" s="7"/>
      <c r="AA709" s="7"/>
    </row>
    <row r="710" spans="1:27" ht="14.5" x14ac:dyDescent="0.35">
      <c r="A710" s="7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7"/>
      <c r="X710" s="7"/>
      <c r="Y710" s="7"/>
      <c r="Z710" s="7"/>
      <c r="AA710" s="7"/>
    </row>
    <row r="711" spans="1:27" ht="14.5" x14ac:dyDescent="0.35">
      <c r="A711" s="7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7"/>
      <c r="X711" s="7"/>
      <c r="Y711" s="7"/>
      <c r="Z711" s="7"/>
      <c r="AA711" s="7"/>
    </row>
    <row r="712" spans="1:27" ht="14.5" x14ac:dyDescent="0.35">
      <c r="A712" s="7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7"/>
      <c r="X712" s="7"/>
      <c r="Y712" s="7"/>
      <c r="Z712" s="7"/>
      <c r="AA712" s="7"/>
    </row>
    <row r="713" spans="1:27" ht="14.5" x14ac:dyDescent="0.35">
      <c r="A713" s="7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7"/>
      <c r="X713" s="7"/>
      <c r="Y713" s="7"/>
      <c r="Z713" s="7"/>
      <c r="AA713" s="7"/>
    </row>
    <row r="714" spans="1:27" ht="14.5" x14ac:dyDescent="0.35">
      <c r="A714" s="7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7"/>
      <c r="X714" s="7"/>
      <c r="Y714" s="7"/>
      <c r="Z714" s="7"/>
      <c r="AA714" s="7"/>
    </row>
    <row r="715" spans="1:27" ht="14.5" x14ac:dyDescent="0.35">
      <c r="A715" s="7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7"/>
      <c r="X715" s="7"/>
      <c r="Y715" s="7"/>
      <c r="Z715" s="7"/>
      <c r="AA715" s="7"/>
    </row>
    <row r="716" spans="1:27" ht="14.5" x14ac:dyDescent="0.35">
      <c r="A716" s="7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7"/>
      <c r="X716" s="7"/>
      <c r="Y716" s="7"/>
      <c r="Z716" s="7"/>
      <c r="AA716" s="7"/>
    </row>
    <row r="717" spans="1:27" ht="14.5" x14ac:dyDescent="0.35">
      <c r="A717" s="7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7"/>
      <c r="X717" s="7"/>
      <c r="Y717" s="7"/>
      <c r="Z717" s="7"/>
      <c r="AA717" s="7"/>
    </row>
    <row r="718" spans="1:27" ht="14.5" x14ac:dyDescent="0.35">
      <c r="A718" s="7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7"/>
      <c r="X718" s="7"/>
      <c r="Y718" s="7"/>
      <c r="Z718" s="7"/>
      <c r="AA718" s="7"/>
    </row>
    <row r="719" spans="1:27" ht="14.5" x14ac:dyDescent="0.35">
      <c r="A719" s="7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7"/>
      <c r="X719" s="7"/>
      <c r="Y719" s="7"/>
      <c r="Z719" s="7"/>
      <c r="AA719" s="7"/>
    </row>
    <row r="720" spans="1:27" ht="14.5" x14ac:dyDescent="0.35">
      <c r="A720" s="7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7"/>
      <c r="X720" s="7"/>
      <c r="Y720" s="7"/>
      <c r="Z720" s="7"/>
      <c r="AA720" s="7"/>
    </row>
    <row r="721" spans="1:27" ht="14.5" x14ac:dyDescent="0.35">
      <c r="A721" s="7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7"/>
      <c r="X721" s="7"/>
      <c r="Y721" s="7"/>
      <c r="Z721" s="7"/>
      <c r="AA721" s="7"/>
    </row>
    <row r="722" spans="1:27" ht="14.5" x14ac:dyDescent="0.35">
      <c r="A722" s="7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7"/>
      <c r="X722" s="7"/>
      <c r="Y722" s="7"/>
      <c r="Z722" s="7"/>
      <c r="AA722" s="7"/>
    </row>
    <row r="723" spans="1:27" ht="14.5" x14ac:dyDescent="0.35">
      <c r="A723" s="7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7"/>
      <c r="X723" s="7"/>
      <c r="Y723" s="7"/>
      <c r="Z723" s="7"/>
      <c r="AA723" s="7"/>
    </row>
    <row r="724" spans="1:27" ht="14.5" x14ac:dyDescent="0.35">
      <c r="A724" s="7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7"/>
      <c r="X724" s="7"/>
      <c r="Y724" s="7"/>
      <c r="Z724" s="7"/>
      <c r="AA724" s="7"/>
    </row>
    <row r="725" spans="1:27" ht="14.5" x14ac:dyDescent="0.35">
      <c r="A725" s="7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7"/>
      <c r="X725" s="7"/>
      <c r="Y725" s="7"/>
      <c r="Z725" s="7"/>
      <c r="AA725" s="7"/>
    </row>
    <row r="726" spans="1:27" ht="14.5" x14ac:dyDescent="0.35">
      <c r="A726" s="7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7"/>
      <c r="X726" s="7"/>
      <c r="Y726" s="7"/>
      <c r="Z726" s="7"/>
      <c r="AA726" s="7"/>
    </row>
    <row r="727" spans="1:27" ht="14.5" x14ac:dyDescent="0.35">
      <c r="A727" s="7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7"/>
      <c r="X727" s="7"/>
      <c r="Y727" s="7"/>
      <c r="Z727" s="7"/>
      <c r="AA727" s="7"/>
    </row>
    <row r="728" spans="1:27" ht="14.5" x14ac:dyDescent="0.35">
      <c r="A728" s="7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7"/>
      <c r="X728" s="7"/>
      <c r="Y728" s="7"/>
      <c r="Z728" s="7"/>
      <c r="AA728" s="7"/>
    </row>
    <row r="729" spans="1:27" ht="14.5" x14ac:dyDescent="0.35">
      <c r="A729" s="7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7"/>
      <c r="X729" s="7"/>
      <c r="Y729" s="7"/>
      <c r="Z729" s="7"/>
      <c r="AA729" s="7"/>
    </row>
    <row r="730" spans="1:27" ht="14.5" x14ac:dyDescent="0.35">
      <c r="A730" s="7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7"/>
      <c r="X730" s="7"/>
      <c r="Y730" s="7"/>
      <c r="Z730" s="7"/>
      <c r="AA730" s="7"/>
    </row>
    <row r="731" spans="1:27" ht="14.5" x14ac:dyDescent="0.35">
      <c r="A731" s="7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7"/>
      <c r="X731" s="7"/>
      <c r="Y731" s="7"/>
      <c r="Z731" s="7"/>
      <c r="AA731" s="7"/>
    </row>
    <row r="732" spans="1:27" ht="14.5" x14ac:dyDescent="0.35">
      <c r="A732" s="7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7"/>
      <c r="X732" s="7"/>
      <c r="Y732" s="7"/>
      <c r="Z732" s="7"/>
      <c r="AA732" s="7"/>
    </row>
    <row r="733" spans="1:27" ht="14.5" x14ac:dyDescent="0.35">
      <c r="A733" s="7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7"/>
      <c r="X733" s="7"/>
      <c r="Y733" s="7"/>
      <c r="Z733" s="7"/>
      <c r="AA733" s="7"/>
    </row>
    <row r="734" spans="1:27" ht="14.5" x14ac:dyDescent="0.35">
      <c r="A734" s="7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7"/>
      <c r="X734" s="7"/>
      <c r="Y734" s="7"/>
      <c r="Z734" s="7"/>
      <c r="AA734" s="7"/>
    </row>
    <row r="735" spans="1:27" ht="14.5" x14ac:dyDescent="0.35">
      <c r="A735" s="7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7"/>
      <c r="X735" s="7"/>
      <c r="Y735" s="7"/>
      <c r="Z735" s="7"/>
      <c r="AA735" s="7"/>
    </row>
    <row r="736" spans="1:27" ht="14.5" x14ac:dyDescent="0.35">
      <c r="A736" s="7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7"/>
      <c r="X736" s="7"/>
      <c r="Y736" s="7"/>
      <c r="Z736" s="7"/>
      <c r="AA736" s="7"/>
    </row>
    <row r="737" spans="1:27" ht="14.5" x14ac:dyDescent="0.35">
      <c r="A737" s="7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7"/>
      <c r="X737" s="7"/>
      <c r="Y737" s="7"/>
      <c r="Z737" s="7"/>
      <c r="AA737" s="7"/>
    </row>
    <row r="738" spans="1:27" ht="14.5" x14ac:dyDescent="0.35">
      <c r="A738" s="7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7"/>
      <c r="X738" s="7"/>
      <c r="Y738" s="7"/>
      <c r="Z738" s="7"/>
      <c r="AA738" s="7"/>
    </row>
    <row r="739" spans="1:27" ht="14.5" x14ac:dyDescent="0.35">
      <c r="A739" s="7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7"/>
      <c r="X739" s="7"/>
      <c r="Y739" s="7"/>
      <c r="Z739" s="7"/>
      <c r="AA739" s="7"/>
    </row>
    <row r="740" spans="1:27" ht="14.5" x14ac:dyDescent="0.35">
      <c r="A740" s="7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7"/>
      <c r="X740" s="7"/>
      <c r="Y740" s="7"/>
      <c r="Z740" s="7"/>
      <c r="AA740" s="7"/>
    </row>
    <row r="741" spans="1:27" ht="14.5" x14ac:dyDescent="0.35">
      <c r="A741" s="7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7"/>
      <c r="X741" s="7"/>
      <c r="Y741" s="7"/>
      <c r="Z741" s="7"/>
      <c r="AA741" s="7"/>
    </row>
    <row r="742" spans="1:27" ht="14.5" x14ac:dyDescent="0.35">
      <c r="A742" s="7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7"/>
      <c r="X742" s="7"/>
      <c r="Y742" s="7"/>
      <c r="Z742" s="7"/>
      <c r="AA742" s="7"/>
    </row>
    <row r="743" spans="1:27" ht="14.5" x14ac:dyDescent="0.35">
      <c r="A743" s="7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7"/>
      <c r="X743" s="7"/>
      <c r="Y743" s="7"/>
      <c r="Z743" s="7"/>
      <c r="AA743" s="7"/>
    </row>
    <row r="744" spans="1:27" ht="14.5" x14ac:dyDescent="0.35">
      <c r="A744" s="7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7"/>
      <c r="X744" s="7"/>
      <c r="Y744" s="7"/>
      <c r="Z744" s="7"/>
      <c r="AA744" s="7"/>
    </row>
    <row r="745" spans="1:27" ht="14.5" x14ac:dyDescent="0.35">
      <c r="A745" s="7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7"/>
      <c r="X745" s="7"/>
      <c r="Y745" s="7"/>
      <c r="Z745" s="7"/>
      <c r="AA745" s="7"/>
    </row>
    <row r="746" spans="1:27" ht="14.5" x14ac:dyDescent="0.35">
      <c r="A746" s="7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7"/>
      <c r="X746" s="7"/>
      <c r="Y746" s="7"/>
      <c r="Z746" s="7"/>
      <c r="AA746" s="7"/>
    </row>
    <row r="747" spans="1:27" ht="14.5" x14ac:dyDescent="0.35">
      <c r="A747" s="7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7"/>
      <c r="X747" s="7"/>
      <c r="Y747" s="7"/>
      <c r="Z747" s="7"/>
      <c r="AA747" s="7"/>
    </row>
    <row r="748" spans="1:27" ht="14.5" x14ac:dyDescent="0.35">
      <c r="A748" s="7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7"/>
      <c r="X748" s="7"/>
      <c r="Y748" s="7"/>
      <c r="Z748" s="7"/>
      <c r="AA748" s="7"/>
    </row>
    <row r="749" spans="1:27" ht="14.5" x14ac:dyDescent="0.35">
      <c r="A749" s="7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7"/>
      <c r="X749" s="7"/>
      <c r="Y749" s="7"/>
      <c r="Z749" s="7"/>
      <c r="AA749" s="7"/>
    </row>
    <row r="750" spans="1:27" ht="14.5" x14ac:dyDescent="0.35">
      <c r="A750" s="7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7"/>
      <c r="X750" s="7"/>
      <c r="Y750" s="7"/>
      <c r="Z750" s="7"/>
      <c r="AA750" s="7"/>
    </row>
    <row r="751" spans="1:27" ht="14.5" x14ac:dyDescent="0.35">
      <c r="A751" s="7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7"/>
      <c r="X751" s="7"/>
      <c r="Y751" s="7"/>
      <c r="Z751" s="7"/>
      <c r="AA751" s="7"/>
    </row>
    <row r="752" spans="1:27" ht="14.5" x14ac:dyDescent="0.35">
      <c r="A752" s="7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7"/>
      <c r="X752" s="7"/>
      <c r="Y752" s="7"/>
      <c r="Z752" s="7"/>
      <c r="AA752" s="7"/>
    </row>
    <row r="753" spans="1:27" ht="14.5" x14ac:dyDescent="0.35">
      <c r="A753" s="7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7"/>
      <c r="X753" s="7"/>
      <c r="Y753" s="7"/>
      <c r="Z753" s="7"/>
      <c r="AA753" s="7"/>
    </row>
    <row r="754" spans="1:27" ht="14.5" x14ac:dyDescent="0.35">
      <c r="A754" s="7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7"/>
      <c r="X754" s="7"/>
      <c r="Y754" s="7"/>
      <c r="Z754" s="7"/>
      <c r="AA754" s="7"/>
    </row>
    <row r="755" spans="1:27" ht="14.5" x14ac:dyDescent="0.35">
      <c r="A755" s="7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7"/>
      <c r="X755" s="7"/>
      <c r="Y755" s="7"/>
      <c r="Z755" s="7"/>
      <c r="AA755" s="7"/>
    </row>
    <row r="756" spans="1:27" ht="14.5" x14ac:dyDescent="0.35">
      <c r="A756" s="7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7"/>
      <c r="X756" s="7"/>
      <c r="Y756" s="7"/>
      <c r="Z756" s="7"/>
      <c r="AA756" s="7"/>
    </row>
    <row r="757" spans="1:27" ht="14.5" x14ac:dyDescent="0.35">
      <c r="A757" s="7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7"/>
      <c r="X757" s="7"/>
      <c r="Y757" s="7"/>
      <c r="Z757" s="7"/>
      <c r="AA757" s="7"/>
    </row>
    <row r="758" spans="1:27" ht="14.5" x14ac:dyDescent="0.35">
      <c r="A758" s="7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7"/>
      <c r="X758" s="7"/>
      <c r="Y758" s="7"/>
      <c r="Z758" s="7"/>
      <c r="AA758" s="7"/>
    </row>
    <row r="759" spans="1:27" ht="14.5" x14ac:dyDescent="0.35">
      <c r="A759" s="7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7"/>
      <c r="X759" s="7"/>
      <c r="Y759" s="7"/>
      <c r="Z759" s="7"/>
      <c r="AA759" s="7"/>
    </row>
    <row r="760" spans="1:27" ht="14.5" x14ac:dyDescent="0.35">
      <c r="A760" s="7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7"/>
      <c r="X760" s="7"/>
      <c r="Y760" s="7"/>
      <c r="Z760" s="7"/>
      <c r="AA760" s="7"/>
    </row>
    <row r="761" spans="1:27" ht="14.5" x14ac:dyDescent="0.35">
      <c r="A761" s="7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7"/>
      <c r="X761" s="7"/>
      <c r="Y761" s="7"/>
      <c r="Z761" s="7"/>
      <c r="AA761" s="7"/>
    </row>
    <row r="762" spans="1:27" ht="14.5" x14ac:dyDescent="0.35">
      <c r="A762" s="7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7"/>
      <c r="X762" s="7"/>
      <c r="Y762" s="7"/>
      <c r="Z762" s="7"/>
      <c r="AA762" s="7"/>
    </row>
    <row r="763" spans="1:27" ht="14.5" x14ac:dyDescent="0.35">
      <c r="A763" s="7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7"/>
      <c r="X763" s="7"/>
      <c r="Y763" s="7"/>
      <c r="Z763" s="7"/>
      <c r="AA763" s="7"/>
    </row>
    <row r="764" spans="1:27" ht="14.5" x14ac:dyDescent="0.35">
      <c r="A764" s="7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7"/>
      <c r="X764" s="7"/>
      <c r="Y764" s="7"/>
      <c r="Z764" s="7"/>
      <c r="AA764" s="7"/>
    </row>
    <row r="765" spans="1:27" ht="14.5" x14ac:dyDescent="0.35">
      <c r="A765" s="7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7"/>
      <c r="X765" s="7"/>
      <c r="Y765" s="7"/>
      <c r="Z765" s="7"/>
      <c r="AA765" s="7"/>
    </row>
    <row r="766" spans="1:27" ht="14.5" x14ac:dyDescent="0.35">
      <c r="A766" s="7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7"/>
      <c r="X766" s="7"/>
      <c r="Y766" s="7"/>
      <c r="Z766" s="7"/>
      <c r="AA766" s="7"/>
    </row>
    <row r="767" spans="1:27" ht="14.5" x14ac:dyDescent="0.35">
      <c r="A767" s="7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7"/>
      <c r="X767" s="7"/>
      <c r="Y767" s="7"/>
      <c r="Z767" s="7"/>
      <c r="AA767" s="7"/>
    </row>
    <row r="768" spans="1:27" ht="14.5" x14ac:dyDescent="0.35">
      <c r="A768" s="7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7"/>
      <c r="X768" s="7"/>
      <c r="Y768" s="7"/>
      <c r="Z768" s="7"/>
      <c r="AA768" s="7"/>
    </row>
    <row r="769" spans="1:27" ht="14.5" x14ac:dyDescent="0.35">
      <c r="A769" s="7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7"/>
      <c r="X769" s="7"/>
      <c r="Y769" s="7"/>
      <c r="Z769" s="7"/>
      <c r="AA769" s="7"/>
    </row>
    <row r="770" spans="1:27" ht="14.5" x14ac:dyDescent="0.35">
      <c r="A770" s="7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7"/>
      <c r="X770" s="7"/>
      <c r="Y770" s="7"/>
      <c r="Z770" s="7"/>
      <c r="AA770" s="7"/>
    </row>
    <row r="771" spans="1:27" ht="14.5" x14ac:dyDescent="0.35">
      <c r="A771" s="7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7"/>
      <c r="X771" s="7"/>
      <c r="Y771" s="7"/>
      <c r="Z771" s="7"/>
      <c r="AA771" s="7"/>
    </row>
    <row r="772" spans="1:27" ht="14.5" x14ac:dyDescent="0.35">
      <c r="A772" s="7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7"/>
      <c r="X772" s="7"/>
      <c r="Y772" s="7"/>
      <c r="Z772" s="7"/>
      <c r="AA772" s="7"/>
    </row>
    <row r="773" spans="1:27" ht="14.5" x14ac:dyDescent="0.35">
      <c r="A773" s="7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7"/>
      <c r="X773" s="7"/>
      <c r="Y773" s="7"/>
      <c r="Z773" s="7"/>
      <c r="AA773" s="7"/>
    </row>
    <row r="774" spans="1:27" ht="14.5" x14ac:dyDescent="0.35">
      <c r="A774" s="7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7"/>
      <c r="X774" s="7"/>
      <c r="Y774" s="7"/>
      <c r="Z774" s="7"/>
      <c r="AA774" s="7"/>
    </row>
    <row r="775" spans="1:27" ht="14.5" x14ac:dyDescent="0.35">
      <c r="A775" s="7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7"/>
      <c r="X775" s="7"/>
      <c r="Y775" s="7"/>
      <c r="Z775" s="7"/>
      <c r="AA775" s="7"/>
    </row>
    <row r="776" spans="1:27" ht="14.5" x14ac:dyDescent="0.35">
      <c r="A776" s="7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7"/>
      <c r="X776" s="7"/>
      <c r="Y776" s="7"/>
      <c r="Z776" s="7"/>
      <c r="AA776" s="7"/>
    </row>
    <row r="777" spans="1:27" ht="14.5" x14ac:dyDescent="0.35">
      <c r="A777" s="7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7"/>
      <c r="X777" s="7"/>
      <c r="Y777" s="7"/>
      <c r="Z777" s="7"/>
      <c r="AA777" s="7"/>
    </row>
    <row r="778" spans="1:27" ht="14.5" x14ac:dyDescent="0.35">
      <c r="A778" s="7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7"/>
      <c r="X778" s="7"/>
      <c r="Y778" s="7"/>
      <c r="Z778" s="7"/>
      <c r="AA778" s="7"/>
    </row>
    <row r="779" spans="1:27" ht="14.5" x14ac:dyDescent="0.35">
      <c r="A779" s="7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7"/>
      <c r="X779" s="7"/>
      <c r="Y779" s="7"/>
      <c r="Z779" s="7"/>
      <c r="AA779" s="7"/>
    </row>
    <row r="780" spans="1:27" ht="14.5" x14ac:dyDescent="0.35">
      <c r="A780" s="7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7"/>
      <c r="X780" s="7"/>
      <c r="Y780" s="7"/>
      <c r="Z780" s="7"/>
      <c r="AA780" s="7"/>
    </row>
    <row r="781" spans="1:27" ht="14.5" x14ac:dyDescent="0.35">
      <c r="A781" s="7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7"/>
      <c r="X781" s="7"/>
      <c r="Y781" s="7"/>
      <c r="Z781" s="7"/>
      <c r="AA781" s="7"/>
    </row>
    <row r="782" spans="1:27" ht="14.5" x14ac:dyDescent="0.35">
      <c r="A782" s="7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7"/>
      <c r="X782" s="7"/>
      <c r="Y782" s="7"/>
      <c r="Z782" s="7"/>
      <c r="AA782" s="7"/>
    </row>
    <row r="783" spans="1:27" ht="14.5" x14ac:dyDescent="0.35">
      <c r="A783" s="7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7"/>
      <c r="X783" s="7"/>
      <c r="Y783" s="7"/>
      <c r="Z783" s="7"/>
      <c r="AA783" s="7"/>
    </row>
    <row r="784" spans="1:27" ht="14.5" x14ac:dyDescent="0.35">
      <c r="A784" s="7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7"/>
      <c r="X784" s="7"/>
      <c r="Y784" s="7"/>
      <c r="Z784" s="7"/>
      <c r="AA784" s="7"/>
    </row>
    <row r="785" spans="1:27" ht="14.5" x14ac:dyDescent="0.35">
      <c r="A785" s="7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7"/>
      <c r="X785" s="7"/>
      <c r="Y785" s="7"/>
      <c r="Z785" s="7"/>
      <c r="AA785" s="7"/>
    </row>
    <row r="786" spans="1:27" ht="14.5" x14ac:dyDescent="0.35">
      <c r="A786" s="7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7"/>
      <c r="X786" s="7"/>
      <c r="Y786" s="7"/>
      <c r="Z786" s="7"/>
      <c r="AA786" s="7"/>
    </row>
    <row r="787" spans="1:27" ht="14.5" x14ac:dyDescent="0.35">
      <c r="A787" s="7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7"/>
      <c r="X787" s="7"/>
      <c r="Y787" s="7"/>
      <c r="Z787" s="7"/>
      <c r="AA787" s="7"/>
    </row>
    <row r="788" spans="1:27" ht="14.5" x14ac:dyDescent="0.35">
      <c r="A788" s="7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7"/>
      <c r="X788" s="7"/>
      <c r="Y788" s="7"/>
      <c r="Z788" s="7"/>
      <c r="AA788" s="7"/>
    </row>
    <row r="789" spans="1:27" ht="14.5" x14ac:dyDescent="0.35">
      <c r="A789" s="7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7"/>
      <c r="X789" s="7"/>
      <c r="Y789" s="7"/>
      <c r="Z789" s="7"/>
      <c r="AA789" s="7"/>
    </row>
    <row r="790" spans="1:27" ht="14.5" x14ac:dyDescent="0.35">
      <c r="A790" s="7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7"/>
      <c r="X790" s="7"/>
      <c r="Y790" s="7"/>
      <c r="Z790" s="7"/>
      <c r="AA790" s="7"/>
    </row>
    <row r="791" spans="1:27" ht="14.5" x14ac:dyDescent="0.35">
      <c r="A791" s="7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7"/>
      <c r="X791" s="7"/>
      <c r="Y791" s="7"/>
      <c r="Z791" s="7"/>
      <c r="AA791" s="7"/>
    </row>
    <row r="792" spans="1:27" ht="14.5" x14ac:dyDescent="0.35">
      <c r="A792" s="7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7"/>
      <c r="X792" s="7"/>
      <c r="Y792" s="7"/>
      <c r="Z792" s="7"/>
      <c r="AA792" s="7"/>
    </row>
    <row r="793" spans="1:27" ht="14.5" x14ac:dyDescent="0.35">
      <c r="A793" s="7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7"/>
      <c r="X793" s="7"/>
      <c r="Y793" s="7"/>
      <c r="Z793" s="7"/>
      <c r="AA793" s="7"/>
    </row>
    <row r="794" spans="1:27" ht="14.5" x14ac:dyDescent="0.35">
      <c r="A794" s="7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7"/>
      <c r="X794" s="7"/>
      <c r="Y794" s="7"/>
      <c r="Z794" s="7"/>
      <c r="AA794" s="7"/>
    </row>
    <row r="795" spans="1:27" ht="14.5" x14ac:dyDescent="0.35">
      <c r="A795" s="7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7"/>
      <c r="X795" s="7"/>
      <c r="Y795" s="7"/>
      <c r="Z795" s="7"/>
      <c r="AA795" s="7"/>
    </row>
    <row r="796" spans="1:27" ht="14.5" x14ac:dyDescent="0.35">
      <c r="A796" s="7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7"/>
      <c r="X796" s="7"/>
      <c r="Y796" s="7"/>
      <c r="Z796" s="7"/>
      <c r="AA796" s="7"/>
    </row>
    <row r="797" spans="1:27" ht="14.5" x14ac:dyDescent="0.35">
      <c r="A797" s="7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7"/>
      <c r="X797" s="7"/>
      <c r="Y797" s="7"/>
      <c r="Z797" s="7"/>
      <c r="AA797" s="7"/>
    </row>
    <row r="798" spans="1:27" ht="14.5" x14ac:dyDescent="0.35">
      <c r="A798" s="7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7"/>
      <c r="X798" s="7"/>
      <c r="Y798" s="7"/>
      <c r="Z798" s="7"/>
      <c r="AA798" s="7"/>
    </row>
    <row r="799" spans="1:27" ht="14.5" x14ac:dyDescent="0.35">
      <c r="A799" s="7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7"/>
      <c r="X799" s="7"/>
      <c r="Y799" s="7"/>
      <c r="Z799" s="7"/>
      <c r="AA799" s="7"/>
    </row>
    <row r="800" spans="1:27" ht="14.5" x14ac:dyDescent="0.35">
      <c r="A800" s="7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7"/>
      <c r="X800" s="7"/>
      <c r="Y800" s="7"/>
      <c r="Z800" s="7"/>
      <c r="AA800" s="7"/>
    </row>
    <row r="801" spans="1:27" ht="14.5" x14ac:dyDescent="0.35">
      <c r="A801" s="7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7"/>
      <c r="X801" s="7"/>
      <c r="Y801" s="7"/>
      <c r="Z801" s="7"/>
      <c r="AA801" s="7"/>
    </row>
    <row r="802" spans="1:27" ht="14.5" x14ac:dyDescent="0.35">
      <c r="A802" s="7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7"/>
      <c r="X802" s="7"/>
      <c r="Y802" s="7"/>
      <c r="Z802" s="7"/>
      <c r="AA802" s="7"/>
    </row>
    <row r="803" spans="1:27" ht="14.5" x14ac:dyDescent="0.35">
      <c r="A803" s="7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7"/>
      <c r="X803" s="7"/>
      <c r="Y803" s="7"/>
      <c r="Z803" s="7"/>
      <c r="AA803" s="7"/>
    </row>
    <row r="804" spans="1:27" ht="14.5" x14ac:dyDescent="0.35">
      <c r="A804" s="7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7"/>
      <c r="X804" s="7"/>
      <c r="Y804" s="7"/>
      <c r="Z804" s="7"/>
      <c r="AA804" s="7"/>
    </row>
    <row r="805" spans="1:27" ht="14.5" x14ac:dyDescent="0.35">
      <c r="A805" s="7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7"/>
      <c r="X805" s="7"/>
      <c r="Y805" s="7"/>
      <c r="Z805" s="7"/>
      <c r="AA805" s="7"/>
    </row>
    <row r="806" spans="1:27" ht="14.5" x14ac:dyDescent="0.35">
      <c r="A806" s="7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7"/>
      <c r="X806" s="7"/>
      <c r="Y806" s="7"/>
      <c r="Z806" s="7"/>
      <c r="AA806" s="7"/>
    </row>
    <row r="807" spans="1:27" ht="14.5" x14ac:dyDescent="0.35">
      <c r="A807" s="7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7"/>
      <c r="X807" s="7"/>
      <c r="Y807" s="7"/>
      <c r="Z807" s="7"/>
      <c r="AA807" s="7"/>
    </row>
    <row r="808" spans="1:27" ht="14.5" x14ac:dyDescent="0.35">
      <c r="A808" s="7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7"/>
      <c r="X808" s="7"/>
      <c r="Y808" s="7"/>
      <c r="Z808" s="7"/>
      <c r="AA808" s="7"/>
    </row>
    <row r="809" spans="1:27" ht="14.5" x14ac:dyDescent="0.35">
      <c r="A809" s="7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7"/>
      <c r="X809" s="7"/>
      <c r="Y809" s="7"/>
      <c r="Z809" s="7"/>
      <c r="AA809" s="7"/>
    </row>
    <row r="810" spans="1:27" ht="14.5" x14ac:dyDescent="0.35">
      <c r="A810" s="7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7"/>
      <c r="X810" s="7"/>
      <c r="Y810" s="7"/>
      <c r="Z810" s="7"/>
      <c r="AA810" s="7"/>
    </row>
    <row r="811" spans="1:27" ht="14.5" x14ac:dyDescent="0.35">
      <c r="A811" s="7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7"/>
      <c r="X811" s="7"/>
      <c r="Y811" s="7"/>
      <c r="Z811" s="7"/>
      <c r="AA811" s="7"/>
    </row>
    <row r="812" spans="1:27" ht="14.5" x14ac:dyDescent="0.35">
      <c r="A812" s="7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7"/>
      <c r="X812" s="7"/>
      <c r="Y812" s="7"/>
      <c r="Z812" s="7"/>
      <c r="AA812" s="7"/>
    </row>
    <row r="813" spans="1:27" ht="14.5" x14ac:dyDescent="0.35">
      <c r="A813" s="7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7"/>
      <c r="X813" s="7"/>
      <c r="Y813" s="7"/>
      <c r="Z813" s="7"/>
      <c r="AA813" s="7"/>
    </row>
    <row r="814" spans="1:27" ht="14.5" x14ac:dyDescent="0.35">
      <c r="A814" s="7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7"/>
      <c r="X814" s="7"/>
      <c r="Y814" s="7"/>
      <c r="Z814" s="7"/>
      <c r="AA814" s="7"/>
    </row>
    <row r="815" spans="1:27" ht="14.5" x14ac:dyDescent="0.35">
      <c r="A815" s="7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7"/>
      <c r="X815" s="7"/>
      <c r="Y815" s="7"/>
      <c r="Z815" s="7"/>
      <c r="AA815" s="7"/>
    </row>
    <row r="816" spans="1:27" ht="14.5" x14ac:dyDescent="0.35">
      <c r="A816" s="7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7"/>
      <c r="X816" s="7"/>
      <c r="Y816" s="7"/>
      <c r="Z816" s="7"/>
      <c r="AA816" s="7"/>
    </row>
    <row r="817" spans="1:27" ht="14.5" x14ac:dyDescent="0.35">
      <c r="A817" s="7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7"/>
      <c r="X817" s="7"/>
      <c r="Y817" s="7"/>
      <c r="Z817" s="7"/>
      <c r="AA817" s="7"/>
    </row>
    <row r="818" spans="1:27" ht="14.5" x14ac:dyDescent="0.35">
      <c r="A818" s="7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7"/>
      <c r="X818" s="7"/>
      <c r="Y818" s="7"/>
      <c r="Z818" s="7"/>
      <c r="AA818" s="7"/>
    </row>
    <row r="819" spans="1:27" ht="14.5" x14ac:dyDescent="0.35">
      <c r="A819" s="7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7"/>
      <c r="X819" s="7"/>
      <c r="Y819" s="7"/>
      <c r="Z819" s="7"/>
      <c r="AA819" s="7"/>
    </row>
    <row r="820" spans="1:27" ht="14.5" x14ac:dyDescent="0.35">
      <c r="A820" s="7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7"/>
      <c r="X820" s="7"/>
      <c r="Y820" s="7"/>
      <c r="Z820" s="7"/>
      <c r="AA820" s="7"/>
    </row>
    <row r="821" spans="1:27" ht="14.5" x14ac:dyDescent="0.35">
      <c r="A821" s="7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7"/>
      <c r="X821" s="7"/>
      <c r="Y821" s="7"/>
      <c r="Z821" s="7"/>
      <c r="AA821" s="7"/>
    </row>
    <row r="822" spans="1:27" ht="14.5" x14ac:dyDescent="0.35">
      <c r="A822" s="7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7"/>
      <c r="X822" s="7"/>
      <c r="Y822" s="7"/>
      <c r="Z822" s="7"/>
      <c r="AA822" s="7"/>
    </row>
    <row r="823" spans="1:27" ht="14.5" x14ac:dyDescent="0.35">
      <c r="A823" s="7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7"/>
      <c r="X823" s="7"/>
      <c r="Y823" s="7"/>
      <c r="Z823" s="7"/>
      <c r="AA823" s="7"/>
    </row>
    <row r="824" spans="1:27" ht="14.5" x14ac:dyDescent="0.35">
      <c r="A824" s="7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7"/>
      <c r="X824" s="7"/>
      <c r="Y824" s="7"/>
      <c r="Z824" s="7"/>
      <c r="AA824" s="7"/>
    </row>
    <row r="825" spans="1:27" ht="14.5" x14ac:dyDescent="0.35">
      <c r="A825" s="7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7"/>
      <c r="X825" s="7"/>
      <c r="Y825" s="7"/>
      <c r="Z825" s="7"/>
      <c r="AA825" s="7"/>
    </row>
    <row r="826" spans="1:27" ht="14.5" x14ac:dyDescent="0.35">
      <c r="A826" s="7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7"/>
      <c r="X826" s="7"/>
      <c r="Y826" s="7"/>
      <c r="Z826" s="7"/>
      <c r="AA826" s="7"/>
    </row>
    <row r="827" spans="1:27" ht="14.5" x14ac:dyDescent="0.35">
      <c r="A827" s="7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7"/>
      <c r="X827" s="7"/>
      <c r="Y827" s="7"/>
      <c r="Z827" s="7"/>
      <c r="AA827" s="7"/>
    </row>
    <row r="828" spans="1:27" ht="14.5" x14ac:dyDescent="0.35">
      <c r="A828" s="7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7"/>
      <c r="X828" s="7"/>
      <c r="Y828" s="7"/>
      <c r="Z828" s="7"/>
      <c r="AA828" s="7"/>
    </row>
    <row r="829" spans="1:27" ht="14.5" x14ac:dyDescent="0.35">
      <c r="A829" s="7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7"/>
      <c r="X829" s="7"/>
      <c r="Y829" s="7"/>
      <c r="Z829" s="7"/>
      <c r="AA829" s="7"/>
    </row>
    <row r="830" spans="1:27" ht="14.5" x14ac:dyDescent="0.35">
      <c r="A830" s="7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7"/>
      <c r="X830" s="7"/>
      <c r="Y830" s="7"/>
      <c r="Z830" s="7"/>
      <c r="AA830" s="7"/>
    </row>
    <row r="831" spans="1:27" ht="14.5" x14ac:dyDescent="0.35">
      <c r="A831" s="7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7"/>
      <c r="X831" s="7"/>
      <c r="Y831" s="7"/>
      <c r="Z831" s="7"/>
      <c r="AA831" s="7"/>
    </row>
    <row r="832" spans="1:27" ht="14.5" x14ac:dyDescent="0.35">
      <c r="A832" s="7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7"/>
      <c r="X832" s="7"/>
      <c r="Y832" s="7"/>
      <c r="Z832" s="7"/>
      <c r="AA832" s="7"/>
    </row>
    <row r="833" spans="1:27" ht="14.5" x14ac:dyDescent="0.35">
      <c r="A833" s="7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7"/>
      <c r="X833" s="7"/>
      <c r="Y833" s="7"/>
      <c r="Z833" s="7"/>
      <c r="AA833" s="7"/>
    </row>
    <row r="834" spans="1:27" ht="14.5" x14ac:dyDescent="0.35">
      <c r="A834" s="7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7"/>
      <c r="X834" s="7"/>
      <c r="Y834" s="7"/>
      <c r="Z834" s="7"/>
      <c r="AA834" s="7"/>
    </row>
    <row r="835" spans="1:27" ht="14.5" x14ac:dyDescent="0.35">
      <c r="A835" s="7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7"/>
      <c r="X835" s="7"/>
      <c r="Y835" s="7"/>
      <c r="Z835" s="7"/>
      <c r="AA835" s="7"/>
    </row>
    <row r="836" spans="1:27" ht="14.5" x14ac:dyDescent="0.35">
      <c r="A836" s="7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7"/>
      <c r="X836" s="7"/>
      <c r="Y836" s="7"/>
      <c r="Z836" s="7"/>
      <c r="AA836" s="7"/>
    </row>
    <row r="837" spans="1:27" ht="14.5" x14ac:dyDescent="0.35">
      <c r="A837" s="7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7"/>
      <c r="X837" s="7"/>
      <c r="Y837" s="7"/>
      <c r="Z837" s="7"/>
      <c r="AA837" s="7"/>
    </row>
    <row r="838" spans="1:27" ht="14.5" x14ac:dyDescent="0.35">
      <c r="A838" s="7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7"/>
      <c r="X838" s="7"/>
      <c r="Y838" s="7"/>
      <c r="Z838" s="7"/>
      <c r="AA838" s="7"/>
    </row>
    <row r="839" spans="1:27" ht="14.5" x14ac:dyDescent="0.35">
      <c r="A839" s="7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7"/>
      <c r="X839" s="7"/>
      <c r="Y839" s="7"/>
      <c r="Z839" s="7"/>
      <c r="AA839" s="7"/>
    </row>
    <row r="840" spans="1:27" ht="14.5" x14ac:dyDescent="0.35">
      <c r="A840" s="7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7"/>
      <c r="X840" s="7"/>
      <c r="Y840" s="7"/>
      <c r="Z840" s="7"/>
      <c r="AA840" s="7"/>
    </row>
    <row r="841" spans="1:27" ht="14.5" x14ac:dyDescent="0.35">
      <c r="A841" s="7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7"/>
      <c r="X841" s="7"/>
      <c r="Y841" s="7"/>
      <c r="Z841" s="7"/>
      <c r="AA841" s="7"/>
    </row>
    <row r="842" spans="1:27" ht="14.5" x14ac:dyDescent="0.35">
      <c r="A842" s="7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7"/>
      <c r="X842" s="7"/>
      <c r="Y842" s="7"/>
      <c r="Z842" s="7"/>
      <c r="AA842" s="7"/>
    </row>
    <row r="843" spans="1:27" ht="14.5" x14ac:dyDescent="0.35">
      <c r="A843" s="7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7"/>
      <c r="X843" s="7"/>
      <c r="Y843" s="7"/>
      <c r="Z843" s="7"/>
      <c r="AA843" s="7"/>
    </row>
    <row r="844" spans="1:27" ht="14.5" x14ac:dyDescent="0.35">
      <c r="A844" s="7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7"/>
      <c r="X844" s="7"/>
      <c r="Y844" s="7"/>
      <c r="Z844" s="7"/>
      <c r="AA844" s="7"/>
    </row>
    <row r="845" spans="1:27" ht="14.5" x14ac:dyDescent="0.35">
      <c r="A845" s="7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7"/>
      <c r="X845" s="7"/>
      <c r="Y845" s="7"/>
      <c r="Z845" s="7"/>
      <c r="AA845" s="7"/>
    </row>
    <row r="846" spans="1:27" ht="14.5" x14ac:dyDescent="0.35">
      <c r="A846" s="7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7"/>
      <c r="X846" s="7"/>
      <c r="Y846" s="7"/>
      <c r="Z846" s="7"/>
      <c r="AA846" s="7"/>
    </row>
    <row r="847" spans="1:27" ht="14.5" x14ac:dyDescent="0.35">
      <c r="A847" s="7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7"/>
      <c r="X847" s="7"/>
      <c r="Y847" s="7"/>
      <c r="Z847" s="7"/>
      <c r="AA847" s="7"/>
    </row>
    <row r="848" spans="1:27" ht="14.5" x14ac:dyDescent="0.35">
      <c r="A848" s="7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7"/>
      <c r="X848" s="7"/>
      <c r="Y848" s="7"/>
      <c r="Z848" s="7"/>
      <c r="AA848" s="7"/>
    </row>
    <row r="849" spans="1:27" ht="14.5" x14ac:dyDescent="0.35">
      <c r="A849" s="7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7"/>
      <c r="X849" s="7"/>
      <c r="Y849" s="7"/>
      <c r="Z849" s="7"/>
      <c r="AA849" s="7"/>
    </row>
    <row r="850" spans="1:27" ht="14.5" x14ac:dyDescent="0.35">
      <c r="A850" s="7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7"/>
      <c r="X850" s="7"/>
      <c r="Y850" s="7"/>
      <c r="Z850" s="7"/>
      <c r="AA850" s="7"/>
    </row>
    <row r="851" spans="1:27" ht="14.5" x14ac:dyDescent="0.35">
      <c r="A851" s="7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7"/>
      <c r="X851" s="7"/>
      <c r="Y851" s="7"/>
      <c r="Z851" s="7"/>
      <c r="AA851" s="7"/>
    </row>
    <row r="852" spans="1:27" ht="14.5" x14ac:dyDescent="0.35">
      <c r="A852" s="7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7"/>
      <c r="X852" s="7"/>
      <c r="Y852" s="7"/>
      <c r="Z852" s="7"/>
      <c r="AA852" s="7"/>
    </row>
    <row r="853" spans="1:27" ht="14.5" x14ac:dyDescent="0.35">
      <c r="A853" s="7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7"/>
      <c r="X853" s="7"/>
      <c r="Y853" s="7"/>
      <c r="Z853" s="7"/>
      <c r="AA853" s="7"/>
    </row>
    <row r="854" spans="1:27" ht="14.5" x14ac:dyDescent="0.35">
      <c r="A854" s="7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7"/>
      <c r="X854" s="7"/>
      <c r="Y854" s="7"/>
      <c r="Z854" s="7"/>
      <c r="AA854" s="7"/>
    </row>
    <row r="855" spans="1:27" ht="14.5" x14ac:dyDescent="0.35">
      <c r="A855" s="7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7"/>
      <c r="X855" s="7"/>
      <c r="Y855" s="7"/>
      <c r="Z855" s="7"/>
      <c r="AA855" s="7"/>
    </row>
    <row r="856" spans="1:27" ht="14.5" x14ac:dyDescent="0.35">
      <c r="A856" s="7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7"/>
      <c r="X856" s="7"/>
      <c r="Y856" s="7"/>
      <c r="Z856" s="7"/>
      <c r="AA856" s="7"/>
    </row>
    <row r="857" spans="1:27" ht="14.5" x14ac:dyDescent="0.35">
      <c r="A857" s="7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7"/>
      <c r="X857" s="7"/>
      <c r="Y857" s="7"/>
      <c r="Z857" s="7"/>
      <c r="AA857" s="7"/>
    </row>
    <row r="858" spans="1:27" ht="14.5" x14ac:dyDescent="0.35">
      <c r="A858" s="7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7"/>
      <c r="X858" s="7"/>
      <c r="Y858" s="7"/>
      <c r="Z858" s="7"/>
      <c r="AA858" s="7"/>
    </row>
    <row r="859" spans="1:27" ht="14.5" x14ac:dyDescent="0.35">
      <c r="A859" s="7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7"/>
      <c r="X859" s="7"/>
      <c r="Y859" s="7"/>
      <c r="Z859" s="7"/>
      <c r="AA859" s="7"/>
    </row>
    <row r="860" spans="1:27" ht="14.5" x14ac:dyDescent="0.35">
      <c r="A860" s="7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7"/>
      <c r="X860" s="7"/>
      <c r="Y860" s="7"/>
      <c r="Z860" s="7"/>
      <c r="AA860" s="7"/>
    </row>
    <row r="861" spans="1:27" ht="14.5" x14ac:dyDescent="0.35">
      <c r="A861" s="7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7"/>
      <c r="X861" s="7"/>
      <c r="Y861" s="7"/>
      <c r="Z861" s="7"/>
      <c r="AA861" s="7"/>
    </row>
    <row r="862" spans="1:27" ht="14.5" x14ac:dyDescent="0.35">
      <c r="A862" s="7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7"/>
      <c r="X862" s="7"/>
      <c r="Y862" s="7"/>
      <c r="Z862" s="7"/>
      <c r="AA862" s="7"/>
    </row>
    <row r="863" spans="1:27" ht="14.5" x14ac:dyDescent="0.35">
      <c r="A863" s="7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7"/>
      <c r="X863" s="7"/>
      <c r="Y863" s="7"/>
      <c r="Z863" s="7"/>
      <c r="AA863" s="7"/>
    </row>
    <row r="864" spans="1:27" ht="14.5" x14ac:dyDescent="0.35">
      <c r="A864" s="7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7"/>
      <c r="X864" s="7"/>
      <c r="Y864" s="7"/>
      <c r="Z864" s="7"/>
      <c r="AA864" s="7"/>
    </row>
    <row r="865" spans="1:27" ht="14.5" x14ac:dyDescent="0.35">
      <c r="A865" s="7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7"/>
      <c r="X865" s="7"/>
      <c r="Y865" s="7"/>
      <c r="Z865" s="7"/>
      <c r="AA865" s="7"/>
    </row>
    <row r="866" spans="1:27" ht="14.5" x14ac:dyDescent="0.35">
      <c r="A866" s="7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7"/>
      <c r="X866" s="7"/>
      <c r="Y866" s="7"/>
      <c r="Z866" s="7"/>
      <c r="AA866" s="7"/>
    </row>
    <row r="867" spans="1:27" ht="14.5" x14ac:dyDescent="0.35">
      <c r="A867" s="7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7"/>
      <c r="X867" s="7"/>
      <c r="Y867" s="7"/>
      <c r="Z867" s="7"/>
      <c r="AA867" s="7"/>
    </row>
    <row r="868" spans="1:27" ht="14.5" x14ac:dyDescent="0.35">
      <c r="A868" s="7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7"/>
      <c r="X868" s="7"/>
      <c r="Y868" s="7"/>
      <c r="Z868" s="7"/>
      <c r="AA868" s="7"/>
    </row>
    <row r="869" spans="1:27" ht="14.5" x14ac:dyDescent="0.35">
      <c r="A869" s="7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7"/>
      <c r="X869" s="7"/>
      <c r="Y869" s="7"/>
      <c r="Z869" s="7"/>
      <c r="AA869" s="7"/>
    </row>
    <row r="870" spans="1:27" ht="14.5" x14ac:dyDescent="0.35">
      <c r="A870" s="7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7"/>
      <c r="X870" s="7"/>
      <c r="Y870" s="7"/>
      <c r="Z870" s="7"/>
      <c r="AA870" s="7"/>
    </row>
    <row r="871" spans="1:27" ht="14.5" x14ac:dyDescent="0.35">
      <c r="A871" s="7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7"/>
      <c r="X871" s="7"/>
      <c r="Y871" s="7"/>
      <c r="Z871" s="7"/>
      <c r="AA871" s="7"/>
    </row>
    <row r="872" spans="1:27" ht="14.5" x14ac:dyDescent="0.35">
      <c r="A872" s="7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7"/>
      <c r="X872" s="7"/>
      <c r="Y872" s="7"/>
      <c r="Z872" s="7"/>
      <c r="AA872" s="7"/>
    </row>
    <row r="873" spans="1:27" ht="14.5" x14ac:dyDescent="0.35">
      <c r="A873" s="7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7"/>
      <c r="X873" s="7"/>
      <c r="Y873" s="7"/>
      <c r="Z873" s="7"/>
      <c r="AA873" s="7"/>
    </row>
    <row r="874" spans="1:27" ht="14.5" x14ac:dyDescent="0.35">
      <c r="A874" s="7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7"/>
      <c r="X874" s="7"/>
      <c r="Y874" s="7"/>
      <c r="Z874" s="7"/>
      <c r="AA874" s="7"/>
    </row>
    <row r="875" spans="1:27" ht="14.5" x14ac:dyDescent="0.35">
      <c r="A875" s="7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7"/>
      <c r="X875" s="7"/>
      <c r="Y875" s="7"/>
      <c r="Z875" s="7"/>
      <c r="AA875" s="7"/>
    </row>
    <row r="876" spans="1:27" ht="14.5" x14ac:dyDescent="0.35">
      <c r="A876" s="7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7"/>
      <c r="X876" s="7"/>
      <c r="Y876" s="7"/>
      <c r="Z876" s="7"/>
      <c r="AA876" s="7"/>
    </row>
    <row r="877" spans="1:27" ht="14.5" x14ac:dyDescent="0.35">
      <c r="A877" s="7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7"/>
      <c r="X877" s="7"/>
      <c r="Y877" s="7"/>
      <c r="Z877" s="7"/>
      <c r="AA877" s="7"/>
    </row>
    <row r="878" spans="1:27" ht="14.5" x14ac:dyDescent="0.35">
      <c r="A878" s="7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7"/>
      <c r="X878" s="7"/>
      <c r="Y878" s="7"/>
      <c r="Z878" s="7"/>
      <c r="AA878" s="7"/>
    </row>
    <row r="879" spans="1:27" ht="14.5" x14ac:dyDescent="0.35">
      <c r="A879" s="7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7"/>
      <c r="X879" s="7"/>
      <c r="Y879" s="7"/>
      <c r="Z879" s="7"/>
      <c r="AA879" s="7"/>
    </row>
    <row r="880" spans="1:27" ht="14.5" x14ac:dyDescent="0.35">
      <c r="A880" s="7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7"/>
      <c r="X880" s="7"/>
      <c r="Y880" s="7"/>
      <c r="Z880" s="7"/>
      <c r="AA880" s="7"/>
    </row>
    <row r="881" spans="1:27" ht="14.5" x14ac:dyDescent="0.35">
      <c r="A881" s="7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7"/>
      <c r="X881" s="7"/>
      <c r="Y881" s="7"/>
      <c r="Z881" s="7"/>
      <c r="AA881" s="7"/>
    </row>
    <row r="882" spans="1:27" ht="14.5" x14ac:dyDescent="0.35">
      <c r="A882" s="7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7"/>
      <c r="X882" s="7"/>
      <c r="Y882" s="7"/>
      <c r="Z882" s="7"/>
      <c r="AA882" s="7"/>
    </row>
    <row r="883" spans="1:27" ht="14.5" x14ac:dyDescent="0.35">
      <c r="A883" s="7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7"/>
      <c r="X883" s="7"/>
      <c r="Y883" s="7"/>
      <c r="Z883" s="7"/>
      <c r="AA883" s="7"/>
    </row>
    <row r="884" spans="1:27" ht="14.5" x14ac:dyDescent="0.35">
      <c r="A884" s="7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7"/>
      <c r="X884" s="7"/>
      <c r="Y884" s="7"/>
      <c r="Z884" s="7"/>
      <c r="AA884" s="7"/>
    </row>
    <row r="885" spans="1:27" ht="14.5" x14ac:dyDescent="0.35">
      <c r="A885" s="7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7"/>
      <c r="X885" s="7"/>
      <c r="Y885" s="7"/>
      <c r="Z885" s="7"/>
      <c r="AA885" s="7"/>
    </row>
    <row r="886" spans="1:27" ht="14.5" x14ac:dyDescent="0.35">
      <c r="A886" s="7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7"/>
      <c r="X886" s="7"/>
      <c r="Y886" s="7"/>
      <c r="Z886" s="7"/>
      <c r="AA886" s="7"/>
    </row>
    <row r="887" spans="1:27" ht="14.5" x14ac:dyDescent="0.35">
      <c r="A887" s="7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7"/>
      <c r="X887" s="7"/>
      <c r="Y887" s="7"/>
      <c r="Z887" s="7"/>
      <c r="AA887" s="7"/>
    </row>
    <row r="888" spans="1:27" ht="14.5" x14ac:dyDescent="0.35">
      <c r="A888" s="7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7"/>
      <c r="X888" s="7"/>
      <c r="Y888" s="7"/>
      <c r="Z888" s="7"/>
      <c r="AA888" s="7"/>
    </row>
    <row r="889" spans="1:27" ht="14.5" x14ac:dyDescent="0.35">
      <c r="A889" s="7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7"/>
      <c r="X889" s="7"/>
      <c r="Y889" s="7"/>
      <c r="Z889" s="7"/>
      <c r="AA889" s="7"/>
    </row>
    <row r="890" spans="1:27" ht="14.5" x14ac:dyDescent="0.35">
      <c r="A890" s="7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7"/>
      <c r="X890" s="7"/>
      <c r="Y890" s="7"/>
      <c r="Z890" s="7"/>
      <c r="AA890" s="7"/>
    </row>
    <row r="891" spans="1:27" ht="14.5" x14ac:dyDescent="0.35">
      <c r="A891" s="7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7"/>
      <c r="X891" s="7"/>
      <c r="Y891" s="7"/>
      <c r="Z891" s="7"/>
      <c r="AA891" s="7"/>
    </row>
    <row r="892" spans="1:27" ht="14.5" x14ac:dyDescent="0.35">
      <c r="A892" s="7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7"/>
      <c r="X892" s="7"/>
      <c r="Y892" s="7"/>
      <c r="Z892" s="7"/>
      <c r="AA892" s="7"/>
    </row>
    <row r="893" spans="1:27" ht="14.5" x14ac:dyDescent="0.35">
      <c r="A893" s="7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7"/>
      <c r="X893" s="7"/>
      <c r="Y893" s="7"/>
      <c r="Z893" s="7"/>
      <c r="AA893" s="7"/>
    </row>
    <row r="894" spans="1:27" ht="14.5" x14ac:dyDescent="0.35">
      <c r="A894" s="7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7"/>
      <c r="X894" s="7"/>
      <c r="Y894" s="7"/>
      <c r="Z894" s="7"/>
      <c r="AA894" s="7"/>
    </row>
    <row r="895" spans="1:27" ht="14.5" x14ac:dyDescent="0.35">
      <c r="A895" s="7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7"/>
      <c r="X895" s="7"/>
      <c r="Y895" s="7"/>
      <c r="Z895" s="7"/>
      <c r="AA895" s="7"/>
    </row>
    <row r="896" spans="1:27" ht="14.5" x14ac:dyDescent="0.35">
      <c r="A896" s="7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7"/>
      <c r="X896" s="7"/>
      <c r="Y896" s="7"/>
      <c r="Z896" s="7"/>
      <c r="AA896" s="7"/>
    </row>
    <row r="897" spans="1:27" ht="14.5" x14ac:dyDescent="0.35">
      <c r="A897" s="7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7"/>
      <c r="X897" s="7"/>
      <c r="Y897" s="7"/>
      <c r="Z897" s="7"/>
      <c r="AA897" s="7"/>
    </row>
    <row r="898" spans="1:27" ht="14.5" x14ac:dyDescent="0.35">
      <c r="A898" s="7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7"/>
      <c r="X898" s="7"/>
      <c r="Y898" s="7"/>
      <c r="Z898" s="7"/>
      <c r="AA898" s="7"/>
    </row>
    <row r="899" spans="1:27" ht="14.5" x14ac:dyDescent="0.35">
      <c r="A899" s="7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7"/>
      <c r="X899" s="7"/>
      <c r="Y899" s="7"/>
      <c r="Z899" s="7"/>
      <c r="AA899" s="7"/>
    </row>
    <row r="900" spans="1:27" ht="14.5" x14ac:dyDescent="0.35">
      <c r="A900" s="7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7"/>
      <c r="X900" s="7"/>
      <c r="Y900" s="7"/>
      <c r="Z900" s="7"/>
      <c r="AA900" s="7"/>
    </row>
    <row r="901" spans="1:27" ht="14.5" x14ac:dyDescent="0.35">
      <c r="A901" s="7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7"/>
      <c r="X901" s="7"/>
      <c r="Y901" s="7"/>
      <c r="Z901" s="7"/>
      <c r="AA901" s="7"/>
    </row>
    <row r="902" spans="1:27" ht="14.5" x14ac:dyDescent="0.35">
      <c r="A902" s="7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7"/>
      <c r="X902" s="7"/>
      <c r="Y902" s="7"/>
      <c r="Z902" s="7"/>
      <c r="AA902" s="7"/>
    </row>
    <row r="903" spans="1:27" ht="14.5" x14ac:dyDescent="0.35">
      <c r="A903" s="7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7"/>
      <c r="X903" s="7"/>
      <c r="Y903" s="7"/>
      <c r="Z903" s="7"/>
      <c r="AA903" s="7"/>
    </row>
    <row r="904" spans="1:27" ht="14.5" x14ac:dyDescent="0.35">
      <c r="A904" s="7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7"/>
      <c r="X904" s="7"/>
      <c r="Y904" s="7"/>
      <c r="Z904" s="7"/>
      <c r="AA904" s="7"/>
    </row>
    <row r="905" spans="1:27" ht="14.5" x14ac:dyDescent="0.35">
      <c r="A905" s="7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7"/>
      <c r="X905" s="7"/>
      <c r="Y905" s="7"/>
      <c r="Z905" s="7"/>
      <c r="AA905" s="7"/>
    </row>
    <row r="906" spans="1:27" ht="14.5" x14ac:dyDescent="0.35">
      <c r="A906" s="7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7"/>
      <c r="X906" s="7"/>
      <c r="Y906" s="7"/>
      <c r="Z906" s="7"/>
      <c r="AA906" s="7"/>
    </row>
    <row r="907" spans="1:27" ht="14.5" x14ac:dyDescent="0.35">
      <c r="A907" s="7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7"/>
      <c r="X907" s="7"/>
      <c r="Y907" s="7"/>
      <c r="Z907" s="7"/>
      <c r="AA907" s="7"/>
    </row>
    <row r="908" spans="1:27" ht="14.5" x14ac:dyDescent="0.35">
      <c r="A908" s="7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7"/>
      <c r="X908" s="7"/>
      <c r="Y908" s="7"/>
      <c r="Z908" s="7"/>
      <c r="AA908" s="7"/>
    </row>
    <row r="909" spans="1:27" ht="14.5" x14ac:dyDescent="0.35">
      <c r="A909" s="7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7"/>
      <c r="X909" s="7"/>
      <c r="Y909" s="7"/>
      <c r="Z909" s="7"/>
      <c r="AA909" s="7"/>
    </row>
    <row r="910" spans="1:27" ht="14.5" x14ac:dyDescent="0.35">
      <c r="A910" s="7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7"/>
      <c r="X910" s="7"/>
      <c r="Y910" s="7"/>
      <c r="Z910" s="7"/>
      <c r="AA910" s="7"/>
    </row>
    <row r="911" spans="1:27" ht="14.5" x14ac:dyDescent="0.35">
      <c r="A911" s="7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7"/>
      <c r="X911" s="7"/>
      <c r="Y911" s="7"/>
      <c r="Z911" s="7"/>
      <c r="AA911" s="7"/>
    </row>
    <row r="912" spans="1:27" ht="14.5" x14ac:dyDescent="0.35">
      <c r="A912" s="7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7"/>
      <c r="X912" s="7"/>
      <c r="Y912" s="7"/>
      <c r="Z912" s="7"/>
      <c r="AA912" s="7"/>
    </row>
    <row r="913" spans="1:27" ht="14.5" x14ac:dyDescent="0.35">
      <c r="A913" s="7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7"/>
      <c r="X913" s="7"/>
      <c r="Y913" s="7"/>
      <c r="Z913" s="7"/>
      <c r="AA913" s="7"/>
    </row>
    <row r="914" spans="1:27" ht="14.5" x14ac:dyDescent="0.35">
      <c r="A914" s="7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7"/>
      <c r="X914" s="7"/>
      <c r="Y914" s="7"/>
      <c r="Z914" s="7"/>
      <c r="AA914" s="7"/>
    </row>
    <row r="915" spans="1:27" ht="14.5" x14ac:dyDescent="0.35">
      <c r="A915" s="7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7"/>
      <c r="X915" s="7"/>
      <c r="Y915" s="7"/>
      <c r="Z915" s="7"/>
      <c r="AA915" s="7"/>
    </row>
    <row r="916" spans="1:27" ht="14.5" x14ac:dyDescent="0.35">
      <c r="A916" s="7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7"/>
      <c r="X916" s="7"/>
      <c r="Y916" s="7"/>
      <c r="Z916" s="7"/>
      <c r="AA916" s="7"/>
    </row>
    <row r="917" spans="1:27" ht="14.5" x14ac:dyDescent="0.35">
      <c r="A917" s="7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7"/>
      <c r="X917" s="7"/>
      <c r="Y917" s="7"/>
      <c r="Z917" s="7"/>
      <c r="AA917" s="7"/>
    </row>
    <row r="918" spans="1:27" ht="14.5" x14ac:dyDescent="0.35">
      <c r="A918" s="7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7"/>
      <c r="X918" s="7"/>
      <c r="Y918" s="7"/>
      <c r="Z918" s="7"/>
      <c r="AA918" s="7"/>
    </row>
    <row r="919" spans="1:27" ht="14.5" x14ac:dyDescent="0.35">
      <c r="A919" s="7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7"/>
      <c r="X919" s="7"/>
      <c r="Y919" s="7"/>
      <c r="Z919" s="7"/>
      <c r="AA919" s="7"/>
    </row>
    <row r="920" spans="1:27" ht="14.5" x14ac:dyDescent="0.35">
      <c r="A920" s="7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7"/>
      <c r="X920" s="7"/>
      <c r="Y920" s="7"/>
      <c r="Z920" s="7"/>
      <c r="AA920" s="7"/>
    </row>
    <row r="921" spans="1:27" ht="14.5" x14ac:dyDescent="0.35">
      <c r="A921" s="7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7"/>
      <c r="X921" s="7"/>
      <c r="Y921" s="7"/>
      <c r="Z921" s="7"/>
      <c r="AA921" s="7"/>
    </row>
    <row r="922" spans="1:27" ht="14.5" x14ac:dyDescent="0.35">
      <c r="A922" s="7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7"/>
      <c r="X922" s="7"/>
      <c r="Y922" s="7"/>
      <c r="Z922" s="7"/>
      <c r="AA922" s="7"/>
    </row>
    <row r="923" spans="1:27" ht="14.5" x14ac:dyDescent="0.35">
      <c r="A923" s="7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7"/>
      <c r="X923" s="7"/>
      <c r="Y923" s="7"/>
      <c r="Z923" s="7"/>
      <c r="AA923" s="7"/>
    </row>
    <row r="924" spans="1:27" ht="14.5" x14ac:dyDescent="0.35">
      <c r="A924" s="7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7"/>
      <c r="X924" s="7"/>
      <c r="Y924" s="7"/>
      <c r="Z924" s="7"/>
      <c r="AA924" s="7"/>
    </row>
    <row r="925" spans="1:27" ht="14.5" x14ac:dyDescent="0.35">
      <c r="A925" s="7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7"/>
      <c r="X925" s="7"/>
      <c r="Y925" s="7"/>
      <c r="Z925" s="7"/>
      <c r="AA925" s="7"/>
    </row>
    <row r="926" spans="1:27" ht="14.5" x14ac:dyDescent="0.35">
      <c r="A926" s="7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7"/>
      <c r="X926" s="7"/>
      <c r="Y926" s="7"/>
      <c r="Z926" s="7"/>
      <c r="AA926" s="7"/>
    </row>
    <row r="927" spans="1:27" ht="14.5" x14ac:dyDescent="0.35">
      <c r="A927" s="7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7"/>
      <c r="X927" s="7"/>
      <c r="Y927" s="7"/>
      <c r="Z927" s="7"/>
      <c r="AA927" s="7"/>
    </row>
    <row r="928" spans="1:27" ht="14.5" x14ac:dyDescent="0.35">
      <c r="A928" s="7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7"/>
      <c r="X928" s="7"/>
      <c r="Y928" s="7"/>
      <c r="Z928" s="7"/>
      <c r="AA928" s="7"/>
    </row>
    <row r="929" spans="1:27" ht="14.5" x14ac:dyDescent="0.35">
      <c r="A929" s="7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7"/>
      <c r="X929" s="7"/>
      <c r="Y929" s="7"/>
      <c r="Z929" s="7"/>
      <c r="AA929" s="7"/>
    </row>
    <row r="930" spans="1:27" ht="14.5" x14ac:dyDescent="0.35">
      <c r="A930" s="7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7"/>
      <c r="X930" s="7"/>
      <c r="Y930" s="7"/>
      <c r="Z930" s="7"/>
      <c r="AA930" s="7"/>
    </row>
    <row r="931" spans="1:27" ht="14.5" x14ac:dyDescent="0.35">
      <c r="A931" s="7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7"/>
      <c r="X931" s="7"/>
      <c r="Y931" s="7"/>
      <c r="Z931" s="7"/>
      <c r="AA931" s="7"/>
    </row>
    <row r="932" spans="1:27" ht="14.5" x14ac:dyDescent="0.35">
      <c r="A932" s="7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7"/>
      <c r="X932" s="7"/>
      <c r="Y932" s="7"/>
      <c r="Z932" s="7"/>
      <c r="AA932" s="7"/>
    </row>
    <row r="933" spans="1:27" ht="14.5" x14ac:dyDescent="0.35">
      <c r="A933" s="7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7"/>
      <c r="X933" s="7"/>
      <c r="Y933" s="7"/>
      <c r="Z933" s="7"/>
      <c r="AA933" s="7"/>
    </row>
    <row r="934" spans="1:27" ht="14.5" x14ac:dyDescent="0.35">
      <c r="A934" s="7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7"/>
      <c r="X934" s="7"/>
      <c r="Y934" s="7"/>
      <c r="Z934" s="7"/>
      <c r="AA934" s="7"/>
    </row>
    <row r="935" spans="1:27" ht="14.5" x14ac:dyDescent="0.35">
      <c r="A935" s="7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7"/>
      <c r="X935" s="7"/>
      <c r="Y935" s="7"/>
      <c r="Z935" s="7"/>
      <c r="AA935" s="7"/>
    </row>
    <row r="936" spans="1:27" ht="14.5" x14ac:dyDescent="0.35">
      <c r="A936" s="7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7"/>
      <c r="X936" s="7"/>
      <c r="Y936" s="7"/>
      <c r="Z936" s="7"/>
      <c r="AA936" s="7"/>
    </row>
    <row r="937" spans="1:27" ht="14.5" x14ac:dyDescent="0.35">
      <c r="A937" s="7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7"/>
      <c r="X937" s="7"/>
      <c r="Y937" s="7"/>
      <c r="Z937" s="7"/>
      <c r="AA937" s="7"/>
    </row>
    <row r="938" spans="1:27" ht="14.5" x14ac:dyDescent="0.35">
      <c r="A938" s="7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7"/>
      <c r="X938" s="7"/>
      <c r="Y938" s="7"/>
      <c r="Z938" s="7"/>
      <c r="AA938" s="7"/>
    </row>
    <row r="939" spans="1:27" ht="14.5" x14ac:dyDescent="0.35">
      <c r="A939" s="7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7"/>
      <c r="X939" s="7"/>
      <c r="Y939" s="7"/>
      <c r="Z939" s="7"/>
      <c r="AA939" s="7"/>
    </row>
    <row r="940" spans="1:27" ht="14.5" x14ac:dyDescent="0.35">
      <c r="A940" s="7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7"/>
      <c r="X940" s="7"/>
      <c r="Y940" s="7"/>
      <c r="Z940" s="7"/>
      <c r="AA940" s="7"/>
    </row>
    <row r="941" spans="1:27" ht="14.5" x14ac:dyDescent="0.35">
      <c r="A941" s="7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7"/>
      <c r="X941" s="7"/>
      <c r="Y941" s="7"/>
      <c r="Z941" s="7"/>
      <c r="AA941" s="7"/>
    </row>
    <row r="942" spans="1:27" ht="14.5" x14ac:dyDescent="0.35">
      <c r="A942" s="7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7"/>
      <c r="X942" s="7"/>
      <c r="Y942" s="7"/>
      <c r="Z942" s="7"/>
      <c r="AA942" s="7"/>
    </row>
    <row r="943" spans="1:27" ht="14.5" x14ac:dyDescent="0.35">
      <c r="A943" s="7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7"/>
      <c r="X943" s="7"/>
      <c r="Y943" s="7"/>
      <c r="Z943" s="7"/>
      <c r="AA943" s="7"/>
    </row>
    <row r="944" spans="1:27" ht="14.5" x14ac:dyDescent="0.35">
      <c r="A944" s="7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7"/>
      <c r="X944" s="7"/>
      <c r="Y944" s="7"/>
      <c r="Z944" s="7"/>
      <c r="AA944" s="7"/>
    </row>
    <row r="945" spans="1:27" ht="14.5" x14ac:dyDescent="0.35">
      <c r="A945" s="7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7"/>
      <c r="X945" s="7"/>
      <c r="Y945" s="7"/>
      <c r="Z945" s="7"/>
      <c r="AA945" s="7"/>
    </row>
    <row r="946" spans="1:27" ht="14.5" x14ac:dyDescent="0.35">
      <c r="A946" s="7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7"/>
      <c r="X946" s="7"/>
      <c r="Y946" s="7"/>
      <c r="Z946" s="7"/>
      <c r="AA946" s="7"/>
    </row>
    <row r="947" spans="1:27" ht="14.5" x14ac:dyDescent="0.35">
      <c r="A947" s="7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7"/>
      <c r="X947" s="7"/>
      <c r="Y947" s="7"/>
      <c r="Z947" s="7"/>
      <c r="AA947" s="7"/>
    </row>
    <row r="948" spans="1:27" ht="14.5" x14ac:dyDescent="0.35">
      <c r="A948" s="7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7"/>
      <c r="X948" s="7"/>
      <c r="Y948" s="7"/>
      <c r="Z948" s="7"/>
      <c r="AA948" s="7"/>
    </row>
    <row r="949" spans="1:27" ht="14.5" x14ac:dyDescent="0.35">
      <c r="A949" s="7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7"/>
      <c r="X949" s="7"/>
      <c r="Y949" s="7"/>
      <c r="Z949" s="7"/>
      <c r="AA949" s="7"/>
    </row>
    <row r="950" spans="1:27" ht="14.5" x14ac:dyDescent="0.35">
      <c r="A950" s="7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7"/>
      <c r="X950" s="7"/>
      <c r="Y950" s="7"/>
      <c r="Z950" s="7"/>
      <c r="AA950" s="7"/>
    </row>
    <row r="951" spans="1:27" ht="14.5" x14ac:dyDescent="0.35">
      <c r="A951" s="7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7"/>
      <c r="X951" s="7"/>
      <c r="Y951" s="7"/>
      <c r="Z951" s="7"/>
      <c r="AA951" s="7"/>
    </row>
    <row r="952" spans="1:27" ht="14.5" x14ac:dyDescent="0.35">
      <c r="A952" s="7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7"/>
      <c r="X952" s="7"/>
      <c r="Y952" s="7"/>
      <c r="Z952" s="7"/>
      <c r="AA952" s="7"/>
    </row>
    <row r="953" spans="1:27" ht="14.5" x14ac:dyDescent="0.35">
      <c r="A953" s="7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7"/>
      <c r="X953" s="7"/>
      <c r="Y953" s="7"/>
      <c r="Z953" s="7"/>
      <c r="AA953" s="7"/>
    </row>
    <row r="954" spans="1:27" ht="14.5" x14ac:dyDescent="0.35">
      <c r="A954" s="7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7"/>
      <c r="X954" s="7"/>
      <c r="Y954" s="7"/>
      <c r="Z954" s="7"/>
      <c r="AA954" s="7"/>
    </row>
    <row r="955" spans="1:27" ht="14.5" x14ac:dyDescent="0.35">
      <c r="A955" s="7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7"/>
      <c r="X955" s="7"/>
      <c r="Y955" s="7"/>
      <c r="Z955" s="7"/>
      <c r="AA955" s="7"/>
    </row>
    <row r="956" spans="1:27" ht="14.5" x14ac:dyDescent="0.35">
      <c r="A956" s="7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7"/>
      <c r="X956" s="7"/>
      <c r="Y956" s="7"/>
      <c r="Z956" s="7"/>
      <c r="AA956" s="7"/>
    </row>
    <row r="957" spans="1:27" ht="14.5" x14ac:dyDescent="0.35">
      <c r="A957" s="7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7"/>
      <c r="X957" s="7"/>
      <c r="Y957" s="7"/>
      <c r="Z957" s="7"/>
      <c r="AA957" s="7"/>
    </row>
    <row r="958" spans="1:27" ht="14.5" x14ac:dyDescent="0.35">
      <c r="A958" s="7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7"/>
      <c r="X958" s="7"/>
      <c r="Y958" s="7"/>
      <c r="Z958" s="7"/>
      <c r="AA958" s="7"/>
    </row>
    <row r="959" spans="1:27" ht="14.5" x14ac:dyDescent="0.35">
      <c r="A959" s="7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7"/>
      <c r="X959" s="7"/>
      <c r="Y959" s="7"/>
      <c r="Z959" s="7"/>
      <c r="AA959" s="7"/>
    </row>
    <row r="960" spans="1:27" ht="14.5" x14ac:dyDescent="0.35">
      <c r="A960" s="7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7"/>
      <c r="X960" s="7"/>
      <c r="Y960" s="7"/>
      <c r="Z960" s="7"/>
      <c r="AA960" s="7"/>
    </row>
    <row r="961" spans="1:27" ht="14.5" x14ac:dyDescent="0.35">
      <c r="A961" s="7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7"/>
      <c r="X961" s="7"/>
      <c r="Y961" s="7"/>
      <c r="Z961" s="7"/>
      <c r="AA961" s="7"/>
    </row>
    <row r="962" spans="1:27" ht="14.5" x14ac:dyDescent="0.35">
      <c r="A962" s="7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7"/>
      <c r="X962" s="7"/>
      <c r="Y962" s="7"/>
      <c r="Z962" s="7"/>
      <c r="AA962" s="7"/>
    </row>
    <row r="963" spans="1:27" ht="14.5" x14ac:dyDescent="0.35">
      <c r="A963" s="7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7"/>
      <c r="X963" s="7"/>
      <c r="Y963" s="7"/>
      <c r="Z963" s="7"/>
      <c r="AA963" s="7"/>
    </row>
    <row r="964" spans="1:27" ht="14.5" x14ac:dyDescent="0.35">
      <c r="A964" s="7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7"/>
      <c r="X964" s="7"/>
      <c r="Y964" s="7"/>
      <c r="Z964" s="7"/>
      <c r="AA964" s="7"/>
    </row>
    <row r="965" spans="1:27" ht="14.5" x14ac:dyDescent="0.35">
      <c r="A965" s="7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7"/>
      <c r="X965" s="7"/>
      <c r="Y965" s="7"/>
      <c r="Z965" s="7"/>
      <c r="AA965" s="7"/>
    </row>
    <row r="966" spans="1:27" ht="14.5" x14ac:dyDescent="0.35">
      <c r="A966" s="7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7"/>
      <c r="X966" s="7"/>
      <c r="Y966" s="7"/>
      <c r="Z966" s="7"/>
      <c r="AA966" s="7"/>
    </row>
    <row r="967" spans="1:27" ht="14.5" x14ac:dyDescent="0.35">
      <c r="A967" s="7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7"/>
      <c r="X967" s="7"/>
      <c r="Y967" s="7"/>
      <c r="Z967" s="7"/>
      <c r="AA967" s="7"/>
    </row>
    <row r="968" spans="1:27" ht="14.5" x14ac:dyDescent="0.35">
      <c r="A968" s="7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7"/>
      <c r="X968" s="7"/>
      <c r="Y968" s="7"/>
      <c r="Z968" s="7"/>
      <c r="AA968" s="7"/>
    </row>
    <row r="969" spans="1:27" ht="14.5" x14ac:dyDescent="0.35">
      <c r="A969" s="7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7"/>
      <c r="X969" s="7"/>
      <c r="Y969" s="7"/>
      <c r="Z969" s="7"/>
      <c r="AA969" s="7"/>
    </row>
    <row r="970" spans="1:27" ht="14.5" x14ac:dyDescent="0.35">
      <c r="A970" s="7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7"/>
      <c r="X970" s="7"/>
      <c r="Y970" s="7"/>
      <c r="Z970" s="7"/>
      <c r="AA970" s="7"/>
    </row>
    <row r="971" spans="1:27" ht="14.5" x14ac:dyDescent="0.35">
      <c r="A971" s="7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7"/>
      <c r="X971" s="7"/>
      <c r="Y971" s="7"/>
      <c r="Z971" s="7"/>
      <c r="AA971" s="7"/>
    </row>
    <row r="972" spans="1:27" ht="14.5" x14ac:dyDescent="0.35">
      <c r="A972" s="7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7"/>
      <c r="X972" s="7"/>
      <c r="Y972" s="7"/>
      <c r="Z972" s="7"/>
      <c r="AA972" s="7"/>
    </row>
    <row r="973" spans="1:27" ht="14.5" x14ac:dyDescent="0.35">
      <c r="A973" s="7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7"/>
      <c r="X973" s="7"/>
      <c r="Y973" s="7"/>
      <c r="Z973" s="7"/>
      <c r="AA973" s="7"/>
    </row>
    <row r="974" spans="1:27" ht="14.5" x14ac:dyDescent="0.35">
      <c r="A974" s="7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7"/>
      <c r="X974" s="7"/>
      <c r="Y974" s="7"/>
      <c r="Z974" s="7"/>
      <c r="AA974" s="7"/>
    </row>
    <row r="975" spans="1:27" ht="14.5" x14ac:dyDescent="0.35">
      <c r="A975" s="7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7"/>
      <c r="X975" s="7"/>
      <c r="Y975" s="7"/>
      <c r="Z975" s="7"/>
      <c r="AA975" s="7"/>
    </row>
    <row r="976" spans="1:27" ht="14.5" x14ac:dyDescent="0.35">
      <c r="A976" s="7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7"/>
      <c r="X976" s="7"/>
      <c r="Y976" s="7"/>
      <c r="Z976" s="7"/>
      <c r="AA976" s="7"/>
    </row>
    <row r="977" spans="1:27" ht="14.5" x14ac:dyDescent="0.35">
      <c r="A977" s="7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7"/>
      <c r="X977" s="7"/>
      <c r="Y977" s="7"/>
      <c r="Z977" s="7"/>
      <c r="AA977" s="7"/>
    </row>
    <row r="978" spans="1:27" ht="14.5" x14ac:dyDescent="0.35">
      <c r="A978" s="7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7"/>
      <c r="X978" s="7"/>
      <c r="Y978" s="7"/>
      <c r="Z978" s="7"/>
      <c r="AA978" s="7"/>
    </row>
    <row r="979" spans="1:27" ht="14.5" x14ac:dyDescent="0.35">
      <c r="A979" s="7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7"/>
      <c r="X979" s="7"/>
      <c r="Y979" s="7"/>
      <c r="Z979" s="7"/>
      <c r="AA979" s="7"/>
    </row>
    <row r="980" spans="1:27" ht="14.5" x14ac:dyDescent="0.35">
      <c r="A980" s="7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7"/>
      <c r="X980" s="7"/>
      <c r="Y980" s="7"/>
      <c r="Z980" s="7"/>
      <c r="AA980" s="7"/>
    </row>
    <row r="981" spans="1:27" ht="14.5" x14ac:dyDescent="0.35">
      <c r="A981" s="7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7"/>
      <c r="X981" s="7"/>
      <c r="Y981" s="7"/>
      <c r="Z981" s="7"/>
      <c r="AA981" s="7"/>
    </row>
    <row r="982" spans="1:27" ht="14.5" x14ac:dyDescent="0.35">
      <c r="A982" s="7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7"/>
      <c r="X982" s="7"/>
      <c r="Y982" s="7"/>
      <c r="Z982" s="7"/>
      <c r="AA982" s="7"/>
    </row>
    <row r="983" spans="1:27" ht="14.5" x14ac:dyDescent="0.35">
      <c r="A983" s="7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7"/>
      <c r="X983" s="7"/>
      <c r="Y983" s="7"/>
      <c r="Z983" s="7"/>
      <c r="AA983" s="7"/>
    </row>
    <row r="984" spans="1:27" ht="14.5" x14ac:dyDescent="0.35">
      <c r="A984" s="7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7"/>
      <c r="X984" s="7"/>
      <c r="Y984" s="7"/>
      <c r="Z984" s="7"/>
      <c r="AA984" s="7"/>
    </row>
    <row r="985" spans="1:27" ht="14.5" x14ac:dyDescent="0.35">
      <c r="A985" s="7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7"/>
      <c r="X985" s="7"/>
      <c r="Y985" s="7"/>
      <c r="Z985" s="7"/>
      <c r="AA985" s="7"/>
    </row>
    <row r="986" spans="1:27" ht="14.5" x14ac:dyDescent="0.35">
      <c r="A986" s="7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7"/>
      <c r="X986" s="7"/>
      <c r="Y986" s="7"/>
      <c r="Z986" s="7"/>
      <c r="AA986" s="7"/>
    </row>
    <row r="987" spans="1:27" ht="14.5" x14ac:dyDescent="0.35">
      <c r="A987" s="7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7"/>
      <c r="X987" s="7"/>
      <c r="Y987" s="7"/>
      <c r="Z987" s="7"/>
      <c r="AA987" s="7"/>
    </row>
    <row r="988" spans="1:27" ht="14.5" x14ac:dyDescent="0.35">
      <c r="A988" s="7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7"/>
      <c r="X988" s="7"/>
      <c r="Y988" s="7"/>
      <c r="Z988" s="7"/>
      <c r="AA988" s="7"/>
    </row>
    <row r="989" spans="1:27" ht="14.5" x14ac:dyDescent="0.35">
      <c r="A989" s="7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7"/>
      <c r="X989" s="7"/>
      <c r="Y989" s="7"/>
      <c r="Z989" s="7"/>
      <c r="AA989" s="7"/>
    </row>
    <row r="990" spans="1:27" ht="14.5" x14ac:dyDescent="0.35">
      <c r="A990" s="7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7"/>
      <c r="X990" s="7"/>
      <c r="Y990" s="7"/>
      <c r="Z990" s="7"/>
      <c r="AA990" s="7"/>
    </row>
    <row r="991" spans="1:27" ht="14.5" x14ac:dyDescent="0.35">
      <c r="A991" s="7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7"/>
      <c r="X991" s="7"/>
      <c r="Y991" s="7"/>
      <c r="Z991" s="7"/>
      <c r="AA991" s="7"/>
    </row>
    <row r="992" spans="1:27" ht="14.5" x14ac:dyDescent="0.35">
      <c r="A992" s="7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7"/>
      <c r="X992" s="7"/>
      <c r="Y992" s="7"/>
      <c r="Z992" s="7"/>
      <c r="AA992" s="7"/>
    </row>
    <row r="993" spans="1:27" ht="14.5" x14ac:dyDescent="0.35">
      <c r="A993" s="7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7"/>
      <c r="X993" s="7"/>
      <c r="Y993" s="7"/>
      <c r="Z993" s="7"/>
      <c r="AA993" s="7"/>
    </row>
    <row r="994" spans="1:27" ht="14.5" x14ac:dyDescent="0.35">
      <c r="A994" s="7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7"/>
      <c r="X994" s="7"/>
      <c r="Y994" s="7"/>
      <c r="Z994" s="7"/>
      <c r="AA994" s="7"/>
    </row>
    <row r="995" spans="1:27" ht="14.5" x14ac:dyDescent="0.35">
      <c r="A995" s="7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7"/>
      <c r="X995" s="7"/>
      <c r="Y995" s="7"/>
      <c r="Z995" s="7"/>
      <c r="AA995" s="7"/>
    </row>
    <row r="996" spans="1:27" ht="14.5" x14ac:dyDescent="0.35">
      <c r="A996" s="7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7"/>
      <c r="X996" s="7"/>
      <c r="Y996" s="7"/>
      <c r="Z996" s="7"/>
      <c r="AA996" s="7"/>
    </row>
    <row r="997" spans="1:27" ht="14.5" x14ac:dyDescent="0.35">
      <c r="A997" s="7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7"/>
      <c r="X997" s="7"/>
      <c r="Y997" s="7"/>
      <c r="Z997" s="7"/>
      <c r="AA997" s="7"/>
    </row>
    <row r="998" spans="1:27" ht="14.5" x14ac:dyDescent="0.35">
      <c r="A998" s="7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7"/>
      <c r="X998" s="7"/>
      <c r="Y998" s="7"/>
      <c r="Z998" s="7"/>
      <c r="AA998" s="7"/>
    </row>
    <row r="999" spans="1:27" ht="14.5" x14ac:dyDescent="0.35">
      <c r="A999" s="7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7"/>
      <c r="X999" s="7"/>
      <c r="Y999" s="7"/>
      <c r="Z999" s="7"/>
      <c r="AA999" s="7"/>
    </row>
    <row r="1000" spans="1:27" ht="14.5" x14ac:dyDescent="0.35">
      <c r="A1000" s="7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7"/>
      <c r="X1000" s="7"/>
      <c r="Y1000" s="7"/>
      <c r="Z1000" s="7"/>
      <c r="AA1000" s="7"/>
    </row>
    <row r="1001" spans="1:27" ht="14.5" x14ac:dyDescent="0.35">
      <c r="A1001" s="7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7"/>
      <c r="X1001" s="7"/>
      <c r="Y1001" s="7"/>
      <c r="Z1001" s="7"/>
      <c r="AA1001" s="7"/>
    </row>
    <row r="1002" spans="1:27" ht="14.5" x14ac:dyDescent="0.35">
      <c r="A1002" s="7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7"/>
      <c r="X1002" s="7"/>
      <c r="Y1002" s="7"/>
      <c r="Z1002" s="7"/>
      <c r="AA1002" s="7"/>
    </row>
    <row r="1003" spans="1:27" ht="14.5" x14ac:dyDescent="0.35">
      <c r="A1003" s="7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  <c r="P1003" s="19"/>
      <c r="Q1003" s="19"/>
      <c r="R1003" s="19"/>
      <c r="S1003" s="19"/>
      <c r="T1003" s="19"/>
      <c r="U1003" s="19"/>
      <c r="V1003" s="19"/>
      <c r="W1003" s="7"/>
      <c r="X1003" s="7"/>
      <c r="Y1003" s="7"/>
      <c r="Z1003" s="7"/>
      <c r="AA1003" s="7"/>
    </row>
    <row r="1004" spans="1:27" ht="14.5" x14ac:dyDescent="0.35">
      <c r="A1004" s="7"/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7"/>
      <c r="X1004" s="7"/>
      <c r="Y1004" s="7"/>
      <c r="Z1004" s="7"/>
      <c r="AA1004" s="7"/>
    </row>
    <row r="1005" spans="1:27" ht="14.5" x14ac:dyDescent="0.35">
      <c r="A1005" s="7"/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7"/>
      <c r="X1005" s="7"/>
      <c r="Y1005" s="7"/>
      <c r="Z1005" s="7"/>
      <c r="AA1005" s="7"/>
    </row>
    <row r="1006" spans="1:27" ht="14.5" x14ac:dyDescent="0.35">
      <c r="A1006" s="7"/>
      <c r="B1006" s="19"/>
      <c r="C1006" s="19"/>
      <c r="D1006" s="19"/>
      <c r="E1006" s="19"/>
      <c r="F1006" s="19"/>
      <c r="G1006" s="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7"/>
      <c r="X1006" s="7"/>
      <c r="Y1006" s="7"/>
      <c r="Z1006" s="7"/>
      <c r="AA1006" s="7"/>
    </row>
    <row r="1007" spans="1:27" ht="14.5" x14ac:dyDescent="0.35">
      <c r="A1007" s="7"/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7"/>
      <c r="X1007" s="7"/>
      <c r="Y1007" s="7"/>
      <c r="Z1007" s="7"/>
      <c r="AA1007" s="7"/>
    </row>
    <row r="1008" spans="1:27" ht="14.5" x14ac:dyDescent="0.35">
      <c r="A1008" s="7"/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7"/>
      <c r="X1008" s="7"/>
      <c r="Y1008" s="7"/>
      <c r="Z1008" s="7"/>
      <c r="AA1008" s="7"/>
    </row>
    <row r="1009" spans="1:27" ht="14.5" x14ac:dyDescent="0.35">
      <c r="A1009" s="7"/>
      <c r="B1009" s="19"/>
      <c r="C1009" s="19"/>
      <c r="D1009" s="19"/>
      <c r="E1009" s="19"/>
      <c r="F1009" s="19"/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7"/>
      <c r="X1009" s="7"/>
      <c r="Y1009" s="7"/>
      <c r="Z1009" s="7"/>
      <c r="AA1009" s="7"/>
    </row>
    <row r="1010" spans="1:27" ht="14.5" x14ac:dyDescent="0.35">
      <c r="A1010" s="7"/>
      <c r="B1010" s="19"/>
      <c r="C1010" s="19"/>
      <c r="D1010" s="19"/>
      <c r="E1010" s="19"/>
      <c r="F1010" s="19"/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7"/>
      <c r="X1010" s="7"/>
      <c r="Y1010" s="7"/>
      <c r="Z1010" s="7"/>
      <c r="AA1010" s="7"/>
    </row>
    <row r="1011" spans="1:27" ht="14.5" x14ac:dyDescent="0.35">
      <c r="A1011" s="7"/>
      <c r="B1011" s="19"/>
      <c r="C1011" s="19"/>
      <c r="D1011" s="19"/>
      <c r="E1011" s="19"/>
      <c r="F1011" s="19"/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7"/>
      <c r="X1011" s="7"/>
      <c r="Y1011" s="7"/>
      <c r="Z1011" s="7"/>
      <c r="AA1011" s="7"/>
    </row>
    <row r="1012" spans="1:27" ht="14.5" x14ac:dyDescent="0.35">
      <c r="A1012" s="7"/>
      <c r="B1012" s="19"/>
      <c r="C1012" s="19"/>
      <c r="D1012" s="19"/>
      <c r="E1012" s="19"/>
      <c r="F1012" s="19"/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7"/>
      <c r="X1012" s="7"/>
      <c r="Y1012" s="7"/>
      <c r="Z1012" s="7"/>
      <c r="AA1012" s="7"/>
    </row>
    <row r="1013" spans="1:27" ht="14.5" x14ac:dyDescent="0.35">
      <c r="A1013" s="7"/>
      <c r="B1013" s="19"/>
      <c r="C1013" s="19"/>
      <c r="D1013" s="19"/>
      <c r="E1013" s="19"/>
      <c r="F1013" s="19"/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7"/>
      <c r="X1013" s="7"/>
      <c r="Y1013" s="7"/>
      <c r="Z1013" s="7"/>
      <c r="AA1013" s="7"/>
    </row>
    <row r="1014" spans="1:27" ht="14.5" x14ac:dyDescent="0.35">
      <c r="A1014" s="7"/>
      <c r="B1014" s="19"/>
      <c r="C1014" s="19"/>
      <c r="D1014" s="19"/>
      <c r="E1014" s="19"/>
      <c r="F1014" s="19"/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7"/>
      <c r="X1014" s="7"/>
      <c r="Y1014" s="7"/>
      <c r="Z1014" s="7"/>
      <c r="AA1014" s="7"/>
    </row>
    <row r="1015" spans="1:27" ht="14.5" x14ac:dyDescent="0.35">
      <c r="A1015" s="7"/>
      <c r="B1015" s="19"/>
      <c r="C1015" s="19"/>
      <c r="D1015" s="19"/>
      <c r="E1015" s="19"/>
      <c r="F1015" s="19"/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7"/>
      <c r="X1015" s="7"/>
      <c r="Y1015" s="7"/>
      <c r="Z1015" s="7"/>
      <c r="AA1015" s="7"/>
    </row>
    <row r="1016" spans="1:27" ht="14.5" x14ac:dyDescent="0.35">
      <c r="A1016" s="7"/>
      <c r="B1016" s="19"/>
      <c r="C1016" s="19"/>
      <c r="D1016" s="19"/>
      <c r="E1016" s="19"/>
      <c r="F1016" s="19"/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7"/>
      <c r="X1016" s="7"/>
      <c r="Y1016" s="7"/>
      <c r="Z1016" s="7"/>
      <c r="AA1016" s="7"/>
    </row>
    <row r="1017" spans="1:27" ht="14.5" x14ac:dyDescent="0.35">
      <c r="A1017" s="7"/>
      <c r="B1017" s="19"/>
      <c r="C1017" s="19"/>
      <c r="D1017" s="19"/>
      <c r="E1017" s="19"/>
      <c r="F1017" s="19"/>
      <c r="G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  <c r="V1017" s="19"/>
      <c r="W1017" s="7"/>
      <c r="X1017" s="7"/>
      <c r="Y1017" s="7"/>
      <c r="Z1017" s="7"/>
      <c r="AA1017" s="7"/>
    </row>
    <row r="1018" spans="1:27" ht="14.5" x14ac:dyDescent="0.35">
      <c r="A1018" s="7"/>
      <c r="B1018" s="19"/>
      <c r="C1018" s="19"/>
      <c r="D1018" s="19"/>
      <c r="E1018" s="19"/>
      <c r="F1018" s="19"/>
      <c r="G1018" s="19"/>
      <c r="H1018" s="19"/>
      <c r="I1018" s="19"/>
      <c r="J1018" s="19"/>
      <c r="K1018" s="19"/>
      <c r="L1018" s="19"/>
      <c r="M1018" s="19"/>
      <c r="N1018" s="19"/>
      <c r="O1018" s="19"/>
      <c r="P1018" s="19"/>
      <c r="Q1018" s="19"/>
      <c r="R1018" s="19"/>
      <c r="S1018" s="19"/>
      <c r="T1018" s="19"/>
      <c r="U1018" s="19"/>
      <c r="V1018" s="19"/>
      <c r="W1018" s="7"/>
      <c r="X1018" s="7"/>
      <c r="Y1018" s="7"/>
      <c r="Z1018" s="7"/>
      <c r="AA1018" s="7"/>
    </row>
    <row r="1019" spans="1:27" ht="14.5" x14ac:dyDescent="0.35">
      <c r="A1019" s="7"/>
      <c r="B1019" s="19"/>
      <c r="C1019" s="19"/>
      <c r="D1019" s="19"/>
      <c r="E1019" s="19"/>
      <c r="F1019" s="19"/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7"/>
      <c r="X1019" s="7"/>
      <c r="Y1019" s="7"/>
      <c r="Z1019" s="7"/>
      <c r="AA1019" s="7"/>
    </row>
    <row r="1020" spans="1:27" ht="14.5" x14ac:dyDescent="0.35">
      <c r="A1020" s="7"/>
      <c r="B1020" s="19"/>
      <c r="C1020" s="19"/>
      <c r="D1020" s="19"/>
      <c r="E1020" s="19"/>
      <c r="F1020" s="19"/>
      <c r="G1020" s="19"/>
      <c r="H1020" s="19"/>
      <c r="I1020" s="19"/>
      <c r="J1020" s="19"/>
      <c r="K1020" s="19"/>
      <c r="L1020" s="19"/>
      <c r="M1020" s="19"/>
      <c r="N1020" s="19"/>
      <c r="O1020" s="19"/>
      <c r="P1020" s="19"/>
      <c r="Q1020" s="19"/>
      <c r="R1020" s="19"/>
      <c r="S1020" s="19"/>
      <c r="T1020" s="19"/>
      <c r="U1020" s="19"/>
      <c r="V1020" s="19"/>
      <c r="W1020" s="7"/>
      <c r="X1020" s="7"/>
      <c r="Y1020" s="7"/>
      <c r="Z1020" s="7"/>
      <c r="AA1020" s="7"/>
    </row>
    <row r="1021" spans="1:27" ht="14.5" x14ac:dyDescent="0.35">
      <c r="A1021" s="7"/>
      <c r="B1021" s="19"/>
      <c r="C1021" s="19"/>
      <c r="D1021" s="19"/>
      <c r="E1021" s="19"/>
      <c r="F1021" s="19"/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7"/>
      <c r="X1021" s="7"/>
      <c r="Y1021" s="7"/>
      <c r="Z1021" s="7"/>
      <c r="AA1021" s="7"/>
    </row>
    <row r="1022" spans="1:27" ht="14.5" x14ac:dyDescent="0.35">
      <c r="A1022" s="7"/>
      <c r="B1022" s="19"/>
      <c r="C1022" s="19"/>
      <c r="D1022" s="19"/>
      <c r="E1022" s="19"/>
      <c r="F1022" s="19"/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7"/>
      <c r="X1022" s="7"/>
      <c r="Y1022" s="7"/>
      <c r="Z1022" s="7"/>
      <c r="AA1022" s="7"/>
    </row>
    <row r="1023" spans="1:27" ht="14.5" x14ac:dyDescent="0.35">
      <c r="A1023" s="7"/>
      <c r="B1023" s="19"/>
      <c r="C1023" s="19"/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7"/>
      <c r="X1023" s="7"/>
      <c r="Y1023" s="7"/>
      <c r="Z1023" s="7"/>
      <c r="AA1023" s="7"/>
    </row>
    <row r="1024" spans="1:27" ht="14.5" x14ac:dyDescent="0.35">
      <c r="A1024" s="7"/>
      <c r="B1024" s="19"/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7"/>
      <c r="X1024" s="7"/>
      <c r="Y1024" s="7"/>
      <c r="Z1024" s="7"/>
      <c r="AA1024" s="7"/>
    </row>
    <row r="1025" spans="1:27" ht="14.5" x14ac:dyDescent="0.35">
      <c r="A1025" s="7"/>
      <c r="B1025" s="19"/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7"/>
      <c r="X1025" s="7"/>
      <c r="Y1025" s="7"/>
      <c r="Z1025" s="7"/>
      <c r="AA1025" s="7"/>
    </row>
    <row r="1026" spans="1:27" ht="14.5" x14ac:dyDescent="0.35">
      <c r="A1026" s="7"/>
      <c r="B1026" s="19"/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7"/>
      <c r="X1026" s="7"/>
      <c r="Y1026" s="7"/>
      <c r="Z1026" s="7"/>
      <c r="AA1026" s="7"/>
    </row>
    <row r="1027" spans="1:27" ht="14.5" x14ac:dyDescent="0.35">
      <c r="A1027" s="7"/>
      <c r="B1027" s="19"/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7"/>
      <c r="X1027" s="7"/>
      <c r="Y1027" s="7"/>
      <c r="Z1027" s="7"/>
      <c r="AA1027" s="7"/>
    </row>
    <row r="1028" spans="1:27" ht="14.5" x14ac:dyDescent="0.35">
      <c r="A1028" s="7"/>
      <c r="B1028" s="19"/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7"/>
      <c r="X1028" s="7"/>
      <c r="Y1028" s="7"/>
      <c r="Z1028" s="7"/>
      <c r="AA1028" s="7"/>
    </row>
    <row r="1029" spans="1:27" ht="14.5" x14ac:dyDescent="0.35">
      <c r="A1029" s="7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7"/>
      <c r="X1029" s="7"/>
      <c r="Y1029" s="7"/>
      <c r="Z1029" s="7"/>
      <c r="AA1029" s="7"/>
    </row>
    <row r="1030" spans="1:27" ht="14.5" x14ac:dyDescent="0.35">
      <c r="A1030" s="7"/>
      <c r="B1030" s="19"/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7"/>
      <c r="X1030" s="7"/>
      <c r="Y1030" s="7"/>
      <c r="Z1030" s="7"/>
      <c r="AA1030" s="7"/>
    </row>
    <row r="1031" spans="1:27" ht="14.5" x14ac:dyDescent="0.35">
      <c r="A1031" s="7"/>
      <c r="B1031" s="19"/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7"/>
      <c r="X1031" s="7"/>
      <c r="Y1031" s="7"/>
      <c r="Z1031" s="7"/>
      <c r="AA1031" s="7"/>
    </row>
    <row r="1032" spans="1:27" ht="14.5" x14ac:dyDescent="0.35">
      <c r="A1032" s="7"/>
      <c r="B1032" s="19"/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7"/>
      <c r="X1032" s="7"/>
      <c r="Y1032" s="7"/>
      <c r="Z1032" s="7"/>
      <c r="AA1032" s="7"/>
    </row>
    <row r="1033" spans="1:27" ht="14.5" x14ac:dyDescent="0.35">
      <c r="A1033" s="7"/>
      <c r="B1033" s="19"/>
      <c r="C1033" s="19"/>
      <c r="D1033" s="19"/>
      <c r="E1033" s="19"/>
      <c r="F1033" s="19"/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7"/>
      <c r="X1033" s="7"/>
      <c r="Y1033" s="7"/>
      <c r="Z1033" s="7"/>
      <c r="AA1033" s="7"/>
    </row>
    <row r="1034" spans="1:27" ht="14.5" x14ac:dyDescent="0.35">
      <c r="A1034" s="7"/>
      <c r="B1034" s="19"/>
      <c r="C1034" s="19"/>
      <c r="D1034" s="19"/>
      <c r="E1034" s="19"/>
      <c r="F1034" s="19"/>
      <c r="G1034" s="19"/>
      <c r="H1034" s="19"/>
      <c r="I1034" s="19"/>
      <c r="J1034" s="19"/>
      <c r="K1034" s="19"/>
      <c r="L1034" s="19"/>
      <c r="M1034" s="19"/>
      <c r="N1034" s="19"/>
      <c r="O1034" s="19"/>
      <c r="P1034" s="19"/>
      <c r="Q1034" s="19"/>
      <c r="R1034" s="19"/>
      <c r="S1034" s="19"/>
      <c r="T1034" s="19"/>
      <c r="U1034" s="19"/>
      <c r="V1034" s="19"/>
      <c r="W1034" s="7"/>
      <c r="X1034" s="7"/>
      <c r="Y1034" s="7"/>
      <c r="Z1034" s="7"/>
      <c r="AA1034" s="7"/>
    </row>
    <row r="1035" spans="1:27" ht="14.5" x14ac:dyDescent="0.35">
      <c r="A1035" s="7"/>
      <c r="B1035" s="19"/>
      <c r="C1035" s="19"/>
      <c r="D1035" s="19"/>
      <c r="E1035" s="19"/>
      <c r="F1035" s="19"/>
      <c r="G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7"/>
      <c r="X1035" s="7"/>
      <c r="Y1035" s="7"/>
      <c r="Z1035" s="7"/>
      <c r="AA1035" s="7"/>
    </row>
    <row r="1036" spans="1:27" ht="14.5" x14ac:dyDescent="0.35">
      <c r="A1036" s="7"/>
      <c r="B1036" s="19"/>
      <c r="C1036" s="19"/>
      <c r="D1036" s="19"/>
      <c r="E1036" s="19"/>
      <c r="F1036" s="19"/>
      <c r="G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7"/>
      <c r="X1036" s="7"/>
      <c r="Y1036" s="7"/>
      <c r="Z1036" s="7"/>
      <c r="AA1036" s="7"/>
    </row>
    <row r="1037" spans="1:27" ht="14.5" x14ac:dyDescent="0.35">
      <c r="A1037" s="7"/>
      <c r="B1037" s="19"/>
      <c r="C1037" s="19"/>
      <c r="D1037" s="19"/>
      <c r="E1037" s="19"/>
      <c r="F1037" s="19"/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7"/>
      <c r="X1037" s="7"/>
      <c r="Y1037" s="7"/>
      <c r="Z1037" s="7"/>
      <c r="AA1037" s="7"/>
    </row>
    <row r="1038" spans="1:27" ht="14.5" x14ac:dyDescent="0.35">
      <c r="A1038" s="7"/>
      <c r="B1038" s="19"/>
      <c r="C1038" s="19"/>
      <c r="D1038" s="19"/>
      <c r="E1038" s="19"/>
      <c r="F1038" s="19"/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7"/>
      <c r="X1038" s="7"/>
      <c r="Y1038" s="7"/>
      <c r="Z1038" s="7"/>
      <c r="AA1038" s="7"/>
    </row>
    <row r="1039" spans="1:27" ht="14.5" x14ac:dyDescent="0.35">
      <c r="A1039" s="7"/>
      <c r="B1039" s="19"/>
      <c r="C1039" s="19"/>
      <c r="D1039" s="19"/>
      <c r="E1039" s="19"/>
      <c r="F1039" s="19"/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7"/>
      <c r="X1039" s="7"/>
      <c r="Y1039" s="7"/>
      <c r="Z1039" s="7"/>
      <c r="AA1039" s="7"/>
    </row>
  </sheetData>
  <mergeCells count="8">
    <mergeCell ref="C50:D50"/>
    <mergeCell ref="E50:F50"/>
    <mergeCell ref="C2:D2"/>
    <mergeCell ref="E2:F2"/>
    <mergeCell ref="N14:N15"/>
    <mergeCell ref="O14:O15"/>
    <mergeCell ref="C26:D26"/>
    <mergeCell ref="E26:F26"/>
  </mergeCells>
  <hyperlinks>
    <hyperlink ref="E75" r:id="rId1" location="gid=62411718" xr:uid="{00000000-0004-0000-0B00-000000000000}"/>
    <hyperlink ref="E116" r:id="rId2" location="gid=62411718" xr:uid="{00000000-0004-0000-0B00-000001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T859"/>
  <sheetViews>
    <sheetView tabSelected="1" workbookViewId="0">
      <pane xSplit="2" topLeftCell="C1" activePane="topRight" state="frozen"/>
      <selection pane="topRight" activeCell="D2" sqref="D2"/>
    </sheetView>
  </sheetViews>
  <sheetFormatPr defaultColWidth="12.6328125" defaultRowHeight="15.75" customHeight="1" x14ac:dyDescent="0.25"/>
  <cols>
    <col min="2" max="2" width="25.6328125" customWidth="1"/>
    <col min="14" max="14" width="24.08984375" customWidth="1"/>
    <col min="18" max="18" width="16.453125" customWidth="1"/>
  </cols>
  <sheetData>
    <row r="1" spans="1:20" ht="15.75" customHeight="1" x14ac:dyDescent="0.35">
      <c r="A1" s="7"/>
    </row>
    <row r="2" spans="1:20" ht="15.75" customHeight="1" x14ac:dyDescent="0.35">
      <c r="A2" s="7"/>
      <c r="B2" s="206" t="s">
        <v>361</v>
      </c>
      <c r="C2" s="131" t="s">
        <v>214</v>
      </c>
      <c r="D2" s="207" t="s">
        <v>215</v>
      </c>
      <c r="E2" s="7"/>
      <c r="F2" s="206" t="s">
        <v>362</v>
      </c>
      <c r="G2" s="131" t="s">
        <v>214</v>
      </c>
      <c r="H2" s="207" t="s">
        <v>215</v>
      </c>
      <c r="J2" s="206" t="s">
        <v>363</v>
      </c>
      <c r="K2" s="131" t="s">
        <v>214</v>
      </c>
      <c r="L2" s="207" t="s">
        <v>215</v>
      </c>
      <c r="M2" s="7"/>
    </row>
    <row r="3" spans="1:20" ht="15.75" customHeight="1" x14ac:dyDescent="0.35">
      <c r="A3" s="7"/>
      <c r="B3" s="33" t="s">
        <v>276</v>
      </c>
      <c r="C3" s="134">
        <f>'Auto Dilution Runs BPCA Calibr'!C101</f>
        <v>0.10274031381242781</v>
      </c>
      <c r="D3" s="137">
        <f>'Auto Dilution Runs BPCA Calibr'!D101</f>
        <v>8.422008912156756E-2</v>
      </c>
      <c r="E3" s="10"/>
      <c r="F3" s="33" t="s">
        <v>276</v>
      </c>
      <c r="G3" s="134">
        <f>'Auto Dilution Runs BPCA Calibr'!C106</f>
        <v>0.10346287876337326</v>
      </c>
      <c r="H3" s="137">
        <f>'Auto Dilution Runs BPCA Calibr'!D106</f>
        <v>0.1016520438264473</v>
      </c>
      <c r="J3" s="33" t="s">
        <v>276</v>
      </c>
      <c r="K3" s="134">
        <f>'Auto Dilution Runs BPCA Calibr'!C111</f>
        <v>9.8306762732278036E-2</v>
      </c>
      <c r="L3" s="137">
        <f>'Auto Dilution Runs BPCA Calibr'!D111</f>
        <v>9.4097333670474292E-2</v>
      </c>
      <c r="M3" s="10"/>
    </row>
    <row r="4" spans="1:20" ht="15.75" customHeight="1" x14ac:dyDescent="0.35">
      <c r="A4" s="7"/>
      <c r="B4" s="34" t="s">
        <v>277</v>
      </c>
      <c r="C4" s="138">
        <f>'Auto Dilution Runs BPCA Calibr'!C102</f>
        <v>19.959014309870042</v>
      </c>
      <c r="D4" s="139">
        <f>'Auto Dilution Runs BPCA Calibr'!D102</f>
        <v>23.698085476829448</v>
      </c>
      <c r="E4" s="54"/>
      <c r="F4" s="34" t="s">
        <v>277</v>
      </c>
      <c r="G4" s="138">
        <f>'Auto Dilution Runs BPCA Calibr'!C107</f>
        <v>17.154123324642228</v>
      </c>
      <c r="H4" s="139">
        <f>'Auto Dilution Runs BPCA Calibr'!D107</f>
        <v>10.012636423272653</v>
      </c>
      <c r="J4" s="34" t="s">
        <v>277</v>
      </c>
      <c r="K4" s="138">
        <f>'Auto Dilution Runs BPCA Calibr'!C112</f>
        <v>21.923944423181752</v>
      </c>
      <c r="L4" s="139">
        <f>'Auto Dilution Runs BPCA Calibr'!D112</f>
        <v>18.624186351560297</v>
      </c>
      <c r="M4" s="54"/>
    </row>
    <row r="5" spans="1:20" ht="15.75" customHeight="1" x14ac:dyDescent="0.35">
      <c r="A5" s="7"/>
    </row>
    <row r="6" spans="1:20" ht="15.75" customHeight="1" x14ac:dyDescent="0.35">
      <c r="A6" s="7"/>
    </row>
    <row r="7" spans="1:20" ht="15.75" customHeight="1" x14ac:dyDescent="0.35">
      <c r="A7" s="7"/>
      <c r="B7" s="92"/>
      <c r="C7" s="237" t="s">
        <v>278</v>
      </c>
      <c r="D7" s="221"/>
      <c r="E7" s="221"/>
      <c r="F7" s="222"/>
      <c r="G7" s="237" t="s">
        <v>279</v>
      </c>
      <c r="H7" s="222"/>
      <c r="I7" s="237" t="s">
        <v>280</v>
      </c>
      <c r="J7" s="222"/>
      <c r="K7" s="237" t="s">
        <v>143</v>
      </c>
      <c r="L7" s="222"/>
      <c r="N7" s="220" t="s">
        <v>364</v>
      </c>
      <c r="O7" s="221"/>
      <c r="P7" s="221"/>
      <c r="Q7" s="221"/>
      <c r="R7" s="221"/>
      <c r="S7" s="221"/>
      <c r="T7" s="222"/>
    </row>
    <row r="8" spans="1:20" ht="15.75" customHeight="1" x14ac:dyDescent="0.35">
      <c r="A8" s="7"/>
      <c r="B8" s="180" t="s">
        <v>0</v>
      </c>
      <c r="C8" s="3" t="s">
        <v>282</v>
      </c>
      <c r="D8" s="3" t="s">
        <v>283</v>
      </c>
      <c r="E8" s="142" t="s">
        <v>288</v>
      </c>
      <c r="F8" s="3" t="s">
        <v>289</v>
      </c>
      <c r="G8" s="208" t="s">
        <v>22</v>
      </c>
      <c r="H8" s="209" t="s">
        <v>23</v>
      </c>
      <c r="I8" s="21" t="s">
        <v>22</v>
      </c>
      <c r="J8" s="23" t="s">
        <v>23</v>
      </c>
      <c r="K8" s="21" t="s">
        <v>22</v>
      </c>
      <c r="L8" s="23" t="s">
        <v>23</v>
      </c>
      <c r="N8" s="20" t="s">
        <v>0</v>
      </c>
      <c r="O8" s="21" t="s">
        <v>294</v>
      </c>
      <c r="P8" s="5" t="s">
        <v>295</v>
      </c>
      <c r="Q8" s="5" t="s">
        <v>296</v>
      </c>
      <c r="R8" s="5" t="s">
        <v>297</v>
      </c>
      <c r="S8" s="5" t="s">
        <v>196</v>
      </c>
      <c r="T8" s="23" t="s">
        <v>192</v>
      </c>
    </row>
    <row r="9" spans="1:20" ht="15.75" customHeight="1" x14ac:dyDescent="0.35">
      <c r="A9" s="7" t="s">
        <v>361</v>
      </c>
      <c r="B9" s="38" t="s">
        <v>365</v>
      </c>
      <c r="C9" s="75">
        <f>1970*2</f>
        <v>3940</v>
      </c>
      <c r="D9" s="75">
        <f>3945*2</f>
        <v>7890</v>
      </c>
      <c r="E9" s="146">
        <v>1.4750000000000001</v>
      </c>
      <c r="F9" s="84">
        <v>2.5880000000000001</v>
      </c>
      <c r="G9" s="210">
        <f>C9*$C$3+$C$4</f>
        <v>424.75585073083562</v>
      </c>
      <c r="H9" s="211">
        <f>D9*$D$3+$D$4</f>
        <v>688.19458864599744</v>
      </c>
      <c r="I9" s="30">
        <f t="shared" ref="I9:I20" si="0">G9*Q9/R9</f>
        <v>4.6934348147053662</v>
      </c>
      <c r="J9" s="32">
        <f t="shared" ref="J9:J20" si="1">H9*Q9/R9</f>
        <v>7.6043600955358839</v>
      </c>
      <c r="K9" s="30">
        <f t="shared" ref="K9:K20" si="2">I9*S9/T9</f>
        <v>4.8202097039781303E-2</v>
      </c>
      <c r="L9" s="32">
        <f t="shared" ref="L9:L20" si="3">J9*S9/T9</f>
        <v>7.8097623110053041E-2</v>
      </c>
      <c r="M9" s="212"/>
      <c r="N9" s="38" t="s">
        <v>365</v>
      </c>
      <c r="O9" s="213">
        <v>70.258300000000006</v>
      </c>
      <c r="P9" s="77">
        <v>0.84309999999999996</v>
      </c>
      <c r="Q9" s="77">
        <v>0.1</v>
      </c>
      <c r="R9" s="77">
        <v>9.0500000000000007</v>
      </c>
      <c r="S9" s="77">
        <v>9.2431000000000001</v>
      </c>
      <c r="T9" s="78">
        <v>900</v>
      </c>
    </row>
    <row r="10" spans="1:20" ht="15.75" customHeight="1" x14ac:dyDescent="0.35">
      <c r="A10" s="7" t="s">
        <v>362</v>
      </c>
      <c r="B10" s="38" t="s">
        <v>366</v>
      </c>
      <c r="C10" s="75">
        <f>2659.2*2</f>
        <v>5318.4</v>
      </c>
      <c r="D10" s="75">
        <f>5065.7*2</f>
        <v>10131.4</v>
      </c>
      <c r="E10" s="146">
        <v>1.4379999999999999</v>
      </c>
      <c r="F10" s="84">
        <v>2.4169999999999998</v>
      </c>
      <c r="G10" s="210">
        <f>C10*$G$3+$G$4</f>
        <v>567.41109773976655</v>
      </c>
      <c r="H10" s="211">
        <f>D10*$H$3+$H$4</f>
        <v>1039.8901532465406</v>
      </c>
      <c r="I10" s="30">
        <f t="shared" si="0"/>
        <v>6.3045677526640738</v>
      </c>
      <c r="J10" s="32">
        <f t="shared" si="1"/>
        <v>11.554335036072676</v>
      </c>
      <c r="K10" s="30">
        <f t="shared" si="2"/>
        <v>6.0751084578799477E-2</v>
      </c>
      <c r="L10" s="32">
        <f t="shared" si="3"/>
        <v>0.11133806671069946</v>
      </c>
      <c r="M10" s="212"/>
      <c r="N10" s="38" t="s">
        <v>366</v>
      </c>
      <c r="O10" s="213">
        <v>75.099999999999994</v>
      </c>
      <c r="P10" s="77">
        <v>0.9012</v>
      </c>
      <c r="Q10" s="77">
        <v>0.1</v>
      </c>
      <c r="R10" s="77">
        <v>9</v>
      </c>
      <c r="S10" s="77">
        <v>9.0097000000000005</v>
      </c>
      <c r="T10" s="78">
        <v>935</v>
      </c>
    </row>
    <row r="11" spans="1:20" ht="15.75" customHeight="1" x14ac:dyDescent="0.35">
      <c r="A11" s="7" t="s">
        <v>363</v>
      </c>
      <c r="B11" s="29" t="s">
        <v>152</v>
      </c>
      <c r="C11" s="74">
        <f>290.2*2</f>
        <v>580.4</v>
      </c>
      <c r="D11" s="75">
        <f>2124.3*2</f>
        <v>4248.6000000000004</v>
      </c>
      <c r="E11" s="146">
        <v>1.599</v>
      </c>
      <c r="F11" s="84">
        <v>2.5019999999999998</v>
      </c>
      <c r="G11" s="214">
        <f t="shared" ref="G11:G14" si="4">C11*$K$3+$K$4</f>
        <v>78.981189512995911</v>
      </c>
      <c r="H11" s="215">
        <f t="shared" ref="H11:H14" si="5">D11*$L$3+$L$4</f>
        <v>418.40611818393739</v>
      </c>
      <c r="I11" s="25">
        <f t="shared" si="0"/>
        <v>1.7169823807173026</v>
      </c>
      <c r="J11" s="27">
        <f t="shared" si="1"/>
        <v>9.095785177911683</v>
      </c>
      <c r="K11" s="25">
        <f t="shared" si="2"/>
        <v>2.751184289772311E-3</v>
      </c>
      <c r="L11" s="27">
        <f t="shared" si="3"/>
        <v>1.4574512566727755E-2</v>
      </c>
      <c r="M11" s="10"/>
      <c r="N11" s="38" t="s">
        <v>152</v>
      </c>
      <c r="O11" s="213">
        <v>39.166699999999999</v>
      </c>
      <c r="P11" s="77">
        <v>0.47</v>
      </c>
      <c r="Q11" s="77">
        <v>0.1</v>
      </c>
      <c r="R11" s="77">
        <v>4.5999999999999996</v>
      </c>
      <c r="S11" s="77">
        <v>9.1877999999999993</v>
      </c>
      <c r="T11" s="78">
        <v>5734</v>
      </c>
    </row>
    <row r="12" spans="1:20" ht="15.75" customHeight="1" x14ac:dyDescent="0.35">
      <c r="A12" s="7" t="s">
        <v>363</v>
      </c>
      <c r="B12" s="29" t="s">
        <v>112</v>
      </c>
      <c r="C12" s="74">
        <f>518.8*2</f>
        <v>1037.5999999999999</v>
      </c>
      <c r="D12" s="75">
        <f>2300.9*2</f>
        <v>4601.8</v>
      </c>
      <c r="E12" s="146">
        <v>1.5820000000000001</v>
      </c>
      <c r="F12" s="84">
        <v>2.492</v>
      </c>
      <c r="G12" s="210">
        <f t="shared" si="4"/>
        <v>123.92704143419343</v>
      </c>
      <c r="H12" s="211">
        <f t="shared" si="5"/>
        <v>451.64129643634891</v>
      </c>
      <c r="I12" s="30">
        <f t="shared" si="0"/>
        <v>1.3573608043175622</v>
      </c>
      <c r="J12" s="32">
        <f t="shared" si="1"/>
        <v>4.946783093497797</v>
      </c>
      <c r="K12" s="30">
        <f t="shared" si="2"/>
        <v>3.7613562866675096E-3</v>
      </c>
      <c r="L12" s="32">
        <f t="shared" si="3"/>
        <v>1.3707935007643971E-2</v>
      </c>
      <c r="M12" s="7"/>
      <c r="N12" s="38" t="s">
        <v>112</v>
      </c>
      <c r="O12" s="213">
        <v>36.25</v>
      </c>
      <c r="P12" s="77">
        <v>0.435</v>
      </c>
      <c r="Q12" s="77">
        <v>0.1</v>
      </c>
      <c r="R12" s="77">
        <v>9.1300000000000008</v>
      </c>
      <c r="S12" s="77">
        <v>9.1029999999999998</v>
      </c>
      <c r="T12" s="78">
        <v>3285</v>
      </c>
    </row>
    <row r="13" spans="1:20" ht="15.75" customHeight="1" x14ac:dyDescent="0.35">
      <c r="A13" s="7" t="s">
        <v>363</v>
      </c>
      <c r="B13" s="29" t="s">
        <v>83</v>
      </c>
      <c r="C13" s="74">
        <f>279.8*2</f>
        <v>559.6</v>
      </c>
      <c r="D13" s="75">
        <f>2229.3*2</f>
        <v>4458.6000000000004</v>
      </c>
      <c r="E13" s="146">
        <v>1.601</v>
      </c>
      <c r="F13" s="84">
        <v>2.488</v>
      </c>
      <c r="G13" s="210">
        <f t="shared" si="4"/>
        <v>76.936408848164547</v>
      </c>
      <c r="H13" s="211">
        <f t="shared" si="5"/>
        <v>438.16655825473703</v>
      </c>
      <c r="I13" s="30">
        <f t="shared" si="0"/>
        <v>0.8317449605206978</v>
      </c>
      <c r="J13" s="32">
        <f t="shared" si="1"/>
        <v>4.7369357649160762</v>
      </c>
      <c r="K13" s="30">
        <f t="shared" si="2"/>
        <v>2.550610041513455E-3</v>
      </c>
      <c r="L13" s="32">
        <f t="shared" si="3"/>
        <v>1.4526178698378181E-2</v>
      </c>
      <c r="M13" s="10"/>
      <c r="N13" s="38" t="s">
        <v>83</v>
      </c>
      <c r="O13" s="213">
        <v>29.9604</v>
      </c>
      <c r="P13" s="77">
        <v>0.35949999999999999</v>
      </c>
      <c r="Q13" s="77">
        <v>0.1</v>
      </c>
      <c r="R13" s="77">
        <v>9.25</v>
      </c>
      <c r="S13" s="77">
        <v>9.1292000000000009</v>
      </c>
      <c r="T13" s="78">
        <v>2977</v>
      </c>
    </row>
    <row r="14" spans="1:20" ht="15.75" customHeight="1" x14ac:dyDescent="0.35">
      <c r="A14" s="7" t="s">
        <v>363</v>
      </c>
      <c r="B14" s="33" t="s">
        <v>131</v>
      </c>
      <c r="C14" s="74">
        <f>407.1*2</f>
        <v>814.2</v>
      </c>
      <c r="D14" s="75">
        <f>3979.6*2</f>
        <v>7959.2</v>
      </c>
      <c r="E14" s="146">
        <v>1.5860000000000001</v>
      </c>
      <c r="F14" s="84">
        <v>2.456</v>
      </c>
      <c r="G14" s="210">
        <f t="shared" si="4"/>
        <v>101.96531063980254</v>
      </c>
      <c r="H14" s="211">
        <f t="shared" si="5"/>
        <v>767.56368450159925</v>
      </c>
      <c r="I14" s="30">
        <f t="shared" si="0"/>
        <v>1.1720150648253167</v>
      </c>
      <c r="J14" s="32">
        <f t="shared" si="1"/>
        <v>8.8225710862252793</v>
      </c>
      <c r="K14" s="30">
        <f t="shared" si="2"/>
        <v>2.6435215663448341E-3</v>
      </c>
      <c r="L14" s="32">
        <f t="shared" si="3"/>
        <v>1.9899622143955145E-2</v>
      </c>
      <c r="M14" s="10"/>
      <c r="N14" s="38" t="s">
        <v>131</v>
      </c>
      <c r="O14" s="213">
        <v>24.444400000000002</v>
      </c>
      <c r="P14" s="77">
        <v>0.29330000000000001</v>
      </c>
      <c r="Q14" s="77">
        <v>0.1</v>
      </c>
      <c r="R14" s="77">
        <v>8.6999999999999993</v>
      </c>
      <c r="S14" s="77">
        <v>8.7401999999999997</v>
      </c>
      <c r="T14" s="78">
        <v>3875</v>
      </c>
    </row>
    <row r="15" spans="1:20" ht="15.75" customHeight="1" x14ac:dyDescent="0.35">
      <c r="A15" s="7" t="s">
        <v>363</v>
      </c>
      <c r="B15" s="34" t="s">
        <v>155</v>
      </c>
      <c r="C15" s="86">
        <f>410.3*2</f>
        <v>820.6</v>
      </c>
      <c r="D15" s="87">
        <f>3070*2</f>
        <v>6140</v>
      </c>
      <c r="E15" s="157">
        <v>1.605</v>
      </c>
      <c r="F15" s="90">
        <v>2.5139999999999998</v>
      </c>
      <c r="G15" s="216">
        <f>C15*$G$3+$G$4</f>
        <v>102.05576163786633</v>
      </c>
      <c r="H15" s="217">
        <f>D15*$H$3+$H$4</f>
        <v>634.15618551765908</v>
      </c>
      <c r="I15" s="35">
        <f t="shared" si="0"/>
        <v>3.2921213431569782</v>
      </c>
      <c r="J15" s="37">
        <f t="shared" si="1"/>
        <v>20.456651145730937</v>
      </c>
      <c r="K15" s="35">
        <f t="shared" si="2"/>
        <v>1.6757346154563185E-2</v>
      </c>
      <c r="L15" s="37">
        <f t="shared" si="3"/>
        <v>0.10412714134146335</v>
      </c>
      <c r="M15" s="10"/>
      <c r="N15" s="38" t="s">
        <v>155</v>
      </c>
      <c r="O15" s="213">
        <v>156.88890000000001</v>
      </c>
      <c r="P15" s="77">
        <v>1.8827</v>
      </c>
      <c r="Q15" s="77">
        <v>0.1</v>
      </c>
      <c r="R15" s="77">
        <v>3.1</v>
      </c>
      <c r="S15" s="77">
        <v>9.3404000000000007</v>
      </c>
      <c r="T15" s="78">
        <v>1835</v>
      </c>
    </row>
    <row r="16" spans="1:20" ht="15.75" customHeight="1" x14ac:dyDescent="0.35">
      <c r="A16" s="7" t="s">
        <v>363</v>
      </c>
      <c r="B16" s="39" t="s">
        <v>161</v>
      </c>
      <c r="C16" s="75">
        <f>251.1*2</f>
        <v>502.2</v>
      </c>
      <c r="D16" s="75">
        <f>5054.9*2</f>
        <v>10109.799999999999</v>
      </c>
      <c r="E16" s="146">
        <v>1.605</v>
      </c>
      <c r="F16" s="84">
        <v>2.4950000000000001</v>
      </c>
      <c r="G16" s="210">
        <f t="shared" ref="G16:G20" si="6">C16*$K$3+$K$4</f>
        <v>71.293600667331788</v>
      </c>
      <c r="H16" s="211">
        <f t="shared" ref="H16:H20" si="7">D16*$L$3+$L$4</f>
        <v>969.92941029332121</v>
      </c>
      <c r="I16" s="30">
        <f t="shared" si="0"/>
        <v>1.7388683089593122</v>
      </c>
      <c r="J16" s="32">
        <f t="shared" si="1"/>
        <v>23.656814885202962</v>
      </c>
      <c r="K16" s="30">
        <f t="shared" si="2"/>
        <v>3.1233068358643831E-3</v>
      </c>
      <c r="L16" s="32">
        <f t="shared" si="3"/>
        <v>4.2491712146938435E-2</v>
      </c>
      <c r="M16" s="10"/>
      <c r="N16" s="38" t="s">
        <v>161</v>
      </c>
      <c r="O16" s="213">
        <v>46.933300000000003</v>
      </c>
      <c r="P16" s="77">
        <v>0.56320000000000003</v>
      </c>
      <c r="Q16" s="77">
        <v>0.1</v>
      </c>
      <c r="R16" s="77">
        <v>4.0999999999999996</v>
      </c>
      <c r="S16" s="77">
        <v>9.0563000000000002</v>
      </c>
      <c r="T16" s="78">
        <v>5042</v>
      </c>
    </row>
    <row r="17" spans="1:20" ht="15.75" customHeight="1" x14ac:dyDescent="0.35">
      <c r="A17" s="7" t="s">
        <v>363</v>
      </c>
      <c r="B17" s="38" t="s">
        <v>70</v>
      </c>
      <c r="C17" s="75">
        <f>306.5*2</f>
        <v>613</v>
      </c>
      <c r="D17" s="75">
        <f>3203.5*2</f>
        <v>6407</v>
      </c>
      <c r="E17" s="146">
        <v>1.6020000000000001</v>
      </c>
      <c r="F17" s="84">
        <v>2.4990000000000001</v>
      </c>
      <c r="G17" s="210">
        <f t="shared" si="6"/>
        <v>82.185989978068193</v>
      </c>
      <c r="H17" s="211">
        <f t="shared" si="7"/>
        <v>621.50580317828906</v>
      </c>
      <c r="I17" s="30">
        <f t="shared" si="0"/>
        <v>0.87431904231987445</v>
      </c>
      <c r="J17" s="32">
        <f t="shared" si="1"/>
        <v>6.6117638635988198</v>
      </c>
      <c r="K17" s="30">
        <f t="shared" si="2"/>
        <v>1.891352867150543E-3</v>
      </c>
      <c r="L17" s="32">
        <f t="shared" si="3"/>
        <v>1.4302763562325444E-2</v>
      </c>
      <c r="M17" s="10"/>
      <c r="N17" s="38" t="s">
        <v>70</v>
      </c>
      <c r="O17" s="213">
        <v>22.683299999999999</v>
      </c>
      <c r="P17" s="77">
        <v>0.2722</v>
      </c>
      <c r="Q17" s="77">
        <v>0.1</v>
      </c>
      <c r="R17" s="77">
        <v>9.4</v>
      </c>
      <c r="S17" s="77">
        <v>9.2835000000000001</v>
      </c>
      <c r="T17" s="78">
        <v>4291.5</v>
      </c>
    </row>
    <row r="18" spans="1:20" ht="15.75" customHeight="1" x14ac:dyDescent="0.35">
      <c r="A18" s="7" t="s">
        <v>363</v>
      </c>
      <c r="B18" s="38" t="s">
        <v>71</v>
      </c>
      <c r="C18" s="75">
        <f>281.6*2</f>
        <v>563.20000000000005</v>
      </c>
      <c r="D18" s="75">
        <f>2621.8*2</f>
        <v>5243.6</v>
      </c>
      <c r="E18" s="146">
        <v>1.603</v>
      </c>
      <c r="F18" s="84">
        <v>2.5070000000000001</v>
      </c>
      <c r="G18" s="210">
        <f t="shared" si="6"/>
        <v>77.290313194000746</v>
      </c>
      <c r="H18" s="211">
        <f t="shared" si="7"/>
        <v>512.0329651860593</v>
      </c>
      <c r="I18" s="30">
        <f t="shared" si="0"/>
        <v>0.83107863649463165</v>
      </c>
      <c r="J18" s="32">
        <f t="shared" si="1"/>
        <v>5.5057308084522507</v>
      </c>
      <c r="K18" s="30">
        <f t="shared" si="2"/>
        <v>2.0971910283889223E-3</v>
      </c>
      <c r="L18" s="32">
        <f t="shared" si="3"/>
        <v>1.3893473793180742E-2</v>
      </c>
      <c r="M18" s="10"/>
      <c r="N18" s="38" t="s">
        <v>71</v>
      </c>
      <c r="O18" s="213">
        <v>8.3332999999999995</v>
      </c>
      <c r="P18" s="77">
        <v>0.1</v>
      </c>
      <c r="Q18" s="77">
        <v>0.1</v>
      </c>
      <c r="R18" s="77">
        <v>9.3000000000000007</v>
      </c>
      <c r="S18" s="77">
        <v>9.1980000000000004</v>
      </c>
      <c r="T18" s="78">
        <v>3645</v>
      </c>
    </row>
    <row r="19" spans="1:20" ht="15.75" customHeight="1" x14ac:dyDescent="0.35">
      <c r="A19" s="7" t="s">
        <v>363</v>
      </c>
      <c r="B19" s="38" t="s">
        <v>57</v>
      </c>
      <c r="C19" s="75">
        <f>414.2*2</f>
        <v>828.4</v>
      </c>
      <c r="D19" s="75">
        <f>2912.8*2</f>
        <v>5825.6</v>
      </c>
      <c r="E19" s="146">
        <v>1.5920000000000001</v>
      </c>
      <c r="F19" s="84">
        <v>2.4969999999999999</v>
      </c>
      <c r="G19" s="210">
        <f t="shared" si="6"/>
        <v>103.36126667060087</v>
      </c>
      <c r="H19" s="211">
        <f t="shared" si="7"/>
        <v>566.79761338227536</v>
      </c>
      <c r="I19" s="30">
        <f t="shared" si="0"/>
        <v>1.1174190991416311</v>
      </c>
      <c r="J19" s="32">
        <f t="shared" si="1"/>
        <v>6.1275417662948684</v>
      </c>
      <c r="K19" s="30">
        <f t="shared" si="2"/>
        <v>2.4813002746561725E-3</v>
      </c>
      <c r="L19" s="32">
        <f t="shared" si="3"/>
        <v>1.3606596736492246E-2</v>
      </c>
      <c r="M19" s="10"/>
      <c r="N19" s="38" t="s">
        <v>57</v>
      </c>
      <c r="O19" s="213">
        <v>26.75</v>
      </c>
      <c r="P19" s="77">
        <v>0.32100000000000001</v>
      </c>
      <c r="Q19" s="77">
        <v>0.1</v>
      </c>
      <c r="R19" s="77">
        <v>9.25</v>
      </c>
      <c r="S19" s="77">
        <v>9.1786999999999992</v>
      </c>
      <c r="T19" s="78">
        <v>4133.5</v>
      </c>
    </row>
    <row r="20" spans="1:20" ht="15.75" customHeight="1" x14ac:dyDescent="0.35">
      <c r="A20" s="7" t="s">
        <v>363</v>
      </c>
      <c r="B20" s="40" t="s">
        <v>82</v>
      </c>
      <c r="C20" s="87">
        <f>411*2</f>
        <v>822</v>
      </c>
      <c r="D20" s="87">
        <f>3966.9*2</f>
        <v>7933.8</v>
      </c>
      <c r="E20" s="157">
        <v>1.603</v>
      </c>
      <c r="F20" s="90">
        <v>2.4889999999999999</v>
      </c>
      <c r="G20" s="216">
        <f t="shared" si="6"/>
        <v>102.7321033891143</v>
      </c>
      <c r="H20" s="217">
        <f t="shared" si="7"/>
        <v>765.1736122263693</v>
      </c>
      <c r="I20" s="35">
        <f t="shared" si="0"/>
        <v>1.1351613634156277</v>
      </c>
      <c r="J20" s="37">
        <f t="shared" si="1"/>
        <v>8.4549570411753514</v>
      </c>
      <c r="K20" s="35">
        <f t="shared" si="2"/>
        <v>2.5510125076381586E-3</v>
      </c>
      <c r="L20" s="37">
        <f t="shared" si="3"/>
        <v>1.900055961972032E-2</v>
      </c>
      <c r="M20" s="10"/>
      <c r="N20" s="40" t="s">
        <v>82</v>
      </c>
      <c r="O20" s="218">
        <v>19.149999999999999</v>
      </c>
      <c r="P20" s="88">
        <v>0.2298</v>
      </c>
      <c r="Q20" s="88">
        <v>0.1</v>
      </c>
      <c r="R20" s="88">
        <v>9.0500000000000007</v>
      </c>
      <c r="S20" s="88">
        <v>8.9474999999999998</v>
      </c>
      <c r="T20" s="91">
        <v>3981.5</v>
      </c>
    </row>
    <row r="21" spans="1:20" ht="15.75" customHeight="1" x14ac:dyDescent="0.35">
      <c r="A21" s="7"/>
      <c r="B21" s="19"/>
      <c r="C21" s="10"/>
      <c r="D21" s="10"/>
      <c r="E21" s="10"/>
      <c r="F21" s="54"/>
      <c r="G21" s="178"/>
      <c r="H21" s="178"/>
      <c r="I21" s="10"/>
      <c r="J21" s="54"/>
      <c r="K21" s="10"/>
      <c r="L21" s="10"/>
      <c r="M21" s="10"/>
      <c r="N21" s="7"/>
      <c r="O21" s="7"/>
      <c r="P21" s="7"/>
      <c r="Q21" s="7"/>
      <c r="R21" s="7"/>
      <c r="S21" s="7"/>
      <c r="T21" s="7"/>
    </row>
    <row r="22" spans="1:20" ht="15.75" customHeight="1" x14ac:dyDescent="0.35">
      <c r="A22" s="7"/>
      <c r="G22" s="219"/>
      <c r="H22" s="54"/>
    </row>
    <row r="23" spans="1:20" ht="15.75" customHeight="1" x14ac:dyDescent="0.35">
      <c r="A23" s="7"/>
      <c r="G23" s="219"/>
      <c r="H23" s="219"/>
      <c r="N23" s="7"/>
      <c r="O23" s="7"/>
      <c r="P23" s="7"/>
      <c r="Q23" s="7"/>
      <c r="R23" s="7"/>
      <c r="S23" s="7"/>
      <c r="T23" s="7"/>
    </row>
    <row r="24" spans="1:20" ht="15.75" customHeight="1" x14ac:dyDescent="0.35">
      <c r="A24" s="7"/>
      <c r="G24" s="219"/>
      <c r="H24" s="219"/>
    </row>
    <row r="25" spans="1:20" ht="15.75" customHeight="1" x14ac:dyDescent="0.35">
      <c r="A25" s="7"/>
      <c r="G25" s="219"/>
      <c r="H25" s="219"/>
      <c r="N25" s="7"/>
      <c r="O25" s="7"/>
      <c r="P25" s="7"/>
      <c r="Q25" s="7"/>
      <c r="R25" s="7"/>
      <c r="S25" s="7"/>
      <c r="T25" s="7"/>
    </row>
    <row r="26" spans="1:20" ht="15.75" customHeight="1" x14ac:dyDescent="0.35">
      <c r="A26" s="7"/>
      <c r="G26" s="219"/>
      <c r="H26" s="219"/>
      <c r="N26" s="7"/>
      <c r="O26" s="7"/>
      <c r="P26" s="7"/>
      <c r="Q26" s="7"/>
      <c r="R26" s="7"/>
      <c r="S26" s="7"/>
      <c r="T26" s="7"/>
    </row>
    <row r="27" spans="1:20" ht="15.75" customHeight="1" x14ac:dyDescent="0.35">
      <c r="A27" s="7"/>
      <c r="G27" s="219"/>
      <c r="H27" s="219"/>
    </row>
    <row r="28" spans="1:20" ht="15.75" customHeight="1" x14ac:dyDescent="0.35">
      <c r="A28" s="7"/>
      <c r="G28" s="219"/>
      <c r="H28" s="219"/>
      <c r="N28" s="7"/>
      <c r="O28" s="7"/>
      <c r="P28" s="7"/>
      <c r="Q28" s="7"/>
      <c r="R28" s="7"/>
      <c r="S28" s="7"/>
      <c r="T28" s="7"/>
    </row>
    <row r="29" spans="1:20" ht="15.75" customHeight="1" x14ac:dyDescent="0.35">
      <c r="A29" s="7"/>
      <c r="G29" s="219"/>
      <c r="H29" s="219"/>
      <c r="N29" s="7"/>
      <c r="O29" s="7"/>
      <c r="P29" s="7"/>
      <c r="Q29" s="7"/>
      <c r="R29" s="7"/>
      <c r="S29" s="7"/>
      <c r="T29" s="7"/>
    </row>
    <row r="30" spans="1:20" ht="15.75" customHeight="1" x14ac:dyDescent="0.35">
      <c r="A30" s="7"/>
      <c r="G30" s="219"/>
      <c r="H30" s="219"/>
      <c r="N30" s="7"/>
      <c r="O30" s="7"/>
      <c r="P30" s="7"/>
      <c r="Q30" s="7"/>
      <c r="R30" s="7"/>
      <c r="S30" s="7"/>
      <c r="T30" s="7"/>
    </row>
    <row r="31" spans="1:20" ht="15.75" customHeight="1" x14ac:dyDescent="0.35">
      <c r="A31" s="7"/>
      <c r="G31" s="219"/>
      <c r="H31" s="219"/>
      <c r="N31" s="7"/>
      <c r="O31" s="7"/>
      <c r="P31" s="7"/>
      <c r="Q31" s="7"/>
      <c r="R31" s="7"/>
      <c r="S31" s="7"/>
      <c r="T31" s="7"/>
    </row>
    <row r="32" spans="1:20" ht="15.75" customHeight="1" x14ac:dyDescent="0.35">
      <c r="A32" s="7"/>
      <c r="G32" s="219"/>
      <c r="H32" s="219"/>
      <c r="N32" s="7"/>
      <c r="O32" s="7"/>
      <c r="P32" s="7"/>
      <c r="Q32" s="7"/>
      <c r="R32" s="7"/>
      <c r="S32" s="7"/>
      <c r="T32" s="7"/>
    </row>
    <row r="33" spans="1:20" ht="15.75" customHeight="1" x14ac:dyDescent="0.35">
      <c r="A33" s="7"/>
      <c r="G33" s="219"/>
      <c r="H33" s="219"/>
      <c r="N33" s="7"/>
      <c r="O33" s="7"/>
      <c r="P33" s="7"/>
      <c r="Q33" s="7"/>
      <c r="R33" s="7"/>
      <c r="S33" s="7"/>
      <c r="T33" s="7"/>
    </row>
    <row r="34" spans="1:20" ht="15.75" customHeight="1" x14ac:dyDescent="0.35">
      <c r="A34" s="7"/>
      <c r="G34" s="219"/>
      <c r="H34" s="219"/>
    </row>
    <row r="35" spans="1:20" ht="15.75" customHeight="1" x14ac:dyDescent="0.35">
      <c r="A35" s="7"/>
      <c r="G35" s="219"/>
      <c r="H35" s="219"/>
      <c r="N35" s="7"/>
      <c r="O35" s="7"/>
      <c r="P35" s="7"/>
      <c r="Q35" s="7"/>
      <c r="R35" s="7"/>
      <c r="S35" s="7"/>
      <c r="T35" s="7"/>
    </row>
    <row r="36" spans="1:20" ht="15.75" customHeight="1" x14ac:dyDescent="0.35">
      <c r="A36" s="7"/>
      <c r="G36" s="219"/>
      <c r="H36" s="219"/>
      <c r="N36" s="7"/>
      <c r="O36" s="7"/>
      <c r="P36" s="7"/>
      <c r="Q36" s="7"/>
      <c r="R36" s="7"/>
      <c r="S36" s="7"/>
      <c r="T36" s="7"/>
    </row>
    <row r="37" spans="1:20" ht="15.75" customHeight="1" x14ac:dyDescent="0.35">
      <c r="A37" s="7"/>
      <c r="G37" s="219"/>
      <c r="H37" s="219"/>
      <c r="N37" s="7"/>
      <c r="O37" s="7"/>
      <c r="P37" s="7"/>
      <c r="Q37" s="7"/>
      <c r="R37" s="7"/>
      <c r="S37" s="7"/>
      <c r="T37" s="7"/>
    </row>
    <row r="38" spans="1:20" ht="15.75" customHeight="1" x14ac:dyDescent="0.35">
      <c r="A38" s="7"/>
      <c r="G38" s="219"/>
      <c r="H38" s="219"/>
      <c r="N38" s="7"/>
      <c r="O38" s="7"/>
      <c r="P38" s="7"/>
      <c r="Q38" s="7"/>
      <c r="R38" s="7"/>
      <c r="S38" s="7"/>
      <c r="T38" s="7"/>
    </row>
    <row r="39" spans="1:20" ht="15.75" customHeight="1" x14ac:dyDescent="0.35">
      <c r="A39" s="7"/>
      <c r="G39" s="219"/>
      <c r="H39" s="219"/>
      <c r="N39" s="7"/>
      <c r="O39" s="7"/>
      <c r="P39" s="7"/>
      <c r="Q39" s="7"/>
      <c r="R39" s="7"/>
      <c r="S39" s="7"/>
      <c r="T39" s="7"/>
    </row>
    <row r="40" spans="1:20" ht="15.75" customHeight="1" x14ac:dyDescent="0.35">
      <c r="A40" s="7"/>
      <c r="G40" s="219"/>
      <c r="H40" s="219"/>
      <c r="N40" s="7"/>
      <c r="O40" s="7"/>
      <c r="P40" s="7"/>
      <c r="Q40" s="7"/>
      <c r="R40" s="7"/>
      <c r="S40" s="7"/>
      <c r="T40" s="7"/>
    </row>
    <row r="41" spans="1:20" ht="15.75" customHeight="1" x14ac:dyDescent="0.35">
      <c r="A41" s="7"/>
      <c r="G41" s="219"/>
      <c r="H41" s="219"/>
      <c r="N41" s="7"/>
      <c r="O41" s="7"/>
      <c r="P41" s="7"/>
      <c r="Q41" s="7"/>
      <c r="R41" s="7"/>
      <c r="S41" s="7"/>
      <c r="T41" s="7"/>
    </row>
    <row r="42" spans="1:20" ht="15.75" customHeight="1" x14ac:dyDescent="0.35">
      <c r="A42" s="7"/>
      <c r="G42" s="219"/>
      <c r="H42" s="219"/>
      <c r="N42" s="7"/>
      <c r="O42" s="7"/>
      <c r="P42" s="7"/>
      <c r="Q42" s="7"/>
      <c r="R42" s="7"/>
      <c r="S42" s="7"/>
      <c r="T42" s="7"/>
    </row>
    <row r="43" spans="1:20" ht="15.75" customHeight="1" x14ac:dyDescent="0.35">
      <c r="A43" s="7"/>
      <c r="G43" s="219"/>
      <c r="H43" s="219"/>
      <c r="N43" s="7"/>
      <c r="O43" s="7"/>
      <c r="P43" s="7"/>
      <c r="Q43" s="7"/>
      <c r="R43" s="7"/>
      <c r="S43" s="7"/>
      <c r="T43" s="7"/>
    </row>
    <row r="44" spans="1:20" ht="15.75" customHeight="1" x14ac:dyDescent="0.35">
      <c r="A44" s="7"/>
      <c r="G44" s="219"/>
      <c r="H44" s="219"/>
      <c r="N44" s="7"/>
      <c r="O44" s="7"/>
      <c r="P44" s="7"/>
      <c r="Q44" s="7"/>
      <c r="R44" s="7"/>
      <c r="S44" s="7"/>
      <c r="T44" s="7"/>
    </row>
    <row r="45" spans="1:20" ht="15.75" customHeight="1" x14ac:dyDescent="0.35">
      <c r="A45" s="7"/>
      <c r="G45" s="219"/>
      <c r="H45" s="219"/>
      <c r="N45" s="7"/>
      <c r="O45" s="7"/>
      <c r="P45" s="7"/>
      <c r="Q45" s="7"/>
      <c r="R45" s="7"/>
      <c r="S45" s="7"/>
      <c r="T45" s="7"/>
    </row>
    <row r="46" spans="1:20" ht="15.75" customHeight="1" x14ac:dyDescent="0.35">
      <c r="A46" s="7"/>
      <c r="G46" s="219"/>
      <c r="H46" s="219"/>
      <c r="N46" s="7"/>
      <c r="O46" s="7"/>
      <c r="P46" s="7"/>
      <c r="Q46" s="7"/>
      <c r="R46" s="7"/>
      <c r="S46" s="7"/>
      <c r="T46" s="7"/>
    </row>
    <row r="47" spans="1:20" ht="15.75" customHeight="1" x14ac:dyDescent="0.35">
      <c r="A47" s="7"/>
      <c r="G47" s="219"/>
      <c r="H47" s="219"/>
      <c r="N47" s="7"/>
      <c r="O47" s="7"/>
      <c r="P47" s="7"/>
      <c r="Q47" s="7"/>
      <c r="R47" s="7"/>
      <c r="S47" s="7"/>
      <c r="T47" s="7"/>
    </row>
    <row r="48" spans="1:20" ht="15.75" customHeight="1" x14ac:dyDescent="0.35">
      <c r="A48" s="7"/>
      <c r="G48" s="219"/>
      <c r="H48" s="219"/>
      <c r="N48" s="7"/>
      <c r="O48" s="7"/>
      <c r="P48" s="7"/>
      <c r="Q48" s="7"/>
      <c r="R48" s="7"/>
      <c r="S48" s="7"/>
      <c r="T48" s="7"/>
    </row>
    <row r="49" spans="1:20" ht="15.75" customHeight="1" x14ac:dyDescent="0.35">
      <c r="A49" s="7"/>
      <c r="G49" s="219"/>
      <c r="H49" s="219"/>
      <c r="N49" s="7"/>
      <c r="O49" s="7"/>
      <c r="P49" s="7"/>
      <c r="Q49" s="7"/>
      <c r="R49" s="7"/>
      <c r="S49" s="7"/>
      <c r="T49" s="7"/>
    </row>
    <row r="50" spans="1:20" ht="15.75" customHeight="1" x14ac:dyDescent="0.35">
      <c r="A50" s="7"/>
      <c r="G50" s="219"/>
      <c r="H50" s="219"/>
      <c r="N50" s="7"/>
      <c r="O50" s="7"/>
      <c r="P50" s="7"/>
      <c r="Q50" s="7"/>
      <c r="R50" s="7"/>
      <c r="S50" s="7"/>
      <c r="T50" s="7"/>
    </row>
    <row r="51" spans="1:20" ht="15.75" customHeight="1" x14ac:dyDescent="0.35">
      <c r="A51" s="7"/>
      <c r="G51" s="219"/>
      <c r="H51" s="219"/>
      <c r="N51" s="7"/>
      <c r="O51" s="7"/>
      <c r="P51" s="7"/>
      <c r="Q51" s="7"/>
      <c r="R51" s="7"/>
      <c r="S51" s="7"/>
      <c r="T51" s="7"/>
    </row>
    <row r="52" spans="1:20" ht="15.75" customHeight="1" x14ac:dyDescent="0.35">
      <c r="A52" s="7"/>
      <c r="G52" s="219"/>
      <c r="H52" s="219"/>
      <c r="N52" s="7"/>
      <c r="O52" s="7"/>
      <c r="P52" s="7"/>
      <c r="Q52" s="7"/>
      <c r="R52" s="7"/>
      <c r="S52" s="7"/>
      <c r="T52" s="7"/>
    </row>
    <row r="53" spans="1:20" ht="15.75" customHeight="1" x14ac:dyDescent="0.35">
      <c r="A53" s="7"/>
      <c r="G53" s="219"/>
      <c r="H53" s="219"/>
    </row>
    <row r="54" spans="1:20" ht="15.75" customHeight="1" x14ac:dyDescent="0.35">
      <c r="A54" s="7"/>
      <c r="G54" s="219"/>
      <c r="H54" s="219"/>
      <c r="N54" s="7"/>
      <c r="O54" s="7"/>
      <c r="P54" s="7"/>
      <c r="Q54" s="7"/>
      <c r="R54" s="7"/>
      <c r="S54" s="7"/>
      <c r="T54" s="7"/>
    </row>
    <row r="55" spans="1:20" ht="14.5" x14ac:dyDescent="0.35">
      <c r="A55" s="7"/>
      <c r="G55" s="219"/>
      <c r="H55" s="219"/>
      <c r="N55" s="7"/>
      <c r="O55" s="7"/>
      <c r="P55" s="7"/>
      <c r="Q55" s="7"/>
      <c r="R55" s="7"/>
      <c r="S55" s="7"/>
      <c r="T55" s="7"/>
    </row>
    <row r="56" spans="1:20" ht="14.5" x14ac:dyDescent="0.35">
      <c r="A56" s="7"/>
      <c r="G56" s="219"/>
      <c r="H56" s="219"/>
      <c r="N56" s="7"/>
      <c r="O56" s="7"/>
      <c r="P56" s="7"/>
      <c r="Q56" s="7"/>
      <c r="R56" s="7"/>
      <c r="S56" s="7"/>
      <c r="T56" s="7"/>
    </row>
    <row r="57" spans="1:20" ht="14.5" x14ac:dyDescent="0.35">
      <c r="A57" s="7"/>
      <c r="G57" s="219"/>
      <c r="H57" s="219"/>
      <c r="N57" s="7"/>
      <c r="O57" s="7"/>
      <c r="P57" s="7"/>
      <c r="Q57" s="7"/>
      <c r="R57" s="7"/>
      <c r="S57" s="7"/>
      <c r="T57" s="7"/>
    </row>
    <row r="58" spans="1:20" ht="14.5" x14ac:dyDescent="0.35">
      <c r="A58" s="7"/>
      <c r="G58" s="219"/>
      <c r="H58" s="219"/>
      <c r="N58" s="7"/>
      <c r="O58" s="7"/>
      <c r="P58" s="7"/>
      <c r="Q58" s="7"/>
      <c r="R58" s="7"/>
      <c r="S58" s="7"/>
      <c r="T58" s="7"/>
    </row>
    <row r="59" spans="1:20" ht="14.5" x14ac:dyDescent="0.35">
      <c r="A59" s="7"/>
      <c r="G59" s="219"/>
      <c r="H59" s="219"/>
      <c r="N59" s="7"/>
      <c r="O59" s="7"/>
      <c r="P59" s="7"/>
      <c r="Q59" s="7"/>
      <c r="R59" s="7"/>
      <c r="S59" s="7"/>
      <c r="T59" s="7"/>
    </row>
    <row r="60" spans="1:20" ht="14.5" x14ac:dyDescent="0.35">
      <c r="A60" s="7"/>
      <c r="G60" s="219"/>
      <c r="H60" s="219"/>
      <c r="N60" s="7"/>
      <c r="O60" s="7"/>
      <c r="P60" s="7"/>
      <c r="Q60" s="7"/>
      <c r="R60" s="7"/>
      <c r="S60" s="7"/>
      <c r="T60" s="7"/>
    </row>
    <row r="61" spans="1:20" ht="14.5" x14ac:dyDescent="0.35">
      <c r="A61" s="7"/>
      <c r="G61" s="219"/>
      <c r="H61" s="219"/>
      <c r="N61" s="7"/>
      <c r="O61" s="7"/>
      <c r="P61" s="7"/>
      <c r="Q61" s="7"/>
      <c r="R61" s="7"/>
      <c r="S61" s="7"/>
      <c r="T61" s="7"/>
    </row>
    <row r="62" spans="1:20" ht="14.5" x14ac:dyDescent="0.35">
      <c r="A62" s="7"/>
      <c r="G62" s="219"/>
      <c r="H62" s="219"/>
      <c r="N62" s="7"/>
      <c r="O62" s="7"/>
      <c r="P62" s="7"/>
      <c r="Q62" s="7"/>
      <c r="R62" s="7"/>
      <c r="S62" s="7"/>
      <c r="T62" s="7"/>
    </row>
    <row r="63" spans="1:20" ht="14.5" x14ac:dyDescent="0.35">
      <c r="A63" s="7"/>
      <c r="G63" s="219"/>
      <c r="H63" s="219"/>
      <c r="N63" s="7"/>
      <c r="O63" s="7"/>
      <c r="P63" s="7"/>
      <c r="Q63" s="7"/>
      <c r="R63" s="7"/>
      <c r="S63" s="7"/>
      <c r="T63" s="7"/>
    </row>
    <row r="64" spans="1:20" ht="14.5" x14ac:dyDescent="0.35">
      <c r="A64" s="7"/>
      <c r="G64" s="219"/>
      <c r="H64" s="219"/>
      <c r="N64" s="7"/>
      <c r="O64" s="7"/>
      <c r="P64" s="7"/>
      <c r="Q64" s="7"/>
      <c r="R64" s="7"/>
      <c r="S64" s="7"/>
      <c r="T64" s="7"/>
    </row>
    <row r="65" spans="1:8" ht="14.5" x14ac:dyDescent="0.35">
      <c r="A65" s="7"/>
      <c r="G65" s="219"/>
      <c r="H65" s="219"/>
    </row>
    <row r="66" spans="1:8" ht="14.5" x14ac:dyDescent="0.35">
      <c r="A66" s="7"/>
      <c r="G66" s="219"/>
      <c r="H66" s="219"/>
    </row>
    <row r="67" spans="1:8" ht="14.5" x14ac:dyDescent="0.35">
      <c r="A67" s="7"/>
      <c r="G67" s="219"/>
      <c r="H67" s="219"/>
    </row>
    <row r="68" spans="1:8" ht="14.5" x14ac:dyDescent="0.35">
      <c r="A68" s="7"/>
      <c r="G68" s="219"/>
      <c r="H68" s="219"/>
    </row>
    <row r="69" spans="1:8" ht="14.5" x14ac:dyDescent="0.35">
      <c r="A69" s="7"/>
      <c r="G69" s="219"/>
      <c r="H69" s="219"/>
    </row>
    <row r="70" spans="1:8" ht="14.5" x14ac:dyDescent="0.35">
      <c r="A70" s="7"/>
      <c r="G70" s="219"/>
      <c r="H70" s="219"/>
    </row>
    <row r="71" spans="1:8" ht="14.5" x14ac:dyDescent="0.35">
      <c r="A71" s="7"/>
      <c r="G71" s="219"/>
      <c r="H71" s="219"/>
    </row>
    <row r="72" spans="1:8" ht="14.5" x14ac:dyDescent="0.35">
      <c r="A72" s="7"/>
      <c r="G72" s="219"/>
      <c r="H72" s="219"/>
    </row>
    <row r="73" spans="1:8" ht="14.5" x14ac:dyDescent="0.35">
      <c r="A73" s="7"/>
      <c r="G73" s="219"/>
      <c r="H73" s="219"/>
    </row>
    <row r="74" spans="1:8" ht="14.5" x14ac:dyDescent="0.35">
      <c r="A74" s="7"/>
      <c r="G74" s="219"/>
      <c r="H74" s="219"/>
    </row>
    <row r="75" spans="1:8" ht="14.5" x14ac:dyDescent="0.35">
      <c r="A75" s="7"/>
      <c r="G75" s="219"/>
      <c r="H75" s="219"/>
    </row>
    <row r="76" spans="1:8" ht="14.5" x14ac:dyDescent="0.35">
      <c r="A76" s="7"/>
      <c r="G76" s="219"/>
      <c r="H76" s="219"/>
    </row>
    <row r="77" spans="1:8" ht="14.5" x14ac:dyDescent="0.35">
      <c r="A77" s="7"/>
      <c r="G77" s="219"/>
      <c r="H77" s="219"/>
    </row>
    <row r="78" spans="1:8" ht="14.5" x14ac:dyDescent="0.35">
      <c r="A78" s="7"/>
      <c r="G78" s="219"/>
      <c r="H78" s="219"/>
    </row>
    <row r="79" spans="1:8" ht="14.5" x14ac:dyDescent="0.35">
      <c r="A79" s="7"/>
      <c r="G79" s="219"/>
      <c r="H79" s="219"/>
    </row>
    <row r="80" spans="1:8" ht="14.5" x14ac:dyDescent="0.35">
      <c r="A80" s="7"/>
      <c r="G80" s="219"/>
      <c r="H80" s="219"/>
    </row>
    <row r="81" spans="1:8" ht="14.5" x14ac:dyDescent="0.35">
      <c r="A81" s="7"/>
      <c r="G81" s="219"/>
      <c r="H81" s="219"/>
    </row>
    <row r="82" spans="1:8" ht="14.5" x14ac:dyDescent="0.35">
      <c r="A82" s="7"/>
      <c r="G82" s="219"/>
      <c r="H82" s="219"/>
    </row>
    <row r="83" spans="1:8" ht="14.5" x14ac:dyDescent="0.35">
      <c r="A83" s="7"/>
      <c r="G83" s="219"/>
      <c r="H83" s="219"/>
    </row>
    <row r="84" spans="1:8" ht="14.5" x14ac:dyDescent="0.35">
      <c r="A84" s="7"/>
      <c r="G84" s="219"/>
      <c r="H84" s="219"/>
    </row>
    <row r="85" spans="1:8" ht="14.5" x14ac:dyDescent="0.35">
      <c r="A85" s="7"/>
      <c r="G85" s="219"/>
      <c r="H85" s="219"/>
    </row>
    <row r="86" spans="1:8" ht="14.5" x14ac:dyDescent="0.35">
      <c r="A86" s="7"/>
      <c r="G86" s="219"/>
      <c r="H86" s="219"/>
    </row>
    <row r="87" spans="1:8" ht="14.5" x14ac:dyDescent="0.35">
      <c r="A87" s="7"/>
      <c r="G87" s="219"/>
      <c r="H87" s="219"/>
    </row>
    <row r="88" spans="1:8" ht="14.5" x14ac:dyDescent="0.35">
      <c r="A88" s="7"/>
    </row>
    <row r="89" spans="1:8" ht="14.5" x14ac:dyDescent="0.35">
      <c r="A89" s="7"/>
    </row>
    <row r="90" spans="1:8" ht="14.5" x14ac:dyDescent="0.35">
      <c r="A90" s="7"/>
    </row>
    <row r="91" spans="1:8" ht="14.5" x14ac:dyDescent="0.35">
      <c r="A91" s="7"/>
    </row>
    <row r="92" spans="1:8" ht="14.5" x14ac:dyDescent="0.35">
      <c r="A92" s="7"/>
    </row>
    <row r="93" spans="1:8" ht="14.5" x14ac:dyDescent="0.35">
      <c r="A93" s="7"/>
    </row>
    <row r="94" spans="1:8" ht="14.5" x14ac:dyDescent="0.35">
      <c r="A94" s="7"/>
    </row>
    <row r="95" spans="1:8" ht="14.5" x14ac:dyDescent="0.35">
      <c r="A95" s="7"/>
    </row>
    <row r="96" spans="1:8" ht="14.5" x14ac:dyDescent="0.35">
      <c r="A96" s="7"/>
    </row>
    <row r="97" spans="1:1" ht="14.5" x14ac:dyDescent="0.35">
      <c r="A97" s="7"/>
    </row>
    <row r="98" spans="1:1" ht="14.5" x14ac:dyDescent="0.35">
      <c r="A98" s="7"/>
    </row>
    <row r="99" spans="1:1" ht="14.5" x14ac:dyDescent="0.35">
      <c r="A99" s="7"/>
    </row>
    <row r="100" spans="1:1" ht="14.5" x14ac:dyDescent="0.35">
      <c r="A100" s="7"/>
    </row>
    <row r="101" spans="1:1" ht="14.5" x14ac:dyDescent="0.35">
      <c r="A101" s="7"/>
    </row>
    <row r="102" spans="1:1" ht="14.5" x14ac:dyDescent="0.35">
      <c r="A102" s="7"/>
    </row>
    <row r="103" spans="1:1" ht="14.5" x14ac:dyDescent="0.35">
      <c r="A103" s="7"/>
    </row>
    <row r="104" spans="1:1" ht="14.5" x14ac:dyDescent="0.35">
      <c r="A104" s="7"/>
    </row>
    <row r="105" spans="1:1" ht="14.5" x14ac:dyDescent="0.35">
      <c r="A105" s="7"/>
    </row>
    <row r="106" spans="1:1" ht="14.5" x14ac:dyDescent="0.35">
      <c r="A106" s="7"/>
    </row>
    <row r="107" spans="1:1" ht="14.5" x14ac:dyDescent="0.35">
      <c r="A107" s="7"/>
    </row>
    <row r="108" spans="1:1" ht="14.5" x14ac:dyDescent="0.35">
      <c r="A108" s="7"/>
    </row>
    <row r="109" spans="1:1" ht="14.5" x14ac:dyDescent="0.35">
      <c r="A109" s="7"/>
    </row>
    <row r="110" spans="1:1" ht="14.5" x14ac:dyDescent="0.35">
      <c r="A110" s="7"/>
    </row>
    <row r="111" spans="1:1" ht="14.5" x14ac:dyDescent="0.35">
      <c r="A111" s="7"/>
    </row>
    <row r="112" spans="1:1" ht="14.5" x14ac:dyDescent="0.35">
      <c r="A112" s="7"/>
    </row>
    <row r="113" spans="1:1" ht="14.5" x14ac:dyDescent="0.35">
      <c r="A113" s="7"/>
    </row>
    <row r="114" spans="1:1" ht="14.5" x14ac:dyDescent="0.35">
      <c r="A114" s="7"/>
    </row>
    <row r="115" spans="1:1" ht="14.5" x14ac:dyDescent="0.35">
      <c r="A115" s="7"/>
    </row>
    <row r="116" spans="1:1" ht="14.5" x14ac:dyDescent="0.35">
      <c r="A116" s="7"/>
    </row>
    <row r="117" spans="1:1" ht="14.5" x14ac:dyDescent="0.35">
      <c r="A117" s="7"/>
    </row>
    <row r="118" spans="1:1" ht="14.5" x14ac:dyDescent="0.35">
      <c r="A118" s="7"/>
    </row>
    <row r="119" spans="1:1" ht="14.5" x14ac:dyDescent="0.35">
      <c r="A119" s="7"/>
    </row>
    <row r="120" spans="1:1" ht="14.5" x14ac:dyDescent="0.35">
      <c r="A120" s="7"/>
    </row>
    <row r="121" spans="1:1" ht="14.5" x14ac:dyDescent="0.35">
      <c r="A121" s="7"/>
    </row>
    <row r="122" spans="1:1" ht="14.5" x14ac:dyDescent="0.35">
      <c r="A122" s="7"/>
    </row>
    <row r="123" spans="1:1" ht="14.5" x14ac:dyDescent="0.35">
      <c r="A123" s="7"/>
    </row>
    <row r="124" spans="1:1" ht="14.5" x14ac:dyDescent="0.35">
      <c r="A124" s="7"/>
    </row>
    <row r="125" spans="1:1" ht="14.5" x14ac:dyDescent="0.35">
      <c r="A125" s="7"/>
    </row>
    <row r="126" spans="1:1" ht="14.5" x14ac:dyDescent="0.35">
      <c r="A126" s="7"/>
    </row>
    <row r="127" spans="1:1" ht="14.5" x14ac:dyDescent="0.35">
      <c r="A127" s="7"/>
    </row>
    <row r="128" spans="1:1" ht="14.5" x14ac:dyDescent="0.35">
      <c r="A128" s="7"/>
    </row>
    <row r="129" spans="1:1" ht="14.5" x14ac:dyDescent="0.35">
      <c r="A129" s="7"/>
    </row>
    <row r="130" spans="1:1" ht="14.5" x14ac:dyDescent="0.35">
      <c r="A130" s="7"/>
    </row>
    <row r="131" spans="1:1" ht="14.5" x14ac:dyDescent="0.35">
      <c r="A131" s="7"/>
    </row>
    <row r="132" spans="1:1" ht="14.5" x14ac:dyDescent="0.35">
      <c r="A132" s="7"/>
    </row>
    <row r="133" spans="1:1" ht="14.5" x14ac:dyDescent="0.35">
      <c r="A133" s="7"/>
    </row>
    <row r="134" spans="1:1" ht="14.5" x14ac:dyDescent="0.35">
      <c r="A134" s="7"/>
    </row>
    <row r="135" spans="1:1" ht="14.5" x14ac:dyDescent="0.35">
      <c r="A135" s="7"/>
    </row>
    <row r="136" spans="1:1" ht="14.5" x14ac:dyDescent="0.35">
      <c r="A136" s="7"/>
    </row>
    <row r="137" spans="1:1" ht="14.5" x14ac:dyDescent="0.35">
      <c r="A137" s="7"/>
    </row>
    <row r="138" spans="1:1" ht="14.5" x14ac:dyDescent="0.35">
      <c r="A138" s="7"/>
    </row>
    <row r="139" spans="1:1" ht="14.5" x14ac:dyDescent="0.35">
      <c r="A139" s="7"/>
    </row>
    <row r="140" spans="1:1" ht="14.5" x14ac:dyDescent="0.35">
      <c r="A140" s="7"/>
    </row>
    <row r="141" spans="1:1" ht="14.5" x14ac:dyDescent="0.35">
      <c r="A141" s="7"/>
    </row>
    <row r="142" spans="1:1" ht="14.5" x14ac:dyDescent="0.35">
      <c r="A142" s="7"/>
    </row>
    <row r="143" spans="1:1" ht="14.5" x14ac:dyDescent="0.35">
      <c r="A143" s="7"/>
    </row>
    <row r="144" spans="1:1" ht="14.5" x14ac:dyDescent="0.35">
      <c r="A144" s="7"/>
    </row>
    <row r="145" spans="1:1" ht="14.5" x14ac:dyDescent="0.35">
      <c r="A145" s="7"/>
    </row>
    <row r="146" spans="1:1" ht="14.5" x14ac:dyDescent="0.35">
      <c r="A146" s="7"/>
    </row>
    <row r="147" spans="1:1" ht="14.5" x14ac:dyDescent="0.35">
      <c r="A147" s="7"/>
    </row>
    <row r="148" spans="1:1" ht="14.5" x14ac:dyDescent="0.35">
      <c r="A148" s="7"/>
    </row>
    <row r="149" spans="1:1" ht="14.5" x14ac:dyDescent="0.35">
      <c r="A149" s="7"/>
    </row>
    <row r="150" spans="1:1" ht="14.5" x14ac:dyDescent="0.35">
      <c r="A150" s="7"/>
    </row>
    <row r="151" spans="1:1" ht="14.5" x14ac:dyDescent="0.35">
      <c r="A151" s="7"/>
    </row>
    <row r="152" spans="1:1" ht="14.5" x14ac:dyDescent="0.35">
      <c r="A152" s="7"/>
    </row>
    <row r="153" spans="1:1" ht="14.5" x14ac:dyDescent="0.35">
      <c r="A153" s="7"/>
    </row>
    <row r="154" spans="1:1" ht="14.5" x14ac:dyDescent="0.35">
      <c r="A154" s="7"/>
    </row>
    <row r="155" spans="1:1" ht="14.5" x14ac:dyDescent="0.35">
      <c r="A155" s="7"/>
    </row>
    <row r="156" spans="1:1" ht="14.5" x14ac:dyDescent="0.35">
      <c r="A156" s="7"/>
    </row>
    <row r="157" spans="1:1" ht="14.5" x14ac:dyDescent="0.35">
      <c r="A157" s="7"/>
    </row>
    <row r="158" spans="1:1" ht="14.5" x14ac:dyDescent="0.35">
      <c r="A158" s="7"/>
    </row>
    <row r="159" spans="1:1" ht="14.5" x14ac:dyDescent="0.35">
      <c r="A159" s="7"/>
    </row>
    <row r="160" spans="1:1" ht="14.5" x14ac:dyDescent="0.35">
      <c r="A160" s="7"/>
    </row>
    <row r="161" spans="1:1" ht="14.5" x14ac:dyDescent="0.35">
      <c r="A161" s="7"/>
    </row>
    <row r="162" spans="1:1" ht="14.5" x14ac:dyDescent="0.35">
      <c r="A162" s="7"/>
    </row>
    <row r="163" spans="1:1" ht="14.5" x14ac:dyDescent="0.35">
      <c r="A163" s="7"/>
    </row>
    <row r="164" spans="1:1" ht="14.5" x14ac:dyDescent="0.35">
      <c r="A164" s="7"/>
    </row>
    <row r="165" spans="1:1" ht="14.5" x14ac:dyDescent="0.35">
      <c r="A165" s="7"/>
    </row>
    <row r="166" spans="1:1" ht="14.5" x14ac:dyDescent="0.35">
      <c r="A166" s="7"/>
    </row>
    <row r="167" spans="1:1" ht="14.5" x14ac:dyDescent="0.35">
      <c r="A167" s="7"/>
    </row>
    <row r="168" spans="1:1" ht="14.5" x14ac:dyDescent="0.35">
      <c r="A168" s="7"/>
    </row>
    <row r="169" spans="1:1" ht="14.5" x14ac:dyDescent="0.35">
      <c r="A169" s="7"/>
    </row>
    <row r="170" spans="1:1" ht="14.5" x14ac:dyDescent="0.35">
      <c r="A170" s="7"/>
    </row>
    <row r="171" spans="1:1" ht="14.5" x14ac:dyDescent="0.35">
      <c r="A171" s="7"/>
    </row>
    <row r="172" spans="1:1" ht="14.5" x14ac:dyDescent="0.35">
      <c r="A172" s="7"/>
    </row>
    <row r="173" spans="1:1" ht="14.5" x14ac:dyDescent="0.35">
      <c r="A173" s="7"/>
    </row>
    <row r="174" spans="1:1" ht="14.5" x14ac:dyDescent="0.35">
      <c r="A174" s="7"/>
    </row>
    <row r="175" spans="1:1" ht="14.5" x14ac:dyDescent="0.35">
      <c r="A175" s="7"/>
    </row>
    <row r="176" spans="1:1" ht="14.5" x14ac:dyDescent="0.35">
      <c r="A176" s="7"/>
    </row>
    <row r="177" spans="1:1" ht="14.5" x14ac:dyDescent="0.35">
      <c r="A177" s="7"/>
    </row>
    <row r="178" spans="1:1" ht="14.5" x14ac:dyDescent="0.35">
      <c r="A178" s="7"/>
    </row>
    <row r="179" spans="1:1" ht="14.5" x14ac:dyDescent="0.35">
      <c r="A179" s="7"/>
    </row>
    <row r="180" spans="1:1" ht="14.5" x14ac:dyDescent="0.35">
      <c r="A180" s="7"/>
    </row>
    <row r="181" spans="1:1" ht="14.5" x14ac:dyDescent="0.35">
      <c r="A181" s="7"/>
    </row>
    <row r="182" spans="1:1" ht="14.5" x14ac:dyDescent="0.35">
      <c r="A182" s="7"/>
    </row>
    <row r="183" spans="1:1" ht="14.5" x14ac:dyDescent="0.35">
      <c r="A183" s="7"/>
    </row>
    <row r="184" spans="1:1" ht="14.5" x14ac:dyDescent="0.35">
      <c r="A184" s="7"/>
    </row>
    <row r="185" spans="1:1" ht="14.5" x14ac:dyDescent="0.35">
      <c r="A185" s="7"/>
    </row>
    <row r="186" spans="1:1" ht="14.5" x14ac:dyDescent="0.35">
      <c r="A186" s="7"/>
    </row>
    <row r="187" spans="1:1" ht="14.5" x14ac:dyDescent="0.35">
      <c r="A187" s="7"/>
    </row>
    <row r="188" spans="1:1" ht="14.5" x14ac:dyDescent="0.35">
      <c r="A188" s="7"/>
    </row>
    <row r="189" spans="1:1" ht="14.5" x14ac:dyDescent="0.35">
      <c r="A189" s="7"/>
    </row>
    <row r="190" spans="1:1" ht="14.5" x14ac:dyDescent="0.35">
      <c r="A190" s="7"/>
    </row>
    <row r="191" spans="1:1" ht="14.5" x14ac:dyDescent="0.35">
      <c r="A191" s="7"/>
    </row>
    <row r="192" spans="1:1" ht="14.5" x14ac:dyDescent="0.35">
      <c r="A192" s="7"/>
    </row>
    <row r="193" spans="1:1" ht="14.5" x14ac:dyDescent="0.35">
      <c r="A193" s="7"/>
    </row>
    <row r="194" spans="1:1" ht="14.5" x14ac:dyDescent="0.35">
      <c r="A194" s="7"/>
    </row>
    <row r="195" spans="1:1" ht="14.5" x14ac:dyDescent="0.35">
      <c r="A195" s="7"/>
    </row>
    <row r="196" spans="1:1" ht="14.5" x14ac:dyDescent="0.35">
      <c r="A196" s="7"/>
    </row>
    <row r="197" spans="1:1" ht="14.5" x14ac:dyDescent="0.35">
      <c r="A197" s="7"/>
    </row>
    <row r="198" spans="1:1" ht="14.5" x14ac:dyDescent="0.35">
      <c r="A198" s="7"/>
    </row>
    <row r="199" spans="1:1" ht="14.5" x14ac:dyDescent="0.35">
      <c r="A199" s="7"/>
    </row>
    <row r="200" spans="1:1" ht="14.5" x14ac:dyDescent="0.35">
      <c r="A200" s="7"/>
    </row>
    <row r="201" spans="1:1" ht="14.5" x14ac:dyDescent="0.35">
      <c r="A201" s="7"/>
    </row>
    <row r="202" spans="1:1" ht="14.5" x14ac:dyDescent="0.35">
      <c r="A202" s="7"/>
    </row>
    <row r="203" spans="1:1" ht="14.5" x14ac:dyDescent="0.35">
      <c r="A203" s="7"/>
    </row>
    <row r="204" spans="1:1" ht="14.5" x14ac:dyDescent="0.35">
      <c r="A204" s="7"/>
    </row>
    <row r="205" spans="1:1" ht="14.5" x14ac:dyDescent="0.35">
      <c r="A205" s="7"/>
    </row>
    <row r="206" spans="1:1" ht="14.5" x14ac:dyDescent="0.35">
      <c r="A206" s="7"/>
    </row>
    <row r="207" spans="1:1" ht="14.5" x14ac:dyDescent="0.35">
      <c r="A207" s="7"/>
    </row>
    <row r="208" spans="1:1" ht="14.5" x14ac:dyDescent="0.35">
      <c r="A208" s="7"/>
    </row>
    <row r="209" spans="1:1" ht="14.5" x14ac:dyDescent="0.35">
      <c r="A209" s="7"/>
    </row>
    <row r="210" spans="1:1" ht="14.5" x14ac:dyDescent="0.35">
      <c r="A210" s="7"/>
    </row>
    <row r="211" spans="1:1" ht="14.5" x14ac:dyDescent="0.35">
      <c r="A211" s="7"/>
    </row>
    <row r="212" spans="1:1" ht="14.5" x14ac:dyDescent="0.35">
      <c r="A212" s="7"/>
    </row>
    <row r="213" spans="1:1" ht="14.5" x14ac:dyDescent="0.35">
      <c r="A213" s="7"/>
    </row>
    <row r="214" spans="1:1" ht="14.5" x14ac:dyDescent="0.35">
      <c r="A214" s="7"/>
    </row>
    <row r="215" spans="1:1" ht="14.5" x14ac:dyDescent="0.35">
      <c r="A215" s="7"/>
    </row>
    <row r="216" spans="1:1" ht="14.5" x14ac:dyDescent="0.35">
      <c r="A216" s="7"/>
    </row>
    <row r="217" spans="1:1" ht="14.5" x14ac:dyDescent="0.35">
      <c r="A217" s="7"/>
    </row>
    <row r="218" spans="1:1" ht="14.5" x14ac:dyDescent="0.35">
      <c r="A218" s="7"/>
    </row>
    <row r="219" spans="1:1" ht="14.5" x14ac:dyDescent="0.35">
      <c r="A219" s="7"/>
    </row>
    <row r="220" spans="1:1" ht="14.5" x14ac:dyDescent="0.35">
      <c r="A220" s="7"/>
    </row>
    <row r="221" spans="1:1" ht="14.5" x14ac:dyDescent="0.35">
      <c r="A221" s="7"/>
    </row>
    <row r="222" spans="1:1" ht="14.5" x14ac:dyDescent="0.35">
      <c r="A222" s="7"/>
    </row>
    <row r="223" spans="1:1" ht="14.5" x14ac:dyDescent="0.35">
      <c r="A223" s="7"/>
    </row>
    <row r="224" spans="1:1" ht="14.5" x14ac:dyDescent="0.35">
      <c r="A224" s="7"/>
    </row>
    <row r="225" spans="1:1" ht="14.5" x14ac:dyDescent="0.35">
      <c r="A225" s="7"/>
    </row>
    <row r="226" spans="1:1" ht="14.5" x14ac:dyDescent="0.35">
      <c r="A226" s="7"/>
    </row>
    <row r="227" spans="1:1" ht="14.5" x14ac:dyDescent="0.35">
      <c r="A227" s="7"/>
    </row>
    <row r="228" spans="1:1" ht="14.5" x14ac:dyDescent="0.35">
      <c r="A228" s="7"/>
    </row>
    <row r="229" spans="1:1" ht="14.5" x14ac:dyDescent="0.35">
      <c r="A229" s="7"/>
    </row>
    <row r="230" spans="1:1" ht="14.5" x14ac:dyDescent="0.35">
      <c r="A230" s="7"/>
    </row>
    <row r="231" spans="1:1" ht="14.5" x14ac:dyDescent="0.35">
      <c r="A231" s="7"/>
    </row>
    <row r="232" spans="1:1" ht="14.5" x14ac:dyDescent="0.35">
      <c r="A232" s="7"/>
    </row>
    <row r="233" spans="1:1" ht="14.5" x14ac:dyDescent="0.35">
      <c r="A233" s="7"/>
    </row>
    <row r="234" spans="1:1" ht="14.5" x14ac:dyDescent="0.35">
      <c r="A234" s="7"/>
    </row>
    <row r="235" spans="1:1" ht="14.5" x14ac:dyDescent="0.35">
      <c r="A235" s="7"/>
    </row>
    <row r="236" spans="1:1" ht="14.5" x14ac:dyDescent="0.35">
      <c r="A236" s="7"/>
    </row>
    <row r="237" spans="1:1" ht="14.5" x14ac:dyDescent="0.35">
      <c r="A237" s="7"/>
    </row>
    <row r="238" spans="1:1" ht="14.5" x14ac:dyDescent="0.35">
      <c r="A238" s="7"/>
    </row>
    <row r="239" spans="1:1" ht="14.5" x14ac:dyDescent="0.35">
      <c r="A239" s="7"/>
    </row>
    <row r="240" spans="1:1" ht="14.5" x14ac:dyDescent="0.35">
      <c r="A240" s="7"/>
    </row>
    <row r="241" spans="1:1" ht="14.5" x14ac:dyDescent="0.35">
      <c r="A241" s="7"/>
    </row>
    <row r="242" spans="1:1" ht="14.5" x14ac:dyDescent="0.35">
      <c r="A242" s="7"/>
    </row>
    <row r="243" spans="1:1" ht="14.5" x14ac:dyDescent="0.35">
      <c r="A243" s="7"/>
    </row>
    <row r="244" spans="1:1" ht="14.5" x14ac:dyDescent="0.35">
      <c r="A244" s="7"/>
    </row>
    <row r="245" spans="1:1" ht="14.5" x14ac:dyDescent="0.35">
      <c r="A245" s="7"/>
    </row>
    <row r="246" spans="1:1" ht="14.5" x14ac:dyDescent="0.35">
      <c r="A246" s="7"/>
    </row>
    <row r="247" spans="1:1" ht="14.5" x14ac:dyDescent="0.35">
      <c r="A247" s="7"/>
    </row>
    <row r="248" spans="1:1" ht="14.5" x14ac:dyDescent="0.35">
      <c r="A248" s="7"/>
    </row>
    <row r="249" spans="1:1" ht="14.5" x14ac:dyDescent="0.35">
      <c r="A249" s="7"/>
    </row>
    <row r="250" spans="1:1" ht="14.5" x14ac:dyDescent="0.35">
      <c r="A250" s="7"/>
    </row>
    <row r="251" spans="1:1" ht="14.5" x14ac:dyDescent="0.35">
      <c r="A251" s="7"/>
    </row>
    <row r="252" spans="1:1" ht="14.5" x14ac:dyDescent="0.35">
      <c r="A252" s="7"/>
    </row>
    <row r="253" spans="1:1" ht="14.5" x14ac:dyDescent="0.35">
      <c r="A253" s="7"/>
    </row>
    <row r="254" spans="1:1" ht="14.5" x14ac:dyDescent="0.35">
      <c r="A254" s="7"/>
    </row>
    <row r="255" spans="1:1" ht="14.5" x14ac:dyDescent="0.35">
      <c r="A255" s="7"/>
    </row>
    <row r="256" spans="1:1" ht="14.5" x14ac:dyDescent="0.35">
      <c r="A256" s="7"/>
    </row>
    <row r="257" spans="1:1" ht="14.5" x14ac:dyDescent="0.35">
      <c r="A257" s="7"/>
    </row>
    <row r="258" spans="1:1" ht="14.5" x14ac:dyDescent="0.35">
      <c r="A258" s="7"/>
    </row>
    <row r="259" spans="1:1" ht="14.5" x14ac:dyDescent="0.35">
      <c r="A259" s="7"/>
    </row>
    <row r="260" spans="1:1" ht="14.5" x14ac:dyDescent="0.35">
      <c r="A260" s="7"/>
    </row>
    <row r="261" spans="1:1" ht="14.5" x14ac:dyDescent="0.35">
      <c r="A261" s="7"/>
    </row>
    <row r="262" spans="1:1" ht="14.5" x14ac:dyDescent="0.35">
      <c r="A262" s="7"/>
    </row>
    <row r="263" spans="1:1" ht="14.5" x14ac:dyDescent="0.35">
      <c r="A263" s="7"/>
    </row>
    <row r="264" spans="1:1" ht="14.5" x14ac:dyDescent="0.35">
      <c r="A264" s="7"/>
    </row>
    <row r="265" spans="1:1" ht="14.5" x14ac:dyDescent="0.35">
      <c r="A265" s="7"/>
    </row>
    <row r="266" spans="1:1" ht="14.5" x14ac:dyDescent="0.35">
      <c r="A266" s="7"/>
    </row>
    <row r="267" spans="1:1" ht="14.5" x14ac:dyDescent="0.35">
      <c r="A267" s="7"/>
    </row>
    <row r="268" spans="1:1" ht="14.5" x14ac:dyDescent="0.35">
      <c r="A268" s="7"/>
    </row>
    <row r="269" spans="1:1" ht="14.5" x14ac:dyDescent="0.35">
      <c r="A269" s="7"/>
    </row>
    <row r="270" spans="1:1" ht="14.5" x14ac:dyDescent="0.35">
      <c r="A270" s="7"/>
    </row>
    <row r="271" spans="1:1" ht="14.5" x14ac:dyDescent="0.35">
      <c r="A271" s="7"/>
    </row>
    <row r="272" spans="1:1" ht="14.5" x14ac:dyDescent="0.35">
      <c r="A272" s="7"/>
    </row>
    <row r="273" spans="1:1" ht="14.5" x14ac:dyDescent="0.35">
      <c r="A273" s="7"/>
    </row>
    <row r="274" spans="1:1" ht="14.5" x14ac:dyDescent="0.35">
      <c r="A274" s="7"/>
    </row>
    <row r="275" spans="1:1" ht="14.5" x14ac:dyDescent="0.35">
      <c r="A275" s="7"/>
    </row>
    <row r="276" spans="1:1" ht="14.5" x14ac:dyDescent="0.35">
      <c r="A276" s="7"/>
    </row>
    <row r="277" spans="1:1" ht="14.5" x14ac:dyDescent="0.35">
      <c r="A277" s="7"/>
    </row>
    <row r="278" spans="1:1" ht="14.5" x14ac:dyDescent="0.35">
      <c r="A278" s="7"/>
    </row>
    <row r="279" spans="1:1" ht="14.5" x14ac:dyDescent="0.35">
      <c r="A279" s="7"/>
    </row>
    <row r="280" spans="1:1" ht="14.5" x14ac:dyDescent="0.35">
      <c r="A280" s="7"/>
    </row>
    <row r="281" spans="1:1" ht="14.5" x14ac:dyDescent="0.35">
      <c r="A281" s="7"/>
    </row>
    <row r="282" spans="1:1" ht="14.5" x14ac:dyDescent="0.35">
      <c r="A282" s="7"/>
    </row>
    <row r="283" spans="1:1" ht="14.5" x14ac:dyDescent="0.35">
      <c r="A283" s="7"/>
    </row>
    <row r="284" spans="1:1" ht="14.5" x14ac:dyDescent="0.35">
      <c r="A284" s="7"/>
    </row>
    <row r="285" spans="1:1" ht="14.5" x14ac:dyDescent="0.35">
      <c r="A285" s="7"/>
    </row>
    <row r="286" spans="1:1" ht="14.5" x14ac:dyDescent="0.35">
      <c r="A286" s="7"/>
    </row>
    <row r="287" spans="1:1" ht="14.5" x14ac:dyDescent="0.35">
      <c r="A287" s="7"/>
    </row>
    <row r="288" spans="1:1" ht="14.5" x14ac:dyDescent="0.35">
      <c r="A288" s="7"/>
    </row>
    <row r="289" spans="1:1" ht="14.5" x14ac:dyDescent="0.35">
      <c r="A289" s="7"/>
    </row>
    <row r="290" spans="1:1" ht="14.5" x14ac:dyDescent="0.35">
      <c r="A290" s="7"/>
    </row>
    <row r="291" spans="1:1" ht="14.5" x14ac:dyDescent="0.35">
      <c r="A291" s="7"/>
    </row>
    <row r="292" spans="1:1" ht="14.5" x14ac:dyDescent="0.35">
      <c r="A292" s="7"/>
    </row>
    <row r="293" spans="1:1" ht="14.5" x14ac:dyDescent="0.35">
      <c r="A293" s="7"/>
    </row>
    <row r="294" spans="1:1" ht="14.5" x14ac:dyDescent="0.35">
      <c r="A294" s="7"/>
    </row>
    <row r="295" spans="1:1" ht="14.5" x14ac:dyDescent="0.35">
      <c r="A295" s="7"/>
    </row>
    <row r="296" spans="1:1" ht="14.5" x14ac:dyDescent="0.35">
      <c r="A296" s="7"/>
    </row>
    <row r="297" spans="1:1" ht="14.5" x14ac:dyDescent="0.35">
      <c r="A297" s="7"/>
    </row>
    <row r="298" spans="1:1" ht="14.5" x14ac:dyDescent="0.35">
      <c r="A298" s="7"/>
    </row>
    <row r="299" spans="1:1" ht="14.5" x14ac:dyDescent="0.35">
      <c r="A299" s="7"/>
    </row>
    <row r="300" spans="1:1" ht="14.5" x14ac:dyDescent="0.35">
      <c r="A300" s="7"/>
    </row>
    <row r="301" spans="1:1" ht="14.5" x14ac:dyDescent="0.35">
      <c r="A301" s="7"/>
    </row>
    <row r="302" spans="1:1" ht="14.5" x14ac:dyDescent="0.35">
      <c r="A302" s="7"/>
    </row>
    <row r="303" spans="1:1" ht="14.5" x14ac:dyDescent="0.35">
      <c r="A303" s="7"/>
    </row>
    <row r="304" spans="1:1" ht="14.5" x14ac:dyDescent="0.35">
      <c r="A304" s="7"/>
    </row>
    <row r="305" spans="1:1" ht="14.5" x14ac:dyDescent="0.35">
      <c r="A305" s="7"/>
    </row>
    <row r="306" spans="1:1" ht="14.5" x14ac:dyDescent="0.35">
      <c r="A306" s="7"/>
    </row>
    <row r="307" spans="1:1" ht="14.5" x14ac:dyDescent="0.35">
      <c r="A307" s="7"/>
    </row>
    <row r="308" spans="1:1" ht="14.5" x14ac:dyDescent="0.35">
      <c r="A308" s="7"/>
    </row>
    <row r="309" spans="1:1" ht="14.5" x14ac:dyDescent="0.35">
      <c r="A309" s="7"/>
    </row>
    <row r="310" spans="1:1" ht="14.5" x14ac:dyDescent="0.35">
      <c r="A310" s="7"/>
    </row>
    <row r="311" spans="1:1" ht="14.5" x14ac:dyDescent="0.35">
      <c r="A311" s="7"/>
    </row>
    <row r="312" spans="1:1" ht="14.5" x14ac:dyDescent="0.35">
      <c r="A312" s="7"/>
    </row>
    <row r="313" spans="1:1" ht="14.5" x14ac:dyDescent="0.35">
      <c r="A313" s="7"/>
    </row>
    <row r="314" spans="1:1" ht="14.5" x14ac:dyDescent="0.35">
      <c r="A314" s="7"/>
    </row>
    <row r="315" spans="1:1" ht="14.5" x14ac:dyDescent="0.35">
      <c r="A315" s="7"/>
    </row>
    <row r="316" spans="1:1" ht="14.5" x14ac:dyDescent="0.35">
      <c r="A316" s="7"/>
    </row>
    <row r="317" spans="1:1" ht="14.5" x14ac:dyDescent="0.35">
      <c r="A317" s="7"/>
    </row>
    <row r="318" spans="1:1" ht="14.5" x14ac:dyDescent="0.35">
      <c r="A318" s="7"/>
    </row>
    <row r="319" spans="1:1" ht="14.5" x14ac:dyDescent="0.35">
      <c r="A319" s="7"/>
    </row>
    <row r="320" spans="1:1" ht="14.5" x14ac:dyDescent="0.35">
      <c r="A320" s="7"/>
    </row>
    <row r="321" spans="1:1" ht="14.5" x14ac:dyDescent="0.35">
      <c r="A321" s="7"/>
    </row>
    <row r="322" spans="1:1" ht="14.5" x14ac:dyDescent="0.35">
      <c r="A322" s="7"/>
    </row>
    <row r="323" spans="1:1" ht="14.5" x14ac:dyDescent="0.35">
      <c r="A323" s="7"/>
    </row>
    <row r="324" spans="1:1" ht="14.5" x14ac:dyDescent="0.35">
      <c r="A324" s="7"/>
    </row>
    <row r="325" spans="1:1" ht="14.5" x14ac:dyDescent="0.35">
      <c r="A325" s="7"/>
    </row>
    <row r="326" spans="1:1" ht="14.5" x14ac:dyDescent="0.35">
      <c r="A326" s="7"/>
    </row>
    <row r="327" spans="1:1" ht="14.5" x14ac:dyDescent="0.35">
      <c r="A327" s="7"/>
    </row>
    <row r="328" spans="1:1" ht="14.5" x14ac:dyDescent="0.35">
      <c r="A328" s="7"/>
    </row>
    <row r="329" spans="1:1" ht="14.5" x14ac:dyDescent="0.35">
      <c r="A329" s="7"/>
    </row>
    <row r="330" spans="1:1" ht="14.5" x14ac:dyDescent="0.35">
      <c r="A330" s="7"/>
    </row>
    <row r="331" spans="1:1" ht="14.5" x14ac:dyDescent="0.35">
      <c r="A331" s="7"/>
    </row>
    <row r="332" spans="1:1" ht="14.5" x14ac:dyDescent="0.35">
      <c r="A332" s="7"/>
    </row>
    <row r="333" spans="1:1" ht="14.5" x14ac:dyDescent="0.35">
      <c r="A333" s="7"/>
    </row>
    <row r="334" spans="1:1" ht="14.5" x14ac:dyDescent="0.35">
      <c r="A334" s="7"/>
    </row>
    <row r="335" spans="1:1" ht="14.5" x14ac:dyDescent="0.35">
      <c r="A335" s="7"/>
    </row>
    <row r="336" spans="1:1" ht="14.5" x14ac:dyDescent="0.35">
      <c r="A336" s="7"/>
    </row>
    <row r="337" spans="1:1" ht="14.5" x14ac:dyDescent="0.35">
      <c r="A337" s="7"/>
    </row>
    <row r="338" spans="1:1" ht="14.5" x14ac:dyDescent="0.35">
      <c r="A338" s="7"/>
    </row>
    <row r="339" spans="1:1" ht="14.5" x14ac:dyDescent="0.35">
      <c r="A339" s="7"/>
    </row>
    <row r="340" spans="1:1" ht="14.5" x14ac:dyDescent="0.35">
      <c r="A340" s="7"/>
    </row>
    <row r="341" spans="1:1" ht="14.5" x14ac:dyDescent="0.35">
      <c r="A341" s="7"/>
    </row>
    <row r="342" spans="1:1" ht="14.5" x14ac:dyDescent="0.35">
      <c r="A342" s="7"/>
    </row>
    <row r="343" spans="1:1" ht="14.5" x14ac:dyDescent="0.35">
      <c r="A343" s="7"/>
    </row>
    <row r="344" spans="1:1" ht="14.5" x14ac:dyDescent="0.35">
      <c r="A344" s="7"/>
    </row>
    <row r="345" spans="1:1" ht="14.5" x14ac:dyDescent="0.35">
      <c r="A345" s="7"/>
    </row>
    <row r="346" spans="1:1" ht="14.5" x14ac:dyDescent="0.35">
      <c r="A346" s="7"/>
    </row>
    <row r="347" spans="1:1" ht="14.5" x14ac:dyDescent="0.35">
      <c r="A347" s="7"/>
    </row>
    <row r="348" spans="1:1" ht="14.5" x14ac:dyDescent="0.35">
      <c r="A348" s="7"/>
    </row>
    <row r="349" spans="1:1" ht="14.5" x14ac:dyDescent="0.35">
      <c r="A349" s="7"/>
    </row>
    <row r="350" spans="1:1" ht="14.5" x14ac:dyDescent="0.35">
      <c r="A350" s="7"/>
    </row>
    <row r="351" spans="1:1" ht="14.5" x14ac:dyDescent="0.35">
      <c r="A351" s="7"/>
    </row>
    <row r="352" spans="1:1" ht="14.5" x14ac:dyDescent="0.35">
      <c r="A352" s="7"/>
    </row>
    <row r="353" spans="1:1" ht="14.5" x14ac:dyDescent="0.35">
      <c r="A353" s="7"/>
    </row>
    <row r="354" spans="1:1" ht="14.5" x14ac:dyDescent="0.35">
      <c r="A354" s="7"/>
    </row>
    <row r="355" spans="1:1" ht="14.5" x14ac:dyDescent="0.35">
      <c r="A355" s="7"/>
    </row>
    <row r="356" spans="1:1" ht="14.5" x14ac:dyDescent="0.35">
      <c r="A356" s="7"/>
    </row>
    <row r="357" spans="1:1" ht="14.5" x14ac:dyDescent="0.35">
      <c r="A357" s="7"/>
    </row>
    <row r="358" spans="1:1" ht="14.5" x14ac:dyDescent="0.35">
      <c r="A358" s="7"/>
    </row>
    <row r="359" spans="1:1" ht="14.5" x14ac:dyDescent="0.35">
      <c r="A359" s="7"/>
    </row>
    <row r="360" spans="1:1" ht="14.5" x14ac:dyDescent="0.35">
      <c r="A360" s="7"/>
    </row>
    <row r="361" spans="1:1" ht="14.5" x14ac:dyDescent="0.35">
      <c r="A361" s="7"/>
    </row>
    <row r="362" spans="1:1" ht="14.5" x14ac:dyDescent="0.35">
      <c r="A362" s="7"/>
    </row>
    <row r="363" spans="1:1" ht="14.5" x14ac:dyDescent="0.35">
      <c r="A363" s="7"/>
    </row>
    <row r="364" spans="1:1" ht="14.5" x14ac:dyDescent="0.35">
      <c r="A364" s="7"/>
    </row>
    <row r="365" spans="1:1" ht="14.5" x14ac:dyDescent="0.35">
      <c r="A365" s="7"/>
    </row>
    <row r="366" spans="1:1" ht="14.5" x14ac:dyDescent="0.35">
      <c r="A366" s="7"/>
    </row>
    <row r="367" spans="1:1" ht="14.5" x14ac:dyDescent="0.35">
      <c r="A367" s="7"/>
    </row>
    <row r="368" spans="1:1" ht="14.5" x14ac:dyDescent="0.35">
      <c r="A368" s="7"/>
    </row>
    <row r="369" spans="1:1" ht="14.5" x14ac:dyDescent="0.35">
      <c r="A369" s="7"/>
    </row>
    <row r="370" spans="1:1" ht="14.5" x14ac:dyDescent="0.35">
      <c r="A370" s="7"/>
    </row>
    <row r="371" spans="1:1" ht="14.5" x14ac:dyDescent="0.35">
      <c r="A371" s="7"/>
    </row>
    <row r="372" spans="1:1" ht="14.5" x14ac:dyDescent="0.35">
      <c r="A372" s="7"/>
    </row>
    <row r="373" spans="1:1" ht="14.5" x14ac:dyDescent="0.35">
      <c r="A373" s="7"/>
    </row>
    <row r="374" spans="1:1" ht="14.5" x14ac:dyDescent="0.35">
      <c r="A374" s="7"/>
    </row>
    <row r="375" spans="1:1" ht="14.5" x14ac:dyDescent="0.35">
      <c r="A375" s="7"/>
    </row>
    <row r="376" spans="1:1" ht="14.5" x14ac:dyDescent="0.35">
      <c r="A376" s="7"/>
    </row>
    <row r="377" spans="1:1" ht="14.5" x14ac:dyDescent="0.35">
      <c r="A377" s="7"/>
    </row>
    <row r="378" spans="1:1" ht="14.5" x14ac:dyDescent="0.35">
      <c r="A378" s="7"/>
    </row>
    <row r="379" spans="1:1" ht="14.5" x14ac:dyDescent="0.35">
      <c r="A379" s="7"/>
    </row>
    <row r="380" spans="1:1" ht="14.5" x14ac:dyDescent="0.35">
      <c r="A380" s="7"/>
    </row>
    <row r="381" spans="1:1" ht="14.5" x14ac:dyDescent="0.35">
      <c r="A381" s="7"/>
    </row>
    <row r="382" spans="1:1" ht="14.5" x14ac:dyDescent="0.35">
      <c r="A382" s="7"/>
    </row>
    <row r="383" spans="1:1" ht="14.5" x14ac:dyDescent="0.35">
      <c r="A383" s="7"/>
    </row>
    <row r="384" spans="1:1" ht="14.5" x14ac:dyDescent="0.35">
      <c r="A384" s="7"/>
    </row>
    <row r="385" spans="1:1" ht="14.5" x14ac:dyDescent="0.35">
      <c r="A385" s="7"/>
    </row>
    <row r="386" spans="1:1" ht="14.5" x14ac:dyDescent="0.35">
      <c r="A386" s="7"/>
    </row>
    <row r="387" spans="1:1" ht="14.5" x14ac:dyDescent="0.35">
      <c r="A387" s="7"/>
    </row>
    <row r="388" spans="1:1" ht="14.5" x14ac:dyDescent="0.35">
      <c r="A388" s="7"/>
    </row>
    <row r="389" spans="1:1" ht="14.5" x14ac:dyDescent="0.35">
      <c r="A389" s="7"/>
    </row>
    <row r="390" spans="1:1" ht="14.5" x14ac:dyDescent="0.35">
      <c r="A390" s="7"/>
    </row>
    <row r="391" spans="1:1" ht="14.5" x14ac:dyDescent="0.35">
      <c r="A391" s="7"/>
    </row>
    <row r="392" spans="1:1" ht="14.5" x14ac:dyDescent="0.35">
      <c r="A392" s="7"/>
    </row>
    <row r="393" spans="1:1" ht="14.5" x14ac:dyDescent="0.35">
      <c r="A393" s="7"/>
    </row>
    <row r="394" spans="1:1" ht="14.5" x14ac:dyDescent="0.35">
      <c r="A394" s="7"/>
    </row>
    <row r="395" spans="1:1" ht="14.5" x14ac:dyDescent="0.35">
      <c r="A395" s="7"/>
    </row>
    <row r="396" spans="1:1" ht="14.5" x14ac:dyDescent="0.35">
      <c r="A396" s="7"/>
    </row>
    <row r="397" spans="1:1" ht="14.5" x14ac:dyDescent="0.35">
      <c r="A397" s="7"/>
    </row>
    <row r="398" spans="1:1" ht="14.5" x14ac:dyDescent="0.35">
      <c r="A398" s="7"/>
    </row>
    <row r="399" spans="1:1" ht="14.5" x14ac:dyDescent="0.35">
      <c r="A399" s="7"/>
    </row>
    <row r="400" spans="1:1" ht="14.5" x14ac:dyDescent="0.35">
      <c r="A400" s="7"/>
    </row>
    <row r="401" spans="1:1" ht="14.5" x14ac:dyDescent="0.35">
      <c r="A401" s="7"/>
    </row>
    <row r="402" spans="1:1" ht="14.5" x14ac:dyDescent="0.35">
      <c r="A402" s="7"/>
    </row>
    <row r="403" spans="1:1" ht="14.5" x14ac:dyDescent="0.35">
      <c r="A403" s="7"/>
    </row>
    <row r="404" spans="1:1" ht="14.5" x14ac:dyDescent="0.35">
      <c r="A404" s="7"/>
    </row>
    <row r="405" spans="1:1" ht="14.5" x14ac:dyDescent="0.35">
      <c r="A405" s="7"/>
    </row>
    <row r="406" spans="1:1" ht="14.5" x14ac:dyDescent="0.35">
      <c r="A406" s="7"/>
    </row>
    <row r="407" spans="1:1" ht="14.5" x14ac:dyDescent="0.35">
      <c r="A407" s="7"/>
    </row>
    <row r="408" spans="1:1" ht="14.5" x14ac:dyDescent="0.35">
      <c r="A408" s="7"/>
    </row>
    <row r="409" spans="1:1" ht="14.5" x14ac:dyDescent="0.35">
      <c r="A409" s="7"/>
    </row>
    <row r="410" spans="1:1" ht="14.5" x14ac:dyDescent="0.35">
      <c r="A410" s="7"/>
    </row>
    <row r="411" spans="1:1" ht="14.5" x14ac:dyDescent="0.35">
      <c r="A411" s="7"/>
    </row>
    <row r="412" spans="1:1" ht="14.5" x14ac:dyDescent="0.35">
      <c r="A412" s="7"/>
    </row>
    <row r="413" spans="1:1" ht="14.5" x14ac:dyDescent="0.35">
      <c r="A413" s="7"/>
    </row>
    <row r="414" spans="1:1" ht="14.5" x14ac:dyDescent="0.35">
      <c r="A414" s="7"/>
    </row>
    <row r="415" spans="1:1" ht="14.5" x14ac:dyDescent="0.35">
      <c r="A415" s="7"/>
    </row>
    <row r="416" spans="1:1" ht="14.5" x14ac:dyDescent="0.35">
      <c r="A416" s="7"/>
    </row>
    <row r="417" spans="1:1" ht="14.5" x14ac:dyDescent="0.35">
      <c r="A417" s="7"/>
    </row>
    <row r="418" spans="1:1" ht="14.5" x14ac:dyDescent="0.35">
      <c r="A418" s="7"/>
    </row>
    <row r="419" spans="1:1" ht="14.5" x14ac:dyDescent="0.35">
      <c r="A419" s="7"/>
    </row>
    <row r="420" spans="1:1" ht="14.5" x14ac:dyDescent="0.35">
      <c r="A420" s="7"/>
    </row>
    <row r="421" spans="1:1" ht="14.5" x14ac:dyDescent="0.35">
      <c r="A421" s="7"/>
    </row>
    <row r="422" spans="1:1" ht="14.5" x14ac:dyDescent="0.35">
      <c r="A422" s="7"/>
    </row>
    <row r="423" spans="1:1" ht="14.5" x14ac:dyDescent="0.35">
      <c r="A423" s="7"/>
    </row>
    <row r="424" spans="1:1" ht="14.5" x14ac:dyDescent="0.35">
      <c r="A424" s="7"/>
    </row>
    <row r="425" spans="1:1" ht="14.5" x14ac:dyDescent="0.35">
      <c r="A425" s="7"/>
    </row>
    <row r="426" spans="1:1" ht="14.5" x14ac:dyDescent="0.35">
      <c r="A426" s="7"/>
    </row>
    <row r="427" spans="1:1" ht="14.5" x14ac:dyDescent="0.35">
      <c r="A427" s="7"/>
    </row>
    <row r="428" spans="1:1" ht="14.5" x14ac:dyDescent="0.35">
      <c r="A428" s="7"/>
    </row>
    <row r="429" spans="1:1" ht="14.5" x14ac:dyDescent="0.35">
      <c r="A429" s="7"/>
    </row>
    <row r="430" spans="1:1" ht="14.5" x14ac:dyDescent="0.35">
      <c r="A430" s="7"/>
    </row>
    <row r="431" spans="1:1" ht="14.5" x14ac:dyDescent="0.35">
      <c r="A431" s="7"/>
    </row>
    <row r="432" spans="1:1" ht="14.5" x14ac:dyDescent="0.35">
      <c r="A432" s="7"/>
    </row>
    <row r="433" spans="1:1" ht="14.5" x14ac:dyDescent="0.35">
      <c r="A433" s="7"/>
    </row>
    <row r="434" spans="1:1" ht="14.5" x14ac:dyDescent="0.35">
      <c r="A434" s="7"/>
    </row>
    <row r="435" spans="1:1" ht="14.5" x14ac:dyDescent="0.35">
      <c r="A435" s="7"/>
    </row>
    <row r="436" spans="1:1" ht="14.5" x14ac:dyDescent="0.35">
      <c r="A436" s="7"/>
    </row>
    <row r="437" spans="1:1" ht="14.5" x14ac:dyDescent="0.35">
      <c r="A437" s="7"/>
    </row>
    <row r="438" spans="1:1" ht="14.5" x14ac:dyDescent="0.35">
      <c r="A438" s="7"/>
    </row>
    <row r="439" spans="1:1" ht="14.5" x14ac:dyDescent="0.35">
      <c r="A439" s="7"/>
    </row>
    <row r="440" spans="1:1" ht="14.5" x14ac:dyDescent="0.35">
      <c r="A440" s="7"/>
    </row>
    <row r="441" spans="1:1" ht="14.5" x14ac:dyDescent="0.35">
      <c r="A441" s="7"/>
    </row>
    <row r="442" spans="1:1" ht="14.5" x14ac:dyDescent="0.35">
      <c r="A442" s="7"/>
    </row>
    <row r="443" spans="1:1" ht="14.5" x14ac:dyDescent="0.35">
      <c r="A443" s="7"/>
    </row>
    <row r="444" spans="1:1" ht="14.5" x14ac:dyDescent="0.35">
      <c r="A444" s="7"/>
    </row>
    <row r="445" spans="1:1" ht="14.5" x14ac:dyDescent="0.35">
      <c r="A445" s="7"/>
    </row>
    <row r="446" spans="1:1" ht="14.5" x14ac:dyDescent="0.35">
      <c r="A446" s="7"/>
    </row>
    <row r="447" spans="1:1" ht="14.5" x14ac:dyDescent="0.35">
      <c r="A447" s="7"/>
    </row>
    <row r="448" spans="1:1" ht="14.5" x14ac:dyDescent="0.35">
      <c r="A448" s="7"/>
    </row>
    <row r="449" spans="1:1" ht="14.5" x14ac:dyDescent="0.35">
      <c r="A449" s="7"/>
    </row>
    <row r="450" spans="1:1" ht="14.5" x14ac:dyDescent="0.35">
      <c r="A450" s="7"/>
    </row>
    <row r="451" spans="1:1" ht="14.5" x14ac:dyDescent="0.35">
      <c r="A451" s="7"/>
    </row>
    <row r="452" spans="1:1" ht="14.5" x14ac:dyDescent="0.35">
      <c r="A452" s="7"/>
    </row>
    <row r="453" spans="1:1" ht="14.5" x14ac:dyDescent="0.35">
      <c r="A453" s="7"/>
    </row>
    <row r="454" spans="1:1" ht="14.5" x14ac:dyDescent="0.35">
      <c r="A454" s="7"/>
    </row>
    <row r="455" spans="1:1" ht="14.5" x14ac:dyDescent="0.35">
      <c r="A455" s="7"/>
    </row>
    <row r="456" spans="1:1" ht="14.5" x14ac:dyDescent="0.35">
      <c r="A456" s="7"/>
    </row>
    <row r="457" spans="1:1" ht="14.5" x14ac:dyDescent="0.35">
      <c r="A457" s="7"/>
    </row>
    <row r="458" spans="1:1" ht="14.5" x14ac:dyDescent="0.35">
      <c r="A458" s="7"/>
    </row>
    <row r="459" spans="1:1" ht="14.5" x14ac:dyDescent="0.35">
      <c r="A459" s="7"/>
    </row>
    <row r="460" spans="1:1" ht="14.5" x14ac:dyDescent="0.35">
      <c r="A460" s="7"/>
    </row>
    <row r="461" spans="1:1" ht="14.5" x14ac:dyDescent="0.35">
      <c r="A461" s="7"/>
    </row>
    <row r="462" spans="1:1" ht="14.5" x14ac:dyDescent="0.35">
      <c r="A462" s="7"/>
    </row>
    <row r="463" spans="1:1" ht="14.5" x14ac:dyDescent="0.35">
      <c r="A463" s="7"/>
    </row>
    <row r="464" spans="1:1" ht="14.5" x14ac:dyDescent="0.35">
      <c r="A464" s="7"/>
    </row>
    <row r="465" spans="1:1" ht="14.5" x14ac:dyDescent="0.35">
      <c r="A465" s="7"/>
    </row>
    <row r="466" spans="1:1" ht="14.5" x14ac:dyDescent="0.35">
      <c r="A466" s="7"/>
    </row>
    <row r="467" spans="1:1" ht="14.5" x14ac:dyDescent="0.35">
      <c r="A467" s="7"/>
    </row>
    <row r="468" spans="1:1" ht="14.5" x14ac:dyDescent="0.35">
      <c r="A468" s="7"/>
    </row>
    <row r="469" spans="1:1" ht="14.5" x14ac:dyDescent="0.35">
      <c r="A469" s="7"/>
    </row>
    <row r="470" spans="1:1" ht="14.5" x14ac:dyDescent="0.35">
      <c r="A470" s="7"/>
    </row>
    <row r="471" spans="1:1" ht="14.5" x14ac:dyDescent="0.35">
      <c r="A471" s="7"/>
    </row>
    <row r="472" spans="1:1" ht="14.5" x14ac:dyDescent="0.35">
      <c r="A472" s="7"/>
    </row>
    <row r="473" spans="1:1" ht="14.5" x14ac:dyDescent="0.35">
      <c r="A473" s="7"/>
    </row>
    <row r="474" spans="1:1" ht="14.5" x14ac:dyDescent="0.35">
      <c r="A474" s="7"/>
    </row>
    <row r="475" spans="1:1" ht="14.5" x14ac:dyDescent="0.35">
      <c r="A475" s="7"/>
    </row>
    <row r="476" spans="1:1" ht="14.5" x14ac:dyDescent="0.35">
      <c r="A476" s="7"/>
    </row>
    <row r="477" spans="1:1" ht="14.5" x14ac:dyDescent="0.35">
      <c r="A477" s="7"/>
    </row>
    <row r="478" spans="1:1" ht="14.5" x14ac:dyDescent="0.35">
      <c r="A478" s="7"/>
    </row>
    <row r="479" spans="1:1" ht="14.5" x14ac:dyDescent="0.35">
      <c r="A479" s="7"/>
    </row>
    <row r="480" spans="1:1" ht="14.5" x14ac:dyDescent="0.35">
      <c r="A480" s="7"/>
    </row>
    <row r="481" spans="1:1" ht="14.5" x14ac:dyDescent="0.35">
      <c r="A481" s="7"/>
    </row>
    <row r="482" spans="1:1" ht="14.5" x14ac:dyDescent="0.35">
      <c r="A482" s="7"/>
    </row>
    <row r="483" spans="1:1" ht="14.5" x14ac:dyDescent="0.35">
      <c r="A483" s="7"/>
    </row>
    <row r="484" spans="1:1" ht="14.5" x14ac:dyDescent="0.35">
      <c r="A484" s="7"/>
    </row>
    <row r="485" spans="1:1" ht="14.5" x14ac:dyDescent="0.35">
      <c r="A485" s="7"/>
    </row>
    <row r="486" spans="1:1" ht="14.5" x14ac:dyDescent="0.35">
      <c r="A486" s="7"/>
    </row>
    <row r="487" spans="1:1" ht="14.5" x14ac:dyDescent="0.35">
      <c r="A487" s="7"/>
    </row>
    <row r="488" spans="1:1" ht="14.5" x14ac:dyDescent="0.35">
      <c r="A488" s="7"/>
    </row>
    <row r="489" spans="1:1" ht="14.5" x14ac:dyDescent="0.35">
      <c r="A489" s="7"/>
    </row>
    <row r="490" spans="1:1" ht="14.5" x14ac:dyDescent="0.35">
      <c r="A490" s="7"/>
    </row>
    <row r="491" spans="1:1" ht="14.5" x14ac:dyDescent="0.35">
      <c r="A491" s="7"/>
    </row>
    <row r="492" spans="1:1" ht="14.5" x14ac:dyDescent="0.35">
      <c r="A492" s="7"/>
    </row>
    <row r="493" spans="1:1" ht="14.5" x14ac:dyDescent="0.35">
      <c r="A493" s="7"/>
    </row>
    <row r="494" spans="1:1" ht="14.5" x14ac:dyDescent="0.35">
      <c r="A494" s="7"/>
    </row>
    <row r="495" spans="1:1" ht="14.5" x14ac:dyDescent="0.35">
      <c r="A495" s="7"/>
    </row>
    <row r="496" spans="1:1" ht="14.5" x14ac:dyDescent="0.35">
      <c r="A496" s="7"/>
    </row>
    <row r="497" spans="1:1" ht="14.5" x14ac:dyDescent="0.35">
      <c r="A497" s="7"/>
    </row>
    <row r="498" spans="1:1" ht="14.5" x14ac:dyDescent="0.35">
      <c r="A498" s="7"/>
    </row>
    <row r="499" spans="1:1" ht="14.5" x14ac:dyDescent="0.35">
      <c r="A499" s="7"/>
    </row>
    <row r="500" spans="1:1" ht="14.5" x14ac:dyDescent="0.35">
      <c r="A500" s="7"/>
    </row>
    <row r="501" spans="1:1" ht="14.5" x14ac:dyDescent="0.35">
      <c r="A501" s="7"/>
    </row>
    <row r="502" spans="1:1" ht="14.5" x14ac:dyDescent="0.35">
      <c r="A502" s="7"/>
    </row>
    <row r="503" spans="1:1" ht="14.5" x14ac:dyDescent="0.35">
      <c r="A503" s="7"/>
    </row>
    <row r="504" spans="1:1" ht="14.5" x14ac:dyDescent="0.35">
      <c r="A504" s="7"/>
    </row>
    <row r="505" spans="1:1" ht="14.5" x14ac:dyDescent="0.35">
      <c r="A505" s="7"/>
    </row>
    <row r="506" spans="1:1" ht="14.5" x14ac:dyDescent="0.35">
      <c r="A506" s="7"/>
    </row>
    <row r="507" spans="1:1" ht="14.5" x14ac:dyDescent="0.35">
      <c r="A507" s="7"/>
    </row>
    <row r="508" spans="1:1" ht="14.5" x14ac:dyDescent="0.35">
      <c r="A508" s="7"/>
    </row>
    <row r="509" spans="1:1" ht="14.5" x14ac:dyDescent="0.35">
      <c r="A509" s="7"/>
    </row>
    <row r="510" spans="1:1" ht="14.5" x14ac:dyDescent="0.35">
      <c r="A510" s="7"/>
    </row>
    <row r="511" spans="1:1" ht="14.5" x14ac:dyDescent="0.35">
      <c r="A511" s="7"/>
    </row>
    <row r="512" spans="1:1" ht="14.5" x14ac:dyDescent="0.35">
      <c r="A512" s="7"/>
    </row>
    <row r="513" spans="1:1" ht="14.5" x14ac:dyDescent="0.35">
      <c r="A513" s="7"/>
    </row>
    <row r="514" spans="1:1" ht="14.5" x14ac:dyDescent="0.35">
      <c r="A514" s="7"/>
    </row>
    <row r="515" spans="1:1" ht="14.5" x14ac:dyDescent="0.35">
      <c r="A515" s="7"/>
    </row>
    <row r="516" spans="1:1" ht="14.5" x14ac:dyDescent="0.35">
      <c r="A516" s="7"/>
    </row>
    <row r="517" spans="1:1" ht="14.5" x14ac:dyDescent="0.35">
      <c r="A517" s="7"/>
    </row>
    <row r="518" spans="1:1" ht="14.5" x14ac:dyDescent="0.35">
      <c r="A518" s="7"/>
    </row>
    <row r="519" spans="1:1" ht="14.5" x14ac:dyDescent="0.35">
      <c r="A519" s="7"/>
    </row>
    <row r="520" spans="1:1" ht="14.5" x14ac:dyDescent="0.35">
      <c r="A520" s="7"/>
    </row>
    <row r="521" spans="1:1" ht="14.5" x14ac:dyDescent="0.35">
      <c r="A521" s="7"/>
    </row>
    <row r="522" spans="1:1" ht="14.5" x14ac:dyDescent="0.35">
      <c r="A522" s="7"/>
    </row>
    <row r="523" spans="1:1" ht="14.5" x14ac:dyDescent="0.35">
      <c r="A523" s="7"/>
    </row>
    <row r="524" spans="1:1" ht="14.5" x14ac:dyDescent="0.35">
      <c r="A524" s="7"/>
    </row>
    <row r="525" spans="1:1" ht="14.5" x14ac:dyDescent="0.35">
      <c r="A525" s="7"/>
    </row>
    <row r="526" spans="1:1" ht="14.5" x14ac:dyDescent="0.35">
      <c r="A526" s="7"/>
    </row>
    <row r="527" spans="1:1" ht="14.5" x14ac:dyDescent="0.35">
      <c r="A527" s="7"/>
    </row>
    <row r="528" spans="1:1" ht="14.5" x14ac:dyDescent="0.35">
      <c r="A528" s="7"/>
    </row>
    <row r="529" spans="1:1" ht="14.5" x14ac:dyDescent="0.35">
      <c r="A529" s="7"/>
    </row>
    <row r="530" spans="1:1" ht="14.5" x14ac:dyDescent="0.35">
      <c r="A530" s="7"/>
    </row>
    <row r="531" spans="1:1" ht="14.5" x14ac:dyDescent="0.35">
      <c r="A531" s="7"/>
    </row>
    <row r="532" spans="1:1" ht="14.5" x14ac:dyDescent="0.35">
      <c r="A532" s="7"/>
    </row>
    <row r="533" spans="1:1" ht="14.5" x14ac:dyDescent="0.35">
      <c r="A533" s="7"/>
    </row>
    <row r="534" spans="1:1" ht="14.5" x14ac:dyDescent="0.35">
      <c r="A534" s="7"/>
    </row>
    <row r="535" spans="1:1" ht="14.5" x14ac:dyDescent="0.35">
      <c r="A535" s="7"/>
    </row>
    <row r="536" spans="1:1" ht="14.5" x14ac:dyDescent="0.35">
      <c r="A536" s="7"/>
    </row>
    <row r="537" spans="1:1" ht="14.5" x14ac:dyDescent="0.35">
      <c r="A537" s="7"/>
    </row>
    <row r="538" spans="1:1" ht="14.5" x14ac:dyDescent="0.35">
      <c r="A538" s="7"/>
    </row>
    <row r="539" spans="1:1" ht="14.5" x14ac:dyDescent="0.35">
      <c r="A539" s="7"/>
    </row>
    <row r="540" spans="1:1" ht="14.5" x14ac:dyDescent="0.35">
      <c r="A540" s="7"/>
    </row>
    <row r="541" spans="1:1" ht="14.5" x14ac:dyDescent="0.35">
      <c r="A541" s="7"/>
    </row>
    <row r="542" spans="1:1" ht="14.5" x14ac:dyDescent="0.35">
      <c r="A542" s="7"/>
    </row>
    <row r="543" spans="1:1" ht="14.5" x14ac:dyDescent="0.35">
      <c r="A543" s="7"/>
    </row>
    <row r="544" spans="1:1" ht="14.5" x14ac:dyDescent="0.35">
      <c r="A544" s="7"/>
    </row>
    <row r="545" spans="1:1" ht="14.5" x14ac:dyDescent="0.35">
      <c r="A545" s="7"/>
    </row>
    <row r="546" spans="1:1" ht="14.5" x14ac:dyDescent="0.35">
      <c r="A546" s="7"/>
    </row>
    <row r="547" spans="1:1" ht="14.5" x14ac:dyDescent="0.35">
      <c r="A547" s="7"/>
    </row>
    <row r="548" spans="1:1" ht="14.5" x14ac:dyDescent="0.35">
      <c r="A548" s="7"/>
    </row>
    <row r="549" spans="1:1" ht="14.5" x14ac:dyDescent="0.35">
      <c r="A549" s="7"/>
    </row>
    <row r="550" spans="1:1" ht="14.5" x14ac:dyDescent="0.35">
      <c r="A550" s="7"/>
    </row>
    <row r="551" spans="1:1" ht="14.5" x14ac:dyDescent="0.35">
      <c r="A551" s="7"/>
    </row>
    <row r="552" spans="1:1" ht="14.5" x14ac:dyDescent="0.35">
      <c r="A552" s="7"/>
    </row>
    <row r="553" spans="1:1" ht="14.5" x14ac:dyDescent="0.35">
      <c r="A553" s="7"/>
    </row>
    <row r="554" spans="1:1" ht="14.5" x14ac:dyDescent="0.35">
      <c r="A554" s="7"/>
    </row>
    <row r="555" spans="1:1" ht="14.5" x14ac:dyDescent="0.35">
      <c r="A555" s="7"/>
    </row>
    <row r="556" spans="1:1" ht="14.5" x14ac:dyDescent="0.35">
      <c r="A556" s="7"/>
    </row>
    <row r="557" spans="1:1" ht="14.5" x14ac:dyDescent="0.35">
      <c r="A557" s="7"/>
    </row>
    <row r="558" spans="1:1" ht="14.5" x14ac:dyDescent="0.35">
      <c r="A558" s="7"/>
    </row>
    <row r="559" spans="1:1" ht="14.5" x14ac:dyDescent="0.35">
      <c r="A559" s="7"/>
    </row>
    <row r="560" spans="1:1" ht="14.5" x14ac:dyDescent="0.35">
      <c r="A560" s="7"/>
    </row>
    <row r="561" spans="1:1" ht="14.5" x14ac:dyDescent="0.35">
      <c r="A561" s="7"/>
    </row>
    <row r="562" spans="1:1" ht="14.5" x14ac:dyDescent="0.35">
      <c r="A562" s="7"/>
    </row>
    <row r="563" spans="1:1" ht="14.5" x14ac:dyDescent="0.35">
      <c r="A563" s="7"/>
    </row>
    <row r="564" spans="1:1" ht="14.5" x14ac:dyDescent="0.35">
      <c r="A564" s="7"/>
    </row>
    <row r="565" spans="1:1" ht="14.5" x14ac:dyDescent="0.35">
      <c r="A565" s="7"/>
    </row>
    <row r="566" spans="1:1" ht="14.5" x14ac:dyDescent="0.35">
      <c r="A566" s="7"/>
    </row>
    <row r="567" spans="1:1" ht="14.5" x14ac:dyDescent="0.35">
      <c r="A567" s="7"/>
    </row>
    <row r="568" spans="1:1" ht="14.5" x14ac:dyDescent="0.35">
      <c r="A568" s="7"/>
    </row>
    <row r="569" spans="1:1" ht="14.5" x14ac:dyDescent="0.35">
      <c r="A569" s="7"/>
    </row>
    <row r="570" spans="1:1" ht="14.5" x14ac:dyDescent="0.35">
      <c r="A570" s="7"/>
    </row>
    <row r="571" spans="1:1" ht="14.5" x14ac:dyDescent="0.35">
      <c r="A571" s="7"/>
    </row>
    <row r="572" spans="1:1" ht="14.5" x14ac:dyDescent="0.35">
      <c r="A572" s="7"/>
    </row>
    <row r="573" spans="1:1" ht="14.5" x14ac:dyDescent="0.35">
      <c r="A573" s="7"/>
    </row>
    <row r="574" spans="1:1" ht="14.5" x14ac:dyDescent="0.35">
      <c r="A574" s="7"/>
    </row>
    <row r="575" spans="1:1" ht="14.5" x14ac:dyDescent="0.35">
      <c r="A575" s="7"/>
    </row>
    <row r="576" spans="1:1" ht="14.5" x14ac:dyDescent="0.35">
      <c r="A576" s="7"/>
    </row>
    <row r="577" spans="1:1" ht="14.5" x14ac:dyDescent="0.35">
      <c r="A577" s="7"/>
    </row>
    <row r="578" spans="1:1" ht="14.5" x14ac:dyDescent="0.35">
      <c r="A578" s="7"/>
    </row>
    <row r="579" spans="1:1" ht="14.5" x14ac:dyDescent="0.35">
      <c r="A579" s="7"/>
    </row>
    <row r="580" spans="1:1" ht="14.5" x14ac:dyDescent="0.35">
      <c r="A580" s="7"/>
    </row>
    <row r="581" spans="1:1" ht="14.5" x14ac:dyDescent="0.35">
      <c r="A581" s="7"/>
    </row>
    <row r="582" spans="1:1" ht="14.5" x14ac:dyDescent="0.35">
      <c r="A582" s="7"/>
    </row>
    <row r="583" spans="1:1" ht="14.5" x14ac:dyDescent="0.35">
      <c r="A583" s="7"/>
    </row>
    <row r="584" spans="1:1" ht="14.5" x14ac:dyDescent="0.35">
      <c r="A584" s="7"/>
    </row>
    <row r="585" spans="1:1" ht="14.5" x14ac:dyDescent="0.35">
      <c r="A585" s="7"/>
    </row>
    <row r="586" spans="1:1" ht="14.5" x14ac:dyDescent="0.35">
      <c r="A586" s="7"/>
    </row>
    <row r="587" spans="1:1" ht="14.5" x14ac:dyDescent="0.35">
      <c r="A587" s="7"/>
    </row>
    <row r="588" spans="1:1" ht="14.5" x14ac:dyDescent="0.35">
      <c r="A588" s="7"/>
    </row>
    <row r="589" spans="1:1" ht="14.5" x14ac:dyDescent="0.35">
      <c r="A589" s="7"/>
    </row>
    <row r="590" spans="1:1" ht="14.5" x14ac:dyDescent="0.35">
      <c r="A590" s="7"/>
    </row>
    <row r="591" spans="1:1" ht="14.5" x14ac:dyDescent="0.35">
      <c r="A591" s="7"/>
    </row>
    <row r="592" spans="1:1" ht="14.5" x14ac:dyDescent="0.35">
      <c r="A592" s="7"/>
    </row>
    <row r="593" spans="1:1" ht="14.5" x14ac:dyDescent="0.35">
      <c r="A593" s="7"/>
    </row>
    <row r="594" spans="1:1" ht="14.5" x14ac:dyDescent="0.35">
      <c r="A594" s="7"/>
    </row>
    <row r="595" spans="1:1" ht="14.5" x14ac:dyDescent="0.35">
      <c r="A595" s="7"/>
    </row>
    <row r="596" spans="1:1" ht="14.5" x14ac:dyDescent="0.35">
      <c r="A596" s="7"/>
    </row>
    <row r="597" spans="1:1" ht="14.5" x14ac:dyDescent="0.35">
      <c r="A597" s="7"/>
    </row>
    <row r="598" spans="1:1" ht="14.5" x14ac:dyDescent="0.35">
      <c r="A598" s="7"/>
    </row>
    <row r="599" spans="1:1" ht="14.5" x14ac:dyDescent="0.35">
      <c r="A599" s="7"/>
    </row>
    <row r="600" spans="1:1" ht="14.5" x14ac:dyDescent="0.35">
      <c r="A600" s="7"/>
    </row>
    <row r="601" spans="1:1" ht="14.5" x14ac:dyDescent="0.35">
      <c r="A601" s="7"/>
    </row>
    <row r="602" spans="1:1" ht="14.5" x14ac:dyDescent="0.35">
      <c r="A602" s="7"/>
    </row>
    <row r="603" spans="1:1" ht="14.5" x14ac:dyDescent="0.35">
      <c r="A603" s="7"/>
    </row>
    <row r="604" spans="1:1" ht="14.5" x14ac:dyDescent="0.35">
      <c r="A604" s="7"/>
    </row>
    <row r="605" spans="1:1" ht="14.5" x14ac:dyDescent="0.35">
      <c r="A605" s="7"/>
    </row>
    <row r="606" spans="1:1" ht="14.5" x14ac:dyDescent="0.35">
      <c r="A606" s="7"/>
    </row>
    <row r="607" spans="1:1" ht="14.5" x14ac:dyDescent="0.35">
      <c r="A607" s="7"/>
    </row>
    <row r="608" spans="1:1" ht="14.5" x14ac:dyDescent="0.35">
      <c r="A608" s="7"/>
    </row>
    <row r="609" spans="1:1" ht="14.5" x14ac:dyDescent="0.35">
      <c r="A609" s="7"/>
    </row>
    <row r="610" spans="1:1" ht="14.5" x14ac:dyDescent="0.35">
      <c r="A610" s="7"/>
    </row>
    <row r="611" spans="1:1" ht="14.5" x14ac:dyDescent="0.35">
      <c r="A611" s="7"/>
    </row>
    <row r="612" spans="1:1" ht="14.5" x14ac:dyDescent="0.35">
      <c r="A612" s="7"/>
    </row>
    <row r="613" spans="1:1" ht="14.5" x14ac:dyDescent="0.35">
      <c r="A613" s="7"/>
    </row>
    <row r="614" spans="1:1" ht="14.5" x14ac:dyDescent="0.35">
      <c r="A614" s="7"/>
    </row>
    <row r="615" spans="1:1" ht="14.5" x14ac:dyDescent="0.35">
      <c r="A615" s="7"/>
    </row>
    <row r="616" spans="1:1" ht="14.5" x14ac:dyDescent="0.35">
      <c r="A616" s="7"/>
    </row>
    <row r="617" spans="1:1" ht="14.5" x14ac:dyDescent="0.35">
      <c r="A617" s="7"/>
    </row>
    <row r="618" spans="1:1" ht="14.5" x14ac:dyDescent="0.35">
      <c r="A618" s="7"/>
    </row>
    <row r="619" spans="1:1" ht="14.5" x14ac:dyDescent="0.35">
      <c r="A619" s="7"/>
    </row>
    <row r="620" spans="1:1" ht="14.5" x14ac:dyDescent="0.35">
      <c r="A620" s="7"/>
    </row>
    <row r="621" spans="1:1" ht="14.5" x14ac:dyDescent="0.35">
      <c r="A621" s="7"/>
    </row>
    <row r="622" spans="1:1" ht="14.5" x14ac:dyDescent="0.35">
      <c r="A622" s="7"/>
    </row>
    <row r="623" spans="1:1" ht="14.5" x14ac:dyDescent="0.35">
      <c r="A623" s="7"/>
    </row>
    <row r="624" spans="1:1" ht="14.5" x14ac:dyDescent="0.35">
      <c r="A624" s="7"/>
    </row>
    <row r="625" spans="1:1" ht="14.5" x14ac:dyDescent="0.35">
      <c r="A625" s="7"/>
    </row>
    <row r="626" spans="1:1" ht="14.5" x14ac:dyDescent="0.35">
      <c r="A626" s="7"/>
    </row>
    <row r="627" spans="1:1" ht="14.5" x14ac:dyDescent="0.35">
      <c r="A627" s="7"/>
    </row>
    <row r="628" spans="1:1" ht="14.5" x14ac:dyDescent="0.35">
      <c r="A628" s="7"/>
    </row>
    <row r="629" spans="1:1" ht="14.5" x14ac:dyDescent="0.35">
      <c r="A629" s="7"/>
    </row>
    <row r="630" spans="1:1" ht="14.5" x14ac:dyDescent="0.35">
      <c r="A630" s="7"/>
    </row>
    <row r="631" spans="1:1" ht="14.5" x14ac:dyDescent="0.35">
      <c r="A631" s="7"/>
    </row>
    <row r="632" spans="1:1" ht="14.5" x14ac:dyDescent="0.35">
      <c r="A632" s="7"/>
    </row>
    <row r="633" spans="1:1" ht="14.5" x14ac:dyDescent="0.35">
      <c r="A633" s="7"/>
    </row>
    <row r="634" spans="1:1" ht="14.5" x14ac:dyDescent="0.35">
      <c r="A634" s="7"/>
    </row>
    <row r="635" spans="1:1" ht="14.5" x14ac:dyDescent="0.35">
      <c r="A635" s="7"/>
    </row>
    <row r="636" spans="1:1" ht="14.5" x14ac:dyDescent="0.35">
      <c r="A636" s="7"/>
    </row>
    <row r="637" spans="1:1" ht="14.5" x14ac:dyDescent="0.35">
      <c r="A637" s="7"/>
    </row>
    <row r="638" spans="1:1" ht="14.5" x14ac:dyDescent="0.35">
      <c r="A638" s="7"/>
    </row>
    <row r="639" spans="1:1" ht="14.5" x14ac:dyDescent="0.35">
      <c r="A639" s="7"/>
    </row>
    <row r="640" spans="1:1" ht="14.5" x14ac:dyDescent="0.35">
      <c r="A640" s="7"/>
    </row>
    <row r="641" spans="1:1" ht="14.5" x14ac:dyDescent="0.35">
      <c r="A641" s="7"/>
    </row>
    <row r="642" spans="1:1" ht="14.5" x14ac:dyDescent="0.35">
      <c r="A642" s="7"/>
    </row>
    <row r="643" spans="1:1" ht="14.5" x14ac:dyDescent="0.35">
      <c r="A643" s="7"/>
    </row>
    <row r="644" spans="1:1" ht="14.5" x14ac:dyDescent="0.35">
      <c r="A644" s="7"/>
    </row>
    <row r="645" spans="1:1" ht="14.5" x14ac:dyDescent="0.35">
      <c r="A645" s="7"/>
    </row>
    <row r="646" spans="1:1" ht="14.5" x14ac:dyDescent="0.35">
      <c r="A646" s="7"/>
    </row>
    <row r="647" spans="1:1" ht="14.5" x14ac:dyDescent="0.35">
      <c r="A647" s="7"/>
    </row>
    <row r="648" spans="1:1" ht="14.5" x14ac:dyDescent="0.35">
      <c r="A648" s="7"/>
    </row>
    <row r="649" spans="1:1" ht="14.5" x14ac:dyDescent="0.35">
      <c r="A649" s="7"/>
    </row>
    <row r="650" spans="1:1" ht="14.5" x14ac:dyDescent="0.35">
      <c r="A650" s="7"/>
    </row>
    <row r="651" spans="1:1" ht="14.5" x14ac:dyDescent="0.35">
      <c r="A651" s="7"/>
    </row>
    <row r="652" spans="1:1" ht="14.5" x14ac:dyDescent="0.35">
      <c r="A652" s="7"/>
    </row>
    <row r="653" spans="1:1" ht="14.5" x14ac:dyDescent="0.35">
      <c r="A653" s="7"/>
    </row>
    <row r="654" spans="1:1" ht="14.5" x14ac:dyDescent="0.35">
      <c r="A654" s="7"/>
    </row>
    <row r="655" spans="1:1" ht="14.5" x14ac:dyDescent="0.35">
      <c r="A655" s="7"/>
    </row>
    <row r="656" spans="1:1" ht="14.5" x14ac:dyDescent="0.35">
      <c r="A656" s="7"/>
    </row>
    <row r="657" spans="1:1" ht="14.5" x14ac:dyDescent="0.35">
      <c r="A657" s="7"/>
    </row>
    <row r="658" spans="1:1" ht="14.5" x14ac:dyDescent="0.35">
      <c r="A658" s="7"/>
    </row>
    <row r="659" spans="1:1" ht="14.5" x14ac:dyDescent="0.35">
      <c r="A659" s="7"/>
    </row>
    <row r="660" spans="1:1" ht="14.5" x14ac:dyDescent="0.35">
      <c r="A660" s="7"/>
    </row>
    <row r="661" spans="1:1" ht="14.5" x14ac:dyDescent="0.35">
      <c r="A661" s="7"/>
    </row>
    <row r="662" spans="1:1" ht="14.5" x14ac:dyDescent="0.35">
      <c r="A662" s="7"/>
    </row>
    <row r="663" spans="1:1" ht="14.5" x14ac:dyDescent="0.35">
      <c r="A663" s="7"/>
    </row>
    <row r="664" spans="1:1" ht="14.5" x14ac:dyDescent="0.35">
      <c r="A664" s="7"/>
    </row>
    <row r="665" spans="1:1" ht="14.5" x14ac:dyDescent="0.35">
      <c r="A665" s="7"/>
    </row>
    <row r="666" spans="1:1" ht="14.5" x14ac:dyDescent="0.35">
      <c r="A666" s="7"/>
    </row>
    <row r="667" spans="1:1" ht="14.5" x14ac:dyDescent="0.35">
      <c r="A667" s="7"/>
    </row>
    <row r="668" spans="1:1" ht="14.5" x14ac:dyDescent="0.35">
      <c r="A668" s="7"/>
    </row>
    <row r="669" spans="1:1" ht="14.5" x14ac:dyDescent="0.35">
      <c r="A669" s="7"/>
    </row>
    <row r="670" spans="1:1" ht="14.5" x14ac:dyDescent="0.35">
      <c r="A670" s="7"/>
    </row>
    <row r="671" spans="1:1" ht="14.5" x14ac:dyDescent="0.35">
      <c r="A671" s="7"/>
    </row>
    <row r="672" spans="1:1" ht="14.5" x14ac:dyDescent="0.35">
      <c r="A672" s="7"/>
    </row>
    <row r="673" spans="1:1" ht="14.5" x14ac:dyDescent="0.35">
      <c r="A673" s="7"/>
    </row>
    <row r="674" spans="1:1" ht="14.5" x14ac:dyDescent="0.35">
      <c r="A674" s="7"/>
    </row>
    <row r="675" spans="1:1" ht="14.5" x14ac:dyDescent="0.35">
      <c r="A675" s="7"/>
    </row>
    <row r="676" spans="1:1" ht="14.5" x14ac:dyDescent="0.35">
      <c r="A676" s="7"/>
    </row>
    <row r="677" spans="1:1" ht="14.5" x14ac:dyDescent="0.35">
      <c r="A677" s="7"/>
    </row>
    <row r="678" spans="1:1" ht="14.5" x14ac:dyDescent="0.35">
      <c r="A678" s="7"/>
    </row>
    <row r="679" spans="1:1" ht="14.5" x14ac:dyDescent="0.35">
      <c r="A679" s="7"/>
    </row>
    <row r="680" spans="1:1" ht="14.5" x14ac:dyDescent="0.35">
      <c r="A680" s="7"/>
    </row>
    <row r="681" spans="1:1" ht="14.5" x14ac:dyDescent="0.35">
      <c r="A681" s="7"/>
    </row>
    <row r="682" spans="1:1" ht="14.5" x14ac:dyDescent="0.35">
      <c r="A682" s="7"/>
    </row>
    <row r="683" spans="1:1" ht="14.5" x14ac:dyDescent="0.35">
      <c r="A683" s="7"/>
    </row>
    <row r="684" spans="1:1" ht="14.5" x14ac:dyDescent="0.35">
      <c r="A684" s="7"/>
    </row>
    <row r="685" spans="1:1" ht="14.5" x14ac:dyDescent="0.35">
      <c r="A685" s="7"/>
    </row>
    <row r="686" spans="1:1" ht="14.5" x14ac:dyDescent="0.35">
      <c r="A686" s="7"/>
    </row>
    <row r="687" spans="1:1" ht="14.5" x14ac:dyDescent="0.35">
      <c r="A687" s="7"/>
    </row>
    <row r="688" spans="1:1" ht="14.5" x14ac:dyDescent="0.35">
      <c r="A688" s="7"/>
    </row>
    <row r="689" spans="1:1" ht="14.5" x14ac:dyDescent="0.35">
      <c r="A689" s="7"/>
    </row>
    <row r="690" spans="1:1" ht="14.5" x14ac:dyDescent="0.35">
      <c r="A690" s="7"/>
    </row>
    <row r="691" spans="1:1" ht="14.5" x14ac:dyDescent="0.35">
      <c r="A691" s="7"/>
    </row>
    <row r="692" spans="1:1" ht="14.5" x14ac:dyDescent="0.35">
      <c r="A692" s="7"/>
    </row>
    <row r="693" spans="1:1" ht="14.5" x14ac:dyDescent="0.35">
      <c r="A693" s="7"/>
    </row>
    <row r="694" spans="1:1" ht="14.5" x14ac:dyDescent="0.35">
      <c r="A694" s="7"/>
    </row>
    <row r="695" spans="1:1" ht="14.5" x14ac:dyDescent="0.35">
      <c r="A695" s="7"/>
    </row>
    <row r="696" spans="1:1" ht="14.5" x14ac:dyDescent="0.35">
      <c r="A696" s="7"/>
    </row>
    <row r="697" spans="1:1" ht="14.5" x14ac:dyDescent="0.35">
      <c r="A697" s="7"/>
    </row>
    <row r="698" spans="1:1" ht="14.5" x14ac:dyDescent="0.35">
      <c r="A698" s="7"/>
    </row>
    <row r="699" spans="1:1" ht="14.5" x14ac:dyDescent="0.35">
      <c r="A699" s="7"/>
    </row>
    <row r="700" spans="1:1" ht="14.5" x14ac:dyDescent="0.35">
      <c r="A700" s="7"/>
    </row>
    <row r="701" spans="1:1" ht="14.5" x14ac:dyDescent="0.35">
      <c r="A701" s="7"/>
    </row>
    <row r="702" spans="1:1" ht="14.5" x14ac:dyDescent="0.35">
      <c r="A702" s="7"/>
    </row>
    <row r="703" spans="1:1" ht="14.5" x14ac:dyDescent="0.35">
      <c r="A703" s="7"/>
    </row>
    <row r="704" spans="1:1" ht="14.5" x14ac:dyDescent="0.35">
      <c r="A704" s="7"/>
    </row>
    <row r="705" spans="1:1" ht="14.5" x14ac:dyDescent="0.35">
      <c r="A705" s="7"/>
    </row>
    <row r="706" spans="1:1" ht="14.5" x14ac:dyDescent="0.35">
      <c r="A706" s="7"/>
    </row>
    <row r="707" spans="1:1" ht="14.5" x14ac:dyDescent="0.35">
      <c r="A707" s="7"/>
    </row>
    <row r="708" spans="1:1" ht="14.5" x14ac:dyDescent="0.35">
      <c r="A708" s="7"/>
    </row>
    <row r="709" spans="1:1" ht="14.5" x14ac:dyDescent="0.35">
      <c r="A709" s="7"/>
    </row>
    <row r="710" spans="1:1" ht="14.5" x14ac:dyDescent="0.35">
      <c r="A710" s="7"/>
    </row>
    <row r="711" spans="1:1" ht="14.5" x14ac:dyDescent="0.35">
      <c r="A711" s="7"/>
    </row>
    <row r="712" spans="1:1" ht="14.5" x14ac:dyDescent="0.35">
      <c r="A712" s="7"/>
    </row>
    <row r="713" spans="1:1" ht="14.5" x14ac:dyDescent="0.35">
      <c r="A713" s="7"/>
    </row>
    <row r="714" spans="1:1" ht="14.5" x14ac:dyDescent="0.35">
      <c r="A714" s="7"/>
    </row>
    <row r="715" spans="1:1" ht="14.5" x14ac:dyDescent="0.35">
      <c r="A715" s="7"/>
    </row>
    <row r="716" spans="1:1" ht="14.5" x14ac:dyDescent="0.35">
      <c r="A716" s="7"/>
    </row>
    <row r="717" spans="1:1" ht="14.5" x14ac:dyDescent="0.35">
      <c r="A717" s="7"/>
    </row>
    <row r="718" spans="1:1" ht="14.5" x14ac:dyDescent="0.35">
      <c r="A718" s="7"/>
    </row>
    <row r="719" spans="1:1" ht="14.5" x14ac:dyDescent="0.35">
      <c r="A719" s="7"/>
    </row>
    <row r="720" spans="1:1" ht="14.5" x14ac:dyDescent="0.35">
      <c r="A720" s="7"/>
    </row>
    <row r="721" spans="1:1" ht="14.5" x14ac:dyDescent="0.35">
      <c r="A721" s="7"/>
    </row>
    <row r="722" spans="1:1" ht="14.5" x14ac:dyDescent="0.35">
      <c r="A722" s="7"/>
    </row>
    <row r="723" spans="1:1" ht="14.5" x14ac:dyDescent="0.35">
      <c r="A723" s="7"/>
    </row>
    <row r="724" spans="1:1" ht="14.5" x14ac:dyDescent="0.35">
      <c r="A724" s="7"/>
    </row>
    <row r="725" spans="1:1" ht="14.5" x14ac:dyDescent="0.35">
      <c r="A725" s="7"/>
    </row>
    <row r="726" spans="1:1" ht="14.5" x14ac:dyDescent="0.35">
      <c r="A726" s="7"/>
    </row>
    <row r="727" spans="1:1" ht="14.5" x14ac:dyDescent="0.35">
      <c r="A727" s="7"/>
    </row>
    <row r="728" spans="1:1" ht="14.5" x14ac:dyDescent="0.35">
      <c r="A728" s="7"/>
    </row>
    <row r="729" spans="1:1" ht="14.5" x14ac:dyDescent="0.35">
      <c r="A729" s="7"/>
    </row>
    <row r="730" spans="1:1" ht="14.5" x14ac:dyDescent="0.35">
      <c r="A730" s="7"/>
    </row>
    <row r="731" spans="1:1" ht="14.5" x14ac:dyDescent="0.35">
      <c r="A731" s="7"/>
    </row>
    <row r="732" spans="1:1" ht="14.5" x14ac:dyDescent="0.35">
      <c r="A732" s="7"/>
    </row>
    <row r="733" spans="1:1" ht="14.5" x14ac:dyDescent="0.35">
      <c r="A733" s="7"/>
    </row>
    <row r="734" spans="1:1" ht="14.5" x14ac:dyDescent="0.35">
      <c r="A734" s="7"/>
    </row>
    <row r="735" spans="1:1" ht="14.5" x14ac:dyDescent="0.35">
      <c r="A735" s="7"/>
    </row>
    <row r="736" spans="1:1" ht="14.5" x14ac:dyDescent="0.35">
      <c r="A736" s="7"/>
    </row>
    <row r="737" spans="1:1" ht="14.5" x14ac:dyDescent="0.35">
      <c r="A737" s="7"/>
    </row>
    <row r="738" spans="1:1" ht="14.5" x14ac:dyDescent="0.35">
      <c r="A738" s="7"/>
    </row>
    <row r="739" spans="1:1" ht="14.5" x14ac:dyDescent="0.35">
      <c r="A739" s="7"/>
    </row>
    <row r="740" spans="1:1" ht="14.5" x14ac:dyDescent="0.35">
      <c r="A740" s="7"/>
    </row>
    <row r="741" spans="1:1" ht="14.5" x14ac:dyDescent="0.35">
      <c r="A741" s="7"/>
    </row>
    <row r="742" spans="1:1" ht="14.5" x14ac:dyDescent="0.35">
      <c r="A742" s="7"/>
    </row>
    <row r="743" spans="1:1" ht="14.5" x14ac:dyDescent="0.35">
      <c r="A743" s="7"/>
    </row>
    <row r="744" spans="1:1" ht="14.5" x14ac:dyDescent="0.35">
      <c r="A744" s="7"/>
    </row>
    <row r="745" spans="1:1" ht="14.5" x14ac:dyDescent="0.35">
      <c r="A745" s="7"/>
    </row>
    <row r="746" spans="1:1" ht="14.5" x14ac:dyDescent="0.35">
      <c r="A746" s="7"/>
    </row>
    <row r="747" spans="1:1" ht="14.5" x14ac:dyDescent="0.35">
      <c r="A747" s="7"/>
    </row>
    <row r="748" spans="1:1" ht="14.5" x14ac:dyDescent="0.35">
      <c r="A748" s="7"/>
    </row>
    <row r="749" spans="1:1" ht="14.5" x14ac:dyDescent="0.35">
      <c r="A749" s="7"/>
    </row>
    <row r="750" spans="1:1" ht="14.5" x14ac:dyDescent="0.35">
      <c r="A750" s="7"/>
    </row>
    <row r="751" spans="1:1" ht="14.5" x14ac:dyDescent="0.35">
      <c r="A751" s="7"/>
    </row>
    <row r="752" spans="1:1" ht="14.5" x14ac:dyDescent="0.35">
      <c r="A752" s="7"/>
    </row>
    <row r="753" spans="1:1" ht="14.5" x14ac:dyDescent="0.35">
      <c r="A753" s="7"/>
    </row>
    <row r="754" spans="1:1" ht="14.5" x14ac:dyDescent="0.35">
      <c r="A754" s="7"/>
    </row>
    <row r="755" spans="1:1" ht="14.5" x14ac:dyDescent="0.35">
      <c r="A755" s="7"/>
    </row>
    <row r="756" spans="1:1" ht="14.5" x14ac:dyDescent="0.35">
      <c r="A756" s="7"/>
    </row>
    <row r="757" spans="1:1" ht="14.5" x14ac:dyDescent="0.35">
      <c r="A757" s="7"/>
    </row>
    <row r="758" spans="1:1" ht="14.5" x14ac:dyDescent="0.35">
      <c r="A758" s="7"/>
    </row>
    <row r="759" spans="1:1" ht="14.5" x14ac:dyDescent="0.35">
      <c r="A759" s="7"/>
    </row>
    <row r="760" spans="1:1" ht="14.5" x14ac:dyDescent="0.35">
      <c r="A760" s="7"/>
    </row>
    <row r="761" spans="1:1" ht="14.5" x14ac:dyDescent="0.35">
      <c r="A761" s="7"/>
    </row>
    <row r="762" spans="1:1" ht="14.5" x14ac:dyDescent="0.35">
      <c r="A762" s="7"/>
    </row>
    <row r="763" spans="1:1" ht="14.5" x14ac:dyDescent="0.35">
      <c r="A763" s="7"/>
    </row>
    <row r="764" spans="1:1" ht="14.5" x14ac:dyDescent="0.35">
      <c r="A764" s="7"/>
    </row>
    <row r="765" spans="1:1" ht="14.5" x14ac:dyDescent="0.35">
      <c r="A765" s="7"/>
    </row>
    <row r="766" spans="1:1" ht="14.5" x14ac:dyDescent="0.35">
      <c r="A766" s="7"/>
    </row>
    <row r="767" spans="1:1" ht="14.5" x14ac:dyDescent="0.35">
      <c r="A767" s="7"/>
    </row>
    <row r="768" spans="1:1" ht="14.5" x14ac:dyDescent="0.35">
      <c r="A768" s="7"/>
    </row>
    <row r="769" spans="1:1" ht="14.5" x14ac:dyDescent="0.35">
      <c r="A769" s="7"/>
    </row>
    <row r="770" spans="1:1" ht="14.5" x14ac:dyDescent="0.35">
      <c r="A770" s="7"/>
    </row>
    <row r="771" spans="1:1" ht="14.5" x14ac:dyDescent="0.35">
      <c r="A771" s="7"/>
    </row>
    <row r="772" spans="1:1" ht="14.5" x14ac:dyDescent="0.35">
      <c r="A772" s="7"/>
    </row>
    <row r="773" spans="1:1" ht="14.5" x14ac:dyDescent="0.35">
      <c r="A773" s="7"/>
    </row>
    <row r="774" spans="1:1" ht="14.5" x14ac:dyDescent="0.35">
      <c r="A774" s="7"/>
    </row>
    <row r="775" spans="1:1" ht="14.5" x14ac:dyDescent="0.35">
      <c r="A775" s="7"/>
    </row>
    <row r="776" spans="1:1" ht="14.5" x14ac:dyDescent="0.35">
      <c r="A776" s="7"/>
    </row>
    <row r="777" spans="1:1" ht="14.5" x14ac:dyDescent="0.35">
      <c r="A777" s="7"/>
    </row>
    <row r="778" spans="1:1" ht="14.5" x14ac:dyDescent="0.35">
      <c r="A778" s="7"/>
    </row>
    <row r="779" spans="1:1" ht="14.5" x14ac:dyDescent="0.35">
      <c r="A779" s="7"/>
    </row>
    <row r="780" spans="1:1" ht="14.5" x14ac:dyDescent="0.35">
      <c r="A780" s="7"/>
    </row>
    <row r="781" spans="1:1" ht="14.5" x14ac:dyDescent="0.35">
      <c r="A781" s="7"/>
    </row>
    <row r="782" spans="1:1" ht="14.5" x14ac:dyDescent="0.35">
      <c r="A782" s="7"/>
    </row>
    <row r="783" spans="1:1" ht="14.5" x14ac:dyDescent="0.35">
      <c r="A783" s="7"/>
    </row>
    <row r="784" spans="1:1" ht="14.5" x14ac:dyDescent="0.35">
      <c r="A784" s="7"/>
    </row>
    <row r="785" spans="1:1" ht="14.5" x14ac:dyDescent="0.35">
      <c r="A785" s="7"/>
    </row>
    <row r="786" spans="1:1" ht="14.5" x14ac:dyDescent="0.35">
      <c r="A786" s="7"/>
    </row>
    <row r="787" spans="1:1" ht="14.5" x14ac:dyDescent="0.35">
      <c r="A787" s="7"/>
    </row>
    <row r="788" spans="1:1" ht="14.5" x14ac:dyDescent="0.35">
      <c r="A788" s="7"/>
    </row>
    <row r="789" spans="1:1" ht="14.5" x14ac:dyDescent="0.35">
      <c r="A789" s="7"/>
    </row>
    <row r="790" spans="1:1" ht="14.5" x14ac:dyDescent="0.35">
      <c r="A790" s="7"/>
    </row>
    <row r="791" spans="1:1" ht="14.5" x14ac:dyDescent="0.35">
      <c r="A791" s="7"/>
    </row>
    <row r="792" spans="1:1" ht="14.5" x14ac:dyDescent="0.35">
      <c r="A792" s="7"/>
    </row>
    <row r="793" spans="1:1" ht="14.5" x14ac:dyDescent="0.35">
      <c r="A793" s="7"/>
    </row>
    <row r="794" spans="1:1" ht="14.5" x14ac:dyDescent="0.35">
      <c r="A794" s="7"/>
    </row>
    <row r="795" spans="1:1" ht="14.5" x14ac:dyDescent="0.35">
      <c r="A795" s="7"/>
    </row>
    <row r="796" spans="1:1" ht="14.5" x14ac:dyDescent="0.35">
      <c r="A796" s="7"/>
    </row>
    <row r="797" spans="1:1" ht="14.5" x14ac:dyDescent="0.35">
      <c r="A797" s="7"/>
    </row>
    <row r="798" spans="1:1" ht="14.5" x14ac:dyDescent="0.35">
      <c r="A798" s="7"/>
    </row>
    <row r="799" spans="1:1" ht="14.5" x14ac:dyDescent="0.35">
      <c r="A799" s="7"/>
    </row>
    <row r="800" spans="1:1" ht="14.5" x14ac:dyDescent="0.35">
      <c r="A800" s="7"/>
    </row>
    <row r="801" spans="1:1" ht="14.5" x14ac:dyDescent="0.35">
      <c r="A801" s="7"/>
    </row>
    <row r="802" spans="1:1" ht="14.5" x14ac:dyDescent="0.35">
      <c r="A802" s="7"/>
    </row>
    <row r="803" spans="1:1" ht="14.5" x14ac:dyDescent="0.35">
      <c r="A803" s="7"/>
    </row>
    <row r="804" spans="1:1" ht="14.5" x14ac:dyDescent="0.35">
      <c r="A804" s="7"/>
    </row>
    <row r="805" spans="1:1" ht="14.5" x14ac:dyDescent="0.35">
      <c r="A805" s="7"/>
    </row>
    <row r="806" spans="1:1" ht="14.5" x14ac:dyDescent="0.35">
      <c r="A806" s="7"/>
    </row>
    <row r="807" spans="1:1" ht="14.5" x14ac:dyDescent="0.35">
      <c r="A807" s="7"/>
    </row>
    <row r="808" spans="1:1" ht="14.5" x14ac:dyDescent="0.35">
      <c r="A808" s="7"/>
    </row>
    <row r="809" spans="1:1" ht="14.5" x14ac:dyDescent="0.35">
      <c r="A809" s="7"/>
    </row>
    <row r="810" spans="1:1" ht="14.5" x14ac:dyDescent="0.35">
      <c r="A810" s="7"/>
    </row>
    <row r="811" spans="1:1" ht="14.5" x14ac:dyDescent="0.35">
      <c r="A811" s="7"/>
    </row>
    <row r="812" spans="1:1" ht="14.5" x14ac:dyDescent="0.35">
      <c r="A812" s="7"/>
    </row>
    <row r="813" spans="1:1" ht="14.5" x14ac:dyDescent="0.35">
      <c r="A813" s="7"/>
    </row>
    <row r="814" spans="1:1" ht="14.5" x14ac:dyDescent="0.35">
      <c r="A814" s="7"/>
    </row>
    <row r="815" spans="1:1" ht="14.5" x14ac:dyDescent="0.35">
      <c r="A815" s="7"/>
    </row>
    <row r="816" spans="1:1" ht="14.5" x14ac:dyDescent="0.35">
      <c r="A816" s="7"/>
    </row>
    <row r="817" spans="1:1" ht="14.5" x14ac:dyDescent="0.35">
      <c r="A817" s="7"/>
    </row>
    <row r="818" spans="1:1" ht="14.5" x14ac:dyDescent="0.35">
      <c r="A818" s="7"/>
    </row>
    <row r="819" spans="1:1" ht="14.5" x14ac:dyDescent="0.35">
      <c r="A819" s="7"/>
    </row>
    <row r="820" spans="1:1" ht="14.5" x14ac:dyDescent="0.35">
      <c r="A820" s="7"/>
    </row>
    <row r="821" spans="1:1" ht="14.5" x14ac:dyDescent="0.35">
      <c r="A821" s="7"/>
    </row>
    <row r="822" spans="1:1" ht="14.5" x14ac:dyDescent="0.35">
      <c r="A822" s="7"/>
    </row>
    <row r="823" spans="1:1" ht="14.5" x14ac:dyDescent="0.35">
      <c r="A823" s="7"/>
    </row>
    <row r="824" spans="1:1" ht="14.5" x14ac:dyDescent="0.35">
      <c r="A824" s="7"/>
    </row>
    <row r="825" spans="1:1" ht="14.5" x14ac:dyDescent="0.35">
      <c r="A825" s="7"/>
    </row>
    <row r="826" spans="1:1" ht="14.5" x14ac:dyDescent="0.35">
      <c r="A826" s="7"/>
    </row>
    <row r="827" spans="1:1" ht="14.5" x14ac:dyDescent="0.35">
      <c r="A827" s="7"/>
    </row>
    <row r="828" spans="1:1" ht="14.5" x14ac:dyDescent="0.35">
      <c r="A828" s="7"/>
    </row>
    <row r="829" spans="1:1" ht="14.5" x14ac:dyDescent="0.35">
      <c r="A829" s="7"/>
    </row>
    <row r="830" spans="1:1" ht="14.5" x14ac:dyDescent="0.35">
      <c r="A830" s="7"/>
    </row>
    <row r="831" spans="1:1" ht="14.5" x14ac:dyDescent="0.35">
      <c r="A831" s="7"/>
    </row>
    <row r="832" spans="1:1" ht="14.5" x14ac:dyDescent="0.35">
      <c r="A832" s="7"/>
    </row>
    <row r="833" spans="1:1" ht="14.5" x14ac:dyDescent="0.35">
      <c r="A833" s="7"/>
    </row>
    <row r="834" spans="1:1" ht="14.5" x14ac:dyDescent="0.35">
      <c r="A834" s="7"/>
    </row>
    <row r="835" spans="1:1" ht="14.5" x14ac:dyDescent="0.35">
      <c r="A835" s="7"/>
    </row>
    <row r="836" spans="1:1" ht="14.5" x14ac:dyDescent="0.35">
      <c r="A836" s="7"/>
    </row>
    <row r="837" spans="1:1" ht="14.5" x14ac:dyDescent="0.35">
      <c r="A837" s="7"/>
    </row>
    <row r="838" spans="1:1" ht="14.5" x14ac:dyDescent="0.35">
      <c r="A838" s="7"/>
    </row>
    <row r="839" spans="1:1" ht="14.5" x14ac:dyDescent="0.35">
      <c r="A839" s="7"/>
    </row>
    <row r="840" spans="1:1" ht="14.5" x14ac:dyDescent="0.35">
      <c r="A840" s="7"/>
    </row>
    <row r="841" spans="1:1" ht="14.5" x14ac:dyDescent="0.35">
      <c r="A841" s="7"/>
    </row>
    <row r="842" spans="1:1" ht="14.5" x14ac:dyDescent="0.35">
      <c r="A842" s="7"/>
    </row>
    <row r="843" spans="1:1" ht="14.5" x14ac:dyDescent="0.35">
      <c r="A843" s="7"/>
    </row>
    <row r="844" spans="1:1" ht="14.5" x14ac:dyDescent="0.35">
      <c r="A844" s="7"/>
    </row>
    <row r="845" spans="1:1" ht="14.5" x14ac:dyDescent="0.35">
      <c r="A845" s="7"/>
    </row>
    <row r="846" spans="1:1" ht="14.5" x14ac:dyDescent="0.35">
      <c r="A846" s="7"/>
    </row>
    <row r="847" spans="1:1" ht="14.5" x14ac:dyDescent="0.35">
      <c r="A847" s="7"/>
    </row>
    <row r="848" spans="1:1" ht="14.5" x14ac:dyDescent="0.35">
      <c r="A848" s="7"/>
    </row>
    <row r="849" spans="1:1" ht="14.5" x14ac:dyDescent="0.35">
      <c r="A849" s="7"/>
    </row>
    <row r="850" spans="1:1" ht="14.5" x14ac:dyDescent="0.35">
      <c r="A850" s="7"/>
    </row>
    <row r="851" spans="1:1" ht="14.5" x14ac:dyDescent="0.35">
      <c r="A851" s="7"/>
    </row>
    <row r="852" spans="1:1" ht="14.5" x14ac:dyDescent="0.35">
      <c r="A852" s="7"/>
    </row>
    <row r="853" spans="1:1" ht="14.5" x14ac:dyDescent="0.35">
      <c r="A853" s="7"/>
    </row>
    <row r="854" spans="1:1" ht="14.5" x14ac:dyDescent="0.35">
      <c r="A854" s="7"/>
    </row>
    <row r="855" spans="1:1" ht="14.5" x14ac:dyDescent="0.35">
      <c r="A855" s="7"/>
    </row>
    <row r="856" spans="1:1" ht="14.5" x14ac:dyDescent="0.35">
      <c r="A856" s="7"/>
    </row>
    <row r="857" spans="1:1" ht="14.5" x14ac:dyDescent="0.35">
      <c r="A857" s="7"/>
    </row>
    <row r="858" spans="1:1" ht="14.5" x14ac:dyDescent="0.35">
      <c r="A858" s="7"/>
    </row>
    <row r="859" spans="1:1" ht="14.5" x14ac:dyDescent="0.35">
      <c r="A859" s="7"/>
    </row>
  </sheetData>
  <mergeCells count="5">
    <mergeCell ref="C7:F7"/>
    <mergeCell ref="G7:H7"/>
    <mergeCell ref="I7:J7"/>
    <mergeCell ref="K7:L7"/>
    <mergeCell ref="N7:T7"/>
  </mergeCells>
  <conditionalFormatting sqref="A1:A859 B2 F2 J2">
    <cfRule type="containsText" dxfId="6" priority="5" operator="containsText" text="re-run 1">
      <formula>NOT(ISERROR(SEARCH(("re-run 1"),(A1))))</formula>
    </cfRule>
    <cfRule type="containsText" dxfId="5" priority="6" operator="containsText" text="re-run 2">
      <formula>NOT(ISERROR(SEARCH(("re-run 2"),(A1))))</formula>
    </cfRule>
    <cfRule type="containsText" dxfId="4" priority="7" operator="containsText" text="re-run 3">
      <formula>NOT(ISERROR(SEARCH(("re-run 3"),(A1))))</formula>
    </cfRule>
  </conditionalFormatting>
  <conditionalFormatting sqref="G21">
    <cfRule type="cellIs" dxfId="3" priority="1" operator="greaterThan">
      <formula>13820865.39</formula>
    </cfRule>
    <cfRule type="cellIs" dxfId="2" priority="2" operator="lessThan">
      <formula>26845.62</formula>
    </cfRule>
  </conditionalFormatting>
  <conditionalFormatting sqref="H21">
    <cfRule type="cellIs" dxfId="1" priority="3" operator="greaterThan">
      <formula>1777608.86</formula>
    </cfRule>
    <cfRule type="cellIs" dxfId="0" priority="4" operator="lessThan">
      <formula>307.39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DBC for AGU JGR Biogeosciences</vt:lpstr>
      <vt:lpstr>BPCAs Calcs (all samples)</vt:lpstr>
      <vt:lpstr>River, Stream, Melt PPL</vt:lpstr>
      <vt:lpstr>River, Stream, Melt Bpca Calibr</vt:lpstr>
      <vt:lpstr>River, Stream, Melt DBC Calcs</vt:lpstr>
      <vt:lpstr>2022 Snow PPL</vt:lpstr>
      <vt:lpstr>2022 Snow BPCA Calibr</vt:lpstr>
      <vt:lpstr>2022 Snow DBC Calcs</vt:lpstr>
      <vt:lpstr>2023 Snow PPL</vt:lpstr>
      <vt:lpstr>2023 Snow BPCA Calibr</vt:lpstr>
      <vt:lpstr>2023 Snow DBC Calcs</vt:lpstr>
      <vt:lpstr>Auto Dilution Runs BPCA Calibr</vt:lpstr>
      <vt:lpstr>Auto Dilution Runs DBC Calcs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Sally Vaux</cp:lastModifiedBy>
  <dcterms:modified xsi:type="dcterms:W3CDTF">2025-01-16T22:15:08Z</dcterms:modified>
</cp:coreProperties>
</file>